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engin-storage.m.storage.umich.edu\engin-storage\kency\windat.v2\Desktop\"/>
    </mc:Choice>
  </mc:AlternateContent>
  <bookViews>
    <workbookView xWindow="10395" yWindow="-105" windowWidth="14850" windowHeight="12735"/>
  </bookViews>
  <sheets>
    <sheet name="Municipals" sheetId="2" r:id="rId1"/>
    <sheet name="Context" sheetId="3" r:id="rId2"/>
  </sheets>
  <calcPr calcId="162913"/>
</workbook>
</file>

<file path=xl/calcChain.xml><?xml version="1.0" encoding="utf-8"?>
<calcChain xmlns="http://schemas.openxmlformats.org/spreadsheetml/2006/main">
  <c r="I26" i="2" l="1"/>
  <c r="I6" i="2"/>
  <c r="I4" i="2"/>
  <c r="I2" i="2"/>
  <c r="I10" i="2"/>
  <c r="I8" i="2"/>
  <c r="I12" i="2"/>
  <c r="I16" i="2"/>
  <c r="I14" i="2"/>
  <c r="I24" i="2"/>
  <c r="I20" i="2"/>
  <c r="I18" i="2"/>
  <c r="I22" i="2"/>
  <c r="I28" i="2"/>
  <c r="I30" i="2"/>
  <c r="I32" i="2"/>
  <c r="I34" i="2"/>
  <c r="I36" i="2"/>
  <c r="I38" i="2"/>
  <c r="I40" i="2"/>
  <c r="I46" i="2"/>
  <c r="I42" i="2"/>
  <c r="I44" i="2"/>
  <c r="I50" i="2"/>
  <c r="I52" i="2"/>
  <c r="I48" i="2"/>
  <c r="I60" i="2"/>
  <c r="I54" i="2"/>
  <c r="I56" i="2"/>
  <c r="I64" i="2"/>
  <c r="I66" i="2"/>
  <c r="I58" i="2"/>
  <c r="I62" i="2"/>
  <c r="I72" i="2"/>
  <c r="I88" i="2"/>
  <c r="I68" i="2"/>
  <c r="I70" i="2"/>
  <c r="I76" i="2"/>
  <c r="I78" i="2"/>
  <c r="I82" i="2"/>
  <c r="I74" i="2"/>
  <c r="I86" i="2"/>
  <c r="I80" i="2"/>
  <c r="I92" i="2"/>
  <c r="I84" i="2"/>
  <c r="I90" i="2"/>
  <c r="I232" i="2"/>
  <c r="I246" i="2"/>
  <c r="I302" i="2"/>
  <c r="I93" i="2"/>
  <c r="I236" i="2"/>
  <c r="I254" i="2"/>
  <c r="I7" i="2"/>
  <c r="I244" i="2"/>
  <c r="I13" i="2"/>
  <c r="I95" i="2"/>
  <c r="I3" i="2"/>
  <c r="I11" i="2"/>
  <c r="I9" i="2"/>
  <c r="I15" i="2"/>
  <c r="I5" i="2"/>
  <c r="I19" i="2"/>
  <c r="I27" i="2"/>
  <c r="I17" i="2"/>
  <c r="I21" i="2"/>
  <c r="I29" i="2"/>
  <c r="I25" i="2"/>
  <c r="I23" i="2"/>
  <c r="I33" i="2"/>
  <c r="I31" i="2"/>
  <c r="I35" i="2"/>
  <c r="I37" i="2"/>
  <c r="I45" i="2"/>
  <c r="I39" i="2"/>
  <c r="I43" i="2"/>
  <c r="I47" i="2"/>
  <c r="I49" i="2"/>
  <c r="I57" i="2"/>
  <c r="I59" i="2"/>
  <c r="I41" i="2"/>
  <c r="I53" i="2"/>
  <c r="I55" i="2"/>
  <c r="I51" i="2"/>
  <c r="I63" i="2"/>
  <c r="I61" i="2"/>
  <c r="I65" i="2"/>
  <c r="I69" i="2"/>
  <c r="I67" i="2"/>
  <c r="I73" i="2"/>
  <c r="I75" i="2"/>
  <c r="I71" i="2"/>
  <c r="I322" i="2"/>
  <c r="I79" i="2"/>
  <c r="I77" i="2"/>
  <c r="I89" i="2"/>
  <c r="I83" i="2"/>
  <c r="I85" i="2"/>
  <c r="I81" i="2"/>
  <c r="I91" i="2"/>
  <c r="I87" i="2"/>
  <c r="I278" i="2"/>
  <c r="I94" i="2"/>
  <c r="I233" i="2"/>
  <c r="I240" i="2"/>
  <c r="I242" i="2"/>
  <c r="I294" i="2"/>
  <c r="I228" i="2"/>
  <c r="I230" i="2"/>
  <c r="I235" i="2"/>
  <c r="I227" i="2"/>
  <c r="I103" i="2"/>
  <c r="I238" i="2"/>
  <c r="I97" i="2"/>
  <c r="I107" i="2"/>
  <c r="I101" i="2"/>
  <c r="I99" i="2"/>
  <c r="I105" i="2"/>
  <c r="I113" i="2"/>
  <c r="I109" i="2"/>
  <c r="I111" i="2"/>
  <c r="I115" i="2"/>
  <c r="I117" i="2"/>
  <c r="I119" i="2"/>
  <c r="I121" i="2"/>
  <c r="I123" i="2"/>
  <c r="I125" i="2"/>
  <c r="I129" i="2"/>
  <c r="I127" i="2"/>
  <c r="I131" i="2"/>
  <c r="I133" i="2"/>
  <c r="I135" i="2"/>
  <c r="I139" i="2"/>
  <c r="I143" i="2"/>
  <c r="I137" i="2"/>
  <c r="I149" i="2"/>
  <c r="I147" i="2"/>
  <c r="I141" i="2"/>
  <c r="I145" i="2"/>
  <c r="I151" i="2"/>
  <c r="I153" i="2"/>
  <c r="I159" i="2"/>
  <c r="I155" i="2"/>
  <c r="I157" i="2"/>
  <c r="I163" i="2"/>
  <c r="I161" i="2"/>
  <c r="I165" i="2"/>
  <c r="I173" i="2"/>
  <c r="I169" i="2"/>
  <c r="I167" i="2"/>
  <c r="I171" i="2"/>
  <c r="I175" i="2"/>
  <c r="I177" i="2"/>
  <c r="I179" i="2"/>
  <c r="I219" i="2"/>
  <c r="I181" i="2"/>
  <c r="I185" i="2"/>
  <c r="I183" i="2"/>
  <c r="I187" i="2"/>
  <c r="I189" i="2"/>
  <c r="I191" i="2"/>
  <c r="I195" i="2"/>
  <c r="I193" i="2"/>
  <c r="I201" i="2"/>
  <c r="I203" i="2"/>
  <c r="I197" i="2"/>
  <c r="I205" i="2"/>
  <c r="I199" i="2"/>
  <c r="I207" i="2"/>
  <c r="I209" i="2"/>
  <c r="I215" i="2"/>
  <c r="I221" i="2"/>
  <c r="I241" i="2"/>
  <c r="I211" i="2"/>
  <c r="I213" i="2"/>
  <c r="I223" i="2"/>
  <c r="I217" i="2"/>
  <c r="I225" i="2"/>
  <c r="I270" i="2"/>
  <c r="I231" i="2"/>
  <c r="I248" i="2"/>
  <c r="I239" i="2"/>
  <c r="I226" i="2"/>
  <c r="I286" i="2"/>
  <c r="I234" i="2"/>
  <c r="I98" i="2"/>
  <c r="I96" i="2"/>
  <c r="I100" i="2"/>
  <c r="I102" i="2"/>
  <c r="I104" i="2"/>
  <c r="I108" i="2"/>
  <c r="I106" i="2"/>
  <c r="I110" i="2"/>
  <c r="I114" i="2"/>
  <c r="I112" i="2"/>
  <c r="I118" i="2"/>
  <c r="I116" i="2"/>
  <c r="I120" i="2"/>
  <c r="I124" i="2"/>
  <c r="I122" i="2"/>
  <c r="I126" i="2"/>
  <c r="I130" i="2"/>
  <c r="I128" i="2"/>
  <c r="I132" i="2"/>
  <c r="I134" i="2"/>
  <c r="I144" i="2"/>
  <c r="I136" i="2"/>
  <c r="I138" i="2"/>
  <c r="I148" i="2"/>
  <c r="I152" i="2"/>
  <c r="I146" i="2"/>
  <c r="I140" i="2"/>
  <c r="I142" i="2"/>
  <c r="I150" i="2"/>
  <c r="I156" i="2"/>
  <c r="I154" i="2"/>
  <c r="I158" i="2"/>
  <c r="I160" i="2"/>
  <c r="I162" i="2"/>
  <c r="I166" i="2"/>
  <c r="I164" i="2"/>
  <c r="I168" i="2"/>
  <c r="I170" i="2"/>
  <c r="I180" i="2"/>
  <c r="I178" i="2"/>
  <c r="I174" i="2"/>
  <c r="I172" i="2"/>
  <c r="I184" i="2"/>
  <c r="I188" i="2"/>
  <c r="I186" i="2"/>
  <c r="I176" i="2"/>
  <c r="I192" i="2"/>
  <c r="I182" i="2"/>
  <c r="I194" i="2"/>
  <c r="I200" i="2"/>
  <c r="I190" i="2"/>
  <c r="I196" i="2"/>
  <c r="I204" i="2"/>
  <c r="I198" i="2"/>
  <c r="I206" i="2"/>
  <c r="I202" i="2"/>
  <c r="I208" i="2"/>
  <c r="I212" i="2"/>
  <c r="I216" i="2"/>
  <c r="I218" i="2"/>
  <c r="I210" i="2"/>
  <c r="I214" i="2"/>
  <c r="I222" i="2"/>
  <c r="I224" i="2"/>
  <c r="I220" i="2"/>
  <c r="I252" i="2"/>
  <c r="I229" i="2"/>
  <c r="I237" i="2"/>
  <c r="I258" i="2"/>
  <c r="I310" i="2"/>
  <c r="I250" i="2"/>
  <c r="I262" i="2"/>
  <c r="I288" i="2"/>
  <c r="I296" i="2"/>
  <c r="I312" i="2"/>
  <c r="I304" i="2"/>
  <c r="I320" i="2"/>
  <c r="I618" i="2"/>
  <c r="I264" i="2"/>
  <c r="I272" i="2"/>
  <c r="I280" i="2"/>
  <c r="I316" i="2"/>
  <c r="I255" i="2"/>
  <c r="I284" i="2"/>
  <c r="I308" i="2"/>
  <c r="I292" i="2"/>
  <c r="I300" i="2"/>
  <c r="I243" i="2"/>
  <c r="I324" i="2"/>
  <c r="I245" i="2"/>
  <c r="I247" i="2"/>
  <c r="I253" i="2"/>
  <c r="I249" i="2"/>
  <c r="I251" i="2"/>
  <c r="I266" i="2"/>
  <c r="I282" i="2"/>
  <c r="I274" i="2"/>
  <c r="I326" i="2"/>
  <c r="I328" i="2"/>
  <c r="I256" i="2"/>
  <c r="I330" i="2"/>
  <c r="I332" i="2"/>
  <c r="I260" i="2"/>
  <c r="I290" i="2"/>
  <c r="I298" i="2"/>
  <c r="I314" i="2"/>
  <c r="I306" i="2"/>
  <c r="I318" i="2"/>
  <c r="I268" i="2"/>
  <c r="I334" i="2"/>
  <c r="I276" i="2"/>
  <c r="I336" i="2"/>
  <c r="I338" i="2"/>
  <c r="I342" i="2"/>
  <c r="I340" i="2"/>
  <c r="I346" i="2"/>
  <c r="I350" i="2"/>
  <c r="I344" i="2"/>
  <c r="I348" i="2"/>
  <c r="I352" i="2"/>
  <c r="I356" i="2"/>
  <c r="I354" i="2"/>
  <c r="I362" i="2"/>
  <c r="I358" i="2"/>
  <c r="I360" i="2"/>
  <c r="I364" i="2"/>
  <c r="I368" i="2"/>
  <c r="I366" i="2"/>
  <c r="I370" i="2"/>
  <c r="I527" i="2"/>
  <c r="I615" i="2"/>
  <c r="I665" i="2"/>
  <c r="I257" i="2"/>
  <c r="I259" i="2"/>
  <c r="I261" i="2"/>
  <c r="I263" i="2"/>
  <c r="I265" i="2"/>
  <c r="I269" i="2"/>
  <c r="I267" i="2"/>
  <c r="I271" i="2"/>
  <c r="I275" i="2"/>
  <c r="I273" i="2"/>
  <c r="I277" i="2"/>
  <c r="I279" i="2"/>
  <c r="I281" i="2"/>
  <c r="I283" i="2"/>
  <c r="I287" i="2"/>
  <c r="I289" i="2"/>
  <c r="I285" i="2"/>
  <c r="I293" i="2"/>
  <c r="I291" i="2"/>
  <c r="I295" i="2"/>
  <c r="I301" i="2"/>
  <c r="I297" i="2"/>
  <c r="I299" i="2"/>
  <c r="I303" i="2"/>
  <c r="I305" i="2"/>
  <c r="I307" i="2"/>
  <c r="I309" i="2"/>
  <c r="I313" i="2"/>
  <c r="I311" i="2"/>
  <c r="I315" i="2"/>
  <c r="I321" i="2"/>
  <c r="I317" i="2"/>
  <c r="I319" i="2"/>
  <c r="I325" i="2"/>
  <c r="I323" i="2"/>
  <c r="I329" i="2"/>
  <c r="I327" i="2"/>
  <c r="I331" i="2"/>
  <c r="I333" i="2"/>
  <c r="I337" i="2"/>
  <c r="I339" i="2"/>
  <c r="I341" i="2"/>
  <c r="I343" i="2"/>
  <c r="I347" i="2"/>
  <c r="I345" i="2"/>
  <c r="I335" i="2"/>
  <c r="I355" i="2"/>
  <c r="I351" i="2"/>
  <c r="I349" i="2"/>
  <c r="I353" i="2"/>
  <c r="I357" i="2"/>
  <c r="I365" i="2"/>
  <c r="I369" i="2"/>
  <c r="I363" i="2"/>
  <c r="I359" i="2"/>
  <c r="I361" i="2"/>
  <c r="I367" i="2"/>
  <c r="I371" i="2"/>
  <c r="I734" i="2"/>
  <c r="I661" i="2"/>
  <c r="I519" i="2"/>
  <c r="I766" i="2"/>
  <c r="I525" i="2"/>
  <c r="I495" i="2"/>
  <c r="I623" i="2"/>
  <c r="I503" i="2"/>
  <c r="I499" i="2"/>
  <c r="I633" i="2"/>
  <c r="I639" i="2"/>
  <c r="I750" i="2"/>
  <c r="I663" i="2"/>
  <c r="I372" i="2"/>
  <c r="I390" i="2"/>
  <c r="I374" i="2"/>
  <c r="I376" i="2"/>
  <c r="I382" i="2"/>
  <c r="I378" i="2"/>
  <c r="I380" i="2"/>
  <c r="I386" i="2"/>
  <c r="I392" i="2"/>
  <c r="I394" i="2"/>
  <c r="I384" i="2"/>
  <c r="I388" i="2"/>
  <c r="I400" i="2"/>
  <c r="I398" i="2"/>
  <c r="I416" i="2"/>
  <c r="I404" i="2"/>
  <c r="I396" i="2"/>
  <c r="I410" i="2"/>
  <c r="I406" i="2"/>
  <c r="I402" i="2"/>
  <c r="I412" i="2"/>
  <c r="I414" i="2"/>
  <c r="I408" i="2"/>
  <c r="I418" i="2"/>
  <c r="I420" i="2"/>
  <c r="I424" i="2"/>
  <c r="I426" i="2"/>
  <c r="I422" i="2"/>
  <c r="I428" i="2"/>
  <c r="I430" i="2"/>
  <c r="I434" i="2"/>
  <c r="I436" i="2"/>
  <c r="I432" i="2"/>
  <c r="I438" i="2"/>
  <c r="I476" i="2"/>
  <c r="I442" i="2"/>
  <c r="I440" i="2"/>
  <c r="I444" i="2"/>
  <c r="I446" i="2"/>
  <c r="I458" i="2"/>
  <c r="I448" i="2"/>
  <c r="I450" i="2"/>
  <c r="I454" i="2"/>
  <c r="I456" i="2"/>
  <c r="I462" i="2"/>
  <c r="I452" i="2"/>
  <c r="I460" i="2"/>
  <c r="I470" i="2"/>
  <c r="I474" i="2"/>
  <c r="I468" i="2"/>
  <c r="I464" i="2"/>
  <c r="I466" i="2"/>
  <c r="I472" i="2"/>
  <c r="I478" i="2"/>
  <c r="I480" i="2"/>
  <c r="I482" i="2"/>
  <c r="I484" i="2"/>
  <c r="I490" i="2"/>
  <c r="I488" i="2"/>
  <c r="I486" i="2"/>
  <c r="I635" i="2"/>
  <c r="I529" i="2"/>
  <c r="I497" i="2"/>
  <c r="I782" i="2"/>
  <c r="I641" i="2"/>
  <c r="I521" i="2"/>
  <c r="I667" i="2"/>
  <c r="I669" i="2"/>
  <c r="I517" i="2"/>
  <c r="I501" i="2"/>
  <c r="I493" i="2"/>
  <c r="I505" i="2"/>
  <c r="I631" i="2"/>
  <c r="I509" i="2"/>
  <c r="I511" i="2"/>
  <c r="I507" i="2"/>
  <c r="I531" i="2"/>
  <c r="I513" i="2"/>
  <c r="I515" i="2"/>
  <c r="I659" i="2"/>
  <c r="I637" i="2"/>
  <c r="I549" i="2"/>
  <c r="I671" i="2"/>
  <c r="I523" i="2"/>
  <c r="I375" i="2"/>
  <c r="I718" i="2"/>
  <c r="I373" i="2"/>
  <c r="I377" i="2"/>
  <c r="I381" i="2"/>
  <c r="I379" i="2"/>
  <c r="I383" i="2"/>
  <c r="I385" i="2"/>
  <c r="I387" i="2"/>
  <c r="I389" i="2"/>
  <c r="I435" i="2"/>
  <c r="I393" i="2"/>
  <c r="I397" i="2"/>
  <c r="I391" i="2"/>
  <c r="I395" i="2"/>
  <c r="I403" i="2"/>
  <c r="I405" i="2"/>
  <c r="I399" i="2"/>
  <c r="I411" i="2"/>
  <c r="I407" i="2"/>
  <c r="I401" i="2"/>
  <c r="I415" i="2"/>
  <c r="I413" i="2"/>
  <c r="I409" i="2"/>
  <c r="I419" i="2"/>
  <c r="I417" i="2"/>
  <c r="I427" i="2"/>
  <c r="I421" i="2"/>
  <c r="I423" i="2"/>
  <c r="I429" i="2"/>
  <c r="I431" i="2"/>
  <c r="I425" i="2"/>
  <c r="I433" i="2"/>
  <c r="I443" i="2"/>
  <c r="I437" i="2"/>
  <c r="I439" i="2"/>
  <c r="I441" i="2"/>
  <c r="I447" i="2"/>
  <c r="I449" i="2"/>
  <c r="I445" i="2"/>
  <c r="I451" i="2"/>
  <c r="I453" i="2"/>
  <c r="I467" i="2"/>
  <c r="I455" i="2"/>
  <c r="I457" i="2"/>
  <c r="I459" i="2"/>
  <c r="I463" i="2"/>
  <c r="I461" i="2"/>
  <c r="I471" i="2"/>
  <c r="I465" i="2"/>
  <c r="I469" i="2"/>
  <c r="I473" i="2"/>
  <c r="I481" i="2"/>
  <c r="I475" i="2"/>
  <c r="I477" i="2"/>
  <c r="I479" i="2"/>
  <c r="I485" i="2"/>
  <c r="I483" i="2"/>
  <c r="I487" i="2"/>
  <c r="I535" i="2"/>
  <c r="I489" i="2"/>
  <c r="I533" i="2"/>
  <c r="I541" i="2"/>
  <c r="I539" i="2"/>
  <c r="I537" i="2"/>
  <c r="I545" i="2"/>
  <c r="I491" i="2"/>
  <c r="I543" i="2"/>
  <c r="I547" i="2"/>
  <c r="I494" i="2"/>
  <c r="I627" i="2"/>
  <c r="I492" i="2"/>
  <c r="I496" i="2"/>
  <c r="I498" i="2"/>
  <c r="I500" i="2"/>
  <c r="I506" i="2"/>
  <c r="I508" i="2"/>
  <c r="I504" i="2"/>
  <c r="I502" i="2"/>
  <c r="I516" i="2"/>
  <c r="I510" i="2"/>
  <c r="I514" i="2"/>
  <c r="I512" i="2"/>
  <c r="I524" i="2"/>
  <c r="I520" i="2"/>
  <c r="I518" i="2"/>
  <c r="I522" i="2"/>
  <c r="I528" i="2"/>
  <c r="I530" i="2"/>
  <c r="I526" i="2"/>
  <c r="I534" i="2"/>
  <c r="I532" i="2"/>
  <c r="I540" i="2"/>
  <c r="I542" i="2"/>
  <c r="I536" i="2"/>
  <c r="I538" i="2"/>
  <c r="I544" i="2"/>
  <c r="I546" i="2"/>
  <c r="I550" i="2"/>
  <c r="I548" i="2"/>
  <c r="I552" i="2"/>
  <c r="I554" i="2"/>
  <c r="I558" i="2"/>
  <c r="I556" i="2"/>
  <c r="I560" i="2"/>
  <c r="I562" i="2"/>
  <c r="I594" i="2"/>
  <c r="I566" i="2"/>
  <c r="I570" i="2"/>
  <c r="I564" i="2"/>
  <c r="I568" i="2"/>
  <c r="I574" i="2"/>
  <c r="I576" i="2"/>
  <c r="I572" i="2"/>
  <c r="I580" i="2"/>
  <c r="I588" i="2"/>
  <c r="I578" i="2"/>
  <c r="I590" i="2"/>
  <c r="I596" i="2"/>
  <c r="I586" i="2"/>
  <c r="I582" i="2"/>
  <c r="I598" i="2"/>
  <c r="I584" i="2"/>
  <c r="I600" i="2"/>
  <c r="I602" i="2"/>
  <c r="I592" i="2"/>
  <c r="I610" i="2"/>
  <c r="I606" i="2"/>
  <c r="I608" i="2"/>
  <c r="I620" i="2"/>
  <c r="I604" i="2"/>
  <c r="I612" i="2"/>
  <c r="I643" i="2"/>
  <c r="I653" i="2"/>
  <c r="I649" i="2"/>
  <c r="I657" i="2"/>
  <c r="I682" i="2"/>
  <c r="I704" i="2"/>
  <c r="I621" i="2"/>
  <c r="I690" i="2"/>
  <c r="I678" i="2"/>
  <c r="I613" i="2"/>
  <c r="I553" i="2"/>
  <c r="I551" i="2"/>
  <c r="I555" i="2"/>
  <c r="I597" i="2"/>
  <c r="I557" i="2"/>
  <c r="I563" i="2"/>
  <c r="I561" i="2"/>
  <c r="I559" i="2"/>
  <c r="I567" i="2"/>
  <c r="I565" i="2"/>
  <c r="I569" i="2"/>
  <c r="I583" i="2"/>
  <c r="I575" i="2"/>
  <c r="I571" i="2"/>
  <c r="I587" i="2"/>
  <c r="I573" i="2"/>
  <c r="I577" i="2"/>
  <c r="I585" i="2"/>
  <c r="I579" i="2"/>
  <c r="I581" i="2"/>
  <c r="I589" i="2"/>
  <c r="I591" i="2"/>
  <c r="I595" i="2"/>
  <c r="I593" i="2"/>
  <c r="I599" i="2"/>
  <c r="I601" i="2"/>
  <c r="I603" i="2"/>
  <c r="I605" i="2"/>
  <c r="I609" i="2"/>
  <c r="I607" i="2"/>
  <c r="I611" i="2"/>
  <c r="I616" i="2"/>
  <c r="I655" i="2"/>
  <c r="I647" i="2"/>
  <c r="I651" i="2"/>
  <c r="I619" i="2"/>
  <c r="I625" i="2"/>
  <c r="I629" i="2"/>
  <c r="I674" i="2"/>
  <c r="I686" i="2"/>
  <c r="I614" i="2"/>
  <c r="I622" i="2"/>
  <c r="I726" i="2"/>
  <c r="I645" i="2"/>
  <c r="I774" i="2"/>
  <c r="I758" i="2"/>
  <c r="I742" i="2"/>
  <c r="I617" i="2"/>
  <c r="I624" i="2"/>
  <c r="I626" i="2"/>
  <c r="I630" i="2"/>
  <c r="I628" i="2"/>
  <c r="I632" i="2"/>
  <c r="I636" i="2"/>
  <c r="I634" i="2"/>
  <c r="I644" i="2"/>
  <c r="I640" i="2"/>
  <c r="I638" i="2"/>
  <c r="I642" i="2"/>
  <c r="I646" i="2"/>
  <c r="I648" i="2"/>
  <c r="I652" i="2"/>
  <c r="I650" i="2"/>
  <c r="I658" i="2"/>
  <c r="I654" i="2"/>
  <c r="I656" i="2"/>
  <c r="I660" i="2"/>
  <c r="I662" i="2"/>
  <c r="I664" i="2"/>
  <c r="I666" i="2"/>
  <c r="I672" i="2"/>
  <c r="I668" i="2"/>
  <c r="I670" i="2"/>
  <c r="I702" i="2"/>
  <c r="I752" i="2"/>
  <c r="I728" i="2"/>
  <c r="I736" i="2"/>
  <c r="I720" i="2"/>
  <c r="I744" i="2"/>
  <c r="I760" i="2"/>
  <c r="I768" i="2"/>
  <c r="I784" i="2"/>
  <c r="I790" i="2"/>
  <c r="I776" i="2"/>
  <c r="I679" i="2"/>
  <c r="I687" i="2"/>
  <c r="I675" i="2"/>
  <c r="I683" i="2"/>
  <c r="I695" i="2"/>
  <c r="I699" i="2"/>
  <c r="I691" i="2"/>
  <c r="I797" i="2"/>
  <c r="I787" i="2"/>
  <c r="I684" i="2"/>
  <c r="I676" i="2"/>
  <c r="I680" i="2"/>
  <c r="I698" i="2"/>
  <c r="I692" i="2"/>
  <c r="I688" i="2"/>
  <c r="I696" i="2"/>
  <c r="I673" i="2"/>
  <c r="I791" i="2"/>
  <c r="I697" i="2"/>
  <c r="I706" i="2"/>
  <c r="I716" i="2"/>
  <c r="I740" i="2"/>
  <c r="I732" i="2"/>
  <c r="I724" i="2"/>
  <c r="I756" i="2"/>
  <c r="I748" i="2"/>
  <c r="I772" i="2"/>
  <c r="I764" i="2"/>
  <c r="I780" i="2"/>
  <c r="I1011" i="2"/>
  <c r="I677" i="2"/>
  <c r="I681" i="2"/>
  <c r="I685" i="2"/>
  <c r="I689" i="2"/>
  <c r="I693" i="2"/>
  <c r="I722" i="2"/>
  <c r="I1013" i="2"/>
  <c r="I730" i="2"/>
  <c r="I700" i="2"/>
  <c r="I708" i="2"/>
  <c r="I738" i="2"/>
  <c r="I714" i="2"/>
  <c r="I746" i="2"/>
  <c r="I762" i="2"/>
  <c r="I754" i="2"/>
  <c r="I770" i="2"/>
  <c r="I778" i="2"/>
  <c r="I694" i="2"/>
  <c r="I796" i="2"/>
  <c r="I712" i="2"/>
  <c r="I710" i="2"/>
  <c r="I888" i="2"/>
  <c r="I808" i="2"/>
  <c r="I804" i="2"/>
  <c r="I795" i="2"/>
  <c r="I806" i="2"/>
  <c r="I1100" i="2"/>
  <c r="I798" i="2"/>
  <c r="I892" i="2"/>
  <c r="I785" i="2"/>
  <c r="I799" i="2"/>
  <c r="I997" i="2"/>
  <c r="I701" i="2"/>
  <c r="I703" i="2"/>
  <c r="I707" i="2"/>
  <c r="I711" i="2"/>
  <c r="I713" i="2"/>
  <c r="I705" i="2"/>
  <c r="I715" i="2"/>
  <c r="I709" i="2"/>
  <c r="I719" i="2"/>
  <c r="I717" i="2"/>
  <c r="I721" i="2"/>
  <c r="I723" i="2"/>
  <c r="I725" i="2"/>
  <c r="I729" i="2"/>
  <c r="I727" i="2"/>
  <c r="I731" i="2"/>
  <c r="I739" i="2"/>
  <c r="I735" i="2"/>
  <c r="I733" i="2"/>
  <c r="I737" i="2"/>
  <c r="I747" i="2"/>
  <c r="I743" i="2"/>
  <c r="I741" i="2"/>
  <c r="I749" i="2"/>
  <c r="I745" i="2"/>
  <c r="I753" i="2"/>
  <c r="I763" i="2"/>
  <c r="I751" i="2"/>
  <c r="I759" i="2"/>
  <c r="I757" i="2"/>
  <c r="I755" i="2"/>
  <c r="I767" i="2"/>
  <c r="I773" i="2"/>
  <c r="I761" i="2"/>
  <c r="I765" i="2"/>
  <c r="I771" i="2"/>
  <c r="I769" i="2"/>
  <c r="I777" i="2"/>
  <c r="I792" i="2"/>
  <c r="I779" i="2"/>
  <c r="I775" i="2"/>
  <c r="I783" i="2"/>
  <c r="I788" i="2"/>
  <c r="I781" i="2"/>
  <c r="I800" i="2"/>
  <c r="I801" i="2"/>
  <c r="I793" i="2"/>
  <c r="I789" i="2"/>
  <c r="I900" i="2"/>
  <c r="I1008" i="2"/>
  <c r="I786" i="2"/>
  <c r="I1241" i="2"/>
  <c r="I802" i="2"/>
  <c r="I794" i="2"/>
  <c r="I803" i="2"/>
  <c r="I805" i="2"/>
  <c r="I809" i="2"/>
  <c r="I811" i="2"/>
  <c r="I813" i="2"/>
  <c r="I807" i="2"/>
  <c r="I817" i="2"/>
  <c r="I815" i="2"/>
  <c r="I819" i="2"/>
  <c r="I821" i="2"/>
  <c r="I823" i="2"/>
  <c r="I825" i="2"/>
  <c r="I827" i="2"/>
  <c r="I829" i="2"/>
  <c r="I831" i="2"/>
  <c r="I833" i="2"/>
  <c r="I849" i="2"/>
  <c r="I835" i="2"/>
  <c r="I837" i="2"/>
  <c r="I847" i="2"/>
  <c r="I843" i="2"/>
  <c r="I841" i="2"/>
  <c r="I839" i="2"/>
  <c r="I845" i="2"/>
  <c r="I853" i="2"/>
  <c r="I851" i="2"/>
  <c r="I855" i="2"/>
  <c r="I857" i="2"/>
  <c r="I859" i="2"/>
  <c r="I861" i="2"/>
  <c r="I867" i="2"/>
  <c r="I869" i="2"/>
  <c r="I863" i="2"/>
  <c r="I877" i="2"/>
  <c r="I865" i="2"/>
  <c r="I873" i="2"/>
  <c r="I883" i="2"/>
  <c r="I871" i="2"/>
  <c r="I875" i="2"/>
  <c r="I879" i="2"/>
  <c r="I881" i="2"/>
  <c r="I885" i="2"/>
  <c r="I898" i="2"/>
  <c r="I999" i="2"/>
  <c r="I1121" i="2"/>
  <c r="I1103" i="2"/>
  <c r="I1002" i="2"/>
  <c r="I891" i="2"/>
  <c r="I1122" i="2"/>
  <c r="I810" i="2"/>
  <c r="I820" i="2"/>
  <c r="I812" i="2"/>
  <c r="I816" i="2"/>
  <c r="I818" i="2"/>
  <c r="I814" i="2"/>
  <c r="I824" i="2"/>
  <c r="I822" i="2"/>
  <c r="I826" i="2"/>
  <c r="I828" i="2"/>
  <c r="I830" i="2"/>
  <c r="I832" i="2"/>
  <c r="I834" i="2"/>
  <c r="I836" i="2"/>
  <c r="I838" i="2"/>
  <c r="I842" i="2"/>
  <c r="I840" i="2"/>
  <c r="I844" i="2"/>
  <c r="I846" i="2"/>
  <c r="I848" i="2"/>
  <c r="I850" i="2"/>
  <c r="I856" i="2"/>
  <c r="I852" i="2"/>
  <c r="I858" i="2"/>
  <c r="I854" i="2"/>
  <c r="I872" i="2"/>
  <c r="I866" i="2"/>
  <c r="I862" i="2"/>
  <c r="I864" i="2"/>
  <c r="I860" i="2"/>
  <c r="I868" i="2"/>
  <c r="I874" i="2"/>
  <c r="I878" i="2"/>
  <c r="I870" i="2"/>
  <c r="I884" i="2"/>
  <c r="I882" i="2"/>
  <c r="I876" i="2"/>
  <c r="I880" i="2"/>
  <c r="I886" i="2"/>
  <c r="I902" i="2"/>
  <c r="I894" i="2"/>
  <c r="I1127" i="2"/>
  <c r="I896" i="2"/>
  <c r="I1096" i="2"/>
  <c r="I889" i="2"/>
  <c r="I1007" i="2"/>
  <c r="I904" i="2"/>
  <c r="I887" i="2"/>
  <c r="I890" i="2"/>
  <c r="I994" i="2"/>
  <c r="I1012" i="2"/>
  <c r="I906" i="2"/>
  <c r="I1005" i="2"/>
  <c r="I996" i="2"/>
  <c r="I1004" i="2"/>
  <c r="I1099" i="2"/>
  <c r="I895" i="2"/>
  <c r="I893" i="2"/>
  <c r="I899" i="2"/>
  <c r="I897" i="2"/>
  <c r="I901" i="2"/>
  <c r="I907" i="2"/>
  <c r="I903" i="2"/>
  <c r="I905" i="2"/>
  <c r="I909" i="2"/>
  <c r="I911" i="2"/>
  <c r="I913" i="2"/>
  <c r="I915" i="2"/>
  <c r="I919" i="2"/>
  <c r="I917" i="2"/>
  <c r="I923" i="2"/>
  <c r="I921" i="2"/>
  <c r="I931" i="2"/>
  <c r="I929" i="2"/>
  <c r="I925" i="2"/>
  <c r="I927" i="2"/>
  <c r="I935" i="2"/>
  <c r="I933" i="2"/>
  <c r="I937" i="2"/>
  <c r="I939" i="2"/>
  <c r="I941" i="2"/>
  <c r="I943" i="2"/>
  <c r="I945" i="2"/>
  <c r="I947" i="2"/>
  <c r="I951" i="2"/>
  <c r="I949" i="2"/>
  <c r="I955" i="2"/>
  <c r="I953" i="2"/>
  <c r="I957" i="2"/>
  <c r="I959" i="2"/>
  <c r="I961" i="2"/>
  <c r="I983" i="2"/>
  <c r="I963" i="2"/>
  <c r="I965" i="2"/>
  <c r="I969" i="2"/>
  <c r="I981" i="2"/>
  <c r="I973" i="2"/>
  <c r="I967" i="2"/>
  <c r="I971" i="2"/>
  <c r="I975" i="2"/>
  <c r="I977" i="2"/>
  <c r="I979" i="2"/>
  <c r="I987" i="2"/>
  <c r="I985" i="2"/>
  <c r="I991" i="2"/>
  <c r="I989" i="2"/>
  <c r="I1000" i="2"/>
  <c r="I992" i="2"/>
  <c r="I910" i="2"/>
  <c r="I1091" i="2"/>
  <c r="I908" i="2"/>
  <c r="I912" i="2"/>
  <c r="I916" i="2"/>
  <c r="I914" i="2"/>
  <c r="I918" i="2"/>
  <c r="I920" i="2"/>
  <c r="I924" i="2"/>
  <c r="I922" i="2"/>
  <c r="I926" i="2"/>
  <c r="I930" i="2"/>
  <c r="I928" i="2"/>
  <c r="I932" i="2"/>
  <c r="I934" i="2"/>
  <c r="I936" i="2"/>
  <c r="I938" i="2"/>
  <c r="I940" i="2"/>
  <c r="I942" i="2"/>
  <c r="I948" i="2"/>
  <c r="I946" i="2"/>
  <c r="I944" i="2"/>
  <c r="I954" i="2"/>
  <c r="I950" i="2"/>
  <c r="I952" i="2"/>
  <c r="I956" i="2"/>
  <c r="I960" i="2"/>
  <c r="I962" i="2"/>
  <c r="I964" i="2"/>
  <c r="I958" i="2"/>
  <c r="I970" i="2"/>
  <c r="I966" i="2"/>
  <c r="I968" i="2"/>
  <c r="I972" i="2"/>
  <c r="I974" i="2"/>
  <c r="I976" i="2"/>
  <c r="I978" i="2"/>
  <c r="I980" i="2"/>
  <c r="I982" i="2"/>
  <c r="I984" i="2"/>
  <c r="I993" i="2"/>
  <c r="I986" i="2"/>
  <c r="I990" i="2"/>
  <c r="I1014" i="2"/>
  <c r="I988" i="2"/>
  <c r="I1015" i="2"/>
  <c r="I1017" i="2"/>
  <c r="I1111" i="2"/>
  <c r="I1003" i="2"/>
  <c r="I995" i="2"/>
  <c r="I1009" i="2"/>
  <c r="I1104" i="2"/>
  <c r="I1006" i="2"/>
  <c r="I1095" i="2"/>
  <c r="I998" i="2"/>
  <c r="I1010" i="2"/>
  <c r="I1092" i="2"/>
  <c r="I1360" i="2"/>
  <c r="I1016" i="2"/>
  <c r="I1001" i="2"/>
  <c r="I1022" i="2"/>
  <c r="I1018" i="2"/>
  <c r="I1028" i="2"/>
  <c r="I1024" i="2"/>
  <c r="I1112" i="2"/>
  <c r="I1020" i="2"/>
  <c r="I1030" i="2"/>
  <c r="I1026" i="2"/>
  <c r="I1036" i="2"/>
  <c r="I1032" i="2"/>
  <c r="I1034" i="2"/>
  <c r="I1038" i="2"/>
  <c r="I1040" i="2"/>
  <c r="I1042" i="2"/>
  <c r="I1044" i="2"/>
  <c r="I1046" i="2"/>
  <c r="I1060" i="2"/>
  <c r="I1048" i="2"/>
  <c r="I1050" i="2"/>
  <c r="I1052" i="2"/>
  <c r="I1056" i="2"/>
  <c r="I1054" i="2"/>
  <c r="I1058" i="2"/>
  <c r="I1064" i="2"/>
  <c r="I1070" i="2"/>
  <c r="I1062" i="2"/>
  <c r="I1066" i="2"/>
  <c r="I1072" i="2"/>
  <c r="I1068" i="2"/>
  <c r="I1074" i="2"/>
  <c r="I1076" i="2"/>
  <c r="I1078" i="2"/>
  <c r="I1082" i="2"/>
  <c r="I1080" i="2"/>
  <c r="I1088" i="2"/>
  <c r="I1086" i="2"/>
  <c r="I1130" i="2"/>
  <c r="I1109" i="2"/>
  <c r="I1084" i="2"/>
  <c r="I1132" i="2"/>
  <c r="I1134" i="2"/>
  <c r="I1136" i="2"/>
  <c r="I1138" i="2"/>
  <c r="I1140" i="2"/>
  <c r="I1142" i="2"/>
  <c r="I1144" i="2"/>
  <c r="I1146" i="2"/>
  <c r="I1148" i="2"/>
  <c r="I1150" i="2"/>
  <c r="I1178" i="2"/>
  <c r="I1154" i="2"/>
  <c r="I1152" i="2"/>
  <c r="I1158" i="2"/>
  <c r="I1160" i="2"/>
  <c r="I1162" i="2"/>
  <c r="I1164" i="2"/>
  <c r="I1156" i="2"/>
  <c r="I1168" i="2"/>
  <c r="I1166" i="2"/>
  <c r="I1170" i="2"/>
  <c r="I1176" i="2"/>
  <c r="I1174" i="2"/>
  <c r="I1172" i="2"/>
  <c r="I1180" i="2"/>
  <c r="I1188" i="2"/>
  <c r="I1190" i="2"/>
  <c r="I1192" i="2"/>
  <c r="I1182" i="2"/>
  <c r="I1184" i="2"/>
  <c r="I1194" i="2"/>
  <c r="I1186" i="2"/>
  <c r="I1196" i="2"/>
  <c r="I1198" i="2"/>
  <c r="I1200" i="2"/>
  <c r="I1202" i="2"/>
  <c r="I1204" i="2"/>
  <c r="I1206" i="2"/>
  <c r="I1208" i="2"/>
  <c r="I1210" i="2"/>
  <c r="I1214" i="2"/>
  <c r="I1212" i="2"/>
  <c r="I1216" i="2"/>
  <c r="I1218" i="2"/>
  <c r="I1226" i="2"/>
  <c r="I1220" i="2"/>
  <c r="I1222" i="2"/>
  <c r="I1228" i="2"/>
  <c r="I1224" i="2"/>
  <c r="I1240" i="2"/>
  <c r="I1230" i="2"/>
  <c r="I1356" i="2"/>
  <c r="I1110" i="2"/>
  <c r="I1247" i="2"/>
  <c r="I1123" i="2"/>
  <c r="I1126" i="2"/>
  <c r="I1359" i="2"/>
  <c r="I1249" i="2"/>
  <c r="I1025" i="2"/>
  <c r="I1257" i="2"/>
  <c r="I1120" i="2"/>
  <c r="I1265" i="2"/>
  <c r="I1273" i="2"/>
  <c r="I1021" i="2"/>
  <c r="I1023" i="2"/>
  <c r="I1019" i="2"/>
  <c r="I1029" i="2"/>
  <c r="I1027" i="2"/>
  <c r="I1031" i="2"/>
  <c r="I1035" i="2"/>
  <c r="I1033" i="2"/>
  <c r="I1037" i="2"/>
  <c r="I1039" i="2"/>
  <c r="I1041" i="2"/>
  <c r="I1043" i="2"/>
  <c r="I1049" i="2"/>
  <c r="I1045" i="2"/>
  <c r="I1047" i="2"/>
  <c r="I1061" i="2"/>
  <c r="I1051" i="2"/>
  <c r="I1059" i="2"/>
  <c r="I1057" i="2"/>
  <c r="I1055" i="2"/>
  <c r="I1053" i="2"/>
  <c r="I1065" i="2"/>
  <c r="I1071" i="2"/>
  <c r="I1063" i="2"/>
  <c r="I1069" i="2"/>
  <c r="I1075" i="2"/>
  <c r="I1073" i="2"/>
  <c r="I1067" i="2"/>
  <c r="I1081" i="2"/>
  <c r="I1079" i="2"/>
  <c r="I1077" i="2"/>
  <c r="I1083" i="2"/>
  <c r="I1085" i="2"/>
  <c r="I1089" i="2"/>
  <c r="I1087" i="2"/>
  <c r="I1113" i="2"/>
  <c r="I1105" i="2"/>
  <c r="I1233" i="2"/>
  <c r="I1116" i="2"/>
  <c r="I1114" i="2"/>
  <c r="I1119" i="2"/>
  <c r="I1106" i="2"/>
  <c r="I1118" i="2"/>
  <c r="I1101" i="2"/>
  <c r="I1093" i="2"/>
  <c r="I1097" i="2"/>
  <c r="I1117" i="2"/>
  <c r="I1115" i="2"/>
  <c r="I1284" i="2"/>
  <c r="I1107" i="2"/>
  <c r="I1125" i="2"/>
  <c r="I1090" i="2"/>
  <c r="I1094" i="2"/>
  <c r="I1098" i="2"/>
  <c r="I1108" i="2"/>
  <c r="I1102" i="2"/>
  <c r="I1128" i="2"/>
  <c r="I1124" i="2"/>
  <c r="I1238" i="2"/>
  <c r="I1259" i="2"/>
  <c r="I1267" i="2"/>
  <c r="I1251" i="2"/>
  <c r="I1243" i="2"/>
  <c r="I1275" i="2"/>
  <c r="I1355" i="2"/>
  <c r="I1232" i="2"/>
  <c r="I1239" i="2"/>
  <c r="I1242" i="2"/>
  <c r="I1278" i="2"/>
  <c r="I1234" i="2"/>
  <c r="I1255" i="2"/>
  <c r="I1263" i="2"/>
  <c r="I1246" i="2"/>
  <c r="I1137" i="2"/>
  <c r="I1129" i="2"/>
  <c r="I1139" i="2"/>
  <c r="I1271" i="2"/>
  <c r="I1235" i="2"/>
  <c r="I1131" i="2"/>
  <c r="I1135" i="2"/>
  <c r="I1143" i="2"/>
  <c r="I1133" i="2"/>
  <c r="I1141" i="2"/>
  <c r="I1147" i="2"/>
  <c r="I1149" i="2"/>
  <c r="I1151" i="2"/>
  <c r="I1145" i="2"/>
  <c r="I1155" i="2"/>
  <c r="I1157" i="2"/>
  <c r="I1153" i="2"/>
  <c r="I1159" i="2"/>
  <c r="I1161" i="2"/>
  <c r="I1165" i="2"/>
  <c r="I1163" i="2"/>
  <c r="I1167" i="2"/>
  <c r="I1169" i="2"/>
  <c r="I1177" i="2"/>
  <c r="I1197" i="2"/>
  <c r="I1171" i="2"/>
  <c r="I1173" i="2"/>
  <c r="I1175" i="2"/>
  <c r="I1179" i="2"/>
  <c r="I1187" i="2"/>
  <c r="I1191" i="2"/>
  <c r="I1183" i="2"/>
  <c r="I1185" i="2"/>
  <c r="I1181" i="2"/>
  <c r="I1193" i="2"/>
  <c r="I1189" i="2"/>
  <c r="I1195" i="2"/>
  <c r="I1199" i="2"/>
  <c r="I1223" i="2"/>
  <c r="I1205" i="2"/>
  <c r="I1201" i="2"/>
  <c r="I1221" i="2"/>
  <c r="I1209" i="2"/>
  <c r="I1207" i="2"/>
  <c r="I1203" i="2"/>
  <c r="I1215" i="2"/>
  <c r="I1211" i="2"/>
  <c r="I1217" i="2"/>
  <c r="I1213" i="2"/>
  <c r="I1231" i="2"/>
  <c r="I1227" i="2"/>
  <c r="I1219" i="2"/>
  <c r="I1229" i="2"/>
  <c r="I1225" i="2"/>
  <c r="I1365" i="2"/>
  <c r="I1236" i="2"/>
  <c r="I1253" i="2"/>
  <c r="I1261" i="2"/>
  <c r="I1245" i="2"/>
  <c r="I1269" i="2"/>
  <c r="I1237" i="2"/>
  <c r="I1244" i="2"/>
  <c r="I1295" i="2"/>
  <c r="I1352" i="2"/>
  <c r="I1280" i="2"/>
  <c r="I1289" i="2"/>
  <c r="I1301" i="2"/>
  <c r="I1283" i="2"/>
  <c r="I1250" i="2"/>
  <c r="I1297" i="2"/>
  <c r="I1369" i="2"/>
  <c r="I1351" i="2"/>
  <c r="I1281" i="2"/>
  <c r="I1276" i="2"/>
  <c r="I1361" i="2"/>
  <c r="I1377" i="2"/>
  <c r="I1420" i="2"/>
  <c r="I1293" i="2"/>
  <c r="I1285" i="2"/>
  <c r="I1252" i="2"/>
  <c r="I1248" i="2"/>
  <c r="I1254" i="2"/>
  <c r="I1258" i="2"/>
  <c r="I1256" i="2"/>
  <c r="I1260" i="2"/>
  <c r="I1262" i="2"/>
  <c r="I1266" i="2"/>
  <c r="I1264" i="2"/>
  <c r="I1268" i="2"/>
  <c r="I1270" i="2"/>
  <c r="I1386" i="2"/>
  <c r="I1279" i="2"/>
  <c r="I1272" i="2"/>
  <c r="I1274" i="2"/>
  <c r="I1282" i="2"/>
  <c r="I1353" i="2"/>
  <c r="I1286" i="2"/>
  <c r="I1299" i="2"/>
  <c r="I1291" i="2"/>
  <c r="I1357" i="2"/>
  <c r="I1358" i="2"/>
  <c r="I1373" i="2"/>
  <c r="I1277" i="2"/>
  <c r="I1380" i="2"/>
  <c r="I1354" i="2"/>
  <c r="I1382" i="2"/>
  <c r="I1402" i="2"/>
  <c r="I1349" i="2"/>
  <c r="I1287" i="2"/>
  <c r="I1384" i="2"/>
  <c r="I1392" i="2"/>
  <c r="I1388" i="2"/>
  <c r="I1390" i="2"/>
  <c r="I1394" i="2"/>
  <c r="I1396" i="2"/>
  <c r="I1400" i="2"/>
  <c r="I1398" i="2"/>
  <c r="I1404" i="2"/>
  <c r="I1288" i="2"/>
  <c r="I1316" i="2"/>
  <c r="I1292" i="2"/>
  <c r="I1290" i="2"/>
  <c r="I1332" i="2"/>
  <c r="I1294" i="2"/>
  <c r="I1296" i="2"/>
  <c r="I1302" i="2"/>
  <c r="I1304" i="2"/>
  <c r="I1306" i="2"/>
  <c r="I1300" i="2"/>
  <c r="I1298" i="2"/>
  <c r="I1312" i="2"/>
  <c r="I1308" i="2"/>
  <c r="I1310" i="2"/>
  <c r="I1314" i="2"/>
  <c r="I1322" i="2"/>
  <c r="I1326" i="2"/>
  <c r="I1318" i="2"/>
  <c r="I1320" i="2"/>
  <c r="I1324" i="2"/>
  <c r="I1328" i="2"/>
  <c r="I1336" i="2"/>
  <c r="I1330" i="2"/>
  <c r="I1334" i="2"/>
  <c r="I1338" i="2"/>
  <c r="I1340" i="2"/>
  <c r="I1342" i="2"/>
  <c r="I1346" i="2"/>
  <c r="I1350" i="2"/>
  <c r="I1344" i="2"/>
  <c r="I1368" i="2"/>
  <c r="I1364" i="2"/>
  <c r="I1372" i="2"/>
  <c r="I1376" i="2"/>
  <c r="I1331" i="2"/>
  <c r="I1347" i="2"/>
  <c r="I1303" i="2"/>
  <c r="I1307" i="2"/>
  <c r="I1407" i="2"/>
  <c r="I1309" i="2"/>
  <c r="I1321" i="2"/>
  <c r="I1313" i="2"/>
  <c r="I1311" i="2"/>
  <c r="I1315" i="2"/>
  <c r="I1323" i="2"/>
  <c r="I1329" i="2"/>
  <c r="I1305" i="2"/>
  <c r="I1327" i="2"/>
  <c r="I1319" i="2"/>
  <c r="I1335" i="2"/>
  <c r="I1317" i="2"/>
  <c r="I1325" i="2"/>
  <c r="I1339" i="2"/>
  <c r="I1341" i="2"/>
  <c r="I1343" i="2"/>
  <c r="I1333" i="2"/>
  <c r="I1337" i="2"/>
  <c r="I1345" i="2"/>
  <c r="I1348" i="2"/>
  <c r="I1412" i="2"/>
  <c r="I1464" i="2"/>
  <c r="I1375" i="2"/>
  <c r="I1371" i="2"/>
  <c r="I1363" i="2"/>
  <c r="I1367" i="2"/>
  <c r="I1410" i="2"/>
  <c r="I1362" i="2"/>
  <c r="I1366" i="2"/>
  <c r="I1370" i="2"/>
  <c r="I1374" i="2"/>
  <c r="I1378" i="2"/>
  <c r="I1517" i="2"/>
  <c r="I1578" i="2"/>
  <c r="I1409" i="2"/>
  <c r="I1418" i="2"/>
  <c r="I1413" i="2"/>
  <c r="I1512" i="2"/>
  <c r="I1403" i="2"/>
  <c r="I1405" i="2"/>
  <c r="I1414" i="2"/>
  <c r="I1385" i="2"/>
  <c r="I1416" i="2"/>
  <c r="I1389" i="2"/>
  <c r="I1383" i="2"/>
  <c r="I1387" i="2"/>
  <c r="I1381" i="2"/>
  <c r="I1379" i="2"/>
  <c r="I1391" i="2"/>
  <c r="I1393" i="2"/>
  <c r="I1395" i="2"/>
  <c r="I1401" i="2"/>
  <c r="I1397" i="2"/>
  <c r="I1399" i="2"/>
  <c r="I1408" i="2"/>
  <c r="I1411" i="2"/>
  <c r="I1424" i="2"/>
  <c r="I1406" i="2"/>
  <c r="I1523" i="2"/>
  <c r="I1456" i="2"/>
  <c r="I1454" i="2"/>
  <c r="I1535" i="2"/>
  <c r="I1527" i="2"/>
  <c r="I1531" i="2"/>
  <c r="I1422" i="2"/>
  <c r="I1434" i="2"/>
  <c r="I1539" i="2"/>
  <c r="I1426" i="2"/>
  <c r="I1428" i="2"/>
  <c r="I1432" i="2"/>
  <c r="I1440" i="2"/>
  <c r="I1430" i="2"/>
  <c r="I1436" i="2"/>
  <c r="I1438" i="2"/>
  <c r="I1442" i="2"/>
  <c r="I1444" i="2"/>
  <c r="I1446" i="2"/>
  <c r="I1452" i="2"/>
  <c r="I1448" i="2"/>
  <c r="I1450" i="2"/>
  <c r="I1460" i="2"/>
  <c r="I1458" i="2"/>
  <c r="I1415" i="2"/>
  <c r="I1461" i="2"/>
  <c r="I1417" i="2"/>
  <c r="I1419" i="2"/>
  <c r="I1421" i="2"/>
  <c r="I1423" i="2"/>
  <c r="I1447" i="2"/>
  <c r="I1427" i="2"/>
  <c r="I1425" i="2"/>
  <c r="I1435" i="2"/>
  <c r="I1437" i="2"/>
  <c r="I1429" i="2"/>
  <c r="I1433" i="2"/>
  <c r="I1431" i="2"/>
  <c r="I1443" i="2"/>
  <c r="I1459" i="2"/>
  <c r="I1439" i="2"/>
  <c r="I1451" i="2"/>
  <c r="I1445" i="2"/>
  <c r="I1441" i="2"/>
  <c r="I1455" i="2"/>
  <c r="I1453" i="2"/>
  <c r="I1457" i="2"/>
  <c r="I1449" i="2"/>
  <c r="I1466" i="2"/>
  <c r="I1573" i="2"/>
  <c r="I1516" i="2"/>
  <c r="I1586" i="2"/>
  <c r="I1468" i="2"/>
  <c r="I1470" i="2"/>
  <c r="I1462" i="2"/>
  <c r="I1561" i="2"/>
  <c r="I1469" i="2"/>
  <c r="I1514" i="2"/>
  <c r="I1621" i="2"/>
  <c r="I1465" i="2"/>
  <c r="I1463" i="2"/>
  <c r="I1467" i="2"/>
  <c r="I1471" i="2"/>
  <c r="I1501" i="2"/>
  <c r="I1473" i="2"/>
  <c r="I1499" i="2"/>
  <c r="I1477" i="2"/>
  <c r="I1475" i="2"/>
  <c r="I1479" i="2"/>
  <c r="I1483" i="2"/>
  <c r="I1481" i="2"/>
  <c r="I1485" i="2"/>
  <c r="I1487" i="2"/>
  <c r="I1489" i="2"/>
  <c r="I1491" i="2"/>
  <c r="I1509" i="2"/>
  <c r="I1497" i="2"/>
  <c r="I1493" i="2"/>
  <c r="I1505" i="2"/>
  <c r="I1503" i="2"/>
  <c r="I1495" i="2"/>
  <c r="I1507" i="2"/>
  <c r="I1515" i="2"/>
  <c r="I1518" i="2"/>
  <c r="I1565" i="2"/>
  <c r="I1519" i="2"/>
  <c r="I1521" i="2"/>
  <c r="I1549" i="2"/>
  <c r="I1541" i="2"/>
  <c r="I1543" i="2"/>
  <c r="I1547" i="2"/>
  <c r="I1545" i="2"/>
  <c r="I1553" i="2"/>
  <c r="I1557" i="2"/>
  <c r="I1474" i="2"/>
  <c r="I1551" i="2"/>
  <c r="I1624" i="2"/>
  <c r="I1555" i="2"/>
  <c r="I1496" i="2"/>
  <c r="I1559" i="2"/>
  <c r="I1510" i="2"/>
  <c r="I1476" i="2"/>
  <c r="I1472" i="2"/>
  <c r="I1478" i="2"/>
  <c r="I1486" i="2"/>
  <c r="I1480" i="2"/>
  <c r="I1494" i="2"/>
  <c r="I1488" i="2"/>
  <c r="I1482" i="2"/>
  <c r="I1484" i="2"/>
  <c r="I1498" i="2"/>
  <c r="I1490" i="2"/>
  <c r="I1492" i="2"/>
  <c r="I1506" i="2"/>
  <c r="I1537" i="2"/>
  <c r="I1504" i="2"/>
  <c r="I1508" i="2"/>
  <c r="I1500" i="2"/>
  <c r="I1502" i="2"/>
  <c r="I1513" i="2"/>
  <c r="I1525" i="2"/>
  <c r="I1529" i="2"/>
  <c r="I1533" i="2"/>
  <c r="I1584" i="2"/>
  <c r="I1564" i="2"/>
  <c r="I1569" i="2"/>
  <c r="I1511" i="2"/>
  <c r="I1572" i="2"/>
  <c r="I1566" i="2"/>
  <c r="I1568" i="2"/>
  <c r="I1576" i="2"/>
  <c r="I1577" i="2"/>
  <c r="I1526" i="2"/>
  <c r="I1626" i="2"/>
  <c r="I1562" i="2"/>
  <c r="I1571" i="2"/>
  <c r="I1570" i="2"/>
  <c r="I1574" i="2"/>
  <c r="I1625" i="2"/>
  <c r="I1618" i="2"/>
  <c r="I1580" i="2"/>
  <c r="I1588" i="2"/>
  <c r="I1563" i="2"/>
  <c r="I1532" i="2"/>
  <c r="I1534" i="2"/>
  <c r="I1567" i="2"/>
  <c r="I1575" i="2"/>
  <c r="I1520" i="2"/>
  <c r="I1522" i="2"/>
  <c r="I1524" i="2"/>
  <c r="I1528" i="2"/>
  <c r="I1530" i="2"/>
  <c r="I1552" i="2"/>
  <c r="I1536" i="2"/>
  <c r="I1538" i="2"/>
  <c r="I1540" i="2"/>
  <c r="I1542" i="2"/>
  <c r="I1546" i="2"/>
  <c r="I1544" i="2"/>
  <c r="I1548" i="2"/>
  <c r="I1550" i="2"/>
  <c r="I1554" i="2"/>
  <c r="I1594" i="2"/>
  <c r="I1592" i="2"/>
  <c r="I1556" i="2"/>
  <c r="I1558" i="2"/>
  <c r="I1560" i="2"/>
  <c r="I1590" i="2"/>
  <c r="I1596" i="2"/>
  <c r="I1598" i="2"/>
  <c r="I1600" i="2"/>
  <c r="I1674" i="2"/>
  <c r="I1604" i="2"/>
  <c r="I1606" i="2"/>
  <c r="I1619" i="2"/>
  <c r="I1602" i="2"/>
  <c r="I1612" i="2"/>
  <c r="I1608" i="2"/>
  <c r="I1610" i="2"/>
  <c r="I1614" i="2"/>
  <c r="I1616" i="2"/>
  <c r="I1582" i="2"/>
  <c r="I1587" i="2"/>
  <c r="I1627" i="2"/>
  <c r="I1623" i="2"/>
  <c r="I1595" i="2"/>
  <c r="I1622" i="2"/>
  <c r="I1591" i="2"/>
  <c r="I1579" i="2"/>
  <c r="I1583" i="2"/>
  <c r="I1581" i="2"/>
  <c r="I1585" i="2"/>
  <c r="I1589" i="2"/>
  <c r="I1609" i="2"/>
  <c r="I1593" i="2"/>
  <c r="I1597" i="2"/>
  <c r="I1599" i="2"/>
  <c r="I1601" i="2"/>
  <c r="I1603" i="2"/>
  <c r="I1605" i="2"/>
  <c r="I1607" i="2"/>
  <c r="I1615" i="2"/>
  <c r="I1611" i="2"/>
  <c r="I1634" i="2"/>
  <c r="I1636" i="2"/>
  <c r="I1644" i="2"/>
  <c r="I1613" i="2"/>
  <c r="I1652" i="2"/>
  <c r="I1617" i="2"/>
  <c r="I1650" i="2"/>
  <c r="I1620" i="2"/>
  <c r="I1628" i="2"/>
  <c r="I1658" i="2"/>
  <c r="I1638" i="2"/>
  <c r="I1632" i="2"/>
  <c r="I1630" i="2"/>
  <c r="I1640" i="2"/>
  <c r="I1642" i="2"/>
  <c r="I1646" i="2"/>
  <c r="I1648" i="2"/>
  <c r="I1656" i="2"/>
  <c r="I1654" i="2"/>
  <c r="I1660" i="2"/>
  <c r="I1662" i="2"/>
  <c r="I1629" i="2"/>
  <c r="I1664" i="2"/>
  <c r="I1666" i="2"/>
  <c r="I1633" i="2"/>
  <c r="I1668" i="2"/>
  <c r="I1670" i="2"/>
  <c r="I1635" i="2"/>
  <c r="I1673" i="2"/>
  <c r="I1671" i="2"/>
  <c r="I1631" i="2"/>
  <c r="I1659" i="2"/>
  <c r="I1655" i="2"/>
  <c r="I1649" i="2"/>
  <c r="I1653" i="2"/>
  <c r="I1637" i="2"/>
  <c r="I1641" i="2"/>
  <c r="I1665" i="2"/>
  <c r="I1643" i="2"/>
  <c r="I1667" i="2"/>
  <c r="I1677" i="2"/>
  <c r="I1647" i="2"/>
  <c r="I1639" i="2"/>
  <c r="I1672" i="2"/>
  <c r="I1645" i="2"/>
  <c r="I1651" i="2"/>
  <c r="I1657" i="2"/>
  <c r="I1663" i="2"/>
  <c r="I1661" i="2"/>
  <c r="I1679" i="2"/>
  <c r="I1681" i="2"/>
  <c r="I1689" i="2"/>
  <c r="I1685" i="2"/>
  <c r="I1669" i="2"/>
  <c r="I1675" i="2"/>
  <c r="I1687" i="2"/>
  <c r="I1683" i="2"/>
  <c r="I1691" i="2"/>
  <c r="I1693" i="2"/>
  <c r="I1695" i="2"/>
  <c r="I1697" i="2"/>
  <c r="I1705" i="2"/>
  <c r="I1699" i="2"/>
  <c r="I1703" i="2"/>
  <c r="I1707" i="2"/>
  <c r="I1721" i="2"/>
  <c r="I1725" i="2"/>
  <c r="I1711" i="2"/>
  <c r="I1715" i="2"/>
  <c r="I1701" i="2"/>
  <c r="I1723" i="2"/>
  <c r="I1709" i="2"/>
  <c r="I1733" i="2"/>
  <c r="I1719" i="2"/>
  <c r="I1717" i="2"/>
  <c r="I1729" i="2"/>
  <c r="I1749" i="2"/>
  <c r="I1745" i="2"/>
  <c r="I1713" i="2"/>
  <c r="I1751" i="2"/>
  <c r="I1727" i="2"/>
  <c r="I1731" i="2"/>
  <c r="I1688" i="2"/>
  <c r="I1739" i="2"/>
  <c r="I1741" i="2"/>
  <c r="I1743" i="2"/>
  <c r="I1735" i="2"/>
  <c r="I1747" i="2"/>
  <c r="I1737" i="2"/>
  <c r="I1682" i="2"/>
  <c r="I1686" i="2"/>
  <c r="I1676" i="2"/>
  <c r="I1684" i="2"/>
  <c r="I1753" i="2"/>
  <c r="I1755" i="2"/>
  <c r="I1680" i="2"/>
  <c r="I1678" i="2"/>
  <c r="I1690" i="2"/>
  <c r="I1744" i="2"/>
  <c r="I1714" i="2"/>
  <c r="I1698" i="2"/>
  <c r="I1712" i="2"/>
  <c r="I1692" i="2"/>
  <c r="I1708" i="2"/>
  <c r="I1700" i="2"/>
  <c r="I1728" i="2"/>
  <c r="I1704" i="2"/>
  <c r="I1702" i="2"/>
  <c r="I1716" i="2"/>
  <c r="I1734" i="2"/>
  <c r="I1726" i="2"/>
  <c r="I1724" i="2"/>
  <c r="I1722" i="2"/>
  <c r="I1740" i="2"/>
  <c r="I1718" i="2"/>
  <c r="I1730" i="2"/>
  <c r="I1738" i="2"/>
  <c r="I1746" i="2"/>
  <c r="I1750" i="2"/>
  <c r="I1732" i="2"/>
  <c r="I1754" i="2"/>
  <c r="I1752" i="2"/>
  <c r="I1736" i="2"/>
  <c r="I1742" i="2"/>
  <c r="I1706" i="2"/>
  <c r="I1694" i="2"/>
  <c r="I1696" i="2"/>
  <c r="I1710" i="2"/>
  <c r="I1720" i="2"/>
  <c r="I1748" i="2"/>
  <c r="T1755" i="2"/>
  <c r="G1755" i="2"/>
  <c r="N1754" i="2"/>
  <c r="T1753" i="2"/>
  <c r="G1753" i="2"/>
  <c r="N1752" i="2"/>
  <c r="T1751" i="2"/>
  <c r="G1751" i="2"/>
  <c r="N1750" i="2"/>
  <c r="T1749" i="2"/>
  <c r="G1749" i="2"/>
  <c r="N1748" i="2"/>
  <c r="T1747" i="2"/>
  <c r="G1747" i="2"/>
  <c r="N1746" i="2"/>
  <c r="T1745" i="2"/>
  <c r="G1745" i="2"/>
  <c r="N1744" i="2"/>
  <c r="T1743" i="2"/>
  <c r="G1743" i="2"/>
  <c r="N1742" i="2"/>
  <c r="T1741" i="2"/>
  <c r="G1741" i="2"/>
  <c r="N1740" i="2"/>
  <c r="T1739" i="2"/>
  <c r="G1739" i="2"/>
  <c r="N1738" i="2"/>
  <c r="T1737" i="2"/>
  <c r="G1737" i="2"/>
  <c r="N1736" i="2"/>
  <c r="T1735" i="2"/>
  <c r="G1735" i="2"/>
  <c r="N1734" i="2"/>
  <c r="T1733" i="2"/>
  <c r="G1733" i="2"/>
  <c r="N1732" i="2"/>
  <c r="T1731" i="2"/>
  <c r="G1731" i="2"/>
  <c r="N1730" i="2"/>
  <c r="T1729" i="2"/>
  <c r="G1729" i="2"/>
  <c r="N1728" i="2"/>
  <c r="T1727" i="2"/>
  <c r="G1727" i="2"/>
  <c r="N1726" i="2"/>
  <c r="T1725" i="2"/>
  <c r="G1725" i="2"/>
  <c r="N1724" i="2"/>
  <c r="T1723" i="2"/>
  <c r="G1723" i="2"/>
  <c r="N1722" i="2"/>
  <c r="T1721" i="2"/>
  <c r="G1721" i="2"/>
  <c r="N1720" i="2"/>
  <c r="T1719" i="2"/>
  <c r="G1719" i="2"/>
  <c r="N1718" i="2"/>
  <c r="T1717" i="2"/>
  <c r="G1717" i="2"/>
  <c r="N1716" i="2"/>
  <c r="T1715" i="2"/>
  <c r="G1715" i="2"/>
  <c r="N1714" i="2"/>
  <c r="T1713" i="2"/>
  <c r="G1713" i="2"/>
  <c r="N1712" i="2"/>
  <c r="T1711" i="2"/>
  <c r="G1711" i="2"/>
  <c r="N1710" i="2"/>
  <c r="T1709" i="2"/>
  <c r="G1709" i="2"/>
  <c r="N1708" i="2"/>
  <c r="T1707" i="2"/>
  <c r="G1707" i="2"/>
  <c r="N1706" i="2"/>
  <c r="T1705" i="2"/>
  <c r="S1755" i="2"/>
  <c r="F1755" i="2"/>
  <c r="M1754" i="2"/>
  <c r="S1753" i="2"/>
  <c r="F1753" i="2"/>
  <c r="M1752" i="2"/>
  <c r="S1751" i="2"/>
  <c r="F1751" i="2"/>
  <c r="M1750" i="2"/>
  <c r="S1749" i="2"/>
  <c r="F1749" i="2"/>
  <c r="M1748" i="2"/>
  <c r="S1747" i="2"/>
  <c r="F1747" i="2"/>
  <c r="M1746" i="2"/>
  <c r="S1745" i="2"/>
  <c r="F1745" i="2"/>
  <c r="M1744" i="2"/>
  <c r="S1743" i="2"/>
  <c r="F1743" i="2"/>
  <c r="M1742" i="2"/>
  <c r="S1741" i="2"/>
  <c r="F1741" i="2"/>
  <c r="M1740" i="2"/>
  <c r="S1739" i="2"/>
  <c r="F1739" i="2"/>
  <c r="M1738" i="2"/>
  <c r="S1737" i="2"/>
  <c r="F1737" i="2"/>
  <c r="M1736" i="2"/>
  <c r="S1735" i="2"/>
  <c r="F1735" i="2"/>
  <c r="M1734" i="2"/>
  <c r="S1733" i="2"/>
  <c r="F1733" i="2"/>
  <c r="M1732" i="2"/>
  <c r="S1731" i="2"/>
  <c r="F1731" i="2"/>
  <c r="M1730" i="2"/>
  <c r="S1729" i="2"/>
  <c r="F1729" i="2"/>
  <c r="M1728" i="2"/>
  <c r="S1727" i="2"/>
  <c r="F1727" i="2"/>
  <c r="M1726" i="2"/>
  <c r="S1725" i="2"/>
  <c r="F1725" i="2"/>
  <c r="M1724" i="2"/>
  <c r="S1723" i="2"/>
  <c r="F1723" i="2"/>
  <c r="M1722" i="2"/>
  <c r="S1721" i="2"/>
  <c r="F1721" i="2"/>
  <c r="M1720" i="2"/>
  <c r="S1719" i="2"/>
  <c r="F1719" i="2"/>
  <c r="M1718" i="2"/>
  <c r="S1717" i="2"/>
  <c r="F1717" i="2"/>
  <c r="M1716" i="2"/>
  <c r="S1715" i="2"/>
  <c r="F1715" i="2"/>
  <c r="M1714" i="2"/>
  <c r="S1713" i="2"/>
  <c r="F1713" i="2"/>
  <c r="M1712" i="2"/>
  <c r="S1711" i="2"/>
  <c r="F1711" i="2"/>
  <c r="M1710" i="2"/>
  <c r="S1709" i="2"/>
  <c r="F1709" i="2"/>
  <c r="M1708" i="2"/>
  <c r="S1707" i="2"/>
  <c r="F1707" i="2"/>
  <c r="M1706" i="2"/>
  <c r="S1705" i="2"/>
  <c r="F1705" i="2"/>
  <c r="M1704" i="2"/>
  <c r="S1703" i="2"/>
  <c r="F1703" i="2"/>
  <c r="M1702" i="2"/>
  <c r="S1701" i="2"/>
  <c r="F1701" i="2"/>
  <c r="M1700" i="2"/>
  <c r="S1699" i="2"/>
  <c r="F1699" i="2"/>
  <c r="M1698" i="2"/>
  <c r="S1697" i="2"/>
  <c r="F1697" i="2"/>
  <c r="M1696" i="2"/>
  <c r="S1695" i="2"/>
  <c r="F1695" i="2"/>
  <c r="M1694" i="2"/>
  <c r="S1693" i="2"/>
  <c r="F1693" i="2"/>
  <c r="M1692" i="2"/>
  <c r="S1691" i="2"/>
  <c r="F1691" i="2"/>
  <c r="M1690" i="2"/>
  <c r="S1689" i="2"/>
  <c r="F1689" i="2"/>
  <c r="M1688" i="2"/>
  <c r="S1687" i="2"/>
  <c r="F1687" i="2"/>
  <c r="M1686" i="2"/>
  <c r="S1685" i="2"/>
  <c r="R1755" i="2"/>
  <c r="E1755" i="2"/>
  <c r="K1754" i="2"/>
  <c r="R1753" i="2"/>
  <c r="E1753" i="2"/>
  <c r="K1752" i="2"/>
  <c r="R1751" i="2"/>
  <c r="E1751" i="2"/>
  <c r="K1750" i="2"/>
  <c r="R1749" i="2"/>
  <c r="E1749" i="2"/>
  <c r="K1748" i="2"/>
  <c r="R1747" i="2"/>
  <c r="E1747" i="2"/>
  <c r="K1746" i="2"/>
  <c r="R1745" i="2"/>
  <c r="E1745" i="2"/>
  <c r="K1744" i="2"/>
  <c r="R1743" i="2"/>
  <c r="E1743" i="2"/>
  <c r="K1742" i="2"/>
  <c r="R1741" i="2"/>
  <c r="E1741" i="2"/>
  <c r="K1740" i="2"/>
  <c r="R1739" i="2"/>
  <c r="E1739" i="2"/>
  <c r="K1738" i="2"/>
  <c r="R1737" i="2"/>
  <c r="E1737" i="2"/>
  <c r="K1736" i="2"/>
  <c r="R1735" i="2"/>
  <c r="E1735" i="2"/>
  <c r="K1734" i="2"/>
  <c r="R1733" i="2"/>
  <c r="E1733" i="2"/>
  <c r="K1732" i="2"/>
  <c r="R1731" i="2"/>
  <c r="E1731" i="2"/>
  <c r="K1730" i="2"/>
  <c r="R1729" i="2"/>
  <c r="E1729" i="2"/>
  <c r="K1728" i="2"/>
  <c r="R1727" i="2"/>
  <c r="E1727" i="2"/>
  <c r="K1726" i="2"/>
  <c r="R1725" i="2"/>
  <c r="E1725" i="2"/>
  <c r="K1724" i="2"/>
  <c r="R1723" i="2"/>
  <c r="E1723" i="2"/>
  <c r="K1722" i="2"/>
  <c r="R1721" i="2"/>
  <c r="E1721" i="2"/>
  <c r="K1720" i="2"/>
  <c r="R1719" i="2"/>
  <c r="E1719" i="2"/>
  <c r="K1718" i="2"/>
  <c r="R1717" i="2"/>
  <c r="E1717" i="2"/>
  <c r="K1716" i="2"/>
  <c r="R1715" i="2"/>
  <c r="E1715" i="2"/>
  <c r="K1714" i="2"/>
  <c r="R1713" i="2"/>
  <c r="E1713" i="2"/>
  <c r="K1712" i="2"/>
  <c r="R1711" i="2"/>
  <c r="E1711" i="2"/>
  <c r="K1710" i="2"/>
  <c r="R1709" i="2"/>
  <c r="E1709" i="2"/>
  <c r="K1708" i="2"/>
  <c r="R1707" i="2"/>
  <c r="E1707" i="2"/>
  <c r="K1706" i="2"/>
  <c r="R1705" i="2"/>
  <c r="E1705" i="2"/>
  <c r="K1704" i="2"/>
  <c r="R1703" i="2"/>
  <c r="E1703" i="2"/>
  <c r="K1702" i="2"/>
  <c r="R1701" i="2"/>
  <c r="E1701" i="2"/>
  <c r="K1700" i="2"/>
  <c r="R1699" i="2"/>
  <c r="E1699" i="2"/>
  <c r="K1698" i="2"/>
  <c r="R1697" i="2"/>
  <c r="E1697" i="2"/>
  <c r="K1696" i="2"/>
  <c r="R1695" i="2"/>
  <c r="E1695" i="2"/>
  <c r="K1694" i="2"/>
  <c r="R1693" i="2"/>
  <c r="E1693" i="2"/>
  <c r="K1692" i="2"/>
  <c r="R1691" i="2"/>
  <c r="E1691" i="2"/>
  <c r="K1690" i="2"/>
  <c r="R1689" i="2"/>
  <c r="E1689" i="2"/>
  <c r="K1688" i="2"/>
  <c r="R1687" i="2"/>
  <c r="E1687" i="2"/>
  <c r="K1686" i="2"/>
  <c r="Q1755" i="2"/>
  <c r="D1755" i="2"/>
  <c r="J1754" i="2"/>
  <c r="Q1753" i="2"/>
  <c r="D1753" i="2"/>
  <c r="J1752" i="2"/>
  <c r="Q1751" i="2"/>
  <c r="D1751" i="2"/>
  <c r="J1750" i="2"/>
  <c r="Q1749" i="2"/>
  <c r="D1749" i="2"/>
  <c r="J1748" i="2"/>
  <c r="Q1747" i="2"/>
  <c r="D1747" i="2"/>
  <c r="J1746" i="2"/>
  <c r="Q1745" i="2"/>
  <c r="D1745" i="2"/>
  <c r="J1744" i="2"/>
  <c r="Q1743" i="2"/>
  <c r="D1743" i="2"/>
  <c r="J1742" i="2"/>
  <c r="Q1741" i="2"/>
  <c r="D1741" i="2"/>
  <c r="J1740" i="2"/>
  <c r="Q1739" i="2"/>
  <c r="D1739" i="2"/>
  <c r="J1738" i="2"/>
  <c r="Q1737" i="2"/>
  <c r="D1737" i="2"/>
  <c r="J1736" i="2"/>
  <c r="Q1735" i="2"/>
  <c r="D1735" i="2"/>
  <c r="J1734" i="2"/>
  <c r="Q1733" i="2"/>
  <c r="D1733" i="2"/>
  <c r="J1732" i="2"/>
  <c r="Q1731" i="2"/>
  <c r="D1731" i="2"/>
  <c r="J1730" i="2"/>
  <c r="Q1729" i="2"/>
  <c r="D1729" i="2"/>
  <c r="J1728" i="2"/>
  <c r="Q1727" i="2"/>
  <c r="D1727" i="2"/>
  <c r="J1726" i="2"/>
  <c r="Q1725" i="2"/>
  <c r="D1725" i="2"/>
  <c r="J1724" i="2"/>
  <c r="Q1723" i="2"/>
  <c r="D1723" i="2"/>
  <c r="J1722" i="2"/>
  <c r="Q1721" i="2"/>
  <c r="D1721" i="2"/>
  <c r="J1720" i="2"/>
  <c r="Q1719" i="2"/>
  <c r="D1719" i="2"/>
  <c r="J1718" i="2"/>
  <c r="Q1717" i="2"/>
  <c r="D1717" i="2"/>
  <c r="J1716" i="2"/>
  <c r="Q1715" i="2"/>
  <c r="D1715" i="2"/>
  <c r="J1714" i="2"/>
  <c r="Q1713" i="2"/>
  <c r="D1713" i="2"/>
  <c r="J1712" i="2"/>
  <c r="Q1711" i="2"/>
  <c r="D1711" i="2"/>
  <c r="J1710" i="2"/>
  <c r="Q1709" i="2"/>
  <c r="D1709" i="2"/>
  <c r="J1708" i="2"/>
  <c r="Q1707" i="2"/>
  <c r="D1707" i="2"/>
  <c r="J1706" i="2"/>
  <c r="Q1705" i="2"/>
  <c r="D1705" i="2"/>
  <c r="J1704" i="2"/>
  <c r="Q1703" i="2"/>
  <c r="D1703" i="2"/>
  <c r="J1702" i="2"/>
  <c r="Q1701" i="2"/>
  <c r="D1701" i="2"/>
  <c r="J1700" i="2"/>
  <c r="Q1699" i="2"/>
  <c r="D1699" i="2"/>
  <c r="J1698" i="2"/>
  <c r="Q1697" i="2"/>
  <c r="D1697" i="2"/>
  <c r="J1696" i="2"/>
  <c r="Q1695" i="2"/>
  <c r="D1695" i="2"/>
  <c r="J1694" i="2"/>
  <c r="Q1693" i="2"/>
  <c r="D1693" i="2"/>
  <c r="J1692" i="2"/>
  <c r="Q1691" i="2"/>
  <c r="D1691" i="2"/>
  <c r="J1690" i="2"/>
  <c r="Q1689" i="2"/>
  <c r="D1689" i="2"/>
  <c r="J1688" i="2"/>
  <c r="Q1687" i="2"/>
  <c r="D1687" i="2"/>
  <c r="J1686" i="2"/>
  <c r="Q1685" i="2"/>
  <c r="D1685" i="2"/>
  <c r="J1684" i="2"/>
  <c r="Q1683" i="2"/>
  <c r="D1683" i="2"/>
  <c r="J1682" i="2"/>
  <c r="Q1681" i="2"/>
  <c r="D1681" i="2"/>
  <c r="J1680" i="2"/>
  <c r="Q1679" i="2"/>
  <c r="D1679" i="2"/>
  <c r="J1678" i="2"/>
  <c r="Q1677" i="2"/>
  <c r="D1677" i="2"/>
  <c r="J1676" i="2"/>
  <c r="Q1675" i="2"/>
  <c r="D1675" i="2"/>
  <c r="J1674" i="2"/>
  <c r="Q1673" i="2"/>
  <c r="D1673" i="2"/>
  <c r="J1672" i="2"/>
  <c r="P1755" i="2"/>
  <c r="C1755" i="2"/>
  <c r="P1753" i="2"/>
  <c r="C1753" i="2"/>
  <c r="P1751" i="2"/>
  <c r="C1751" i="2"/>
  <c r="P1749" i="2"/>
  <c r="C1749" i="2"/>
  <c r="P1747" i="2"/>
  <c r="C1747" i="2"/>
  <c r="P1745" i="2"/>
  <c r="C1745" i="2"/>
  <c r="P1743" i="2"/>
  <c r="C1743" i="2"/>
  <c r="P1741" i="2"/>
  <c r="C1741" i="2"/>
  <c r="P1739" i="2"/>
  <c r="C1739" i="2"/>
  <c r="P1737" i="2"/>
  <c r="C1737" i="2"/>
  <c r="P1735" i="2"/>
  <c r="C1735" i="2"/>
  <c r="P1733" i="2"/>
  <c r="C1733" i="2"/>
  <c r="P1731" i="2"/>
  <c r="C1731" i="2"/>
  <c r="P1729" i="2"/>
  <c r="C1729" i="2"/>
  <c r="P1727" i="2"/>
  <c r="C1727" i="2"/>
  <c r="P1725" i="2"/>
  <c r="C1725" i="2"/>
  <c r="P1723" i="2"/>
  <c r="C1723" i="2"/>
  <c r="P1721" i="2"/>
  <c r="C1721" i="2"/>
  <c r="P1719" i="2"/>
  <c r="C1719" i="2"/>
  <c r="P1717" i="2"/>
  <c r="C1717" i="2"/>
  <c r="P1715" i="2"/>
  <c r="C1715" i="2"/>
  <c r="P1713" i="2"/>
  <c r="C1713" i="2"/>
  <c r="P1711" i="2"/>
  <c r="C1711" i="2"/>
  <c r="P1709" i="2"/>
  <c r="C1709" i="2"/>
  <c r="P1707" i="2"/>
  <c r="C1707" i="2"/>
  <c r="P1705" i="2"/>
  <c r="C1705" i="2"/>
  <c r="P1703" i="2"/>
  <c r="C1703" i="2"/>
  <c r="P1701" i="2"/>
  <c r="C1701" i="2"/>
  <c r="P1699" i="2"/>
  <c r="C1699" i="2"/>
  <c r="P1697" i="2"/>
  <c r="C1697" i="2"/>
  <c r="P1695" i="2"/>
  <c r="C1695" i="2"/>
  <c r="P1693" i="2"/>
  <c r="C1693" i="2"/>
  <c r="P1691" i="2"/>
  <c r="C1691" i="2"/>
  <c r="P1689" i="2"/>
  <c r="C1689" i="2"/>
  <c r="P1687" i="2"/>
  <c r="C1687" i="2"/>
  <c r="P1685" i="2"/>
  <c r="C1685" i="2"/>
  <c r="P1683" i="2"/>
  <c r="C1683" i="2"/>
  <c r="P1681" i="2"/>
  <c r="C1681" i="2"/>
  <c r="P1679" i="2"/>
  <c r="C1679" i="2"/>
  <c r="P1677" i="2"/>
  <c r="C1677" i="2"/>
  <c r="P1675" i="2"/>
  <c r="C1675" i="2"/>
  <c r="O1755" i="2"/>
  <c r="A1755" i="2"/>
  <c r="H1754" i="2"/>
  <c r="O1753" i="2"/>
  <c r="A1753" i="2"/>
  <c r="H1752" i="2"/>
  <c r="O1751" i="2"/>
  <c r="A1751" i="2"/>
  <c r="H1750" i="2"/>
  <c r="O1749" i="2"/>
  <c r="A1749" i="2"/>
  <c r="H1748" i="2"/>
  <c r="O1747" i="2"/>
  <c r="A1747" i="2"/>
  <c r="H1746" i="2"/>
  <c r="O1745" i="2"/>
  <c r="A1745" i="2"/>
  <c r="H1744" i="2"/>
  <c r="O1743" i="2"/>
  <c r="A1743" i="2"/>
  <c r="H1742" i="2"/>
  <c r="O1741" i="2"/>
  <c r="A1741" i="2"/>
  <c r="H1740" i="2"/>
  <c r="O1739" i="2"/>
  <c r="A1739" i="2"/>
  <c r="H1738" i="2"/>
  <c r="O1737" i="2"/>
  <c r="A1737" i="2"/>
  <c r="H1736" i="2"/>
  <c r="O1735" i="2"/>
  <c r="A1735" i="2"/>
  <c r="H1734" i="2"/>
  <c r="O1733" i="2"/>
  <c r="A1733" i="2"/>
  <c r="H1732" i="2"/>
  <c r="O1731" i="2"/>
  <c r="A1731" i="2"/>
  <c r="H1730" i="2"/>
  <c r="O1729" i="2"/>
  <c r="A1729" i="2"/>
  <c r="H1728" i="2"/>
  <c r="O1727" i="2"/>
  <c r="A1727" i="2"/>
  <c r="H1726" i="2"/>
  <c r="O1725" i="2"/>
  <c r="A1725" i="2"/>
  <c r="H1724" i="2"/>
  <c r="O1723" i="2"/>
  <c r="A1723" i="2"/>
  <c r="H1722" i="2"/>
  <c r="O1721" i="2"/>
  <c r="A1721" i="2"/>
  <c r="H1720" i="2"/>
  <c r="O1719" i="2"/>
  <c r="A1719" i="2"/>
  <c r="H1718" i="2"/>
  <c r="O1717" i="2"/>
  <c r="A1717" i="2"/>
  <c r="H1716" i="2"/>
  <c r="O1715" i="2"/>
  <c r="A1715" i="2"/>
  <c r="H1714" i="2"/>
  <c r="O1713" i="2"/>
  <c r="A1713" i="2"/>
  <c r="H1712" i="2"/>
  <c r="O1711" i="2"/>
  <c r="A1711" i="2"/>
  <c r="H1710" i="2"/>
  <c r="O1709" i="2"/>
  <c r="A1709" i="2"/>
  <c r="H1708" i="2"/>
  <c r="O1707" i="2"/>
  <c r="A1707" i="2"/>
  <c r="H1706" i="2"/>
  <c r="O1705" i="2"/>
  <c r="A1705" i="2"/>
  <c r="H1704" i="2"/>
  <c r="N1755" i="2"/>
  <c r="T1754" i="2"/>
  <c r="G1754" i="2"/>
  <c r="N1753" i="2"/>
  <c r="T1752" i="2"/>
  <c r="G1752" i="2"/>
  <c r="N1751" i="2"/>
  <c r="T1750" i="2"/>
  <c r="G1750" i="2"/>
  <c r="N1749" i="2"/>
  <c r="T1748" i="2"/>
  <c r="G1748" i="2"/>
  <c r="N1747" i="2"/>
  <c r="T1746" i="2"/>
  <c r="G1746" i="2"/>
  <c r="N1745" i="2"/>
  <c r="T1744" i="2"/>
  <c r="G1744" i="2"/>
  <c r="N1743" i="2"/>
  <c r="T1742" i="2"/>
  <c r="G1742" i="2"/>
  <c r="N1741" i="2"/>
  <c r="T1740" i="2"/>
  <c r="G1740" i="2"/>
  <c r="N1739" i="2"/>
  <c r="T1738" i="2"/>
  <c r="G1738" i="2"/>
  <c r="N1737" i="2"/>
  <c r="T1736" i="2"/>
  <c r="G1736" i="2"/>
  <c r="N1735" i="2"/>
  <c r="T1734" i="2"/>
  <c r="G1734" i="2"/>
  <c r="N1733" i="2"/>
  <c r="T1732" i="2"/>
  <c r="G1732" i="2"/>
  <c r="N1731" i="2"/>
  <c r="T1730" i="2"/>
  <c r="G1730" i="2"/>
  <c r="N1729" i="2"/>
  <c r="T1728" i="2"/>
  <c r="G1728" i="2"/>
  <c r="N1727" i="2"/>
  <c r="T1726" i="2"/>
  <c r="G1726" i="2"/>
  <c r="N1725" i="2"/>
  <c r="T1724" i="2"/>
  <c r="G1724" i="2"/>
  <c r="N1723" i="2"/>
  <c r="T1722" i="2"/>
  <c r="G1722" i="2"/>
  <c r="N1721" i="2"/>
  <c r="T1720" i="2"/>
  <c r="G1720" i="2"/>
  <c r="N1719" i="2"/>
  <c r="T1718" i="2"/>
  <c r="G1718" i="2"/>
  <c r="N1717" i="2"/>
  <c r="T1716" i="2"/>
  <c r="G1716" i="2"/>
  <c r="N1715" i="2"/>
  <c r="T1714" i="2"/>
  <c r="G1714" i="2"/>
  <c r="N1713" i="2"/>
  <c r="T1712" i="2"/>
  <c r="G1712" i="2"/>
  <c r="N1711" i="2"/>
  <c r="T1710" i="2"/>
  <c r="G1710" i="2"/>
  <c r="N1709" i="2"/>
  <c r="T1708" i="2"/>
  <c r="G1708" i="2"/>
  <c r="N1707" i="2"/>
  <c r="T1706" i="2"/>
  <c r="G1706" i="2"/>
  <c r="N1705" i="2"/>
  <c r="T1704" i="2"/>
  <c r="G1704" i="2"/>
  <c r="N1703" i="2"/>
  <c r="T1702" i="2"/>
  <c r="G1702" i="2"/>
  <c r="N1701" i="2"/>
  <c r="T1700" i="2"/>
  <c r="G1700" i="2"/>
  <c r="N1699" i="2"/>
  <c r="T1698" i="2"/>
  <c r="G1698" i="2"/>
  <c r="N1697" i="2"/>
  <c r="T1696" i="2"/>
  <c r="G1696" i="2"/>
  <c r="N1695" i="2"/>
  <c r="T1694" i="2"/>
  <c r="G1694" i="2"/>
  <c r="N1693" i="2"/>
  <c r="T1692" i="2"/>
  <c r="G1692" i="2"/>
  <c r="N1691" i="2"/>
  <c r="T1690" i="2"/>
  <c r="G1690" i="2"/>
  <c r="N1689" i="2"/>
  <c r="T1688" i="2"/>
  <c r="G1688" i="2"/>
  <c r="N1687" i="2"/>
  <c r="T1686" i="2"/>
  <c r="G1686" i="2"/>
  <c r="N1685" i="2"/>
  <c r="T1684" i="2"/>
  <c r="G1684" i="2"/>
  <c r="N1683" i="2"/>
  <c r="T1682" i="2"/>
  <c r="G1682" i="2"/>
  <c r="N1681" i="2"/>
  <c r="T1680" i="2"/>
  <c r="G1680" i="2"/>
  <c r="N1679" i="2"/>
  <c r="P1754" i="2"/>
  <c r="C1754" i="2"/>
  <c r="P1752" i="2"/>
  <c r="C1752" i="2"/>
  <c r="P1750" i="2"/>
  <c r="C1750" i="2"/>
  <c r="P1748" i="2"/>
  <c r="C1748" i="2"/>
  <c r="P1746" i="2"/>
  <c r="C1746" i="2"/>
  <c r="P1744" i="2"/>
  <c r="C1744" i="2"/>
  <c r="P1742" i="2"/>
  <c r="C1742" i="2"/>
  <c r="P1740" i="2"/>
  <c r="C1740" i="2"/>
  <c r="P1738" i="2"/>
  <c r="C1738" i="2"/>
  <c r="P1736" i="2"/>
  <c r="C1736" i="2"/>
  <c r="P1734" i="2"/>
  <c r="C1734" i="2"/>
  <c r="P1732" i="2"/>
  <c r="C1732" i="2"/>
  <c r="P1730" i="2"/>
  <c r="C1730" i="2"/>
  <c r="P1728" i="2"/>
  <c r="C1728" i="2"/>
  <c r="P1726" i="2"/>
  <c r="C1726" i="2"/>
  <c r="P1724" i="2"/>
  <c r="C1724" i="2"/>
  <c r="P1722" i="2"/>
  <c r="C1722" i="2"/>
  <c r="P1720" i="2"/>
  <c r="C1720" i="2"/>
  <c r="P1718" i="2"/>
  <c r="C1718" i="2"/>
  <c r="P1716" i="2"/>
  <c r="C1716" i="2"/>
  <c r="P1714" i="2"/>
  <c r="C1714" i="2"/>
  <c r="P1712" i="2"/>
  <c r="C1712" i="2"/>
  <c r="P1710" i="2"/>
  <c r="C1710" i="2"/>
  <c r="P1708" i="2"/>
  <c r="C1708" i="2"/>
  <c r="P1706" i="2"/>
  <c r="C1706" i="2"/>
  <c r="P1704" i="2"/>
  <c r="C1704" i="2"/>
  <c r="P1702" i="2"/>
  <c r="C1702" i="2"/>
  <c r="P1700" i="2"/>
  <c r="C1700" i="2"/>
  <c r="P1698" i="2"/>
  <c r="C1698" i="2"/>
  <c r="P1696" i="2"/>
  <c r="C1696" i="2"/>
  <c r="P1694" i="2"/>
  <c r="C1694" i="2"/>
  <c r="P1692" i="2"/>
  <c r="C1692" i="2"/>
  <c r="P1690" i="2"/>
  <c r="C1690" i="2"/>
  <c r="P1688" i="2"/>
  <c r="C1688" i="2"/>
  <c r="P1686" i="2"/>
  <c r="C1686" i="2"/>
  <c r="P1684" i="2"/>
  <c r="C1684" i="2"/>
  <c r="P1682" i="2"/>
  <c r="C1682" i="2"/>
  <c r="P1680" i="2"/>
  <c r="C1680" i="2"/>
  <c r="P1678" i="2"/>
  <c r="C1678" i="2"/>
  <c r="P1676" i="2"/>
  <c r="C1676" i="2"/>
  <c r="P1674" i="2"/>
  <c r="H1755" i="2"/>
  <c r="O1754" i="2"/>
  <c r="A1754" i="2"/>
  <c r="H1753" i="2"/>
  <c r="O1752" i="2"/>
  <c r="A1752" i="2"/>
  <c r="H1751" i="2"/>
  <c r="O1750" i="2"/>
  <c r="A1750" i="2"/>
  <c r="H1749" i="2"/>
  <c r="O1748" i="2"/>
  <c r="A1748" i="2"/>
  <c r="H1747" i="2"/>
  <c r="O1746" i="2"/>
  <c r="A1746" i="2"/>
  <c r="H1745" i="2"/>
  <c r="O1744" i="2"/>
  <c r="A1744" i="2"/>
  <c r="H1743" i="2"/>
  <c r="O1742" i="2"/>
  <c r="A1742" i="2"/>
  <c r="H1741" i="2"/>
  <c r="O1740" i="2"/>
  <c r="A1740" i="2"/>
  <c r="H1739" i="2"/>
  <c r="O1738" i="2"/>
  <c r="A1738" i="2"/>
  <c r="H1737" i="2"/>
  <c r="O1736" i="2"/>
  <c r="A1736" i="2"/>
  <c r="H1735" i="2"/>
  <c r="O1734" i="2"/>
  <c r="A1734" i="2"/>
  <c r="H1733" i="2"/>
  <c r="O1732" i="2"/>
  <c r="A1732" i="2"/>
  <c r="H1731" i="2"/>
  <c r="O1730" i="2"/>
  <c r="A1730" i="2"/>
  <c r="H1729" i="2"/>
  <c r="O1728" i="2"/>
  <c r="A1728" i="2"/>
  <c r="H1727" i="2"/>
  <c r="O1726" i="2"/>
  <c r="A1726" i="2"/>
  <c r="H1725" i="2"/>
  <c r="O1724" i="2"/>
  <c r="A1724" i="2"/>
  <c r="H1723" i="2"/>
  <c r="O1722" i="2"/>
  <c r="A1722" i="2"/>
  <c r="H1721" i="2"/>
  <c r="O1720" i="2"/>
  <c r="A1720" i="2"/>
  <c r="H1719" i="2"/>
  <c r="O1718" i="2"/>
  <c r="A1718" i="2"/>
  <c r="H1717" i="2"/>
  <c r="O1716" i="2"/>
  <c r="A1716" i="2"/>
  <c r="H1715" i="2"/>
  <c r="O1714" i="2"/>
  <c r="A1714" i="2"/>
  <c r="H1713" i="2"/>
  <c r="O1712" i="2"/>
  <c r="A1712" i="2"/>
  <c r="H1711" i="2"/>
  <c r="O1710" i="2"/>
  <c r="A1710" i="2"/>
  <c r="H1709" i="2"/>
  <c r="O1708" i="2"/>
  <c r="A1708" i="2"/>
  <c r="H1707" i="2"/>
  <c r="O1706" i="2"/>
  <c r="A1706" i="2"/>
  <c r="H1705" i="2"/>
  <c r="O1704" i="2"/>
  <c r="A1704" i="2"/>
  <c r="H1703" i="2"/>
  <c r="O1702" i="2"/>
  <c r="A1702" i="2"/>
  <c r="H1701" i="2"/>
  <c r="O1700" i="2"/>
  <c r="A1700" i="2"/>
  <c r="H1699" i="2"/>
  <c r="O1698" i="2"/>
  <c r="A1698" i="2"/>
  <c r="H1697" i="2"/>
  <c r="O1696" i="2"/>
  <c r="A1696" i="2"/>
  <c r="H1695" i="2"/>
  <c r="O1694" i="2"/>
  <c r="A1694" i="2"/>
  <c r="H1693" i="2"/>
  <c r="O1692" i="2"/>
  <c r="A1692" i="2"/>
  <c r="H1691" i="2"/>
  <c r="O1690" i="2"/>
  <c r="A1690" i="2"/>
  <c r="H1689" i="2"/>
  <c r="O1688" i="2"/>
  <c r="A1688" i="2"/>
  <c r="H1687" i="2"/>
  <c r="O1686" i="2"/>
  <c r="A1686" i="2"/>
  <c r="H1685" i="2"/>
  <c r="O1684" i="2"/>
  <c r="A1684" i="2"/>
  <c r="H1683" i="2"/>
  <c r="O1682" i="2"/>
  <c r="A1682" i="2"/>
  <c r="H1681" i="2"/>
  <c r="O1680" i="2"/>
  <c r="A1680" i="2"/>
  <c r="H1679" i="2"/>
  <c r="O1678" i="2"/>
  <c r="A1678" i="2"/>
  <c r="H1677" i="2"/>
  <c r="O1676" i="2"/>
  <c r="A1676" i="2"/>
  <c r="H1675" i="2"/>
  <c r="O1674" i="2"/>
  <c r="A1674" i="2"/>
  <c r="H1673" i="2"/>
  <c r="O1672" i="2"/>
  <c r="A1672" i="2"/>
  <c r="H1671" i="2"/>
  <c r="M1755" i="2"/>
  <c r="S1752" i="2"/>
  <c r="F1750" i="2"/>
  <c r="M1747" i="2"/>
  <c r="S1744" i="2"/>
  <c r="F1742" i="2"/>
  <c r="M1739" i="2"/>
  <c r="S1736" i="2"/>
  <c r="F1734" i="2"/>
  <c r="M1731" i="2"/>
  <c r="S1728" i="2"/>
  <c r="F1726" i="2"/>
  <c r="M1723" i="2"/>
  <c r="S1720" i="2"/>
  <c r="F1718" i="2"/>
  <c r="M1715" i="2"/>
  <c r="S1712" i="2"/>
  <c r="F1710" i="2"/>
  <c r="M1707" i="2"/>
  <c r="G1705" i="2"/>
  <c r="J1703" i="2"/>
  <c r="O1701" i="2"/>
  <c r="E1700" i="2"/>
  <c r="N1698" i="2"/>
  <c r="S1696" i="2"/>
  <c r="J1695" i="2"/>
  <c r="O1693" i="2"/>
  <c r="E1692" i="2"/>
  <c r="N1690" i="2"/>
  <c r="S1688" i="2"/>
  <c r="J1687" i="2"/>
  <c r="R1685" i="2"/>
  <c r="N1684" i="2"/>
  <c r="K1683" i="2"/>
  <c r="H1682" i="2"/>
  <c r="F1681" i="2"/>
  <c r="D1680" i="2"/>
  <c r="T1678" i="2"/>
  <c r="T1677" i="2"/>
  <c r="T1676" i="2"/>
  <c r="T1675" i="2"/>
  <c r="T1674" i="2"/>
  <c r="D1674" i="2"/>
  <c r="G1673" i="2"/>
  <c r="K1672" i="2"/>
  <c r="P1671" i="2"/>
  <c r="A1671" i="2"/>
  <c r="H1670" i="2"/>
  <c r="O1669" i="2"/>
  <c r="A1669" i="2"/>
  <c r="H1668" i="2"/>
  <c r="O1667" i="2"/>
  <c r="A1667" i="2"/>
  <c r="H1666" i="2"/>
  <c r="O1665" i="2"/>
  <c r="A1665" i="2"/>
  <c r="H1664" i="2"/>
  <c r="O1663" i="2"/>
  <c r="A1663" i="2"/>
  <c r="H1662" i="2"/>
  <c r="O1661" i="2"/>
  <c r="A1661" i="2"/>
  <c r="H1660" i="2"/>
  <c r="O1659" i="2"/>
  <c r="A1659" i="2"/>
  <c r="H1658" i="2"/>
  <c r="O1657" i="2"/>
  <c r="A1657" i="2"/>
  <c r="H1656" i="2"/>
  <c r="O1655" i="2"/>
  <c r="A1655" i="2"/>
  <c r="H1654" i="2"/>
  <c r="O1653" i="2"/>
  <c r="A1653" i="2"/>
  <c r="H1652" i="2"/>
  <c r="O1651" i="2"/>
  <c r="A1651" i="2"/>
  <c r="H1650" i="2"/>
  <c r="O1649" i="2"/>
  <c r="A1649" i="2"/>
  <c r="H1648" i="2"/>
  <c r="O1647" i="2"/>
  <c r="A1647" i="2"/>
  <c r="H1646" i="2"/>
  <c r="O1645" i="2"/>
  <c r="A1645" i="2"/>
  <c r="H1644" i="2"/>
  <c r="O1643" i="2"/>
  <c r="A1643" i="2"/>
  <c r="H1642" i="2"/>
  <c r="O1641" i="2"/>
  <c r="A1641" i="2"/>
  <c r="H1640" i="2"/>
  <c r="O1639" i="2"/>
  <c r="A1639" i="2"/>
  <c r="H1638" i="2"/>
  <c r="O1637" i="2"/>
  <c r="A1637" i="2"/>
  <c r="H1636" i="2"/>
  <c r="O1635" i="2"/>
  <c r="A1635" i="2"/>
  <c r="H1634" i="2"/>
  <c r="O1633" i="2"/>
  <c r="A1633" i="2"/>
  <c r="H1632" i="2"/>
  <c r="O1631" i="2"/>
  <c r="A1631" i="2"/>
  <c r="H1630" i="2"/>
  <c r="O1629" i="2"/>
  <c r="A1629" i="2"/>
  <c r="H1628" i="2"/>
  <c r="O1627" i="2"/>
  <c r="A1627" i="2"/>
  <c r="H1626" i="2"/>
  <c r="O1625" i="2"/>
  <c r="A1625" i="2"/>
  <c r="H1624" i="2"/>
  <c r="K1755" i="2"/>
  <c r="R1752" i="2"/>
  <c r="E1750" i="2"/>
  <c r="K1747" i="2"/>
  <c r="R1744" i="2"/>
  <c r="E1742" i="2"/>
  <c r="K1739" i="2"/>
  <c r="R1736" i="2"/>
  <c r="E1734" i="2"/>
  <c r="K1731" i="2"/>
  <c r="R1728" i="2"/>
  <c r="E1726" i="2"/>
  <c r="K1723" i="2"/>
  <c r="R1720" i="2"/>
  <c r="E1718" i="2"/>
  <c r="K1715" i="2"/>
  <c r="R1712" i="2"/>
  <c r="E1710" i="2"/>
  <c r="K1707" i="2"/>
  <c r="S1704" i="2"/>
  <c r="G1703" i="2"/>
  <c r="M1701" i="2"/>
  <c r="D1700" i="2"/>
  <c r="H1698" i="2"/>
  <c r="R1696" i="2"/>
  <c r="G1695" i="2"/>
  <c r="M1693" i="2"/>
  <c r="D1692" i="2"/>
  <c r="H1690" i="2"/>
  <c r="R1688" i="2"/>
  <c r="G1687" i="2"/>
  <c r="O1685" i="2"/>
  <c r="M1684" i="2"/>
  <c r="J1683" i="2"/>
  <c r="F1682" i="2"/>
  <c r="E1681" i="2"/>
  <c r="T1679" i="2"/>
  <c r="S1678" i="2"/>
  <c r="S1677" i="2"/>
  <c r="S1676" i="2"/>
  <c r="S1675" i="2"/>
  <c r="S1674" i="2"/>
  <c r="C1674" i="2"/>
  <c r="F1673" i="2"/>
  <c r="O1671" i="2"/>
  <c r="T1670" i="2"/>
  <c r="G1670" i="2"/>
  <c r="N1669" i="2"/>
  <c r="T1668" i="2"/>
  <c r="G1668" i="2"/>
  <c r="N1667" i="2"/>
  <c r="T1666" i="2"/>
  <c r="G1666" i="2"/>
  <c r="N1665" i="2"/>
  <c r="T1664" i="2"/>
  <c r="G1664" i="2"/>
  <c r="N1663" i="2"/>
  <c r="T1662" i="2"/>
  <c r="G1662" i="2"/>
  <c r="N1661" i="2"/>
  <c r="T1660" i="2"/>
  <c r="G1660" i="2"/>
  <c r="N1659" i="2"/>
  <c r="T1658" i="2"/>
  <c r="G1658" i="2"/>
  <c r="N1657" i="2"/>
  <c r="T1656" i="2"/>
  <c r="G1656" i="2"/>
  <c r="N1655" i="2"/>
  <c r="T1654" i="2"/>
  <c r="G1654" i="2"/>
  <c r="N1653" i="2"/>
  <c r="T1652" i="2"/>
  <c r="G1652" i="2"/>
  <c r="N1651" i="2"/>
  <c r="T1650" i="2"/>
  <c r="G1650" i="2"/>
  <c r="N1649" i="2"/>
  <c r="T1648" i="2"/>
  <c r="G1648" i="2"/>
  <c r="N1647" i="2"/>
  <c r="T1646" i="2"/>
  <c r="G1646" i="2"/>
  <c r="N1645" i="2"/>
  <c r="T1644" i="2"/>
  <c r="G1644" i="2"/>
  <c r="N1643" i="2"/>
  <c r="T1642" i="2"/>
  <c r="G1642" i="2"/>
  <c r="N1641" i="2"/>
  <c r="T1640" i="2"/>
  <c r="G1640" i="2"/>
  <c r="N1639" i="2"/>
  <c r="T1638" i="2"/>
  <c r="G1638" i="2"/>
  <c r="N1637" i="2"/>
  <c r="T1636" i="2"/>
  <c r="G1636" i="2"/>
  <c r="N1635" i="2"/>
  <c r="T1634" i="2"/>
  <c r="G1634" i="2"/>
  <c r="N1633" i="2"/>
  <c r="T1632" i="2"/>
  <c r="G1632" i="2"/>
  <c r="N1631" i="2"/>
  <c r="J1755" i="2"/>
  <c r="Q1752" i="2"/>
  <c r="D1750" i="2"/>
  <c r="J1747" i="2"/>
  <c r="Q1744" i="2"/>
  <c r="D1742" i="2"/>
  <c r="J1739" i="2"/>
  <c r="Q1736" i="2"/>
  <c r="D1734" i="2"/>
  <c r="J1731" i="2"/>
  <c r="Q1728" i="2"/>
  <c r="D1726" i="2"/>
  <c r="J1723" i="2"/>
  <c r="Q1720" i="2"/>
  <c r="D1718" i="2"/>
  <c r="J1715" i="2"/>
  <c r="Q1712" i="2"/>
  <c r="D1710" i="2"/>
  <c r="J1707" i="2"/>
  <c r="R1704" i="2"/>
  <c r="A1703" i="2"/>
  <c r="K1701" i="2"/>
  <c r="T1699" i="2"/>
  <c r="F1698" i="2"/>
  <c r="Q1696" i="2"/>
  <c r="A1695" i="2"/>
  <c r="K1693" i="2"/>
  <c r="T1691" i="2"/>
  <c r="F1690" i="2"/>
  <c r="Q1688" i="2"/>
  <c r="A1687" i="2"/>
  <c r="M1685" i="2"/>
  <c r="K1684" i="2"/>
  <c r="G1683" i="2"/>
  <c r="E1682" i="2"/>
  <c r="A1681" i="2"/>
  <c r="S1679" i="2"/>
  <c r="R1678" i="2"/>
  <c r="R1677" i="2"/>
  <c r="R1676" i="2"/>
  <c r="R1675" i="2"/>
  <c r="R1674" i="2"/>
  <c r="T1673" i="2"/>
  <c r="E1673" i="2"/>
  <c r="H1672" i="2"/>
  <c r="N1671" i="2"/>
  <c r="S1670" i="2"/>
  <c r="F1670" i="2"/>
  <c r="M1669" i="2"/>
  <c r="S1668" i="2"/>
  <c r="F1668" i="2"/>
  <c r="M1667" i="2"/>
  <c r="S1666" i="2"/>
  <c r="F1666" i="2"/>
  <c r="M1665" i="2"/>
  <c r="S1664" i="2"/>
  <c r="F1664" i="2"/>
  <c r="M1663" i="2"/>
  <c r="S1662" i="2"/>
  <c r="F1662" i="2"/>
  <c r="M1661" i="2"/>
  <c r="S1660" i="2"/>
  <c r="F1660" i="2"/>
  <c r="M1659" i="2"/>
  <c r="S1658" i="2"/>
  <c r="F1658" i="2"/>
  <c r="M1657" i="2"/>
  <c r="S1656" i="2"/>
  <c r="F1656" i="2"/>
  <c r="M1655" i="2"/>
  <c r="S1654" i="2"/>
  <c r="F1654" i="2"/>
  <c r="M1653" i="2"/>
  <c r="S1652" i="2"/>
  <c r="F1652" i="2"/>
  <c r="M1651" i="2"/>
  <c r="S1650" i="2"/>
  <c r="F1650" i="2"/>
  <c r="M1649" i="2"/>
  <c r="S1648" i="2"/>
  <c r="F1648" i="2"/>
  <c r="M1647" i="2"/>
  <c r="S1646" i="2"/>
  <c r="F1646" i="2"/>
  <c r="M1645" i="2"/>
  <c r="S1644" i="2"/>
  <c r="F1644" i="2"/>
  <c r="M1643" i="2"/>
  <c r="S1642" i="2"/>
  <c r="F1642" i="2"/>
  <c r="M1641" i="2"/>
  <c r="S1640" i="2"/>
  <c r="F1640" i="2"/>
  <c r="M1639" i="2"/>
  <c r="S1638" i="2"/>
  <c r="F1638" i="2"/>
  <c r="M1637" i="2"/>
  <c r="S1636" i="2"/>
  <c r="F1636" i="2"/>
  <c r="M1635" i="2"/>
  <c r="S1634" i="2"/>
  <c r="F1634" i="2"/>
  <c r="M1633" i="2"/>
  <c r="S1632" i="2"/>
  <c r="F1632" i="2"/>
  <c r="S1754" i="2"/>
  <c r="F1752" i="2"/>
  <c r="M1749" i="2"/>
  <c r="S1746" i="2"/>
  <c r="F1744" i="2"/>
  <c r="M1741" i="2"/>
  <c r="S1738" i="2"/>
  <c r="F1736" i="2"/>
  <c r="M1733" i="2"/>
  <c r="S1730" i="2"/>
  <c r="F1728" i="2"/>
  <c r="M1725" i="2"/>
  <c r="S1722" i="2"/>
  <c r="F1720" i="2"/>
  <c r="M1717" i="2"/>
  <c r="S1714" i="2"/>
  <c r="F1712" i="2"/>
  <c r="M1709" i="2"/>
  <c r="S1706" i="2"/>
  <c r="Q1704" i="2"/>
  <c r="S1702" i="2"/>
  <c r="J1701" i="2"/>
  <c r="O1699" i="2"/>
  <c r="E1698" i="2"/>
  <c r="N1696" i="2"/>
  <c r="S1694" i="2"/>
  <c r="J1693" i="2"/>
  <c r="O1691" i="2"/>
  <c r="E1690" i="2"/>
  <c r="N1688" i="2"/>
  <c r="S1686" i="2"/>
  <c r="K1685" i="2"/>
  <c r="H1684" i="2"/>
  <c r="F1683" i="2"/>
  <c r="D1682" i="2"/>
  <c r="S1680" i="2"/>
  <c r="R1679" i="2"/>
  <c r="Q1678" i="2"/>
  <c r="O1677" i="2"/>
  <c r="Q1676" i="2"/>
  <c r="O1675" i="2"/>
  <c r="Q1674" i="2"/>
  <c r="S1673" i="2"/>
  <c r="C1673" i="2"/>
  <c r="G1672" i="2"/>
  <c r="M1671" i="2"/>
  <c r="R1670" i="2"/>
  <c r="E1670" i="2"/>
  <c r="K1669" i="2"/>
  <c r="R1668" i="2"/>
  <c r="E1668" i="2"/>
  <c r="K1667" i="2"/>
  <c r="R1666" i="2"/>
  <c r="E1666" i="2"/>
  <c r="K1665" i="2"/>
  <c r="R1664" i="2"/>
  <c r="E1664" i="2"/>
  <c r="K1663" i="2"/>
  <c r="R1662" i="2"/>
  <c r="E1662" i="2"/>
  <c r="K1661" i="2"/>
  <c r="R1660" i="2"/>
  <c r="E1660" i="2"/>
  <c r="K1659" i="2"/>
  <c r="R1658" i="2"/>
  <c r="E1658" i="2"/>
  <c r="K1657" i="2"/>
  <c r="R1656" i="2"/>
  <c r="E1656" i="2"/>
  <c r="K1655" i="2"/>
  <c r="R1654" i="2"/>
  <c r="E1654" i="2"/>
  <c r="K1653" i="2"/>
  <c r="R1652" i="2"/>
  <c r="E1652" i="2"/>
  <c r="K1651" i="2"/>
  <c r="R1650" i="2"/>
  <c r="E1650" i="2"/>
  <c r="K1649" i="2"/>
  <c r="R1648" i="2"/>
  <c r="E1648" i="2"/>
  <c r="K1647" i="2"/>
  <c r="R1646" i="2"/>
  <c r="E1646" i="2"/>
  <c r="K1645" i="2"/>
  <c r="R1644" i="2"/>
  <c r="E1644" i="2"/>
  <c r="K1643" i="2"/>
  <c r="R1642" i="2"/>
  <c r="E1642" i="2"/>
  <c r="K1641" i="2"/>
  <c r="R1640" i="2"/>
  <c r="E1640" i="2"/>
  <c r="K1639" i="2"/>
  <c r="R1638" i="2"/>
  <c r="E1638" i="2"/>
  <c r="K1637" i="2"/>
  <c r="R1636" i="2"/>
  <c r="E1636" i="2"/>
  <c r="K1635" i="2"/>
  <c r="R1634" i="2"/>
  <c r="E1634" i="2"/>
  <c r="K1633" i="2"/>
  <c r="R1632" i="2"/>
  <c r="E1632" i="2"/>
  <c r="K1631" i="2"/>
  <c r="R1630" i="2"/>
  <c r="E1630" i="2"/>
  <c r="K1629" i="2"/>
  <c r="R1628" i="2"/>
  <c r="E1628" i="2"/>
  <c r="K1627" i="2"/>
  <c r="R1626" i="2"/>
  <c r="E1626" i="2"/>
  <c r="K1625" i="2"/>
  <c r="R1624" i="2"/>
  <c r="E1624" i="2"/>
  <c r="K1623" i="2"/>
  <c r="R1622" i="2"/>
  <c r="E1622" i="2"/>
  <c r="K1621" i="2"/>
  <c r="R1620" i="2"/>
  <c r="E1620" i="2"/>
  <c r="K1619" i="2"/>
  <c r="R1618" i="2"/>
  <c r="E1618" i="2"/>
  <c r="K1617" i="2"/>
  <c r="R1754" i="2"/>
  <c r="E1752" i="2"/>
  <c r="K1749" i="2"/>
  <c r="R1746" i="2"/>
  <c r="E1744" i="2"/>
  <c r="K1741" i="2"/>
  <c r="R1738" i="2"/>
  <c r="E1736" i="2"/>
  <c r="K1733" i="2"/>
  <c r="R1730" i="2"/>
  <c r="E1728" i="2"/>
  <c r="K1725" i="2"/>
  <c r="R1722" i="2"/>
  <c r="E1720" i="2"/>
  <c r="K1717" i="2"/>
  <c r="R1714" i="2"/>
  <c r="E1712" i="2"/>
  <c r="K1709" i="2"/>
  <c r="R1706" i="2"/>
  <c r="N1704" i="2"/>
  <c r="R1702" i="2"/>
  <c r="G1701" i="2"/>
  <c r="M1699" i="2"/>
  <c r="D1698" i="2"/>
  <c r="H1696" i="2"/>
  <c r="R1694" i="2"/>
  <c r="G1693" i="2"/>
  <c r="M1691" i="2"/>
  <c r="D1690" i="2"/>
  <c r="H1688" i="2"/>
  <c r="R1686" i="2"/>
  <c r="J1685" i="2"/>
  <c r="F1684" i="2"/>
  <c r="E1683" i="2"/>
  <c r="T1681" i="2"/>
  <c r="R1680" i="2"/>
  <c r="O1679" i="2"/>
  <c r="N1678" i="2"/>
  <c r="N1677" i="2"/>
  <c r="N1676" i="2"/>
  <c r="N1675" i="2"/>
  <c r="N1674" i="2"/>
  <c r="R1673" i="2"/>
  <c r="A1673" i="2"/>
  <c r="F1672" i="2"/>
  <c r="K1671" i="2"/>
  <c r="Q1670" i="2"/>
  <c r="D1670" i="2"/>
  <c r="J1669" i="2"/>
  <c r="Q1668" i="2"/>
  <c r="D1668" i="2"/>
  <c r="J1667" i="2"/>
  <c r="Q1666" i="2"/>
  <c r="D1666" i="2"/>
  <c r="J1665" i="2"/>
  <c r="Q1664" i="2"/>
  <c r="D1664" i="2"/>
  <c r="J1663" i="2"/>
  <c r="Q1662" i="2"/>
  <c r="D1662" i="2"/>
  <c r="J1661" i="2"/>
  <c r="Q1660" i="2"/>
  <c r="D1660" i="2"/>
  <c r="J1659" i="2"/>
  <c r="Q1658" i="2"/>
  <c r="D1658" i="2"/>
  <c r="J1657" i="2"/>
  <c r="Q1656" i="2"/>
  <c r="D1656" i="2"/>
  <c r="J1655" i="2"/>
  <c r="Q1654" i="2"/>
  <c r="D1654" i="2"/>
  <c r="J1653" i="2"/>
  <c r="Q1652" i="2"/>
  <c r="D1652" i="2"/>
  <c r="J1651" i="2"/>
  <c r="Q1650" i="2"/>
  <c r="D1650" i="2"/>
  <c r="J1649" i="2"/>
  <c r="Q1648" i="2"/>
  <c r="D1648" i="2"/>
  <c r="J1647" i="2"/>
  <c r="Q1646" i="2"/>
  <c r="D1646" i="2"/>
  <c r="J1645" i="2"/>
  <c r="Q1644" i="2"/>
  <c r="D1644" i="2"/>
  <c r="J1643" i="2"/>
  <c r="Q1642" i="2"/>
  <c r="D1642" i="2"/>
  <c r="J1641" i="2"/>
  <c r="Q1640" i="2"/>
  <c r="D1640" i="2"/>
  <c r="J1639" i="2"/>
  <c r="Q1638" i="2"/>
  <c r="D1638" i="2"/>
  <c r="J1637" i="2"/>
  <c r="Q1636" i="2"/>
  <c r="D1636" i="2"/>
  <c r="J1635" i="2"/>
  <c r="Q1634" i="2"/>
  <c r="D1634" i="2"/>
  <c r="J1633" i="2"/>
  <c r="Q1632" i="2"/>
  <c r="D1632" i="2"/>
  <c r="J1631" i="2"/>
  <c r="Q1630" i="2"/>
  <c r="D1630" i="2"/>
  <c r="J1629" i="2"/>
  <c r="Q1628" i="2"/>
  <c r="D1628" i="2"/>
  <c r="J1627" i="2"/>
  <c r="Q1626" i="2"/>
  <c r="D1626" i="2"/>
  <c r="J1625" i="2"/>
  <c r="Q1624" i="2"/>
  <c r="Q1754" i="2"/>
  <c r="D1752" i="2"/>
  <c r="J1749" i="2"/>
  <c r="Q1746" i="2"/>
  <c r="D1744" i="2"/>
  <c r="J1741" i="2"/>
  <c r="Q1738" i="2"/>
  <c r="D1736" i="2"/>
  <c r="J1733" i="2"/>
  <c r="Q1730" i="2"/>
  <c r="D1728" i="2"/>
  <c r="J1725" i="2"/>
  <c r="Q1722" i="2"/>
  <c r="D1720" i="2"/>
  <c r="J1717" i="2"/>
  <c r="Q1714" i="2"/>
  <c r="D1712" i="2"/>
  <c r="J1709" i="2"/>
  <c r="Q1706" i="2"/>
  <c r="F1704" i="2"/>
  <c r="Q1702" i="2"/>
  <c r="A1701" i="2"/>
  <c r="K1699" i="2"/>
  <c r="T1697" i="2"/>
  <c r="F1696" i="2"/>
  <c r="Q1694" i="2"/>
  <c r="A1693" i="2"/>
  <c r="K1691" i="2"/>
  <c r="T1689" i="2"/>
  <c r="F1688" i="2"/>
  <c r="Q1686" i="2"/>
  <c r="G1685" i="2"/>
  <c r="E1684" i="2"/>
  <c r="A1683" i="2"/>
  <c r="S1681" i="2"/>
  <c r="Q1680" i="2"/>
  <c r="M1679" i="2"/>
  <c r="M1678" i="2"/>
  <c r="M1677" i="2"/>
  <c r="M1676" i="2"/>
  <c r="M1675" i="2"/>
  <c r="M1674" i="2"/>
  <c r="P1673" i="2"/>
  <c r="T1672" i="2"/>
  <c r="E1672" i="2"/>
  <c r="J1671" i="2"/>
  <c r="P1670" i="2"/>
  <c r="C1670" i="2"/>
  <c r="P1668" i="2"/>
  <c r="C1668" i="2"/>
  <c r="P1666" i="2"/>
  <c r="C1666" i="2"/>
  <c r="P1664" i="2"/>
  <c r="C1664" i="2"/>
  <c r="P1662" i="2"/>
  <c r="C1662" i="2"/>
  <c r="P1660" i="2"/>
  <c r="C1660" i="2"/>
  <c r="P1658" i="2"/>
  <c r="C1658" i="2"/>
  <c r="P1656" i="2"/>
  <c r="C1656" i="2"/>
  <c r="P1654" i="2"/>
  <c r="C1654" i="2"/>
  <c r="P1652" i="2"/>
  <c r="C1652" i="2"/>
  <c r="P1650" i="2"/>
  <c r="C1650" i="2"/>
  <c r="P1648" i="2"/>
  <c r="C1648" i="2"/>
  <c r="P1646" i="2"/>
  <c r="C1646" i="2"/>
  <c r="P1644" i="2"/>
  <c r="C1644" i="2"/>
  <c r="P1642" i="2"/>
  <c r="C1642" i="2"/>
  <c r="P1640" i="2"/>
  <c r="C1640" i="2"/>
  <c r="P1638" i="2"/>
  <c r="C1638" i="2"/>
  <c r="P1636" i="2"/>
  <c r="C1636" i="2"/>
  <c r="P1634" i="2"/>
  <c r="C1634" i="2"/>
  <c r="P1632" i="2"/>
  <c r="C1632" i="2"/>
  <c r="P1630" i="2"/>
  <c r="C1630" i="2"/>
  <c r="P1628" i="2"/>
  <c r="F1754" i="2"/>
  <c r="M1751" i="2"/>
  <c r="S1748" i="2"/>
  <c r="F1746" i="2"/>
  <c r="M1743" i="2"/>
  <c r="S1740" i="2"/>
  <c r="F1738" i="2"/>
  <c r="M1735" i="2"/>
  <c r="S1732" i="2"/>
  <c r="F1730" i="2"/>
  <c r="M1727" i="2"/>
  <c r="S1724" i="2"/>
  <c r="F1722" i="2"/>
  <c r="M1719" i="2"/>
  <c r="S1716" i="2"/>
  <c r="F1714" i="2"/>
  <c r="M1711" i="2"/>
  <c r="S1708" i="2"/>
  <c r="F1706" i="2"/>
  <c r="E1704" i="2"/>
  <c r="N1702" i="2"/>
  <c r="S1700" i="2"/>
  <c r="J1699" i="2"/>
  <c r="O1697" i="2"/>
  <c r="E1696" i="2"/>
  <c r="N1694" i="2"/>
  <c r="S1692" i="2"/>
  <c r="J1691" i="2"/>
  <c r="O1689" i="2"/>
  <c r="E1688" i="2"/>
  <c r="N1686" i="2"/>
  <c r="F1685" i="2"/>
  <c r="D1684" i="2"/>
  <c r="S1682" i="2"/>
  <c r="R1681" i="2"/>
  <c r="N1680" i="2"/>
  <c r="K1679" i="2"/>
  <c r="K1678" i="2"/>
  <c r="K1677" i="2"/>
  <c r="K1676" i="2"/>
  <c r="K1675" i="2"/>
  <c r="K1674" i="2"/>
  <c r="O1673" i="2"/>
  <c r="S1672" i="2"/>
  <c r="D1672" i="2"/>
  <c r="O1670" i="2"/>
  <c r="A1670" i="2"/>
  <c r="H1669" i="2"/>
  <c r="O1668" i="2"/>
  <c r="A1668" i="2"/>
  <c r="H1667" i="2"/>
  <c r="O1666" i="2"/>
  <c r="A1666" i="2"/>
  <c r="H1665" i="2"/>
  <c r="O1664" i="2"/>
  <c r="A1664" i="2"/>
  <c r="H1663" i="2"/>
  <c r="O1662" i="2"/>
  <c r="A1662" i="2"/>
  <c r="H1661" i="2"/>
  <c r="O1660" i="2"/>
  <c r="A1660" i="2"/>
  <c r="H1659" i="2"/>
  <c r="O1658" i="2"/>
  <c r="A1658" i="2"/>
  <c r="H1657" i="2"/>
  <c r="O1656" i="2"/>
  <c r="A1656" i="2"/>
  <c r="H1655" i="2"/>
  <c r="O1654" i="2"/>
  <c r="A1654" i="2"/>
  <c r="H1653" i="2"/>
  <c r="O1652" i="2"/>
  <c r="A1652" i="2"/>
  <c r="H1651" i="2"/>
  <c r="O1650" i="2"/>
  <c r="A1650" i="2"/>
  <c r="H1649" i="2"/>
  <c r="O1648" i="2"/>
  <c r="A1648" i="2"/>
  <c r="H1647" i="2"/>
  <c r="O1646" i="2"/>
  <c r="A1646" i="2"/>
  <c r="H1645" i="2"/>
  <c r="O1644" i="2"/>
  <c r="A1644" i="2"/>
  <c r="H1643" i="2"/>
  <c r="O1642" i="2"/>
  <c r="A1642" i="2"/>
  <c r="H1641" i="2"/>
  <c r="O1640" i="2"/>
  <c r="A1640" i="2"/>
  <c r="H1639" i="2"/>
  <c r="O1638" i="2"/>
  <c r="A1638" i="2"/>
  <c r="H1637" i="2"/>
  <c r="O1636" i="2"/>
  <c r="A1636" i="2"/>
  <c r="H1635" i="2"/>
  <c r="O1634" i="2"/>
  <c r="A1634" i="2"/>
  <c r="H1633" i="2"/>
  <c r="O1632" i="2"/>
  <c r="A1632" i="2"/>
  <c r="H1631" i="2"/>
  <c r="O1630" i="2"/>
  <c r="A1630" i="2"/>
  <c r="H1629" i="2"/>
  <c r="O1628" i="2"/>
  <c r="A1628" i="2"/>
  <c r="H1627" i="2"/>
  <c r="O1626" i="2"/>
  <c r="K1753" i="2"/>
  <c r="R1750" i="2"/>
  <c r="E1748" i="2"/>
  <c r="K1745" i="2"/>
  <c r="R1742" i="2"/>
  <c r="E1740" i="2"/>
  <c r="K1737" i="2"/>
  <c r="R1734" i="2"/>
  <c r="E1732" i="2"/>
  <c r="K1729" i="2"/>
  <c r="R1726" i="2"/>
  <c r="E1724" i="2"/>
  <c r="K1721" i="2"/>
  <c r="R1718" i="2"/>
  <c r="E1716" i="2"/>
  <c r="K1713" i="2"/>
  <c r="R1710" i="2"/>
  <c r="E1708" i="2"/>
  <c r="K1705" i="2"/>
  <c r="M1703" i="2"/>
  <c r="D1702" i="2"/>
  <c r="H1700" i="2"/>
  <c r="R1698" i="2"/>
  <c r="G1697" i="2"/>
  <c r="M1695" i="2"/>
  <c r="D1694" i="2"/>
  <c r="H1692" i="2"/>
  <c r="R1690" i="2"/>
  <c r="G1689" i="2"/>
  <c r="M1687" i="2"/>
  <c r="D1686" i="2"/>
  <c r="R1684" i="2"/>
  <c r="O1683" i="2"/>
  <c r="M1682" i="2"/>
  <c r="J1681" i="2"/>
  <c r="F1680" i="2"/>
  <c r="E1679" i="2"/>
  <c r="E1678" i="2"/>
  <c r="E1677" i="2"/>
  <c r="E1676" i="2"/>
  <c r="E1675" i="2"/>
  <c r="F1674" i="2"/>
  <c r="J1673" i="2"/>
  <c r="N1672" i="2"/>
  <c r="R1671" i="2"/>
  <c r="D1671" i="2"/>
  <c r="J1670" i="2"/>
  <c r="Q1669" i="2"/>
  <c r="D1669" i="2"/>
  <c r="J1668" i="2"/>
  <c r="Q1667" i="2"/>
  <c r="D1667" i="2"/>
  <c r="J1666" i="2"/>
  <c r="Q1665" i="2"/>
  <c r="D1665" i="2"/>
  <c r="J1664" i="2"/>
  <c r="Q1663" i="2"/>
  <c r="D1663" i="2"/>
  <c r="J1662" i="2"/>
  <c r="Q1661" i="2"/>
  <c r="D1661" i="2"/>
  <c r="J1660" i="2"/>
  <c r="Q1659" i="2"/>
  <c r="D1659" i="2"/>
  <c r="J1658" i="2"/>
  <c r="Q1657" i="2"/>
  <c r="D1657" i="2"/>
  <c r="J1656" i="2"/>
  <c r="Q1655" i="2"/>
  <c r="D1655" i="2"/>
  <c r="J1654" i="2"/>
  <c r="Q1653" i="2"/>
  <c r="D1653" i="2"/>
  <c r="J1652" i="2"/>
  <c r="Q1651" i="2"/>
  <c r="D1651" i="2"/>
  <c r="J1650" i="2"/>
  <c r="Q1649" i="2"/>
  <c r="D1649" i="2"/>
  <c r="J1648" i="2"/>
  <c r="Q1647" i="2"/>
  <c r="D1647" i="2"/>
  <c r="J1646" i="2"/>
  <c r="Q1645" i="2"/>
  <c r="D1645" i="2"/>
  <c r="J1644" i="2"/>
  <c r="Q1643" i="2"/>
  <c r="D1643" i="2"/>
  <c r="J1642" i="2"/>
  <c r="Q1641" i="2"/>
  <c r="D1641" i="2"/>
  <c r="J1640" i="2"/>
  <c r="Q1639" i="2"/>
  <c r="D1639" i="2"/>
  <c r="J1638" i="2"/>
  <c r="Q1637" i="2"/>
  <c r="D1637" i="2"/>
  <c r="J1636" i="2"/>
  <c r="Q1635" i="2"/>
  <c r="D1635" i="2"/>
  <c r="J1634" i="2"/>
  <c r="Q1633" i="2"/>
  <c r="D1633" i="2"/>
  <c r="J1632" i="2"/>
  <c r="Q1631" i="2"/>
  <c r="D1631" i="2"/>
  <c r="J1630" i="2"/>
  <c r="Q1629" i="2"/>
  <c r="D1629" i="2"/>
  <c r="J1628" i="2"/>
  <c r="Q1627" i="2"/>
  <c r="D1627" i="2"/>
  <c r="J1626" i="2"/>
  <c r="Q1625" i="2"/>
  <c r="D1625" i="2"/>
  <c r="J1624" i="2"/>
  <c r="Q1623" i="2"/>
  <c r="D1623" i="2"/>
  <c r="J1753" i="2"/>
  <c r="Q1750" i="2"/>
  <c r="D1748" i="2"/>
  <c r="J1745" i="2"/>
  <c r="Q1742" i="2"/>
  <c r="D1740" i="2"/>
  <c r="J1737" i="2"/>
  <c r="Q1734" i="2"/>
  <c r="D1732" i="2"/>
  <c r="J1729" i="2"/>
  <c r="Q1726" i="2"/>
  <c r="D1724" i="2"/>
  <c r="J1721" i="2"/>
  <c r="Q1718" i="2"/>
  <c r="D1716" i="2"/>
  <c r="J1713" i="2"/>
  <c r="Q1710" i="2"/>
  <c r="D1708" i="2"/>
  <c r="J1705" i="2"/>
  <c r="K1703" i="2"/>
  <c r="T1701" i="2"/>
  <c r="F1700" i="2"/>
  <c r="Q1698" i="2"/>
  <c r="A1697" i="2"/>
  <c r="K1695" i="2"/>
  <c r="T1693" i="2"/>
  <c r="F1692" i="2"/>
  <c r="Q1690" i="2"/>
  <c r="A1689" i="2"/>
  <c r="K1687" i="2"/>
  <c r="T1685" i="2"/>
  <c r="Q1684" i="2"/>
  <c r="M1683" i="2"/>
  <c r="K1682" i="2"/>
  <c r="G1681" i="2"/>
  <c r="E1680" i="2"/>
  <c r="A1679" i="2"/>
  <c r="D1678" i="2"/>
  <c r="A1677" i="2"/>
  <c r="D1676" i="2"/>
  <c r="A1675" i="2"/>
  <c r="E1674" i="2"/>
  <c r="M1672" i="2"/>
  <c r="Q1671" i="2"/>
  <c r="C1671" i="2"/>
  <c r="P1669" i="2"/>
  <c r="C1669" i="2"/>
  <c r="P1667" i="2"/>
  <c r="C1667" i="2"/>
  <c r="P1665" i="2"/>
  <c r="C1665" i="2"/>
  <c r="P1663" i="2"/>
  <c r="C1663" i="2"/>
  <c r="P1661" i="2"/>
  <c r="C1661" i="2"/>
  <c r="P1659" i="2"/>
  <c r="C1659" i="2"/>
  <c r="P1657" i="2"/>
  <c r="C1657" i="2"/>
  <c r="P1655" i="2"/>
  <c r="C1655" i="2"/>
  <c r="P1653" i="2"/>
  <c r="C1653" i="2"/>
  <c r="P1651" i="2"/>
  <c r="C1651" i="2"/>
  <c r="P1649" i="2"/>
  <c r="C1649" i="2"/>
  <c r="P1647" i="2"/>
  <c r="C1647" i="2"/>
  <c r="P1645" i="2"/>
  <c r="C1645" i="2"/>
  <c r="P1643" i="2"/>
  <c r="C1643" i="2"/>
  <c r="P1641" i="2"/>
  <c r="C1641" i="2"/>
  <c r="P1639" i="2"/>
  <c r="C1639" i="2"/>
  <c r="P1637" i="2"/>
  <c r="C1637" i="2"/>
  <c r="P1635" i="2"/>
  <c r="C1635" i="2"/>
  <c r="P1633" i="2"/>
  <c r="C1633" i="2"/>
  <c r="P1631" i="2"/>
  <c r="C1631" i="2"/>
  <c r="P1629" i="2"/>
  <c r="C1629" i="2"/>
  <c r="P1627" i="2"/>
  <c r="C1627" i="2"/>
  <c r="E1754" i="2"/>
  <c r="K1743" i="2"/>
  <c r="R1732" i="2"/>
  <c r="E1722" i="2"/>
  <c r="K1711" i="2"/>
  <c r="H1702" i="2"/>
  <c r="D1696" i="2"/>
  <c r="M1689" i="2"/>
  <c r="T1683" i="2"/>
  <c r="J1679" i="2"/>
  <c r="J1675" i="2"/>
  <c r="C1672" i="2"/>
  <c r="G1669" i="2"/>
  <c r="N1666" i="2"/>
  <c r="T1663" i="2"/>
  <c r="G1661" i="2"/>
  <c r="N1658" i="2"/>
  <c r="T1655" i="2"/>
  <c r="G1653" i="2"/>
  <c r="N1650" i="2"/>
  <c r="T1647" i="2"/>
  <c r="G1645" i="2"/>
  <c r="N1642" i="2"/>
  <c r="T1639" i="2"/>
  <c r="G1637" i="2"/>
  <c r="N1634" i="2"/>
  <c r="T1631" i="2"/>
  <c r="G1630" i="2"/>
  <c r="N1628" i="2"/>
  <c r="G1627" i="2"/>
  <c r="C1626" i="2"/>
  <c r="E1625" i="2"/>
  <c r="D1624" i="2"/>
  <c r="H1623" i="2"/>
  <c r="M1622" i="2"/>
  <c r="R1621" i="2"/>
  <c r="D1621" i="2"/>
  <c r="O1619" i="2"/>
  <c r="T1618" i="2"/>
  <c r="F1618" i="2"/>
  <c r="J1617" i="2"/>
  <c r="Q1616" i="2"/>
  <c r="D1616" i="2"/>
  <c r="J1615" i="2"/>
  <c r="Q1614" i="2"/>
  <c r="D1614" i="2"/>
  <c r="J1613" i="2"/>
  <c r="Q1612" i="2"/>
  <c r="D1612" i="2"/>
  <c r="J1611" i="2"/>
  <c r="Q1610" i="2"/>
  <c r="D1610" i="2"/>
  <c r="J1609" i="2"/>
  <c r="Q1608" i="2"/>
  <c r="D1608" i="2"/>
  <c r="J1607" i="2"/>
  <c r="Q1606" i="2"/>
  <c r="D1606" i="2"/>
  <c r="J1605" i="2"/>
  <c r="Q1604" i="2"/>
  <c r="D1604" i="2"/>
  <c r="J1603" i="2"/>
  <c r="Q1602" i="2"/>
  <c r="D1602" i="2"/>
  <c r="J1601" i="2"/>
  <c r="Q1600" i="2"/>
  <c r="D1600" i="2"/>
  <c r="J1599" i="2"/>
  <c r="Q1598" i="2"/>
  <c r="D1598" i="2"/>
  <c r="J1597" i="2"/>
  <c r="Q1596" i="2"/>
  <c r="D1596" i="2"/>
  <c r="J1595" i="2"/>
  <c r="Q1594" i="2"/>
  <c r="D1594" i="2"/>
  <c r="J1593" i="2"/>
  <c r="Q1592" i="2"/>
  <c r="D1592" i="2"/>
  <c r="J1591" i="2"/>
  <c r="Q1590" i="2"/>
  <c r="D1590" i="2"/>
  <c r="J1589" i="2"/>
  <c r="Q1588" i="2"/>
  <c r="D1588" i="2"/>
  <c r="J1587" i="2"/>
  <c r="Q1586" i="2"/>
  <c r="D1586" i="2"/>
  <c r="J1585" i="2"/>
  <c r="Q1584" i="2"/>
  <c r="D1584" i="2"/>
  <c r="J1583" i="2"/>
  <c r="Q1582" i="2"/>
  <c r="D1582" i="2"/>
  <c r="J1581" i="2"/>
  <c r="Q1580" i="2"/>
  <c r="D1580" i="2"/>
  <c r="J1579" i="2"/>
  <c r="Q1578" i="2"/>
  <c r="D1578" i="2"/>
  <c r="J1577" i="2"/>
  <c r="Q1576" i="2"/>
  <c r="D1576" i="2"/>
  <c r="J1575" i="2"/>
  <c r="Q1574" i="2"/>
  <c r="D1574" i="2"/>
  <c r="J1573" i="2"/>
  <c r="Q1572" i="2"/>
  <c r="D1572" i="2"/>
  <c r="J1571" i="2"/>
  <c r="Q1570" i="2"/>
  <c r="D1570" i="2"/>
  <c r="J1569" i="2"/>
  <c r="Q1568" i="2"/>
  <c r="D1568" i="2"/>
  <c r="J1567" i="2"/>
  <c r="Q1566" i="2"/>
  <c r="D1566" i="2"/>
  <c r="J1565" i="2"/>
  <c r="Q1564" i="2"/>
  <c r="D1564" i="2"/>
  <c r="J1563" i="2"/>
  <c r="Q1562" i="2"/>
  <c r="D1562" i="2"/>
  <c r="J1561" i="2"/>
  <c r="Q1560" i="2"/>
  <c r="D1754" i="2"/>
  <c r="J1743" i="2"/>
  <c r="Q1732" i="2"/>
  <c r="D1722" i="2"/>
  <c r="J1711" i="2"/>
  <c r="F1702" i="2"/>
  <c r="T1695" i="2"/>
  <c r="K1689" i="2"/>
  <c r="S1683" i="2"/>
  <c r="G1679" i="2"/>
  <c r="G1675" i="2"/>
  <c r="T1671" i="2"/>
  <c r="F1669" i="2"/>
  <c r="M1666" i="2"/>
  <c r="S1663" i="2"/>
  <c r="F1661" i="2"/>
  <c r="M1658" i="2"/>
  <c r="S1655" i="2"/>
  <c r="F1653" i="2"/>
  <c r="M1650" i="2"/>
  <c r="S1647" i="2"/>
  <c r="F1645" i="2"/>
  <c r="M1642" i="2"/>
  <c r="S1639" i="2"/>
  <c r="F1637" i="2"/>
  <c r="M1634" i="2"/>
  <c r="S1631" i="2"/>
  <c r="F1630" i="2"/>
  <c r="M1628" i="2"/>
  <c r="F1627" i="2"/>
  <c r="A1626" i="2"/>
  <c r="C1625" i="2"/>
  <c r="C1624" i="2"/>
  <c r="G1623" i="2"/>
  <c r="K1622" i="2"/>
  <c r="Q1621" i="2"/>
  <c r="C1621" i="2"/>
  <c r="H1620" i="2"/>
  <c r="N1619" i="2"/>
  <c r="S1618" i="2"/>
  <c r="D1618" i="2"/>
  <c r="P1616" i="2"/>
  <c r="C1616" i="2"/>
  <c r="P1614" i="2"/>
  <c r="C1614" i="2"/>
  <c r="P1612" i="2"/>
  <c r="C1612" i="2"/>
  <c r="P1610" i="2"/>
  <c r="C1610" i="2"/>
  <c r="P1608" i="2"/>
  <c r="C1608" i="2"/>
  <c r="P1606" i="2"/>
  <c r="C1606" i="2"/>
  <c r="P1604" i="2"/>
  <c r="C1604" i="2"/>
  <c r="P1602" i="2"/>
  <c r="C1602" i="2"/>
  <c r="P1600" i="2"/>
  <c r="C1600" i="2"/>
  <c r="P1598" i="2"/>
  <c r="C1598" i="2"/>
  <c r="P1596" i="2"/>
  <c r="C1596" i="2"/>
  <c r="P1594" i="2"/>
  <c r="C1594" i="2"/>
  <c r="P1592" i="2"/>
  <c r="C1592" i="2"/>
  <c r="P1590" i="2"/>
  <c r="C1590" i="2"/>
  <c r="P1588" i="2"/>
  <c r="C1588" i="2"/>
  <c r="P1586" i="2"/>
  <c r="C1586" i="2"/>
  <c r="P1584" i="2"/>
  <c r="C1584" i="2"/>
  <c r="P1582" i="2"/>
  <c r="C1582" i="2"/>
  <c r="P1580" i="2"/>
  <c r="C1580" i="2"/>
  <c r="P1578" i="2"/>
  <c r="M1753" i="2"/>
  <c r="S1742" i="2"/>
  <c r="F1732" i="2"/>
  <c r="M1721" i="2"/>
  <c r="S1710" i="2"/>
  <c r="E1702" i="2"/>
  <c r="O1695" i="2"/>
  <c r="J1689" i="2"/>
  <c r="R1683" i="2"/>
  <c r="F1679" i="2"/>
  <c r="F1675" i="2"/>
  <c r="S1671" i="2"/>
  <c r="E1669" i="2"/>
  <c r="K1666" i="2"/>
  <c r="R1663" i="2"/>
  <c r="E1661" i="2"/>
  <c r="K1658" i="2"/>
  <c r="R1655" i="2"/>
  <c r="E1653" i="2"/>
  <c r="K1650" i="2"/>
  <c r="R1647" i="2"/>
  <c r="E1645" i="2"/>
  <c r="K1642" i="2"/>
  <c r="R1639" i="2"/>
  <c r="E1637" i="2"/>
  <c r="K1634" i="2"/>
  <c r="R1631" i="2"/>
  <c r="T1629" i="2"/>
  <c r="K1628" i="2"/>
  <c r="E1627" i="2"/>
  <c r="T1625" i="2"/>
  <c r="T1624" i="2"/>
  <c r="A1624" i="2"/>
  <c r="F1623" i="2"/>
  <c r="J1622" i="2"/>
  <c r="P1621" i="2"/>
  <c r="A1621" i="2"/>
  <c r="G1620" i="2"/>
  <c r="M1619" i="2"/>
  <c r="Q1618" i="2"/>
  <c r="C1618" i="2"/>
  <c r="H1617" i="2"/>
  <c r="O1616" i="2"/>
  <c r="A1616" i="2"/>
  <c r="H1615" i="2"/>
  <c r="O1614" i="2"/>
  <c r="A1614" i="2"/>
  <c r="H1613" i="2"/>
  <c r="O1612" i="2"/>
  <c r="A1612" i="2"/>
  <c r="H1611" i="2"/>
  <c r="O1610" i="2"/>
  <c r="A1610" i="2"/>
  <c r="H1609" i="2"/>
  <c r="O1608" i="2"/>
  <c r="A1608" i="2"/>
  <c r="H1607" i="2"/>
  <c r="O1606" i="2"/>
  <c r="A1606" i="2"/>
  <c r="H1605" i="2"/>
  <c r="O1604" i="2"/>
  <c r="A1604" i="2"/>
  <c r="H1603" i="2"/>
  <c r="O1602" i="2"/>
  <c r="A1602" i="2"/>
  <c r="H1601" i="2"/>
  <c r="O1600" i="2"/>
  <c r="A1600" i="2"/>
  <c r="H1599" i="2"/>
  <c r="O1598" i="2"/>
  <c r="A1598" i="2"/>
  <c r="H1597" i="2"/>
  <c r="O1596" i="2"/>
  <c r="A1596" i="2"/>
  <c r="H1595" i="2"/>
  <c r="O1594" i="2"/>
  <c r="A1594" i="2"/>
  <c r="H1593" i="2"/>
  <c r="O1592" i="2"/>
  <c r="A1592" i="2"/>
  <c r="H1591" i="2"/>
  <c r="O1590" i="2"/>
  <c r="A1590" i="2"/>
  <c r="H1589" i="2"/>
  <c r="O1588" i="2"/>
  <c r="A1588" i="2"/>
  <c r="H1587" i="2"/>
  <c r="O1586" i="2"/>
  <c r="A1586" i="2"/>
  <c r="H1585" i="2"/>
  <c r="O1584" i="2"/>
  <c r="A1584" i="2"/>
  <c r="H1583" i="2"/>
  <c r="O1582" i="2"/>
  <c r="A1582" i="2"/>
  <c r="H1581" i="2"/>
  <c r="O1580" i="2"/>
  <c r="K1751" i="2"/>
  <c r="R1740" i="2"/>
  <c r="E1730" i="2"/>
  <c r="K1719" i="2"/>
  <c r="R1708" i="2"/>
  <c r="R1700" i="2"/>
  <c r="H1694" i="2"/>
  <c r="D1688" i="2"/>
  <c r="R1682" i="2"/>
  <c r="H1678" i="2"/>
  <c r="G1671" i="2"/>
  <c r="N1668" i="2"/>
  <c r="T1665" i="2"/>
  <c r="G1663" i="2"/>
  <c r="N1660" i="2"/>
  <c r="T1657" i="2"/>
  <c r="G1655" i="2"/>
  <c r="N1652" i="2"/>
  <c r="T1649" i="2"/>
  <c r="G1647" i="2"/>
  <c r="N1644" i="2"/>
  <c r="T1641" i="2"/>
  <c r="G1639" i="2"/>
  <c r="N1636" i="2"/>
  <c r="T1633" i="2"/>
  <c r="M1631" i="2"/>
  <c r="S1629" i="2"/>
  <c r="G1628" i="2"/>
  <c r="T1626" i="2"/>
  <c r="S1625" i="2"/>
  <c r="S1624" i="2"/>
  <c r="T1623" i="2"/>
  <c r="E1623" i="2"/>
  <c r="O1621" i="2"/>
  <c r="T1620" i="2"/>
  <c r="F1620" i="2"/>
  <c r="J1619" i="2"/>
  <c r="P1618" i="2"/>
  <c r="A1618" i="2"/>
  <c r="G1617" i="2"/>
  <c r="N1616" i="2"/>
  <c r="T1615" i="2"/>
  <c r="G1615" i="2"/>
  <c r="N1614" i="2"/>
  <c r="T1613" i="2"/>
  <c r="G1613" i="2"/>
  <c r="N1612" i="2"/>
  <c r="T1611" i="2"/>
  <c r="G1611" i="2"/>
  <c r="N1610" i="2"/>
  <c r="T1609" i="2"/>
  <c r="G1609" i="2"/>
  <c r="N1608" i="2"/>
  <c r="T1607" i="2"/>
  <c r="G1607" i="2"/>
  <c r="N1606" i="2"/>
  <c r="T1605" i="2"/>
  <c r="G1605" i="2"/>
  <c r="N1604" i="2"/>
  <c r="T1603" i="2"/>
  <c r="G1603" i="2"/>
  <c r="N1602" i="2"/>
  <c r="T1601" i="2"/>
  <c r="G1601" i="2"/>
  <c r="N1600" i="2"/>
  <c r="T1599" i="2"/>
  <c r="G1599" i="2"/>
  <c r="N1598" i="2"/>
  <c r="T1597" i="2"/>
  <c r="G1597" i="2"/>
  <c r="N1596" i="2"/>
  <c r="T1595" i="2"/>
  <c r="G1595" i="2"/>
  <c r="N1594" i="2"/>
  <c r="T1593" i="2"/>
  <c r="G1593" i="2"/>
  <c r="N1592" i="2"/>
  <c r="T1591" i="2"/>
  <c r="G1591" i="2"/>
  <c r="N1590" i="2"/>
  <c r="T1589" i="2"/>
  <c r="G1589" i="2"/>
  <c r="N1588" i="2"/>
  <c r="T1587" i="2"/>
  <c r="G1587" i="2"/>
  <c r="N1586" i="2"/>
  <c r="T1585" i="2"/>
  <c r="G1585" i="2"/>
  <c r="N1584" i="2"/>
  <c r="T1583" i="2"/>
  <c r="G1583" i="2"/>
  <c r="N1582" i="2"/>
  <c r="T1581" i="2"/>
  <c r="G1581" i="2"/>
  <c r="N1580" i="2"/>
  <c r="T1579" i="2"/>
  <c r="G1579" i="2"/>
  <c r="N1578" i="2"/>
  <c r="J1751" i="2"/>
  <c r="Q1740" i="2"/>
  <c r="D1730" i="2"/>
  <c r="J1719" i="2"/>
  <c r="Q1708" i="2"/>
  <c r="Q1700" i="2"/>
  <c r="F1694" i="2"/>
  <c r="T1687" i="2"/>
  <c r="Q1682" i="2"/>
  <c r="G1678" i="2"/>
  <c r="H1674" i="2"/>
  <c r="F1671" i="2"/>
  <c r="M1668" i="2"/>
  <c r="S1665" i="2"/>
  <c r="F1663" i="2"/>
  <c r="M1660" i="2"/>
  <c r="S1657" i="2"/>
  <c r="F1655" i="2"/>
  <c r="M1652" i="2"/>
  <c r="S1649" i="2"/>
  <c r="F1647" i="2"/>
  <c r="M1644" i="2"/>
  <c r="S1641" i="2"/>
  <c r="F1639" i="2"/>
  <c r="M1636" i="2"/>
  <c r="S1633" i="2"/>
  <c r="G1631" i="2"/>
  <c r="R1629" i="2"/>
  <c r="F1628" i="2"/>
  <c r="S1626" i="2"/>
  <c r="R1625" i="2"/>
  <c r="P1624" i="2"/>
  <c r="S1623" i="2"/>
  <c r="C1623" i="2"/>
  <c r="H1622" i="2"/>
  <c r="N1621" i="2"/>
  <c r="S1620" i="2"/>
  <c r="D1620" i="2"/>
  <c r="O1618" i="2"/>
  <c r="T1617" i="2"/>
  <c r="F1617" i="2"/>
  <c r="M1616" i="2"/>
  <c r="S1615" i="2"/>
  <c r="F1615" i="2"/>
  <c r="M1614" i="2"/>
  <c r="S1613" i="2"/>
  <c r="F1613" i="2"/>
  <c r="M1612" i="2"/>
  <c r="S1611" i="2"/>
  <c r="F1611" i="2"/>
  <c r="M1610" i="2"/>
  <c r="S1609" i="2"/>
  <c r="F1609" i="2"/>
  <c r="M1608" i="2"/>
  <c r="S1607" i="2"/>
  <c r="F1607" i="2"/>
  <c r="M1606" i="2"/>
  <c r="S1605" i="2"/>
  <c r="F1605" i="2"/>
  <c r="M1604" i="2"/>
  <c r="S1603" i="2"/>
  <c r="F1603" i="2"/>
  <c r="M1602" i="2"/>
  <c r="S1601" i="2"/>
  <c r="F1601" i="2"/>
  <c r="M1600" i="2"/>
  <c r="S1599" i="2"/>
  <c r="F1599" i="2"/>
  <c r="M1598" i="2"/>
  <c r="S1597" i="2"/>
  <c r="F1597" i="2"/>
  <c r="M1596" i="2"/>
  <c r="S1595" i="2"/>
  <c r="F1595" i="2"/>
  <c r="M1594" i="2"/>
  <c r="S1593" i="2"/>
  <c r="F1593" i="2"/>
  <c r="M1592" i="2"/>
  <c r="S1591" i="2"/>
  <c r="F1591" i="2"/>
  <c r="M1590" i="2"/>
  <c r="S1589" i="2"/>
  <c r="F1589" i="2"/>
  <c r="M1588" i="2"/>
  <c r="S1587" i="2"/>
  <c r="F1587" i="2"/>
  <c r="M1586" i="2"/>
  <c r="S1585" i="2"/>
  <c r="F1585" i="2"/>
  <c r="M1584" i="2"/>
  <c r="S1583" i="2"/>
  <c r="F1583" i="2"/>
  <c r="M1582" i="2"/>
  <c r="S1581" i="2"/>
  <c r="F1581" i="2"/>
  <c r="M1580" i="2"/>
  <c r="S1579" i="2"/>
  <c r="F1579" i="2"/>
  <c r="M1578" i="2"/>
  <c r="S1577" i="2"/>
  <c r="F1577" i="2"/>
  <c r="M1576" i="2"/>
  <c r="S1575" i="2"/>
  <c r="F1575" i="2"/>
  <c r="M1574" i="2"/>
  <c r="S1573" i="2"/>
  <c r="F1573" i="2"/>
  <c r="M1572" i="2"/>
  <c r="S1571" i="2"/>
  <c r="F1571" i="2"/>
  <c r="M1570" i="2"/>
  <c r="S1569" i="2"/>
  <c r="F1569" i="2"/>
  <c r="M1568" i="2"/>
  <c r="S1567" i="2"/>
  <c r="F1567" i="2"/>
  <c r="M1566" i="2"/>
  <c r="S1565" i="2"/>
  <c r="F1565" i="2"/>
  <c r="M1564" i="2"/>
  <c r="S1563" i="2"/>
  <c r="F1563" i="2"/>
  <c r="M1562" i="2"/>
  <c r="S1561" i="2"/>
  <c r="S1750" i="2"/>
  <c r="F1740" i="2"/>
  <c r="M1729" i="2"/>
  <c r="S1718" i="2"/>
  <c r="F1708" i="2"/>
  <c r="N1700" i="2"/>
  <c r="E1694" i="2"/>
  <c r="O1687" i="2"/>
  <c r="N1682" i="2"/>
  <c r="F1678" i="2"/>
  <c r="G1674" i="2"/>
  <c r="E1671" i="2"/>
  <c r="K1668" i="2"/>
  <c r="R1665" i="2"/>
  <c r="E1663" i="2"/>
  <c r="K1660" i="2"/>
  <c r="R1657" i="2"/>
  <c r="E1655" i="2"/>
  <c r="K1652" i="2"/>
  <c r="R1649" i="2"/>
  <c r="E1647" i="2"/>
  <c r="K1644" i="2"/>
  <c r="R1641" i="2"/>
  <c r="E1639" i="2"/>
  <c r="K1636" i="2"/>
  <c r="R1633" i="2"/>
  <c r="F1631" i="2"/>
  <c r="N1629" i="2"/>
  <c r="C1628" i="2"/>
  <c r="P1626" i="2"/>
  <c r="P1625" i="2"/>
  <c r="O1624" i="2"/>
  <c r="R1623" i="2"/>
  <c r="A1623" i="2"/>
  <c r="G1622" i="2"/>
  <c r="M1621" i="2"/>
  <c r="Q1620" i="2"/>
  <c r="C1620" i="2"/>
  <c r="H1619" i="2"/>
  <c r="N1618" i="2"/>
  <c r="S1617" i="2"/>
  <c r="E1617" i="2"/>
  <c r="K1616" i="2"/>
  <c r="R1615" i="2"/>
  <c r="E1615" i="2"/>
  <c r="K1614" i="2"/>
  <c r="R1613" i="2"/>
  <c r="E1613" i="2"/>
  <c r="K1612" i="2"/>
  <c r="R1611" i="2"/>
  <c r="E1611" i="2"/>
  <c r="K1610" i="2"/>
  <c r="R1609" i="2"/>
  <c r="E1609" i="2"/>
  <c r="K1608" i="2"/>
  <c r="R1607" i="2"/>
  <c r="E1607" i="2"/>
  <c r="K1606" i="2"/>
  <c r="R1605" i="2"/>
  <c r="E1605" i="2"/>
  <c r="K1604" i="2"/>
  <c r="R1603" i="2"/>
  <c r="E1603" i="2"/>
  <c r="K1602" i="2"/>
  <c r="R1601" i="2"/>
  <c r="E1601" i="2"/>
  <c r="K1600" i="2"/>
  <c r="R1599" i="2"/>
  <c r="E1599" i="2"/>
  <c r="K1598" i="2"/>
  <c r="R1597" i="2"/>
  <c r="E1597" i="2"/>
  <c r="K1596" i="2"/>
  <c r="R1595" i="2"/>
  <c r="E1595" i="2"/>
  <c r="K1594" i="2"/>
  <c r="R1593" i="2"/>
  <c r="E1593" i="2"/>
  <c r="K1592" i="2"/>
  <c r="R1591" i="2"/>
  <c r="E1591" i="2"/>
  <c r="K1590" i="2"/>
  <c r="R1589" i="2"/>
  <c r="E1589" i="2"/>
  <c r="K1588" i="2"/>
  <c r="R1587" i="2"/>
  <c r="E1587" i="2"/>
  <c r="K1586" i="2"/>
  <c r="R1585" i="2"/>
  <c r="E1585" i="2"/>
  <c r="K1584" i="2"/>
  <c r="R1583" i="2"/>
  <c r="E1583" i="2"/>
  <c r="K1582" i="2"/>
  <c r="R1581" i="2"/>
  <c r="E1581" i="2"/>
  <c r="K1580" i="2"/>
  <c r="R1579" i="2"/>
  <c r="E1579" i="2"/>
  <c r="K1578" i="2"/>
  <c r="R1577" i="2"/>
  <c r="E1577" i="2"/>
  <c r="K1576" i="2"/>
  <c r="D1746" i="2"/>
  <c r="J1735" i="2"/>
  <c r="Q1724" i="2"/>
  <c r="D1714" i="2"/>
  <c r="T1703" i="2"/>
  <c r="K1697" i="2"/>
  <c r="A1691" i="2"/>
  <c r="A1685" i="2"/>
  <c r="K1680" i="2"/>
  <c r="G1676" i="2"/>
  <c r="Q1672" i="2"/>
  <c r="S1669" i="2"/>
  <c r="F1667" i="2"/>
  <c r="M1664" i="2"/>
  <c r="S1661" i="2"/>
  <c r="F1659" i="2"/>
  <c r="M1656" i="2"/>
  <c r="S1653" i="2"/>
  <c r="F1651" i="2"/>
  <c r="M1648" i="2"/>
  <c r="S1645" i="2"/>
  <c r="F1643" i="2"/>
  <c r="M1640" i="2"/>
  <c r="S1637" i="2"/>
  <c r="F1635" i="2"/>
  <c r="M1632" i="2"/>
  <c r="M1630" i="2"/>
  <c r="T1628" i="2"/>
  <c r="M1627" i="2"/>
  <c r="G1626" i="2"/>
  <c r="G1625" i="2"/>
  <c r="G1624" i="2"/>
  <c r="J1623" i="2"/>
  <c r="O1622" i="2"/>
  <c r="T1621" i="2"/>
  <c r="F1621" i="2"/>
  <c r="K1620" i="2"/>
  <c r="Q1619" i="2"/>
  <c r="C1619" i="2"/>
  <c r="H1618" i="2"/>
  <c r="N1617" i="2"/>
  <c r="S1616" i="2"/>
  <c r="F1616" i="2"/>
  <c r="M1615" i="2"/>
  <c r="S1614" i="2"/>
  <c r="F1614" i="2"/>
  <c r="M1613" i="2"/>
  <c r="S1612" i="2"/>
  <c r="F1612" i="2"/>
  <c r="M1611" i="2"/>
  <c r="S1610" i="2"/>
  <c r="F1610" i="2"/>
  <c r="M1609" i="2"/>
  <c r="S1608" i="2"/>
  <c r="F1608" i="2"/>
  <c r="M1607" i="2"/>
  <c r="S1606" i="2"/>
  <c r="F1606" i="2"/>
  <c r="M1605" i="2"/>
  <c r="S1604" i="2"/>
  <c r="F1604" i="2"/>
  <c r="M1603" i="2"/>
  <c r="S1602" i="2"/>
  <c r="F1602" i="2"/>
  <c r="M1601" i="2"/>
  <c r="S1600" i="2"/>
  <c r="F1600" i="2"/>
  <c r="M1599" i="2"/>
  <c r="S1598" i="2"/>
  <c r="F1598" i="2"/>
  <c r="M1597" i="2"/>
  <c r="S1596" i="2"/>
  <c r="F1596" i="2"/>
  <c r="M1595" i="2"/>
  <c r="S1594" i="2"/>
  <c r="F1594" i="2"/>
  <c r="M1593" i="2"/>
  <c r="S1592" i="2"/>
  <c r="F1592" i="2"/>
  <c r="M1591" i="2"/>
  <c r="S1590" i="2"/>
  <c r="F1590" i="2"/>
  <c r="M1589" i="2"/>
  <c r="S1588" i="2"/>
  <c r="F1588" i="2"/>
  <c r="M1587" i="2"/>
  <c r="S1586" i="2"/>
  <c r="F1586" i="2"/>
  <c r="M1585" i="2"/>
  <c r="S1584" i="2"/>
  <c r="F1584" i="2"/>
  <c r="M1583" i="2"/>
  <c r="S1582" i="2"/>
  <c r="F1582" i="2"/>
  <c r="M1581" i="2"/>
  <c r="S1580" i="2"/>
  <c r="F1580" i="2"/>
  <c r="M1579" i="2"/>
  <c r="S1578" i="2"/>
  <c r="F1578" i="2"/>
  <c r="M1745" i="2"/>
  <c r="S1734" i="2"/>
  <c r="F1724" i="2"/>
  <c r="M1713" i="2"/>
  <c r="O1703" i="2"/>
  <c r="J1697" i="2"/>
  <c r="S1690" i="2"/>
  <c r="S1684" i="2"/>
  <c r="H1680" i="2"/>
  <c r="F1676" i="2"/>
  <c r="P1672" i="2"/>
  <c r="R1669" i="2"/>
  <c r="E1667" i="2"/>
  <c r="K1664" i="2"/>
  <c r="R1661" i="2"/>
  <c r="E1659" i="2"/>
  <c r="K1656" i="2"/>
  <c r="R1653" i="2"/>
  <c r="E1651" i="2"/>
  <c r="K1648" i="2"/>
  <c r="R1645" i="2"/>
  <c r="E1643" i="2"/>
  <c r="K1640" i="2"/>
  <c r="R1637" i="2"/>
  <c r="E1635" i="2"/>
  <c r="K1632" i="2"/>
  <c r="K1630" i="2"/>
  <c r="S1628" i="2"/>
  <c r="F1626" i="2"/>
  <c r="F1625" i="2"/>
  <c r="F1624" i="2"/>
  <c r="N1622" i="2"/>
  <c r="S1621" i="2"/>
  <c r="E1621" i="2"/>
  <c r="J1620" i="2"/>
  <c r="P1619" i="2"/>
  <c r="A1619" i="2"/>
  <c r="G1618" i="2"/>
  <c r="M1617" i="2"/>
  <c r="R1616" i="2"/>
  <c r="E1616" i="2"/>
  <c r="K1615" i="2"/>
  <c r="R1614" i="2"/>
  <c r="E1614" i="2"/>
  <c r="K1613" i="2"/>
  <c r="R1612" i="2"/>
  <c r="E1612" i="2"/>
  <c r="K1611" i="2"/>
  <c r="R1610" i="2"/>
  <c r="E1610" i="2"/>
  <c r="K1609" i="2"/>
  <c r="R1608" i="2"/>
  <c r="E1608" i="2"/>
  <c r="K1607" i="2"/>
  <c r="R1606" i="2"/>
  <c r="E1606" i="2"/>
  <c r="K1605" i="2"/>
  <c r="R1604" i="2"/>
  <c r="E1604" i="2"/>
  <c r="K1603" i="2"/>
  <c r="R1602" i="2"/>
  <c r="E1602" i="2"/>
  <c r="K1601" i="2"/>
  <c r="R1600" i="2"/>
  <c r="E1600" i="2"/>
  <c r="K1599" i="2"/>
  <c r="R1598" i="2"/>
  <c r="E1598" i="2"/>
  <c r="K1597" i="2"/>
  <c r="R1596" i="2"/>
  <c r="E1596" i="2"/>
  <c r="K1595" i="2"/>
  <c r="R1594" i="2"/>
  <c r="E1594" i="2"/>
  <c r="K1593" i="2"/>
  <c r="R1592" i="2"/>
  <c r="E1592" i="2"/>
  <c r="K1591" i="2"/>
  <c r="R1590" i="2"/>
  <c r="E1590" i="2"/>
  <c r="R1748" i="2"/>
  <c r="R1716" i="2"/>
  <c r="R1692" i="2"/>
  <c r="J1677" i="2"/>
  <c r="T1667" i="2"/>
  <c r="T1659" i="2"/>
  <c r="T1651" i="2"/>
  <c r="T1643" i="2"/>
  <c r="T1635" i="2"/>
  <c r="M1629" i="2"/>
  <c r="N1625" i="2"/>
  <c r="T1622" i="2"/>
  <c r="P1620" i="2"/>
  <c r="M1618" i="2"/>
  <c r="J1616" i="2"/>
  <c r="J1614" i="2"/>
  <c r="J1612" i="2"/>
  <c r="J1610" i="2"/>
  <c r="J1608" i="2"/>
  <c r="J1606" i="2"/>
  <c r="J1604" i="2"/>
  <c r="J1602" i="2"/>
  <c r="J1600" i="2"/>
  <c r="J1598" i="2"/>
  <c r="J1596" i="2"/>
  <c r="J1594" i="2"/>
  <c r="J1592" i="2"/>
  <c r="J1590" i="2"/>
  <c r="T1588" i="2"/>
  <c r="D1587" i="2"/>
  <c r="O1585" i="2"/>
  <c r="E1584" i="2"/>
  <c r="T1580" i="2"/>
  <c r="K1579" i="2"/>
  <c r="E1578" i="2"/>
  <c r="G1577" i="2"/>
  <c r="H1576" i="2"/>
  <c r="M1575" i="2"/>
  <c r="P1574" i="2"/>
  <c r="T1573" i="2"/>
  <c r="D1573" i="2"/>
  <c r="H1572" i="2"/>
  <c r="M1571" i="2"/>
  <c r="P1570" i="2"/>
  <c r="T1569" i="2"/>
  <c r="D1569" i="2"/>
  <c r="H1568" i="2"/>
  <c r="M1567" i="2"/>
  <c r="P1566" i="2"/>
  <c r="T1565" i="2"/>
  <c r="D1565" i="2"/>
  <c r="H1564" i="2"/>
  <c r="M1563" i="2"/>
  <c r="P1562" i="2"/>
  <c r="T1561" i="2"/>
  <c r="E1561" i="2"/>
  <c r="J1560" i="2"/>
  <c r="Q1559" i="2"/>
  <c r="D1559" i="2"/>
  <c r="J1558" i="2"/>
  <c r="Q1557" i="2"/>
  <c r="D1557" i="2"/>
  <c r="J1556" i="2"/>
  <c r="Q1555" i="2"/>
  <c r="D1555" i="2"/>
  <c r="J1554" i="2"/>
  <c r="Q1553" i="2"/>
  <c r="D1553" i="2"/>
  <c r="J1552" i="2"/>
  <c r="Q1551" i="2"/>
  <c r="D1551" i="2"/>
  <c r="J1550" i="2"/>
  <c r="Q1549" i="2"/>
  <c r="D1549" i="2"/>
  <c r="J1548" i="2"/>
  <c r="Q1547" i="2"/>
  <c r="D1547" i="2"/>
  <c r="J1546" i="2"/>
  <c r="Q1545" i="2"/>
  <c r="D1545" i="2"/>
  <c r="J1544" i="2"/>
  <c r="Q1543" i="2"/>
  <c r="D1543" i="2"/>
  <c r="J1542" i="2"/>
  <c r="Q1541" i="2"/>
  <c r="D1541" i="2"/>
  <c r="Q1748" i="2"/>
  <c r="Q1716" i="2"/>
  <c r="Q1692" i="2"/>
  <c r="G1677" i="2"/>
  <c r="S1667" i="2"/>
  <c r="S1659" i="2"/>
  <c r="S1651" i="2"/>
  <c r="S1643" i="2"/>
  <c r="S1635" i="2"/>
  <c r="G1629" i="2"/>
  <c r="M1625" i="2"/>
  <c r="S1622" i="2"/>
  <c r="O1620" i="2"/>
  <c r="K1618" i="2"/>
  <c r="R1588" i="2"/>
  <c r="C1587" i="2"/>
  <c r="N1585" i="2"/>
  <c r="Q1583" i="2"/>
  <c r="H1582" i="2"/>
  <c r="R1580" i="2"/>
  <c r="H1579" i="2"/>
  <c r="C1578" i="2"/>
  <c r="D1577" i="2"/>
  <c r="G1576" i="2"/>
  <c r="K1575" i="2"/>
  <c r="O1574" i="2"/>
  <c r="R1573" i="2"/>
  <c r="C1573" i="2"/>
  <c r="G1572" i="2"/>
  <c r="K1571" i="2"/>
  <c r="O1570" i="2"/>
  <c r="R1569" i="2"/>
  <c r="C1569" i="2"/>
  <c r="G1568" i="2"/>
  <c r="K1567" i="2"/>
  <c r="O1566" i="2"/>
  <c r="R1565" i="2"/>
  <c r="C1565" i="2"/>
  <c r="G1564" i="2"/>
  <c r="K1563" i="2"/>
  <c r="O1562" i="2"/>
  <c r="R1561" i="2"/>
  <c r="D1561" i="2"/>
  <c r="P1559" i="2"/>
  <c r="C1559" i="2"/>
  <c r="P1557" i="2"/>
  <c r="C1557" i="2"/>
  <c r="P1555" i="2"/>
  <c r="C1555" i="2"/>
  <c r="P1553" i="2"/>
  <c r="C1553" i="2"/>
  <c r="P1551" i="2"/>
  <c r="C1551" i="2"/>
  <c r="P1549" i="2"/>
  <c r="C1549" i="2"/>
  <c r="P1547" i="2"/>
  <c r="C1547" i="2"/>
  <c r="P1545" i="2"/>
  <c r="C1545" i="2"/>
  <c r="P1543" i="2"/>
  <c r="C1543" i="2"/>
  <c r="P1541" i="2"/>
  <c r="C1541" i="2"/>
  <c r="P1539" i="2"/>
  <c r="C1539" i="2"/>
  <c r="P1537" i="2"/>
  <c r="C1537" i="2"/>
  <c r="P1535" i="2"/>
  <c r="C1535" i="2"/>
  <c r="P1533" i="2"/>
  <c r="C1533" i="2"/>
  <c r="P1531" i="2"/>
  <c r="C1531" i="2"/>
  <c r="P1529" i="2"/>
  <c r="C1529" i="2"/>
  <c r="P1527" i="2"/>
  <c r="C1527" i="2"/>
  <c r="P1525" i="2"/>
  <c r="C1525" i="2"/>
  <c r="P1523" i="2"/>
  <c r="C1523" i="2"/>
  <c r="P1521" i="2"/>
  <c r="C1521" i="2"/>
  <c r="P1519" i="2"/>
  <c r="C1519" i="2"/>
  <c r="F1748" i="2"/>
  <c r="F1716" i="2"/>
  <c r="N1692" i="2"/>
  <c r="F1677" i="2"/>
  <c r="R1667" i="2"/>
  <c r="R1659" i="2"/>
  <c r="R1651" i="2"/>
  <c r="R1643" i="2"/>
  <c r="R1635" i="2"/>
  <c r="F1629" i="2"/>
  <c r="Q1622" i="2"/>
  <c r="N1620" i="2"/>
  <c r="J1618" i="2"/>
  <c r="H1616" i="2"/>
  <c r="H1614" i="2"/>
  <c r="H1612" i="2"/>
  <c r="H1610" i="2"/>
  <c r="H1608" i="2"/>
  <c r="H1606" i="2"/>
  <c r="H1604" i="2"/>
  <c r="H1602" i="2"/>
  <c r="H1600" i="2"/>
  <c r="H1598" i="2"/>
  <c r="H1596" i="2"/>
  <c r="H1594" i="2"/>
  <c r="H1592" i="2"/>
  <c r="H1590" i="2"/>
  <c r="J1588" i="2"/>
  <c r="A1587" i="2"/>
  <c r="K1585" i="2"/>
  <c r="P1583" i="2"/>
  <c r="G1582" i="2"/>
  <c r="J1580" i="2"/>
  <c r="D1579" i="2"/>
  <c r="A1578" i="2"/>
  <c r="C1577" i="2"/>
  <c r="F1576" i="2"/>
  <c r="N1574" i="2"/>
  <c r="Q1573" i="2"/>
  <c r="A1573" i="2"/>
  <c r="F1572" i="2"/>
  <c r="N1570" i="2"/>
  <c r="Q1569" i="2"/>
  <c r="A1569" i="2"/>
  <c r="F1568" i="2"/>
  <c r="N1566" i="2"/>
  <c r="Q1565" i="2"/>
  <c r="A1565" i="2"/>
  <c r="F1564" i="2"/>
  <c r="N1562" i="2"/>
  <c r="Q1561" i="2"/>
  <c r="C1561" i="2"/>
  <c r="H1560" i="2"/>
  <c r="O1559" i="2"/>
  <c r="A1559" i="2"/>
  <c r="H1558" i="2"/>
  <c r="O1557" i="2"/>
  <c r="A1557" i="2"/>
  <c r="H1556" i="2"/>
  <c r="O1555" i="2"/>
  <c r="A1555" i="2"/>
  <c r="H1554" i="2"/>
  <c r="O1553" i="2"/>
  <c r="A1553" i="2"/>
  <c r="H1552" i="2"/>
  <c r="O1551" i="2"/>
  <c r="A1551" i="2"/>
  <c r="H1550" i="2"/>
  <c r="O1549" i="2"/>
  <c r="A1549" i="2"/>
  <c r="H1548" i="2"/>
  <c r="O1547" i="2"/>
  <c r="A1547" i="2"/>
  <c r="H1546" i="2"/>
  <c r="O1545" i="2"/>
  <c r="A1545" i="2"/>
  <c r="H1544" i="2"/>
  <c r="O1543" i="2"/>
  <c r="A1543" i="2"/>
  <c r="H1542" i="2"/>
  <c r="O1541" i="2"/>
  <c r="A1541" i="2"/>
  <c r="H1540" i="2"/>
  <c r="O1539" i="2"/>
  <c r="A1539" i="2"/>
  <c r="H1538" i="2"/>
  <c r="O1537" i="2"/>
  <c r="A1537" i="2"/>
  <c r="H1536" i="2"/>
  <c r="O1535" i="2"/>
  <c r="A1535" i="2"/>
  <c r="H1534" i="2"/>
  <c r="O1533" i="2"/>
  <c r="A1533" i="2"/>
  <c r="H1532" i="2"/>
  <c r="O1531" i="2"/>
  <c r="A1531" i="2"/>
  <c r="H1530" i="2"/>
  <c r="O1529" i="2"/>
  <c r="A1529" i="2"/>
  <c r="H1528" i="2"/>
  <c r="O1527" i="2"/>
  <c r="A1527" i="2"/>
  <c r="H1526" i="2"/>
  <c r="O1525" i="2"/>
  <c r="A1525" i="2"/>
  <c r="H1524" i="2"/>
  <c r="O1523" i="2"/>
  <c r="A1523" i="2"/>
  <c r="H1522" i="2"/>
  <c r="E1746" i="2"/>
  <c r="E1714" i="2"/>
  <c r="G1691" i="2"/>
  <c r="H1676" i="2"/>
  <c r="G1667" i="2"/>
  <c r="G1659" i="2"/>
  <c r="G1651" i="2"/>
  <c r="G1643" i="2"/>
  <c r="G1635" i="2"/>
  <c r="E1629" i="2"/>
  <c r="H1625" i="2"/>
  <c r="P1622" i="2"/>
  <c r="M1620" i="2"/>
  <c r="G1616" i="2"/>
  <c r="G1614" i="2"/>
  <c r="G1612" i="2"/>
  <c r="G1610" i="2"/>
  <c r="G1608" i="2"/>
  <c r="G1606" i="2"/>
  <c r="G1604" i="2"/>
  <c r="G1602" i="2"/>
  <c r="G1600" i="2"/>
  <c r="G1598" i="2"/>
  <c r="G1596" i="2"/>
  <c r="G1594" i="2"/>
  <c r="G1592" i="2"/>
  <c r="G1590" i="2"/>
  <c r="T1586" i="2"/>
  <c r="D1585" i="2"/>
  <c r="O1583" i="2"/>
  <c r="E1582" i="2"/>
  <c r="C1579" i="2"/>
  <c r="T1577" i="2"/>
  <c r="A1577" i="2"/>
  <c r="E1576" i="2"/>
  <c r="H1575" i="2"/>
  <c r="K1574" i="2"/>
  <c r="P1573" i="2"/>
  <c r="T1572" i="2"/>
  <c r="E1572" i="2"/>
  <c r="H1571" i="2"/>
  <c r="K1570" i="2"/>
  <c r="P1569" i="2"/>
  <c r="T1568" i="2"/>
  <c r="E1568" i="2"/>
  <c r="H1567" i="2"/>
  <c r="K1566" i="2"/>
  <c r="P1565" i="2"/>
  <c r="T1564" i="2"/>
  <c r="E1564" i="2"/>
  <c r="H1563" i="2"/>
  <c r="K1562" i="2"/>
  <c r="P1561" i="2"/>
  <c r="A1561" i="2"/>
  <c r="G1560" i="2"/>
  <c r="N1559" i="2"/>
  <c r="T1558" i="2"/>
  <c r="G1558" i="2"/>
  <c r="N1557" i="2"/>
  <c r="T1556" i="2"/>
  <c r="G1556" i="2"/>
  <c r="N1555" i="2"/>
  <c r="T1554" i="2"/>
  <c r="G1554" i="2"/>
  <c r="N1553" i="2"/>
  <c r="T1552" i="2"/>
  <c r="G1552" i="2"/>
  <c r="N1551" i="2"/>
  <c r="T1550" i="2"/>
  <c r="G1550" i="2"/>
  <c r="N1549" i="2"/>
  <c r="T1548" i="2"/>
  <c r="G1548" i="2"/>
  <c r="N1547" i="2"/>
  <c r="T1546" i="2"/>
  <c r="G1546" i="2"/>
  <c r="N1545" i="2"/>
  <c r="T1544" i="2"/>
  <c r="G1544" i="2"/>
  <c r="N1543" i="2"/>
  <c r="T1542" i="2"/>
  <c r="G1542" i="2"/>
  <c r="N1541" i="2"/>
  <c r="T1540" i="2"/>
  <c r="G1540" i="2"/>
  <c r="N1539" i="2"/>
  <c r="T1538" i="2"/>
  <c r="G1538" i="2"/>
  <c r="N1537" i="2"/>
  <c r="T1536" i="2"/>
  <c r="G1536" i="2"/>
  <c r="N1535" i="2"/>
  <c r="T1534" i="2"/>
  <c r="G1534" i="2"/>
  <c r="N1533" i="2"/>
  <c r="T1532" i="2"/>
  <c r="G1532" i="2"/>
  <c r="N1531" i="2"/>
  <c r="T1530" i="2"/>
  <c r="G1530" i="2"/>
  <c r="N1529" i="2"/>
  <c r="T1528" i="2"/>
  <c r="G1528" i="2"/>
  <c r="N1527" i="2"/>
  <c r="T1526" i="2"/>
  <c r="G1526" i="2"/>
  <c r="N1525" i="2"/>
  <c r="T1524" i="2"/>
  <c r="G1524" i="2"/>
  <c r="N1523" i="2"/>
  <c r="T1522" i="2"/>
  <c r="G1522" i="2"/>
  <c r="E1738" i="2"/>
  <c r="E1706" i="2"/>
  <c r="H1686" i="2"/>
  <c r="N1673" i="2"/>
  <c r="G1665" i="2"/>
  <c r="G1657" i="2"/>
  <c r="G1649" i="2"/>
  <c r="G1641" i="2"/>
  <c r="G1633" i="2"/>
  <c r="T1627" i="2"/>
  <c r="N1624" i="2"/>
  <c r="F1622" i="2"/>
  <c r="A1620" i="2"/>
  <c r="R1617" i="2"/>
  <c r="Q1615" i="2"/>
  <c r="Q1613" i="2"/>
  <c r="Q1611" i="2"/>
  <c r="Q1609" i="2"/>
  <c r="Q1607" i="2"/>
  <c r="Q1605" i="2"/>
  <c r="Q1603" i="2"/>
  <c r="Q1601" i="2"/>
  <c r="Q1599" i="2"/>
  <c r="Q1597" i="2"/>
  <c r="Q1595" i="2"/>
  <c r="Q1593" i="2"/>
  <c r="Q1591" i="2"/>
  <c r="Q1589" i="2"/>
  <c r="H1588" i="2"/>
  <c r="R1586" i="2"/>
  <c r="C1585" i="2"/>
  <c r="N1583" i="2"/>
  <c r="Q1581" i="2"/>
  <c r="H1580" i="2"/>
  <c r="A1579" i="2"/>
  <c r="Q1577" i="2"/>
  <c r="T1576" i="2"/>
  <c r="C1576" i="2"/>
  <c r="G1575" i="2"/>
  <c r="J1574" i="2"/>
  <c r="O1573" i="2"/>
  <c r="S1572" i="2"/>
  <c r="C1572" i="2"/>
  <c r="G1571" i="2"/>
  <c r="J1570" i="2"/>
  <c r="O1569" i="2"/>
  <c r="S1568" i="2"/>
  <c r="C1568" i="2"/>
  <c r="G1567" i="2"/>
  <c r="J1566" i="2"/>
  <c r="O1565" i="2"/>
  <c r="S1564" i="2"/>
  <c r="C1564" i="2"/>
  <c r="G1563" i="2"/>
  <c r="J1562" i="2"/>
  <c r="O1561" i="2"/>
  <c r="T1560" i="2"/>
  <c r="F1560" i="2"/>
  <c r="M1559" i="2"/>
  <c r="S1558" i="2"/>
  <c r="F1558" i="2"/>
  <c r="M1557" i="2"/>
  <c r="S1556" i="2"/>
  <c r="F1556" i="2"/>
  <c r="M1555" i="2"/>
  <c r="S1554" i="2"/>
  <c r="F1554" i="2"/>
  <c r="M1553" i="2"/>
  <c r="S1552" i="2"/>
  <c r="F1552" i="2"/>
  <c r="M1551" i="2"/>
  <c r="S1550" i="2"/>
  <c r="F1550" i="2"/>
  <c r="M1549" i="2"/>
  <c r="S1548" i="2"/>
  <c r="F1548" i="2"/>
  <c r="M1547" i="2"/>
  <c r="S1546" i="2"/>
  <c r="F1546" i="2"/>
  <c r="M1545" i="2"/>
  <c r="S1544" i="2"/>
  <c r="F1544" i="2"/>
  <c r="M1543" i="2"/>
  <c r="S1542" i="2"/>
  <c r="F1542" i="2"/>
  <c r="M1541" i="2"/>
  <c r="S1540" i="2"/>
  <c r="D1738" i="2"/>
  <c r="D1706" i="2"/>
  <c r="F1686" i="2"/>
  <c r="M1673" i="2"/>
  <c r="F1665" i="2"/>
  <c r="F1657" i="2"/>
  <c r="F1649" i="2"/>
  <c r="F1641" i="2"/>
  <c r="F1633" i="2"/>
  <c r="S1627" i="2"/>
  <c r="M1624" i="2"/>
  <c r="D1622" i="2"/>
  <c r="T1619" i="2"/>
  <c r="Q1617" i="2"/>
  <c r="P1615" i="2"/>
  <c r="P1613" i="2"/>
  <c r="P1611" i="2"/>
  <c r="P1609" i="2"/>
  <c r="P1607" i="2"/>
  <c r="P1605" i="2"/>
  <c r="P1603" i="2"/>
  <c r="P1601" i="2"/>
  <c r="P1599" i="2"/>
  <c r="P1597" i="2"/>
  <c r="P1595" i="2"/>
  <c r="P1593" i="2"/>
  <c r="P1591" i="2"/>
  <c r="P1589" i="2"/>
  <c r="G1588" i="2"/>
  <c r="J1586" i="2"/>
  <c r="A1585" i="2"/>
  <c r="K1583" i="2"/>
  <c r="P1581" i="2"/>
  <c r="G1580" i="2"/>
  <c r="T1578" i="2"/>
  <c r="P1577" i="2"/>
  <c r="S1576" i="2"/>
  <c r="A1576" i="2"/>
  <c r="E1575" i="2"/>
  <c r="N1573" i="2"/>
  <c r="R1572" i="2"/>
  <c r="A1572" i="2"/>
  <c r="E1571" i="2"/>
  <c r="N1569" i="2"/>
  <c r="R1568" i="2"/>
  <c r="A1568" i="2"/>
  <c r="E1567" i="2"/>
  <c r="N1565" i="2"/>
  <c r="R1564" i="2"/>
  <c r="A1564" i="2"/>
  <c r="E1563" i="2"/>
  <c r="N1561" i="2"/>
  <c r="S1560" i="2"/>
  <c r="E1560" i="2"/>
  <c r="K1559" i="2"/>
  <c r="R1558" i="2"/>
  <c r="E1558" i="2"/>
  <c r="K1557" i="2"/>
  <c r="R1556" i="2"/>
  <c r="E1556" i="2"/>
  <c r="K1555" i="2"/>
  <c r="R1554" i="2"/>
  <c r="E1554" i="2"/>
  <c r="K1553" i="2"/>
  <c r="R1552" i="2"/>
  <c r="E1552" i="2"/>
  <c r="K1551" i="2"/>
  <c r="R1550" i="2"/>
  <c r="E1550" i="2"/>
  <c r="K1549" i="2"/>
  <c r="R1548" i="2"/>
  <c r="E1548" i="2"/>
  <c r="K1547" i="2"/>
  <c r="R1546" i="2"/>
  <c r="E1546" i="2"/>
  <c r="K1545" i="2"/>
  <c r="R1544" i="2"/>
  <c r="E1544" i="2"/>
  <c r="K1543" i="2"/>
  <c r="R1542" i="2"/>
  <c r="E1542" i="2"/>
  <c r="K1541" i="2"/>
  <c r="R1540" i="2"/>
  <c r="E1540" i="2"/>
  <c r="K1539" i="2"/>
  <c r="R1538" i="2"/>
  <c r="E1538" i="2"/>
  <c r="K1537" i="2"/>
  <c r="R1536" i="2"/>
  <c r="E1536" i="2"/>
  <c r="K1535" i="2"/>
  <c r="R1534" i="2"/>
  <c r="E1534" i="2"/>
  <c r="K1533" i="2"/>
  <c r="R1532" i="2"/>
  <c r="E1532" i="2"/>
  <c r="K1531" i="2"/>
  <c r="R1530" i="2"/>
  <c r="E1530" i="2"/>
  <c r="K1529" i="2"/>
  <c r="R1528" i="2"/>
  <c r="E1528" i="2"/>
  <c r="K1527" i="2"/>
  <c r="R1526" i="2"/>
  <c r="E1526" i="2"/>
  <c r="K1525" i="2"/>
  <c r="R1524" i="2"/>
  <c r="E1524" i="2"/>
  <c r="K1523" i="2"/>
  <c r="R1522" i="2"/>
  <c r="E1522" i="2"/>
  <c r="K1521" i="2"/>
  <c r="R1520" i="2"/>
  <c r="E1520" i="2"/>
  <c r="K1519" i="2"/>
  <c r="R1518" i="2"/>
  <c r="E1518" i="2"/>
  <c r="K1517" i="2"/>
  <c r="R1516" i="2"/>
  <c r="E1516" i="2"/>
  <c r="K1515" i="2"/>
  <c r="R1514" i="2"/>
  <c r="S1726" i="2"/>
  <c r="S1698" i="2"/>
  <c r="K1681" i="2"/>
  <c r="K1670" i="2"/>
  <c r="K1662" i="2"/>
  <c r="K1654" i="2"/>
  <c r="K1646" i="2"/>
  <c r="K1638" i="2"/>
  <c r="S1630" i="2"/>
  <c r="K1626" i="2"/>
  <c r="N1623" i="2"/>
  <c r="H1621" i="2"/>
  <c r="E1619" i="2"/>
  <c r="A1617" i="2"/>
  <c r="A1615" i="2"/>
  <c r="A1613" i="2"/>
  <c r="A1611" i="2"/>
  <c r="A1609" i="2"/>
  <c r="A1607" i="2"/>
  <c r="A1605" i="2"/>
  <c r="A1603" i="2"/>
  <c r="A1601" i="2"/>
  <c r="A1599" i="2"/>
  <c r="A1597" i="2"/>
  <c r="A1595" i="2"/>
  <c r="A1593" i="2"/>
  <c r="A1591" i="2"/>
  <c r="C1589" i="2"/>
  <c r="N1587" i="2"/>
  <c r="Q1585" i="2"/>
  <c r="H1584" i="2"/>
  <c r="R1582" i="2"/>
  <c r="C1581" i="2"/>
  <c r="O1579" i="2"/>
  <c r="H1578" i="2"/>
  <c r="J1576" i="2"/>
  <c r="O1575" i="2"/>
  <c r="S1574" i="2"/>
  <c r="C1574" i="2"/>
  <c r="G1573" i="2"/>
  <c r="J1572" i="2"/>
  <c r="O1571" i="2"/>
  <c r="S1570" i="2"/>
  <c r="C1570" i="2"/>
  <c r="G1569" i="2"/>
  <c r="J1568" i="2"/>
  <c r="O1567" i="2"/>
  <c r="S1566" i="2"/>
  <c r="C1566" i="2"/>
  <c r="G1565" i="2"/>
  <c r="J1564" i="2"/>
  <c r="O1563" i="2"/>
  <c r="S1562" i="2"/>
  <c r="C1562" i="2"/>
  <c r="G1561" i="2"/>
  <c r="M1560" i="2"/>
  <c r="S1559" i="2"/>
  <c r="F1559" i="2"/>
  <c r="M1558" i="2"/>
  <c r="S1557" i="2"/>
  <c r="F1557" i="2"/>
  <c r="M1556" i="2"/>
  <c r="S1555" i="2"/>
  <c r="F1555" i="2"/>
  <c r="M1554" i="2"/>
  <c r="S1553" i="2"/>
  <c r="F1553" i="2"/>
  <c r="M1552" i="2"/>
  <c r="S1551" i="2"/>
  <c r="F1551" i="2"/>
  <c r="M1550" i="2"/>
  <c r="S1549" i="2"/>
  <c r="F1549" i="2"/>
  <c r="M1548" i="2"/>
  <c r="S1547" i="2"/>
  <c r="F1547" i="2"/>
  <c r="M1546" i="2"/>
  <c r="S1545" i="2"/>
  <c r="F1545" i="2"/>
  <c r="M1544" i="2"/>
  <c r="S1543" i="2"/>
  <c r="F1543" i="2"/>
  <c r="M1542" i="2"/>
  <c r="S1541" i="2"/>
  <c r="F1541" i="2"/>
  <c r="M1540" i="2"/>
  <c r="S1539" i="2"/>
  <c r="F1539" i="2"/>
  <c r="M1538" i="2"/>
  <c r="S1537" i="2"/>
  <c r="F1537" i="2"/>
  <c r="M1536" i="2"/>
  <c r="S1535" i="2"/>
  <c r="F1535" i="2"/>
  <c r="M1534" i="2"/>
  <c r="S1533" i="2"/>
  <c r="F1533" i="2"/>
  <c r="M1532" i="2"/>
  <c r="S1531" i="2"/>
  <c r="F1531" i="2"/>
  <c r="M1530" i="2"/>
  <c r="S1529" i="2"/>
  <c r="F1529" i="2"/>
  <c r="M1528" i="2"/>
  <c r="S1527" i="2"/>
  <c r="F1527" i="2"/>
  <c r="M1526" i="2"/>
  <c r="S1525" i="2"/>
  <c r="F1525" i="2"/>
  <c r="M1524" i="2"/>
  <c r="S1523" i="2"/>
  <c r="F1523" i="2"/>
  <c r="M1522" i="2"/>
  <c r="S1521" i="2"/>
  <c r="F1521" i="2"/>
  <c r="M1520" i="2"/>
  <c r="S1519" i="2"/>
  <c r="F1519" i="2"/>
  <c r="M1518" i="2"/>
  <c r="S1517" i="2"/>
  <c r="F1517" i="2"/>
  <c r="M1516" i="2"/>
  <c r="S1515" i="2"/>
  <c r="F1515" i="2"/>
  <c r="M1514" i="2"/>
  <c r="S1513" i="2"/>
  <c r="R1724" i="2"/>
  <c r="M1697" i="2"/>
  <c r="M1680" i="2"/>
  <c r="T1669" i="2"/>
  <c r="T1661" i="2"/>
  <c r="T1653" i="2"/>
  <c r="T1645" i="2"/>
  <c r="T1637" i="2"/>
  <c r="N1630" i="2"/>
  <c r="M1623" i="2"/>
  <c r="G1621" i="2"/>
  <c r="D1619" i="2"/>
  <c r="T1616" i="2"/>
  <c r="T1614" i="2"/>
  <c r="T1612" i="2"/>
  <c r="T1610" i="2"/>
  <c r="T1608" i="2"/>
  <c r="T1606" i="2"/>
  <c r="T1604" i="2"/>
  <c r="T1602" i="2"/>
  <c r="T1600" i="2"/>
  <c r="T1598" i="2"/>
  <c r="T1596" i="2"/>
  <c r="T1594" i="2"/>
  <c r="T1592" i="2"/>
  <c r="T1590" i="2"/>
  <c r="A1589" i="2"/>
  <c r="K1587" i="2"/>
  <c r="P1585" i="2"/>
  <c r="G1584" i="2"/>
  <c r="J1582" i="2"/>
  <c r="A1581" i="2"/>
  <c r="N1579" i="2"/>
  <c r="G1578" i="2"/>
  <c r="H1577" i="2"/>
  <c r="N1575" i="2"/>
  <c r="R1574" i="2"/>
  <c r="A1574" i="2"/>
  <c r="E1573" i="2"/>
  <c r="N1571" i="2"/>
  <c r="R1570" i="2"/>
  <c r="A1570" i="2"/>
  <c r="E1569" i="2"/>
  <c r="N1567" i="2"/>
  <c r="R1566" i="2"/>
  <c r="A1566" i="2"/>
  <c r="E1565" i="2"/>
  <c r="N1563" i="2"/>
  <c r="R1562" i="2"/>
  <c r="A1562" i="2"/>
  <c r="F1561" i="2"/>
  <c r="K1560" i="2"/>
  <c r="R1559" i="2"/>
  <c r="E1559" i="2"/>
  <c r="K1558" i="2"/>
  <c r="R1557" i="2"/>
  <c r="E1557" i="2"/>
  <c r="K1556" i="2"/>
  <c r="R1555" i="2"/>
  <c r="E1555" i="2"/>
  <c r="K1554" i="2"/>
  <c r="R1553" i="2"/>
  <c r="E1553" i="2"/>
  <c r="K1552" i="2"/>
  <c r="R1551" i="2"/>
  <c r="E1551" i="2"/>
  <c r="K1550" i="2"/>
  <c r="R1549" i="2"/>
  <c r="E1549" i="2"/>
  <c r="K1548" i="2"/>
  <c r="R1547" i="2"/>
  <c r="E1547" i="2"/>
  <c r="K1546" i="2"/>
  <c r="R1545" i="2"/>
  <c r="E1545" i="2"/>
  <c r="K1544" i="2"/>
  <c r="R1543" i="2"/>
  <c r="E1543" i="2"/>
  <c r="K1542" i="2"/>
  <c r="R1541" i="2"/>
  <c r="E1541" i="2"/>
  <c r="K1540" i="2"/>
  <c r="R1539" i="2"/>
  <c r="E1539" i="2"/>
  <c r="K1538" i="2"/>
  <c r="R1537" i="2"/>
  <c r="E1537" i="2"/>
  <c r="K1536" i="2"/>
  <c r="R1535" i="2"/>
  <c r="E1535" i="2"/>
  <c r="K1534" i="2"/>
  <c r="R1533" i="2"/>
  <c r="E1533" i="2"/>
  <c r="K1532" i="2"/>
  <c r="R1531" i="2"/>
  <c r="E1531" i="2"/>
  <c r="K1530" i="2"/>
  <c r="R1529" i="2"/>
  <c r="E1529" i="2"/>
  <c r="K1528" i="2"/>
  <c r="R1527" i="2"/>
  <c r="E1527" i="2"/>
  <c r="K1526" i="2"/>
  <c r="R1525" i="2"/>
  <c r="E1525" i="2"/>
  <c r="K1524" i="2"/>
  <c r="R1523" i="2"/>
  <c r="E1523" i="2"/>
  <c r="K1522" i="2"/>
  <c r="R1521" i="2"/>
  <c r="E1521" i="2"/>
  <c r="K1520" i="2"/>
  <c r="R1519" i="2"/>
  <c r="E1519" i="2"/>
  <c r="K1518" i="2"/>
  <c r="R1517" i="2"/>
  <c r="E1517" i="2"/>
  <c r="K1516" i="2"/>
  <c r="R1515" i="2"/>
  <c r="E1515" i="2"/>
  <c r="K1514" i="2"/>
  <c r="R1513" i="2"/>
  <c r="E1513" i="2"/>
  <c r="K1512" i="2"/>
  <c r="R1511" i="2"/>
  <c r="E1511" i="2"/>
  <c r="K1510" i="2"/>
  <c r="M1737" i="2"/>
  <c r="K1673" i="2"/>
  <c r="E1649" i="2"/>
  <c r="R1627" i="2"/>
  <c r="S1619" i="2"/>
  <c r="O1613" i="2"/>
  <c r="O1607" i="2"/>
  <c r="O1601" i="2"/>
  <c r="O1595" i="2"/>
  <c r="O1589" i="2"/>
  <c r="T1584" i="2"/>
  <c r="E1580" i="2"/>
  <c r="R1576" i="2"/>
  <c r="H1574" i="2"/>
  <c r="T1571" i="2"/>
  <c r="M1569" i="2"/>
  <c r="D1567" i="2"/>
  <c r="P1564" i="2"/>
  <c r="H1562" i="2"/>
  <c r="D1560" i="2"/>
  <c r="D1558" i="2"/>
  <c r="D1556" i="2"/>
  <c r="D1554" i="2"/>
  <c r="D1552" i="2"/>
  <c r="D1550" i="2"/>
  <c r="D1548" i="2"/>
  <c r="D1546" i="2"/>
  <c r="D1544" i="2"/>
  <c r="D1542" i="2"/>
  <c r="J1540" i="2"/>
  <c r="D1539" i="2"/>
  <c r="Q1537" i="2"/>
  <c r="J1536" i="2"/>
  <c r="D1535" i="2"/>
  <c r="Q1533" i="2"/>
  <c r="J1532" i="2"/>
  <c r="D1531" i="2"/>
  <c r="Q1529" i="2"/>
  <c r="J1528" i="2"/>
  <c r="D1527" i="2"/>
  <c r="Q1525" i="2"/>
  <c r="J1524" i="2"/>
  <c r="D1523" i="2"/>
  <c r="Q1521" i="2"/>
  <c r="Q1520" i="2"/>
  <c r="Q1519" i="2"/>
  <c r="Q1518" i="2"/>
  <c r="T1517" i="2"/>
  <c r="A1517" i="2"/>
  <c r="D1516" i="2"/>
  <c r="G1515" i="2"/>
  <c r="H1514" i="2"/>
  <c r="M1513" i="2"/>
  <c r="R1512" i="2"/>
  <c r="D1512" i="2"/>
  <c r="O1510" i="2"/>
  <c r="T1509" i="2"/>
  <c r="G1509" i="2"/>
  <c r="N1508" i="2"/>
  <c r="T1507" i="2"/>
  <c r="G1507" i="2"/>
  <c r="N1506" i="2"/>
  <c r="T1505" i="2"/>
  <c r="G1505" i="2"/>
  <c r="N1504" i="2"/>
  <c r="T1503" i="2"/>
  <c r="G1503" i="2"/>
  <c r="N1502" i="2"/>
  <c r="T1501" i="2"/>
  <c r="G1501" i="2"/>
  <c r="N1500" i="2"/>
  <c r="T1499" i="2"/>
  <c r="G1499" i="2"/>
  <c r="N1498" i="2"/>
  <c r="T1497" i="2"/>
  <c r="G1497" i="2"/>
  <c r="N1496" i="2"/>
  <c r="K1735" i="2"/>
  <c r="R1672" i="2"/>
  <c r="N1648" i="2"/>
  <c r="N1627" i="2"/>
  <c r="R1619" i="2"/>
  <c r="N1613" i="2"/>
  <c r="N1607" i="2"/>
  <c r="N1601" i="2"/>
  <c r="N1595" i="2"/>
  <c r="N1589" i="2"/>
  <c r="R1584" i="2"/>
  <c r="A1580" i="2"/>
  <c r="P1576" i="2"/>
  <c r="G1574" i="2"/>
  <c r="R1571" i="2"/>
  <c r="K1569" i="2"/>
  <c r="C1567" i="2"/>
  <c r="O1564" i="2"/>
  <c r="G1562" i="2"/>
  <c r="C1560" i="2"/>
  <c r="C1558" i="2"/>
  <c r="C1556" i="2"/>
  <c r="C1554" i="2"/>
  <c r="C1552" i="2"/>
  <c r="C1550" i="2"/>
  <c r="C1548" i="2"/>
  <c r="C1546" i="2"/>
  <c r="C1544" i="2"/>
  <c r="C1542" i="2"/>
  <c r="F1540" i="2"/>
  <c r="S1538" i="2"/>
  <c r="M1537" i="2"/>
  <c r="F1536" i="2"/>
  <c r="S1534" i="2"/>
  <c r="M1533" i="2"/>
  <c r="F1532" i="2"/>
  <c r="S1530" i="2"/>
  <c r="M1529" i="2"/>
  <c r="F1528" i="2"/>
  <c r="S1526" i="2"/>
  <c r="M1525" i="2"/>
  <c r="F1524" i="2"/>
  <c r="S1522" i="2"/>
  <c r="O1521" i="2"/>
  <c r="P1520" i="2"/>
  <c r="O1519" i="2"/>
  <c r="P1518" i="2"/>
  <c r="Q1517" i="2"/>
  <c r="T1516" i="2"/>
  <c r="C1516" i="2"/>
  <c r="D1515" i="2"/>
  <c r="G1514" i="2"/>
  <c r="K1513" i="2"/>
  <c r="Q1512" i="2"/>
  <c r="C1512" i="2"/>
  <c r="H1511" i="2"/>
  <c r="N1510" i="2"/>
  <c r="S1509" i="2"/>
  <c r="F1509" i="2"/>
  <c r="M1508" i="2"/>
  <c r="S1507" i="2"/>
  <c r="F1507" i="2"/>
  <c r="M1506" i="2"/>
  <c r="S1505" i="2"/>
  <c r="F1505" i="2"/>
  <c r="M1504" i="2"/>
  <c r="S1503" i="2"/>
  <c r="F1503" i="2"/>
  <c r="M1502" i="2"/>
  <c r="S1501" i="2"/>
  <c r="F1501" i="2"/>
  <c r="M1500" i="2"/>
  <c r="S1499" i="2"/>
  <c r="F1499" i="2"/>
  <c r="M1498" i="2"/>
  <c r="S1497" i="2"/>
  <c r="F1497" i="2"/>
  <c r="M1496" i="2"/>
  <c r="S1495" i="2"/>
  <c r="F1495" i="2"/>
  <c r="M1494" i="2"/>
  <c r="S1493" i="2"/>
  <c r="F1493" i="2"/>
  <c r="M1492" i="2"/>
  <c r="S1491" i="2"/>
  <c r="F1491" i="2"/>
  <c r="M1490" i="2"/>
  <c r="S1489" i="2"/>
  <c r="F1489" i="2"/>
  <c r="M1488" i="2"/>
  <c r="S1487" i="2"/>
  <c r="F1487" i="2"/>
  <c r="M1486" i="2"/>
  <c r="S1485" i="2"/>
  <c r="F1485" i="2"/>
  <c r="M1484" i="2"/>
  <c r="S1483" i="2"/>
  <c r="F1483" i="2"/>
  <c r="M1482" i="2"/>
  <c r="S1481" i="2"/>
  <c r="F1481" i="2"/>
  <c r="M1480" i="2"/>
  <c r="S1479" i="2"/>
  <c r="F1479" i="2"/>
  <c r="M1478" i="2"/>
  <c r="S1477" i="2"/>
  <c r="F1477" i="2"/>
  <c r="M1476" i="2"/>
  <c r="S1475" i="2"/>
  <c r="F1475" i="2"/>
  <c r="M1474" i="2"/>
  <c r="S1473" i="2"/>
  <c r="F1473" i="2"/>
  <c r="M1472" i="2"/>
  <c r="S1471" i="2"/>
  <c r="F1471" i="2"/>
  <c r="M1470" i="2"/>
  <c r="S1469" i="2"/>
  <c r="F1469" i="2"/>
  <c r="M1468" i="2"/>
  <c r="S1467" i="2"/>
  <c r="K1727" i="2"/>
  <c r="N1670" i="2"/>
  <c r="N1646" i="2"/>
  <c r="N1626" i="2"/>
  <c r="G1619" i="2"/>
  <c r="D1613" i="2"/>
  <c r="D1607" i="2"/>
  <c r="D1601" i="2"/>
  <c r="D1595" i="2"/>
  <c r="K1589" i="2"/>
  <c r="J1584" i="2"/>
  <c r="Q1579" i="2"/>
  <c r="O1576" i="2"/>
  <c r="F1574" i="2"/>
  <c r="Q1571" i="2"/>
  <c r="A1567" i="2"/>
  <c r="N1564" i="2"/>
  <c r="F1562" i="2"/>
  <c r="A1560" i="2"/>
  <c r="A1558" i="2"/>
  <c r="A1556" i="2"/>
  <c r="A1554" i="2"/>
  <c r="A1552" i="2"/>
  <c r="A1550" i="2"/>
  <c r="A1548" i="2"/>
  <c r="A1546" i="2"/>
  <c r="A1544" i="2"/>
  <c r="A1542" i="2"/>
  <c r="D1540" i="2"/>
  <c r="Q1538" i="2"/>
  <c r="J1537" i="2"/>
  <c r="D1536" i="2"/>
  <c r="Q1534" i="2"/>
  <c r="J1533" i="2"/>
  <c r="D1532" i="2"/>
  <c r="Q1530" i="2"/>
  <c r="J1529" i="2"/>
  <c r="D1528" i="2"/>
  <c r="Q1526" i="2"/>
  <c r="J1525" i="2"/>
  <c r="D1524" i="2"/>
  <c r="Q1522" i="2"/>
  <c r="N1521" i="2"/>
  <c r="O1520" i="2"/>
  <c r="N1519" i="2"/>
  <c r="O1518" i="2"/>
  <c r="P1517" i="2"/>
  <c r="S1516" i="2"/>
  <c r="A1516" i="2"/>
  <c r="C1515" i="2"/>
  <c r="F1514" i="2"/>
  <c r="J1513" i="2"/>
  <c r="P1512" i="2"/>
  <c r="A1512" i="2"/>
  <c r="G1511" i="2"/>
  <c r="M1510" i="2"/>
  <c r="R1509" i="2"/>
  <c r="E1509" i="2"/>
  <c r="K1508" i="2"/>
  <c r="R1507" i="2"/>
  <c r="E1507" i="2"/>
  <c r="K1506" i="2"/>
  <c r="R1505" i="2"/>
  <c r="E1505" i="2"/>
  <c r="K1504" i="2"/>
  <c r="R1503" i="2"/>
  <c r="E1503" i="2"/>
  <c r="K1502" i="2"/>
  <c r="R1501" i="2"/>
  <c r="E1501" i="2"/>
  <c r="K1500" i="2"/>
  <c r="R1499" i="2"/>
  <c r="E1499" i="2"/>
  <c r="K1498" i="2"/>
  <c r="R1497" i="2"/>
  <c r="E1497" i="2"/>
  <c r="K1496" i="2"/>
  <c r="R1495" i="2"/>
  <c r="E1495" i="2"/>
  <c r="K1494" i="2"/>
  <c r="R1493" i="2"/>
  <c r="E1493" i="2"/>
  <c r="K1492" i="2"/>
  <c r="R1491" i="2"/>
  <c r="E1491" i="2"/>
  <c r="K1490" i="2"/>
  <c r="R1489" i="2"/>
  <c r="E1489" i="2"/>
  <c r="K1488" i="2"/>
  <c r="R1487" i="2"/>
  <c r="E1487" i="2"/>
  <c r="K1486" i="2"/>
  <c r="R1485" i="2"/>
  <c r="E1485" i="2"/>
  <c r="K1484" i="2"/>
  <c r="R1483" i="2"/>
  <c r="E1483" i="2"/>
  <c r="K1482" i="2"/>
  <c r="R1481" i="2"/>
  <c r="E1481" i="2"/>
  <c r="K1480" i="2"/>
  <c r="R1479" i="2"/>
  <c r="E1479" i="2"/>
  <c r="K1478" i="2"/>
  <c r="R1477" i="2"/>
  <c r="E1477" i="2"/>
  <c r="K1476" i="2"/>
  <c r="R1475" i="2"/>
  <c r="E1475" i="2"/>
  <c r="K1474" i="2"/>
  <c r="R1473" i="2"/>
  <c r="E1473" i="2"/>
  <c r="K1472" i="2"/>
  <c r="R1471" i="2"/>
  <c r="E1471" i="2"/>
  <c r="K1470" i="2"/>
  <c r="J1727" i="2"/>
  <c r="M1670" i="2"/>
  <c r="M1646" i="2"/>
  <c r="M1626" i="2"/>
  <c r="F1619" i="2"/>
  <c r="C1613" i="2"/>
  <c r="C1607" i="2"/>
  <c r="C1601" i="2"/>
  <c r="C1595" i="2"/>
  <c r="D1589" i="2"/>
  <c r="P1579" i="2"/>
  <c r="N1576" i="2"/>
  <c r="E1574" i="2"/>
  <c r="P1571" i="2"/>
  <c r="H1569" i="2"/>
  <c r="T1566" i="2"/>
  <c r="K1564" i="2"/>
  <c r="E1562" i="2"/>
  <c r="T1559" i="2"/>
  <c r="T1557" i="2"/>
  <c r="T1555" i="2"/>
  <c r="T1553" i="2"/>
  <c r="T1551" i="2"/>
  <c r="T1549" i="2"/>
  <c r="T1547" i="2"/>
  <c r="T1545" i="2"/>
  <c r="T1543" i="2"/>
  <c r="T1541" i="2"/>
  <c r="C1540" i="2"/>
  <c r="P1538" i="2"/>
  <c r="C1536" i="2"/>
  <c r="P1534" i="2"/>
  <c r="C1532" i="2"/>
  <c r="P1530" i="2"/>
  <c r="C1528" i="2"/>
  <c r="P1526" i="2"/>
  <c r="C1524" i="2"/>
  <c r="P1522" i="2"/>
  <c r="M1521" i="2"/>
  <c r="N1520" i="2"/>
  <c r="M1519" i="2"/>
  <c r="N1518" i="2"/>
  <c r="O1517" i="2"/>
  <c r="Q1516" i="2"/>
  <c r="T1515" i="2"/>
  <c r="A1515" i="2"/>
  <c r="E1514" i="2"/>
  <c r="O1512" i="2"/>
  <c r="T1511" i="2"/>
  <c r="F1511" i="2"/>
  <c r="J1510" i="2"/>
  <c r="Q1509" i="2"/>
  <c r="D1509" i="2"/>
  <c r="J1508" i="2"/>
  <c r="Q1507" i="2"/>
  <c r="D1507" i="2"/>
  <c r="J1506" i="2"/>
  <c r="Q1505" i="2"/>
  <c r="D1505" i="2"/>
  <c r="J1504" i="2"/>
  <c r="Q1503" i="2"/>
  <c r="D1503" i="2"/>
  <c r="J1502" i="2"/>
  <c r="Q1501" i="2"/>
  <c r="D1501" i="2"/>
  <c r="J1500" i="2"/>
  <c r="Q1499" i="2"/>
  <c r="D1499" i="2"/>
  <c r="J1498" i="2"/>
  <c r="Q1497" i="2"/>
  <c r="D1497" i="2"/>
  <c r="J1496" i="2"/>
  <c r="Q1495" i="2"/>
  <c r="M1705" i="2"/>
  <c r="E1665" i="2"/>
  <c r="E1641" i="2"/>
  <c r="K1624" i="2"/>
  <c r="P1617" i="2"/>
  <c r="O1611" i="2"/>
  <c r="O1605" i="2"/>
  <c r="O1599" i="2"/>
  <c r="O1593" i="2"/>
  <c r="E1588" i="2"/>
  <c r="D1583" i="2"/>
  <c r="R1578" i="2"/>
  <c r="T1575" i="2"/>
  <c r="M1573" i="2"/>
  <c r="D1571" i="2"/>
  <c r="P1568" i="2"/>
  <c r="H1566" i="2"/>
  <c r="T1563" i="2"/>
  <c r="M1561" i="2"/>
  <c r="J1559" i="2"/>
  <c r="J1557" i="2"/>
  <c r="J1555" i="2"/>
  <c r="J1553" i="2"/>
  <c r="J1551" i="2"/>
  <c r="J1549" i="2"/>
  <c r="J1547" i="2"/>
  <c r="J1545" i="2"/>
  <c r="J1543" i="2"/>
  <c r="J1541" i="2"/>
  <c r="A1540" i="2"/>
  <c r="O1538" i="2"/>
  <c r="H1537" i="2"/>
  <c r="A1536" i="2"/>
  <c r="O1534" i="2"/>
  <c r="H1533" i="2"/>
  <c r="A1532" i="2"/>
  <c r="O1530" i="2"/>
  <c r="H1529" i="2"/>
  <c r="A1528" i="2"/>
  <c r="O1526" i="2"/>
  <c r="H1525" i="2"/>
  <c r="A1524" i="2"/>
  <c r="O1522" i="2"/>
  <c r="J1521" i="2"/>
  <c r="J1520" i="2"/>
  <c r="J1519" i="2"/>
  <c r="J1518" i="2"/>
  <c r="N1517" i="2"/>
  <c r="P1516" i="2"/>
  <c r="Q1515" i="2"/>
  <c r="T1514" i="2"/>
  <c r="D1514" i="2"/>
  <c r="H1513" i="2"/>
  <c r="N1512" i="2"/>
  <c r="S1511" i="2"/>
  <c r="D1511" i="2"/>
  <c r="P1509" i="2"/>
  <c r="C1509" i="2"/>
  <c r="P1507" i="2"/>
  <c r="C1507" i="2"/>
  <c r="P1505" i="2"/>
  <c r="C1505" i="2"/>
  <c r="P1503" i="2"/>
  <c r="C1503" i="2"/>
  <c r="P1501" i="2"/>
  <c r="C1501" i="2"/>
  <c r="P1499" i="2"/>
  <c r="C1499" i="2"/>
  <c r="P1497" i="2"/>
  <c r="C1497" i="2"/>
  <c r="P1495" i="2"/>
  <c r="C1495" i="2"/>
  <c r="P1493" i="2"/>
  <c r="C1493" i="2"/>
  <c r="P1491" i="2"/>
  <c r="C1491" i="2"/>
  <c r="P1489" i="2"/>
  <c r="C1489" i="2"/>
  <c r="P1487" i="2"/>
  <c r="C1487" i="2"/>
  <c r="P1485" i="2"/>
  <c r="C1485" i="2"/>
  <c r="P1483" i="2"/>
  <c r="C1483" i="2"/>
  <c r="P1481" i="2"/>
  <c r="C1481" i="2"/>
  <c r="P1479" i="2"/>
  <c r="C1479" i="2"/>
  <c r="P1477" i="2"/>
  <c r="C1477" i="2"/>
  <c r="P1475" i="2"/>
  <c r="C1475" i="2"/>
  <c r="P1473" i="2"/>
  <c r="C1473" i="2"/>
  <c r="P1471" i="2"/>
  <c r="D1704" i="2"/>
  <c r="N1664" i="2"/>
  <c r="N1640" i="2"/>
  <c r="O1617" i="2"/>
  <c r="N1611" i="2"/>
  <c r="N1605" i="2"/>
  <c r="N1599" i="2"/>
  <c r="N1593" i="2"/>
  <c r="Q1587" i="2"/>
  <c r="C1583" i="2"/>
  <c r="O1578" i="2"/>
  <c r="R1575" i="2"/>
  <c r="K1573" i="2"/>
  <c r="C1571" i="2"/>
  <c r="O1568" i="2"/>
  <c r="G1566" i="2"/>
  <c r="R1563" i="2"/>
  <c r="K1561" i="2"/>
  <c r="T1539" i="2"/>
  <c r="N1538" i="2"/>
  <c r="G1537" i="2"/>
  <c r="T1535" i="2"/>
  <c r="N1534" i="2"/>
  <c r="G1533" i="2"/>
  <c r="T1531" i="2"/>
  <c r="N1530" i="2"/>
  <c r="G1529" i="2"/>
  <c r="T1527" i="2"/>
  <c r="N1526" i="2"/>
  <c r="G1525" i="2"/>
  <c r="T1523" i="2"/>
  <c r="N1522" i="2"/>
  <c r="H1520" i="2"/>
  <c r="M1517" i="2"/>
  <c r="O1516" i="2"/>
  <c r="P1515" i="2"/>
  <c r="S1514" i="2"/>
  <c r="C1514" i="2"/>
  <c r="G1513" i="2"/>
  <c r="M1512" i="2"/>
  <c r="Q1511" i="2"/>
  <c r="C1511" i="2"/>
  <c r="H1510" i="2"/>
  <c r="O1509" i="2"/>
  <c r="A1509" i="2"/>
  <c r="H1508" i="2"/>
  <c r="O1507" i="2"/>
  <c r="A1507" i="2"/>
  <c r="H1506" i="2"/>
  <c r="O1505" i="2"/>
  <c r="A1505" i="2"/>
  <c r="H1504" i="2"/>
  <c r="O1503" i="2"/>
  <c r="A1503" i="2"/>
  <c r="H1502" i="2"/>
  <c r="O1501" i="2"/>
  <c r="A1501" i="2"/>
  <c r="H1500" i="2"/>
  <c r="O1499" i="2"/>
  <c r="A1499" i="2"/>
  <c r="H1498" i="2"/>
  <c r="O1497" i="2"/>
  <c r="A1497" i="2"/>
  <c r="H1496" i="2"/>
  <c r="O1495" i="2"/>
  <c r="A1495" i="2"/>
  <c r="H1494" i="2"/>
  <c r="O1493" i="2"/>
  <c r="A1493" i="2"/>
  <c r="H1492" i="2"/>
  <c r="O1491" i="2"/>
  <c r="A1491" i="2"/>
  <c r="H1490" i="2"/>
  <c r="O1489" i="2"/>
  <c r="A1489" i="2"/>
  <c r="H1488" i="2"/>
  <c r="O1487" i="2"/>
  <c r="A1487" i="2"/>
  <c r="H1486" i="2"/>
  <c r="O1485" i="2"/>
  <c r="A1485" i="2"/>
  <c r="H1484" i="2"/>
  <c r="O1483" i="2"/>
  <c r="A1483" i="2"/>
  <c r="H1482" i="2"/>
  <c r="O1481" i="2"/>
  <c r="A1481" i="2"/>
  <c r="H1480" i="2"/>
  <c r="O1479" i="2"/>
  <c r="A1479" i="2"/>
  <c r="H1478" i="2"/>
  <c r="O1477" i="2"/>
  <c r="A1477" i="2"/>
  <c r="H1476" i="2"/>
  <c r="O1475" i="2"/>
  <c r="A1475" i="2"/>
  <c r="H1474" i="2"/>
  <c r="O1473" i="2"/>
  <c r="A1473" i="2"/>
  <c r="H1472" i="2"/>
  <c r="O1471" i="2"/>
  <c r="A1471" i="2"/>
  <c r="H1470" i="2"/>
  <c r="O1469" i="2"/>
  <c r="A1469" i="2"/>
  <c r="H1468" i="2"/>
  <c r="O1467" i="2"/>
  <c r="A1467" i="2"/>
  <c r="H1466" i="2"/>
  <c r="O1465" i="2"/>
  <c r="A1465" i="2"/>
  <c r="H1464" i="2"/>
  <c r="O1463" i="2"/>
  <c r="O1681" i="2"/>
  <c r="N1654" i="2"/>
  <c r="E1631" i="2"/>
  <c r="J1621" i="2"/>
  <c r="D1615" i="2"/>
  <c r="D1609" i="2"/>
  <c r="D1603" i="2"/>
  <c r="D1597" i="2"/>
  <c r="D1591" i="2"/>
  <c r="G1586" i="2"/>
  <c r="K1581" i="2"/>
  <c r="M1577" i="2"/>
  <c r="A1575" i="2"/>
  <c r="N1572" i="2"/>
  <c r="F1570" i="2"/>
  <c r="Q1567" i="2"/>
  <c r="A1563" i="2"/>
  <c r="O1560" i="2"/>
  <c r="O1558" i="2"/>
  <c r="O1556" i="2"/>
  <c r="O1554" i="2"/>
  <c r="O1552" i="2"/>
  <c r="O1550" i="2"/>
  <c r="O1548" i="2"/>
  <c r="O1546" i="2"/>
  <c r="O1544" i="2"/>
  <c r="O1542" i="2"/>
  <c r="O1540" i="2"/>
  <c r="H1539" i="2"/>
  <c r="A1538" i="2"/>
  <c r="O1536" i="2"/>
  <c r="H1535" i="2"/>
  <c r="A1534" i="2"/>
  <c r="O1532" i="2"/>
  <c r="H1531" i="2"/>
  <c r="A1530" i="2"/>
  <c r="O1528" i="2"/>
  <c r="H1527" i="2"/>
  <c r="A1526" i="2"/>
  <c r="O1524" i="2"/>
  <c r="H1523" i="2"/>
  <c r="A1522" i="2"/>
  <c r="T1520" i="2"/>
  <c r="A1520" i="2"/>
  <c r="T1518" i="2"/>
  <c r="C1518" i="2"/>
  <c r="D1517" i="2"/>
  <c r="G1516" i="2"/>
  <c r="J1514" i="2"/>
  <c r="O1513" i="2"/>
  <c r="T1512" i="2"/>
  <c r="F1512" i="2"/>
  <c r="K1511" i="2"/>
  <c r="Q1510" i="2"/>
  <c r="C1510" i="2"/>
  <c r="P1508" i="2"/>
  <c r="C1508" i="2"/>
  <c r="P1506" i="2"/>
  <c r="C1506" i="2"/>
  <c r="P1504" i="2"/>
  <c r="C1504" i="2"/>
  <c r="P1502" i="2"/>
  <c r="C1502" i="2"/>
  <c r="P1500" i="2"/>
  <c r="C1500" i="2"/>
  <c r="P1498" i="2"/>
  <c r="C1498" i="2"/>
  <c r="P1496" i="2"/>
  <c r="C1496" i="2"/>
  <c r="P1494" i="2"/>
  <c r="C1494" i="2"/>
  <c r="P1492" i="2"/>
  <c r="C1492" i="2"/>
  <c r="P1490" i="2"/>
  <c r="C1490" i="2"/>
  <c r="P1488" i="2"/>
  <c r="C1488" i="2"/>
  <c r="P1486" i="2"/>
  <c r="C1486" i="2"/>
  <c r="P1484" i="2"/>
  <c r="C1484" i="2"/>
  <c r="P1482" i="2"/>
  <c r="C1482" i="2"/>
  <c r="P1480" i="2"/>
  <c r="C1480" i="2"/>
  <c r="P1478" i="2"/>
  <c r="C1478" i="2"/>
  <c r="P1476" i="2"/>
  <c r="C1476" i="2"/>
  <c r="P1474" i="2"/>
  <c r="C1474" i="2"/>
  <c r="P1472" i="2"/>
  <c r="C1472" i="2"/>
  <c r="P1470" i="2"/>
  <c r="C1470" i="2"/>
  <c r="P1468" i="2"/>
  <c r="C1468" i="2"/>
  <c r="P1466" i="2"/>
  <c r="C1466" i="2"/>
  <c r="P1464" i="2"/>
  <c r="C1464" i="2"/>
  <c r="M1681" i="2"/>
  <c r="M1654" i="2"/>
  <c r="T1630" i="2"/>
  <c r="C1615" i="2"/>
  <c r="C1609" i="2"/>
  <c r="C1603" i="2"/>
  <c r="C1597" i="2"/>
  <c r="C1591" i="2"/>
  <c r="E1586" i="2"/>
  <c r="D1581" i="2"/>
  <c r="K1577" i="2"/>
  <c r="T1574" i="2"/>
  <c r="K1572" i="2"/>
  <c r="E1570" i="2"/>
  <c r="P1567" i="2"/>
  <c r="H1565" i="2"/>
  <c r="T1562" i="2"/>
  <c r="N1560" i="2"/>
  <c r="N1558" i="2"/>
  <c r="N1556" i="2"/>
  <c r="N1554" i="2"/>
  <c r="N1552" i="2"/>
  <c r="N1550" i="2"/>
  <c r="N1548" i="2"/>
  <c r="N1546" i="2"/>
  <c r="N1544" i="2"/>
  <c r="N1542" i="2"/>
  <c r="N1540" i="2"/>
  <c r="G1539" i="2"/>
  <c r="T1537" i="2"/>
  <c r="N1536" i="2"/>
  <c r="G1535" i="2"/>
  <c r="T1533" i="2"/>
  <c r="N1532" i="2"/>
  <c r="G1531" i="2"/>
  <c r="T1529" i="2"/>
  <c r="N1528" i="2"/>
  <c r="G1527" i="2"/>
  <c r="T1525" i="2"/>
  <c r="N1524" i="2"/>
  <c r="G1523" i="2"/>
  <c r="T1521" i="2"/>
  <c r="S1520" i="2"/>
  <c r="T1519" i="2"/>
  <c r="S1518" i="2"/>
  <c r="A1518" i="2"/>
  <c r="C1517" i="2"/>
  <c r="F1516" i="2"/>
  <c r="H1515" i="2"/>
  <c r="N1513" i="2"/>
  <c r="S1512" i="2"/>
  <c r="E1512" i="2"/>
  <c r="J1511" i="2"/>
  <c r="P1510" i="2"/>
  <c r="A1510" i="2"/>
  <c r="H1509" i="2"/>
  <c r="O1508" i="2"/>
  <c r="A1508" i="2"/>
  <c r="H1507" i="2"/>
  <c r="O1506" i="2"/>
  <c r="A1506" i="2"/>
  <c r="H1505" i="2"/>
  <c r="O1504" i="2"/>
  <c r="A1504" i="2"/>
  <c r="H1503" i="2"/>
  <c r="O1502" i="2"/>
  <c r="A1502" i="2"/>
  <c r="H1501" i="2"/>
  <c r="O1500" i="2"/>
  <c r="A1500" i="2"/>
  <c r="H1499" i="2"/>
  <c r="O1498" i="2"/>
  <c r="A1498" i="2"/>
  <c r="H1497" i="2"/>
  <c r="O1496" i="2"/>
  <c r="A1496" i="2"/>
  <c r="H1495" i="2"/>
  <c r="O1494" i="2"/>
  <c r="A1494" i="2"/>
  <c r="H1493" i="2"/>
  <c r="O1492" i="2"/>
  <c r="A1492" i="2"/>
  <c r="H1491" i="2"/>
  <c r="O1490" i="2"/>
  <c r="A1490" i="2"/>
  <c r="H1489" i="2"/>
  <c r="O1488" i="2"/>
  <c r="A1488" i="2"/>
  <c r="H1487" i="2"/>
  <c r="O1486" i="2"/>
  <c r="A1486" i="2"/>
  <c r="H1485" i="2"/>
  <c r="O1484" i="2"/>
  <c r="A1484" i="2"/>
  <c r="H1483" i="2"/>
  <c r="O1482" i="2"/>
  <c r="A1482" i="2"/>
  <c r="H1481" i="2"/>
  <c r="O1480" i="2"/>
  <c r="A1480" i="2"/>
  <c r="H1479" i="2"/>
  <c r="O1478" i="2"/>
  <c r="A1478" i="2"/>
  <c r="H1477" i="2"/>
  <c r="O1476" i="2"/>
  <c r="A1476" i="2"/>
  <c r="H1475" i="2"/>
  <c r="O1474" i="2"/>
  <c r="A1474" i="2"/>
  <c r="H1473" i="2"/>
  <c r="O1472" i="2"/>
  <c r="A1472" i="2"/>
  <c r="H1471" i="2"/>
  <c r="O1470" i="2"/>
  <c r="A1470" i="2"/>
  <c r="H1469" i="2"/>
  <c r="O1468" i="2"/>
  <c r="A1468" i="2"/>
  <c r="H1467" i="2"/>
  <c r="O1466" i="2"/>
  <c r="A1466" i="2"/>
  <c r="H1465" i="2"/>
  <c r="O1464" i="2"/>
  <c r="A1464" i="2"/>
  <c r="H1463" i="2"/>
  <c r="O1462" i="2"/>
  <c r="A1462" i="2"/>
  <c r="H1461" i="2"/>
  <c r="G1699" i="2"/>
  <c r="P1623" i="2"/>
  <c r="D1605" i="2"/>
  <c r="P1587" i="2"/>
  <c r="Q1575" i="2"/>
  <c r="N1568" i="2"/>
  <c r="H1555" i="2"/>
  <c r="H1549" i="2"/>
  <c r="H1543" i="2"/>
  <c r="J1538" i="2"/>
  <c r="J1534" i="2"/>
  <c r="J1530" i="2"/>
  <c r="J1526" i="2"/>
  <c r="J1522" i="2"/>
  <c r="H1519" i="2"/>
  <c r="N1516" i="2"/>
  <c r="A1514" i="2"/>
  <c r="P1511" i="2"/>
  <c r="N1509" i="2"/>
  <c r="N1507" i="2"/>
  <c r="N1505" i="2"/>
  <c r="N1503" i="2"/>
  <c r="N1501" i="2"/>
  <c r="N1499" i="2"/>
  <c r="N1497" i="2"/>
  <c r="T1495" i="2"/>
  <c r="J1494" i="2"/>
  <c r="D1493" i="2"/>
  <c r="Q1491" i="2"/>
  <c r="J1490" i="2"/>
  <c r="D1489" i="2"/>
  <c r="Q1487" i="2"/>
  <c r="J1486" i="2"/>
  <c r="D1485" i="2"/>
  <c r="Q1483" i="2"/>
  <c r="J1482" i="2"/>
  <c r="D1481" i="2"/>
  <c r="Q1479" i="2"/>
  <c r="J1478" i="2"/>
  <c r="D1477" i="2"/>
  <c r="Q1475" i="2"/>
  <c r="J1474" i="2"/>
  <c r="D1473" i="2"/>
  <c r="Q1471" i="2"/>
  <c r="N1470" i="2"/>
  <c r="M1469" i="2"/>
  <c r="K1468" i="2"/>
  <c r="M1467" i="2"/>
  <c r="N1466" i="2"/>
  <c r="Q1465" i="2"/>
  <c r="S1464" i="2"/>
  <c r="T1463" i="2"/>
  <c r="D1463" i="2"/>
  <c r="O1461" i="2"/>
  <c r="T1460" i="2"/>
  <c r="G1460" i="2"/>
  <c r="N1459" i="2"/>
  <c r="T1458" i="2"/>
  <c r="G1458" i="2"/>
  <c r="N1457" i="2"/>
  <c r="T1456" i="2"/>
  <c r="G1456" i="2"/>
  <c r="N1455" i="2"/>
  <c r="T1454" i="2"/>
  <c r="G1454" i="2"/>
  <c r="N1453" i="2"/>
  <c r="T1452" i="2"/>
  <c r="G1452" i="2"/>
  <c r="N1451" i="2"/>
  <c r="T1450" i="2"/>
  <c r="G1450" i="2"/>
  <c r="N1449" i="2"/>
  <c r="T1448" i="2"/>
  <c r="G1448" i="2"/>
  <c r="N1447" i="2"/>
  <c r="T1446" i="2"/>
  <c r="G1446" i="2"/>
  <c r="N1445" i="2"/>
  <c r="T1444" i="2"/>
  <c r="G1444" i="2"/>
  <c r="N1443" i="2"/>
  <c r="T1442" i="2"/>
  <c r="G1442" i="2"/>
  <c r="N1441" i="2"/>
  <c r="T1440" i="2"/>
  <c r="G1440" i="2"/>
  <c r="N1439" i="2"/>
  <c r="T1438" i="2"/>
  <c r="G1438" i="2"/>
  <c r="N1437" i="2"/>
  <c r="T1436" i="2"/>
  <c r="G1436" i="2"/>
  <c r="N1435" i="2"/>
  <c r="T1434" i="2"/>
  <c r="G1434" i="2"/>
  <c r="N1433" i="2"/>
  <c r="T1432" i="2"/>
  <c r="G1432" i="2"/>
  <c r="N1431" i="2"/>
  <c r="T1430" i="2"/>
  <c r="G1430" i="2"/>
  <c r="N1429" i="2"/>
  <c r="T1428" i="2"/>
  <c r="G1428" i="2"/>
  <c r="N1427" i="2"/>
  <c r="T1426" i="2"/>
  <c r="G1426" i="2"/>
  <c r="N1425" i="2"/>
  <c r="T1424" i="2"/>
  <c r="G1424" i="2"/>
  <c r="N1423" i="2"/>
  <c r="T1422" i="2"/>
  <c r="G1422" i="2"/>
  <c r="N1421" i="2"/>
  <c r="T1420" i="2"/>
  <c r="G1420" i="2"/>
  <c r="N1419" i="2"/>
  <c r="T1418" i="2"/>
  <c r="G1418" i="2"/>
  <c r="N1417" i="2"/>
  <c r="T1416" i="2"/>
  <c r="G1416" i="2"/>
  <c r="N1415" i="2"/>
  <c r="T1414" i="2"/>
  <c r="G1414" i="2"/>
  <c r="N1413" i="2"/>
  <c r="T1412" i="2"/>
  <c r="G1412" i="2"/>
  <c r="N1411" i="2"/>
  <c r="T1410" i="2"/>
  <c r="G1410" i="2"/>
  <c r="N1409" i="2"/>
  <c r="T1408" i="2"/>
  <c r="G1408" i="2"/>
  <c r="N1407" i="2"/>
  <c r="T1406" i="2"/>
  <c r="G1406" i="2"/>
  <c r="N1405" i="2"/>
  <c r="T1404" i="2"/>
  <c r="A1699" i="2"/>
  <c r="O1623" i="2"/>
  <c r="C1605" i="2"/>
  <c r="O1587" i="2"/>
  <c r="P1575" i="2"/>
  <c r="K1568" i="2"/>
  <c r="H1561" i="2"/>
  <c r="G1555" i="2"/>
  <c r="G1549" i="2"/>
  <c r="G1543" i="2"/>
  <c r="F1538" i="2"/>
  <c r="F1534" i="2"/>
  <c r="F1530" i="2"/>
  <c r="F1526" i="2"/>
  <c r="F1522" i="2"/>
  <c r="G1519" i="2"/>
  <c r="J1516" i="2"/>
  <c r="T1513" i="2"/>
  <c r="O1511" i="2"/>
  <c r="M1509" i="2"/>
  <c r="M1507" i="2"/>
  <c r="M1505" i="2"/>
  <c r="M1503" i="2"/>
  <c r="M1501" i="2"/>
  <c r="M1499" i="2"/>
  <c r="M1497" i="2"/>
  <c r="N1495" i="2"/>
  <c r="G1494" i="2"/>
  <c r="T1492" i="2"/>
  <c r="N1491" i="2"/>
  <c r="G1490" i="2"/>
  <c r="T1488" i="2"/>
  <c r="N1487" i="2"/>
  <c r="G1486" i="2"/>
  <c r="T1484" i="2"/>
  <c r="N1483" i="2"/>
  <c r="G1482" i="2"/>
  <c r="T1480" i="2"/>
  <c r="N1479" i="2"/>
  <c r="G1478" i="2"/>
  <c r="T1476" i="2"/>
  <c r="N1475" i="2"/>
  <c r="G1474" i="2"/>
  <c r="T1472" i="2"/>
  <c r="N1471" i="2"/>
  <c r="J1470" i="2"/>
  <c r="K1469" i="2"/>
  <c r="J1468" i="2"/>
  <c r="K1467" i="2"/>
  <c r="M1466" i="2"/>
  <c r="P1465" i="2"/>
  <c r="R1464" i="2"/>
  <c r="S1463" i="2"/>
  <c r="C1463" i="2"/>
  <c r="H1462" i="2"/>
  <c r="N1461" i="2"/>
  <c r="S1460" i="2"/>
  <c r="F1460" i="2"/>
  <c r="M1459" i="2"/>
  <c r="S1458" i="2"/>
  <c r="F1458" i="2"/>
  <c r="M1457" i="2"/>
  <c r="S1456" i="2"/>
  <c r="F1456" i="2"/>
  <c r="M1455" i="2"/>
  <c r="S1454" i="2"/>
  <c r="F1454" i="2"/>
  <c r="M1453" i="2"/>
  <c r="S1452" i="2"/>
  <c r="F1452" i="2"/>
  <c r="M1451" i="2"/>
  <c r="S1450" i="2"/>
  <c r="F1450" i="2"/>
  <c r="M1449" i="2"/>
  <c r="S1448" i="2"/>
  <c r="F1448" i="2"/>
  <c r="M1447" i="2"/>
  <c r="S1446" i="2"/>
  <c r="F1446" i="2"/>
  <c r="M1445" i="2"/>
  <c r="S1444" i="2"/>
  <c r="F1444" i="2"/>
  <c r="M1443" i="2"/>
  <c r="S1442" i="2"/>
  <c r="F1442" i="2"/>
  <c r="M1441" i="2"/>
  <c r="S1440" i="2"/>
  <c r="F1440" i="2"/>
  <c r="M1439" i="2"/>
  <c r="S1438" i="2"/>
  <c r="F1438" i="2"/>
  <c r="M1437" i="2"/>
  <c r="S1436" i="2"/>
  <c r="F1436" i="2"/>
  <c r="M1435" i="2"/>
  <c r="S1434" i="2"/>
  <c r="F1434" i="2"/>
  <c r="M1433" i="2"/>
  <c r="S1432" i="2"/>
  <c r="F1432" i="2"/>
  <c r="M1431" i="2"/>
  <c r="S1430" i="2"/>
  <c r="F1430" i="2"/>
  <c r="M1429" i="2"/>
  <c r="S1428" i="2"/>
  <c r="F1428" i="2"/>
  <c r="M1427" i="2"/>
  <c r="S1426" i="2"/>
  <c r="F1426" i="2"/>
  <c r="M1425" i="2"/>
  <c r="S1424" i="2"/>
  <c r="F1424" i="2"/>
  <c r="M1423" i="2"/>
  <c r="S1422" i="2"/>
  <c r="F1422" i="2"/>
  <c r="M1421" i="2"/>
  <c r="S1420" i="2"/>
  <c r="F1420" i="2"/>
  <c r="M1419" i="2"/>
  <c r="S1418" i="2"/>
  <c r="F1418" i="2"/>
  <c r="M1417" i="2"/>
  <c r="S1416" i="2"/>
  <c r="E1686" i="2"/>
  <c r="C1622" i="2"/>
  <c r="O1603" i="2"/>
  <c r="D1575" i="2"/>
  <c r="T1567" i="2"/>
  <c r="R1560" i="2"/>
  <c r="Q1554" i="2"/>
  <c r="Q1548" i="2"/>
  <c r="Q1542" i="2"/>
  <c r="D1538" i="2"/>
  <c r="D1534" i="2"/>
  <c r="D1530" i="2"/>
  <c r="D1526" i="2"/>
  <c r="D1522" i="2"/>
  <c r="D1519" i="2"/>
  <c r="Q1513" i="2"/>
  <c r="N1511" i="2"/>
  <c r="K1509" i="2"/>
  <c r="K1507" i="2"/>
  <c r="K1505" i="2"/>
  <c r="K1503" i="2"/>
  <c r="K1501" i="2"/>
  <c r="K1499" i="2"/>
  <c r="K1497" i="2"/>
  <c r="M1495" i="2"/>
  <c r="F1494" i="2"/>
  <c r="S1492" i="2"/>
  <c r="M1491" i="2"/>
  <c r="F1490" i="2"/>
  <c r="S1488" i="2"/>
  <c r="M1487" i="2"/>
  <c r="F1486" i="2"/>
  <c r="S1484" i="2"/>
  <c r="M1483" i="2"/>
  <c r="F1482" i="2"/>
  <c r="S1480" i="2"/>
  <c r="M1479" i="2"/>
  <c r="F1478" i="2"/>
  <c r="S1476" i="2"/>
  <c r="M1475" i="2"/>
  <c r="F1474" i="2"/>
  <c r="S1472" i="2"/>
  <c r="M1471" i="2"/>
  <c r="J1469" i="2"/>
  <c r="J1467" i="2"/>
  <c r="K1466" i="2"/>
  <c r="N1465" i="2"/>
  <c r="Q1464" i="2"/>
  <c r="R1463" i="2"/>
  <c r="A1463" i="2"/>
  <c r="G1462" i="2"/>
  <c r="M1461" i="2"/>
  <c r="R1460" i="2"/>
  <c r="E1460" i="2"/>
  <c r="K1459" i="2"/>
  <c r="R1458" i="2"/>
  <c r="E1458" i="2"/>
  <c r="K1457" i="2"/>
  <c r="R1456" i="2"/>
  <c r="E1456" i="2"/>
  <c r="K1455" i="2"/>
  <c r="R1454" i="2"/>
  <c r="E1454" i="2"/>
  <c r="K1453" i="2"/>
  <c r="R1452" i="2"/>
  <c r="E1452" i="2"/>
  <c r="K1451" i="2"/>
  <c r="R1450" i="2"/>
  <c r="E1450" i="2"/>
  <c r="K1449" i="2"/>
  <c r="R1448" i="2"/>
  <c r="E1448" i="2"/>
  <c r="K1447" i="2"/>
  <c r="R1446" i="2"/>
  <c r="E1446" i="2"/>
  <c r="K1445" i="2"/>
  <c r="R1444" i="2"/>
  <c r="E1444" i="2"/>
  <c r="K1443" i="2"/>
  <c r="R1442" i="2"/>
  <c r="E1442" i="2"/>
  <c r="K1441" i="2"/>
  <c r="R1440" i="2"/>
  <c r="E1440" i="2"/>
  <c r="K1439" i="2"/>
  <c r="R1438" i="2"/>
  <c r="E1438" i="2"/>
  <c r="K1437" i="2"/>
  <c r="R1436" i="2"/>
  <c r="E1436" i="2"/>
  <c r="K1435" i="2"/>
  <c r="R1434" i="2"/>
  <c r="E1434" i="2"/>
  <c r="K1433" i="2"/>
  <c r="R1432" i="2"/>
  <c r="E1432" i="2"/>
  <c r="K1431" i="2"/>
  <c r="R1430" i="2"/>
  <c r="E1430" i="2"/>
  <c r="K1429" i="2"/>
  <c r="R1428" i="2"/>
  <c r="E1428" i="2"/>
  <c r="K1427" i="2"/>
  <c r="R1426" i="2"/>
  <c r="E1426" i="2"/>
  <c r="K1425" i="2"/>
  <c r="R1424" i="2"/>
  <c r="E1424" i="2"/>
  <c r="K1423" i="2"/>
  <c r="R1422" i="2"/>
  <c r="E1422" i="2"/>
  <c r="E1685" i="2"/>
  <c r="A1622" i="2"/>
  <c r="N1603" i="2"/>
  <c r="H1586" i="2"/>
  <c r="C1575" i="2"/>
  <c r="R1567" i="2"/>
  <c r="P1560" i="2"/>
  <c r="P1554" i="2"/>
  <c r="P1548" i="2"/>
  <c r="P1542" i="2"/>
  <c r="C1538" i="2"/>
  <c r="C1534" i="2"/>
  <c r="C1530" i="2"/>
  <c r="C1526" i="2"/>
  <c r="C1522" i="2"/>
  <c r="A1519" i="2"/>
  <c r="H1516" i="2"/>
  <c r="P1513" i="2"/>
  <c r="M1511" i="2"/>
  <c r="J1509" i="2"/>
  <c r="J1507" i="2"/>
  <c r="J1505" i="2"/>
  <c r="J1503" i="2"/>
  <c r="J1501" i="2"/>
  <c r="J1499" i="2"/>
  <c r="J1497" i="2"/>
  <c r="K1495" i="2"/>
  <c r="E1494" i="2"/>
  <c r="R1492" i="2"/>
  <c r="K1491" i="2"/>
  <c r="E1490" i="2"/>
  <c r="R1488" i="2"/>
  <c r="K1487" i="2"/>
  <c r="E1486" i="2"/>
  <c r="R1484" i="2"/>
  <c r="K1483" i="2"/>
  <c r="E1482" i="2"/>
  <c r="R1480" i="2"/>
  <c r="K1479" i="2"/>
  <c r="E1478" i="2"/>
  <c r="R1476" i="2"/>
  <c r="K1475" i="2"/>
  <c r="E1474" i="2"/>
  <c r="R1472" i="2"/>
  <c r="K1471" i="2"/>
  <c r="G1470" i="2"/>
  <c r="G1469" i="2"/>
  <c r="G1468" i="2"/>
  <c r="G1467" i="2"/>
  <c r="J1466" i="2"/>
  <c r="M1465" i="2"/>
  <c r="N1464" i="2"/>
  <c r="Q1463" i="2"/>
  <c r="T1462" i="2"/>
  <c r="F1462" i="2"/>
  <c r="K1461" i="2"/>
  <c r="Q1460" i="2"/>
  <c r="D1460" i="2"/>
  <c r="J1459" i="2"/>
  <c r="Q1458" i="2"/>
  <c r="D1458" i="2"/>
  <c r="J1457" i="2"/>
  <c r="Q1456" i="2"/>
  <c r="D1456" i="2"/>
  <c r="J1455" i="2"/>
  <c r="Q1454" i="2"/>
  <c r="D1454" i="2"/>
  <c r="J1453" i="2"/>
  <c r="Q1452" i="2"/>
  <c r="D1452" i="2"/>
  <c r="J1451" i="2"/>
  <c r="Q1450" i="2"/>
  <c r="D1450" i="2"/>
  <c r="J1449" i="2"/>
  <c r="Q1448" i="2"/>
  <c r="D1448" i="2"/>
  <c r="J1447" i="2"/>
  <c r="Q1446" i="2"/>
  <c r="D1446" i="2"/>
  <c r="J1445" i="2"/>
  <c r="Q1444" i="2"/>
  <c r="D1444" i="2"/>
  <c r="J1443" i="2"/>
  <c r="Q1442" i="2"/>
  <c r="D1442" i="2"/>
  <c r="J1441" i="2"/>
  <c r="Q1440" i="2"/>
  <c r="D1440" i="2"/>
  <c r="J1439" i="2"/>
  <c r="Q1438" i="2"/>
  <c r="D1438" i="2"/>
  <c r="J1437" i="2"/>
  <c r="Q1436" i="2"/>
  <c r="D1436" i="2"/>
  <c r="J1435" i="2"/>
  <c r="Q1434" i="2"/>
  <c r="D1434" i="2"/>
  <c r="J1433" i="2"/>
  <c r="Q1432" i="2"/>
  <c r="D1432" i="2"/>
  <c r="J1431" i="2"/>
  <c r="Q1430" i="2"/>
  <c r="D1430" i="2"/>
  <c r="J1429" i="2"/>
  <c r="Q1428" i="2"/>
  <c r="D1428" i="2"/>
  <c r="J1427" i="2"/>
  <c r="Q1426" i="2"/>
  <c r="D1426" i="2"/>
  <c r="J1425" i="2"/>
  <c r="Q1424" i="2"/>
  <c r="D1424" i="2"/>
  <c r="J1423" i="2"/>
  <c r="Q1422" i="2"/>
  <c r="D1422" i="2"/>
  <c r="J1421" i="2"/>
  <c r="Q1420" i="2"/>
  <c r="D1420" i="2"/>
  <c r="J1419" i="2"/>
  <c r="Q1418" i="2"/>
  <c r="D1418" i="2"/>
  <c r="N1662" i="2"/>
  <c r="D1617" i="2"/>
  <c r="D1599" i="2"/>
  <c r="A1583" i="2"/>
  <c r="F1566" i="2"/>
  <c r="H1559" i="2"/>
  <c r="H1553" i="2"/>
  <c r="H1547" i="2"/>
  <c r="H1541" i="2"/>
  <c r="D1537" i="2"/>
  <c r="D1533" i="2"/>
  <c r="D1529" i="2"/>
  <c r="D1525" i="2"/>
  <c r="H1521" i="2"/>
  <c r="H1518" i="2"/>
  <c r="O1515" i="2"/>
  <c r="F1513" i="2"/>
  <c r="A1511" i="2"/>
  <c r="T1508" i="2"/>
  <c r="T1506" i="2"/>
  <c r="T1504" i="2"/>
  <c r="T1502" i="2"/>
  <c r="T1500" i="2"/>
  <c r="T1498" i="2"/>
  <c r="T1496" i="2"/>
  <c r="J1495" i="2"/>
  <c r="D1494" i="2"/>
  <c r="Q1492" i="2"/>
  <c r="J1491" i="2"/>
  <c r="D1490" i="2"/>
  <c r="Q1488" i="2"/>
  <c r="J1487" i="2"/>
  <c r="D1486" i="2"/>
  <c r="Q1484" i="2"/>
  <c r="J1483" i="2"/>
  <c r="D1482" i="2"/>
  <c r="Q1480" i="2"/>
  <c r="J1479" i="2"/>
  <c r="D1478" i="2"/>
  <c r="Q1476" i="2"/>
  <c r="J1475" i="2"/>
  <c r="D1474" i="2"/>
  <c r="Q1472" i="2"/>
  <c r="J1471" i="2"/>
  <c r="F1470" i="2"/>
  <c r="E1469" i="2"/>
  <c r="F1468" i="2"/>
  <c r="F1467" i="2"/>
  <c r="K1465" i="2"/>
  <c r="M1464" i="2"/>
  <c r="P1463" i="2"/>
  <c r="S1462" i="2"/>
  <c r="E1462" i="2"/>
  <c r="J1461" i="2"/>
  <c r="P1460" i="2"/>
  <c r="C1460" i="2"/>
  <c r="P1458" i="2"/>
  <c r="C1458" i="2"/>
  <c r="P1456" i="2"/>
  <c r="C1456" i="2"/>
  <c r="P1454" i="2"/>
  <c r="C1454" i="2"/>
  <c r="P1452" i="2"/>
  <c r="C1452" i="2"/>
  <c r="P1450" i="2"/>
  <c r="C1450" i="2"/>
  <c r="P1448" i="2"/>
  <c r="C1448" i="2"/>
  <c r="P1446" i="2"/>
  <c r="C1446" i="2"/>
  <c r="P1444" i="2"/>
  <c r="C1444" i="2"/>
  <c r="P1442" i="2"/>
  <c r="C1442" i="2"/>
  <c r="P1440" i="2"/>
  <c r="C1440" i="2"/>
  <c r="P1438" i="2"/>
  <c r="C1438" i="2"/>
  <c r="P1436" i="2"/>
  <c r="C1436" i="2"/>
  <c r="P1434" i="2"/>
  <c r="C1434" i="2"/>
  <c r="P1432" i="2"/>
  <c r="C1432" i="2"/>
  <c r="P1430" i="2"/>
  <c r="C1430" i="2"/>
  <c r="P1428" i="2"/>
  <c r="C1428" i="2"/>
  <c r="P1426" i="2"/>
  <c r="C1426" i="2"/>
  <c r="P1424" i="2"/>
  <c r="C1424" i="2"/>
  <c r="P1422" i="2"/>
  <c r="C1422" i="2"/>
  <c r="P1420" i="2"/>
  <c r="C1420" i="2"/>
  <c r="P1418" i="2"/>
  <c r="C1418" i="2"/>
  <c r="P1416" i="2"/>
  <c r="C1416" i="2"/>
  <c r="P1414" i="2"/>
  <c r="M1662" i="2"/>
  <c r="C1617" i="2"/>
  <c r="C1599" i="2"/>
  <c r="T1582" i="2"/>
  <c r="H1573" i="2"/>
  <c r="E1566" i="2"/>
  <c r="G1559" i="2"/>
  <c r="G1553" i="2"/>
  <c r="G1547" i="2"/>
  <c r="G1541" i="2"/>
  <c r="S1536" i="2"/>
  <c r="S1532" i="2"/>
  <c r="S1528" i="2"/>
  <c r="S1524" i="2"/>
  <c r="G1521" i="2"/>
  <c r="G1518" i="2"/>
  <c r="N1515" i="2"/>
  <c r="D1513" i="2"/>
  <c r="T1510" i="2"/>
  <c r="S1508" i="2"/>
  <c r="S1506" i="2"/>
  <c r="S1504" i="2"/>
  <c r="S1502" i="2"/>
  <c r="S1500" i="2"/>
  <c r="S1498" i="2"/>
  <c r="S1496" i="2"/>
  <c r="G1495" i="2"/>
  <c r="T1493" i="2"/>
  <c r="N1492" i="2"/>
  <c r="G1491" i="2"/>
  <c r="T1489" i="2"/>
  <c r="N1488" i="2"/>
  <c r="G1487" i="2"/>
  <c r="T1485" i="2"/>
  <c r="N1484" i="2"/>
  <c r="G1483" i="2"/>
  <c r="T1481" i="2"/>
  <c r="N1480" i="2"/>
  <c r="G1479" i="2"/>
  <c r="T1477" i="2"/>
  <c r="N1476" i="2"/>
  <c r="G1475" i="2"/>
  <c r="T1473" i="2"/>
  <c r="N1472" i="2"/>
  <c r="G1471" i="2"/>
  <c r="E1470" i="2"/>
  <c r="D1469" i="2"/>
  <c r="E1468" i="2"/>
  <c r="E1467" i="2"/>
  <c r="G1466" i="2"/>
  <c r="J1465" i="2"/>
  <c r="K1464" i="2"/>
  <c r="N1463" i="2"/>
  <c r="R1462" i="2"/>
  <c r="D1462" i="2"/>
  <c r="O1460" i="2"/>
  <c r="A1460" i="2"/>
  <c r="H1459" i="2"/>
  <c r="O1458" i="2"/>
  <c r="A1458" i="2"/>
  <c r="H1457" i="2"/>
  <c r="O1456" i="2"/>
  <c r="A1456" i="2"/>
  <c r="H1455" i="2"/>
  <c r="O1454" i="2"/>
  <c r="A1454" i="2"/>
  <c r="H1453" i="2"/>
  <c r="O1452" i="2"/>
  <c r="A1452" i="2"/>
  <c r="H1451" i="2"/>
  <c r="O1450" i="2"/>
  <c r="A1450" i="2"/>
  <c r="H1449" i="2"/>
  <c r="O1448" i="2"/>
  <c r="A1448" i="2"/>
  <c r="H1447" i="2"/>
  <c r="O1446" i="2"/>
  <c r="A1446" i="2"/>
  <c r="H1445" i="2"/>
  <c r="O1444" i="2"/>
  <c r="A1444" i="2"/>
  <c r="H1443" i="2"/>
  <c r="O1442" i="2"/>
  <c r="A1442" i="2"/>
  <c r="H1441" i="2"/>
  <c r="O1440" i="2"/>
  <c r="A1440" i="2"/>
  <c r="H1439" i="2"/>
  <c r="O1438" i="2"/>
  <c r="A1438" i="2"/>
  <c r="H1437" i="2"/>
  <c r="O1436" i="2"/>
  <c r="A1436" i="2"/>
  <c r="H1435" i="2"/>
  <c r="O1434" i="2"/>
  <c r="A1434" i="2"/>
  <c r="H1433" i="2"/>
  <c r="O1432" i="2"/>
  <c r="A1432" i="2"/>
  <c r="H1431" i="2"/>
  <c r="O1430" i="2"/>
  <c r="A1430" i="2"/>
  <c r="H1429" i="2"/>
  <c r="O1428" i="2"/>
  <c r="A1428" i="2"/>
  <c r="H1427" i="2"/>
  <c r="O1426" i="2"/>
  <c r="A1426" i="2"/>
  <c r="H1425" i="2"/>
  <c r="O1424" i="2"/>
  <c r="A1424" i="2"/>
  <c r="H1423" i="2"/>
  <c r="O1422" i="2"/>
  <c r="A1422" i="2"/>
  <c r="H1421" i="2"/>
  <c r="O1420" i="2"/>
  <c r="A1420" i="2"/>
  <c r="H1419" i="2"/>
  <c r="O1418" i="2"/>
  <c r="A1418" i="2"/>
  <c r="H1417" i="2"/>
  <c r="E1657" i="2"/>
  <c r="O1615" i="2"/>
  <c r="O1597" i="2"/>
  <c r="O1581" i="2"/>
  <c r="P1572" i="2"/>
  <c r="M1565" i="2"/>
  <c r="Q1558" i="2"/>
  <c r="Q1552" i="2"/>
  <c r="Q1546" i="2"/>
  <c r="Q1540" i="2"/>
  <c r="Q1536" i="2"/>
  <c r="Q1532" i="2"/>
  <c r="Q1528" i="2"/>
  <c r="Q1524" i="2"/>
  <c r="D1521" i="2"/>
  <c r="F1518" i="2"/>
  <c r="M1515" i="2"/>
  <c r="C1513" i="2"/>
  <c r="S1510" i="2"/>
  <c r="R1508" i="2"/>
  <c r="R1506" i="2"/>
  <c r="R1504" i="2"/>
  <c r="R1502" i="2"/>
  <c r="R1500" i="2"/>
  <c r="R1498" i="2"/>
  <c r="R1496" i="2"/>
  <c r="D1495" i="2"/>
  <c r="Q1493" i="2"/>
  <c r="J1492" i="2"/>
  <c r="D1491" i="2"/>
  <c r="Q1489" i="2"/>
  <c r="J1488" i="2"/>
  <c r="D1487" i="2"/>
  <c r="Q1485" i="2"/>
  <c r="J1484" i="2"/>
  <c r="D1483" i="2"/>
  <c r="Q1481" i="2"/>
  <c r="J1480" i="2"/>
  <c r="D1479" i="2"/>
  <c r="Q1477" i="2"/>
  <c r="J1476" i="2"/>
  <c r="D1475" i="2"/>
  <c r="Q1473" i="2"/>
  <c r="J1472" i="2"/>
  <c r="D1471" i="2"/>
  <c r="D1470" i="2"/>
  <c r="C1469" i="2"/>
  <c r="D1468" i="2"/>
  <c r="D1467" i="2"/>
  <c r="F1466" i="2"/>
  <c r="G1465" i="2"/>
  <c r="J1464" i="2"/>
  <c r="M1463" i="2"/>
  <c r="Q1462" i="2"/>
  <c r="C1462" i="2"/>
  <c r="G1461" i="2"/>
  <c r="N1460" i="2"/>
  <c r="T1459" i="2"/>
  <c r="G1459" i="2"/>
  <c r="N1458" i="2"/>
  <c r="T1457" i="2"/>
  <c r="G1457" i="2"/>
  <c r="N1456" i="2"/>
  <c r="T1455" i="2"/>
  <c r="G1455" i="2"/>
  <c r="N1454" i="2"/>
  <c r="T1453" i="2"/>
  <c r="G1453" i="2"/>
  <c r="N1452" i="2"/>
  <c r="T1451" i="2"/>
  <c r="G1451" i="2"/>
  <c r="N1450" i="2"/>
  <c r="T1449" i="2"/>
  <c r="G1449" i="2"/>
  <c r="N1448" i="2"/>
  <c r="T1447" i="2"/>
  <c r="G1447" i="2"/>
  <c r="N1446" i="2"/>
  <c r="T1445" i="2"/>
  <c r="G1445" i="2"/>
  <c r="N1444" i="2"/>
  <c r="T1443" i="2"/>
  <c r="G1443" i="2"/>
  <c r="N1442" i="2"/>
  <c r="T1441" i="2"/>
  <c r="G1441" i="2"/>
  <c r="N1440" i="2"/>
  <c r="T1439" i="2"/>
  <c r="G1439" i="2"/>
  <c r="N1438" i="2"/>
  <c r="T1437" i="2"/>
  <c r="G1437" i="2"/>
  <c r="N1436" i="2"/>
  <c r="T1435" i="2"/>
  <c r="G1435" i="2"/>
  <c r="N1434" i="2"/>
  <c r="T1433" i="2"/>
  <c r="G1433" i="2"/>
  <c r="N1432" i="2"/>
  <c r="T1431" i="2"/>
  <c r="G1431" i="2"/>
  <c r="N1430" i="2"/>
  <c r="T1429" i="2"/>
  <c r="G1429" i="2"/>
  <c r="N1428" i="2"/>
  <c r="T1427" i="2"/>
  <c r="G1427" i="2"/>
  <c r="N1426" i="2"/>
  <c r="T1425" i="2"/>
  <c r="G1425" i="2"/>
  <c r="N1424" i="2"/>
  <c r="T1423" i="2"/>
  <c r="G1423" i="2"/>
  <c r="N1422" i="2"/>
  <c r="T1421" i="2"/>
  <c r="G1421" i="2"/>
  <c r="N1420" i="2"/>
  <c r="T1419" i="2"/>
  <c r="G1419" i="2"/>
  <c r="N1418" i="2"/>
  <c r="T1417" i="2"/>
  <c r="G1417" i="2"/>
  <c r="N1416" i="2"/>
  <c r="T1415" i="2"/>
  <c r="G1415" i="2"/>
  <c r="N1414" i="2"/>
  <c r="T1413" i="2"/>
  <c r="E1633" i="2"/>
  <c r="O1609" i="2"/>
  <c r="O1591" i="2"/>
  <c r="O1577" i="2"/>
  <c r="H1570" i="2"/>
  <c r="D1563" i="2"/>
  <c r="Q1556" i="2"/>
  <c r="Q1550" i="2"/>
  <c r="Q1544" i="2"/>
  <c r="J1539" i="2"/>
  <c r="J1535" i="2"/>
  <c r="J1531" i="2"/>
  <c r="J1527" i="2"/>
  <c r="J1523" i="2"/>
  <c r="D1520" i="2"/>
  <c r="H1517" i="2"/>
  <c r="O1514" i="2"/>
  <c r="H1512" i="2"/>
  <c r="E1510" i="2"/>
  <c r="E1508" i="2"/>
  <c r="E1506" i="2"/>
  <c r="E1504" i="2"/>
  <c r="E1502" i="2"/>
  <c r="E1500" i="2"/>
  <c r="E1498" i="2"/>
  <c r="E1496" i="2"/>
  <c r="Q1494" i="2"/>
  <c r="J1493" i="2"/>
  <c r="D1492" i="2"/>
  <c r="Q1490" i="2"/>
  <c r="J1489" i="2"/>
  <c r="D1488" i="2"/>
  <c r="Q1486" i="2"/>
  <c r="J1485" i="2"/>
  <c r="D1484" i="2"/>
  <c r="Q1482" i="2"/>
  <c r="J1481" i="2"/>
  <c r="D1480" i="2"/>
  <c r="Q1478" i="2"/>
  <c r="J1477" i="2"/>
  <c r="D1476" i="2"/>
  <c r="Q1474" i="2"/>
  <c r="J1473" i="2"/>
  <c r="D1472" i="2"/>
  <c r="R1470" i="2"/>
  <c r="P1469" i="2"/>
  <c r="Q1468" i="2"/>
  <c r="P1467" i="2"/>
  <c r="R1466" i="2"/>
  <c r="S1465" i="2"/>
  <c r="C1465" i="2"/>
  <c r="E1464" i="2"/>
  <c r="F1463" i="2"/>
  <c r="K1462" i="2"/>
  <c r="Q1461" i="2"/>
  <c r="C1461" i="2"/>
  <c r="P1459" i="2"/>
  <c r="C1459" i="2"/>
  <c r="P1457" i="2"/>
  <c r="C1457" i="2"/>
  <c r="P1455" i="2"/>
  <c r="C1455" i="2"/>
  <c r="P1453" i="2"/>
  <c r="C1453" i="2"/>
  <c r="P1451" i="2"/>
  <c r="C1451" i="2"/>
  <c r="P1449" i="2"/>
  <c r="C1449" i="2"/>
  <c r="P1447" i="2"/>
  <c r="C1447" i="2"/>
  <c r="P1445" i="2"/>
  <c r="C1445" i="2"/>
  <c r="P1443" i="2"/>
  <c r="C1443" i="2"/>
  <c r="P1441" i="2"/>
  <c r="C1441" i="2"/>
  <c r="P1439" i="2"/>
  <c r="C1439" i="2"/>
  <c r="P1437" i="2"/>
  <c r="C1437" i="2"/>
  <c r="P1435" i="2"/>
  <c r="C1435" i="2"/>
  <c r="P1433" i="2"/>
  <c r="C1433" i="2"/>
  <c r="P1431" i="2"/>
  <c r="C1431" i="2"/>
  <c r="P1429" i="2"/>
  <c r="C1429" i="2"/>
  <c r="P1427" i="2"/>
  <c r="C1427" i="2"/>
  <c r="P1425" i="2"/>
  <c r="C1425" i="2"/>
  <c r="P1423" i="2"/>
  <c r="C1423" i="2"/>
  <c r="N1632" i="2"/>
  <c r="N1609" i="2"/>
  <c r="N1591" i="2"/>
  <c r="N1577" i="2"/>
  <c r="G1570" i="2"/>
  <c r="C1563" i="2"/>
  <c r="P1556" i="2"/>
  <c r="P1550" i="2"/>
  <c r="P1544" i="2"/>
  <c r="C1520" i="2"/>
  <c r="G1517" i="2"/>
  <c r="N1514" i="2"/>
  <c r="G1512" i="2"/>
  <c r="D1510" i="2"/>
  <c r="D1508" i="2"/>
  <c r="D1506" i="2"/>
  <c r="D1504" i="2"/>
  <c r="D1502" i="2"/>
  <c r="D1500" i="2"/>
  <c r="D1498" i="2"/>
  <c r="D1496" i="2"/>
  <c r="N1494" i="2"/>
  <c r="G1493" i="2"/>
  <c r="T1491" i="2"/>
  <c r="N1490" i="2"/>
  <c r="G1489" i="2"/>
  <c r="T1487" i="2"/>
  <c r="N1486" i="2"/>
  <c r="G1485" i="2"/>
  <c r="T1483" i="2"/>
  <c r="N1482" i="2"/>
  <c r="G1481" i="2"/>
  <c r="T1479" i="2"/>
  <c r="N1478" i="2"/>
  <c r="G1477" i="2"/>
  <c r="T1475" i="2"/>
  <c r="N1474" i="2"/>
  <c r="G1473" i="2"/>
  <c r="T1471" i="2"/>
  <c r="Q1470" i="2"/>
  <c r="N1469" i="2"/>
  <c r="N1468" i="2"/>
  <c r="N1467" i="2"/>
  <c r="Q1466" i="2"/>
  <c r="R1465" i="2"/>
  <c r="T1464" i="2"/>
  <c r="D1464" i="2"/>
  <c r="E1463" i="2"/>
  <c r="J1462" i="2"/>
  <c r="P1461" i="2"/>
  <c r="A1461" i="2"/>
  <c r="H1460" i="2"/>
  <c r="O1459" i="2"/>
  <c r="A1459" i="2"/>
  <c r="H1458" i="2"/>
  <c r="O1457" i="2"/>
  <c r="A1457" i="2"/>
  <c r="H1456" i="2"/>
  <c r="O1455" i="2"/>
  <c r="A1455" i="2"/>
  <c r="H1454" i="2"/>
  <c r="O1453" i="2"/>
  <c r="A1453" i="2"/>
  <c r="H1452" i="2"/>
  <c r="O1451" i="2"/>
  <c r="A1451" i="2"/>
  <c r="H1450" i="2"/>
  <c r="O1449" i="2"/>
  <c r="A1449" i="2"/>
  <c r="H1448" i="2"/>
  <c r="O1447" i="2"/>
  <c r="A1447" i="2"/>
  <c r="H1446" i="2"/>
  <c r="O1445" i="2"/>
  <c r="A1445" i="2"/>
  <c r="H1444" i="2"/>
  <c r="O1443" i="2"/>
  <c r="A1443" i="2"/>
  <c r="H1442" i="2"/>
  <c r="O1441" i="2"/>
  <c r="A1441" i="2"/>
  <c r="H1440" i="2"/>
  <c r="O1439" i="2"/>
  <c r="A1439" i="2"/>
  <c r="H1438" i="2"/>
  <c r="O1437" i="2"/>
  <c r="A1437" i="2"/>
  <c r="H1436" i="2"/>
  <c r="O1435" i="2"/>
  <c r="A1435" i="2"/>
  <c r="H1434" i="2"/>
  <c r="O1433" i="2"/>
  <c r="A1433" i="2"/>
  <c r="H1432" i="2"/>
  <c r="O1431" i="2"/>
  <c r="A1431" i="2"/>
  <c r="H1430" i="2"/>
  <c r="O1429" i="2"/>
  <c r="A1429" i="2"/>
  <c r="H1428" i="2"/>
  <c r="O1427" i="2"/>
  <c r="A1427" i="2"/>
  <c r="H1426" i="2"/>
  <c r="O1425" i="2"/>
  <c r="A1425" i="2"/>
  <c r="H1424" i="2"/>
  <c r="O1423" i="2"/>
  <c r="A1423" i="2"/>
  <c r="H1422" i="2"/>
  <c r="O1421" i="2"/>
  <c r="A1421" i="2"/>
  <c r="H1420" i="2"/>
  <c r="O1419" i="2"/>
  <c r="A1419" i="2"/>
  <c r="H1418" i="2"/>
  <c r="O1417" i="2"/>
  <c r="A1417" i="2"/>
  <c r="H1416" i="2"/>
  <c r="O1415" i="2"/>
  <c r="A1415" i="2"/>
  <c r="H1414" i="2"/>
  <c r="O1413" i="2"/>
  <c r="A1413" i="2"/>
  <c r="N1656" i="2"/>
  <c r="O1572" i="2"/>
  <c r="P1546" i="2"/>
  <c r="P1528" i="2"/>
  <c r="J1515" i="2"/>
  <c r="Q1506" i="2"/>
  <c r="Q1498" i="2"/>
  <c r="G1492" i="2"/>
  <c r="T1486" i="2"/>
  <c r="N1481" i="2"/>
  <c r="G1476" i="2"/>
  <c r="C1471" i="2"/>
  <c r="C1467" i="2"/>
  <c r="K1463" i="2"/>
  <c r="M1460" i="2"/>
  <c r="S1457" i="2"/>
  <c r="F1455" i="2"/>
  <c r="M1452" i="2"/>
  <c r="S1449" i="2"/>
  <c r="F1447" i="2"/>
  <c r="M1444" i="2"/>
  <c r="S1441" i="2"/>
  <c r="F1439" i="2"/>
  <c r="M1436" i="2"/>
  <c r="S1433" i="2"/>
  <c r="F1431" i="2"/>
  <c r="M1428" i="2"/>
  <c r="S1425" i="2"/>
  <c r="F1423" i="2"/>
  <c r="E1421" i="2"/>
  <c r="P1419" i="2"/>
  <c r="S1417" i="2"/>
  <c r="O1416" i="2"/>
  <c r="P1415" i="2"/>
  <c r="O1414" i="2"/>
  <c r="Q1413" i="2"/>
  <c r="S1412" i="2"/>
  <c r="E1412" i="2"/>
  <c r="J1411" i="2"/>
  <c r="P1410" i="2"/>
  <c r="A1410" i="2"/>
  <c r="G1409" i="2"/>
  <c r="M1408" i="2"/>
  <c r="R1407" i="2"/>
  <c r="D1407" i="2"/>
  <c r="O1405" i="2"/>
  <c r="S1404" i="2"/>
  <c r="F1404" i="2"/>
  <c r="M1403" i="2"/>
  <c r="S1402" i="2"/>
  <c r="F1402" i="2"/>
  <c r="M1401" i="2"/>
  <c r="S1400" i="2"/>
  <c r="F1400" i="2"/>
  <c r="M1399" i="2"/>
  <c r="S1398" i="2"/>
  <c r="F1398" i="2"/>
  <c r="M1397" i="2"/>
  <c r="S1396" i="2"/>
  <c r="F1396" i="2"/>
  <c r="M1395" i="2"/>
  <c r="S1394" i="2"/>
  <c r="F1394" i="2"/>
  <c r="M1393" i="2"/>
  <c r="S1392" i="2"/>
  <c r="F1392" i="2"/>
  <c r="M1391" i="2"/>
  <c r="S1390" i="2"/>
  <c r="F1390" i="2"/>
  <c r="M1389" i="2"/>
  <c r="S1388" i="2"/>
  <c r="F1388" i="2"/>
  <c r="M1387" i="2"/>
  <c r="S1386" i="2"/>
  <c r="F1386" i="2"/>
  <c r="M1385" i="2"/>
  <c r="S1384" i="2"/>
  <c r="F1384" i="2"/>
  <c r="M1383" i="2"/>
  <c r="S1382" i="2"/>
  <c r="F1382" i="2"/>
  <c r="M1381" i="2"/>
  <c r="S1380" i="2"/>
  <c r="F1380" i="2"/>
  <c r="M1379" i="2"/>
  <c r="S1378" i="2"/>
  <c r="N1638" i="2"/>
  <c r="A1571" i="2"/>
  <c r="H1545" i="2"/>
  <c r="Q1527" i="2"/>
  <c r="Q1514" i="2"/>
  <c r="G1506" i="2"/>
  <c r="G1498" i="2"/>
  <c r="F1492" i="2"/>
  <c r="S1486" i="2"/>
  <c r="M1481" i="2"/>
  <c r="F1476" i="2"/>
  <c r="T1470" i="2"/>
  <c r="T1466" i="2"/>
  <c r="J1463" i="2"/>
  <c r="K1460" i="2"/>
  <c r="R1457" i="2"/>
  <c r="E1455" i="2"/>
  <c r="K1452" i="2"/>
  <c r="R1449" i="2"/>
  <c r="E1447" i="2"/>
  <c r="K1444" i="2"/>
  <c r="R1441" i="2"/>
  <c r="E1439" i="2"/>
  <c r="K1436" i="2"/>
  <c r="R1433" i="2"/>
  <c r="E1431" i="2"/>
  <c r="K1428" i="2"/>
  <c r="R1425" i="2"/>
  <c r="E1423" i="2"/>
  <c r="D1421" i="2"/>
  <c r="K1419" i="2"/>
  <c r="R1417" i="2"/>
  <c r="M1416" i="2"/>
  <c r="M1415" i="2"/>
  <c r="M1414" i="2"/>
  <c r="P1413" i="2"/>
  <c r="R1412" i="2"/>
  <c r="D1412" i="2"/>
  <c r="O1410" i="2"/>
  <c r="T1409" i="2"/>
  <c r="F1409" i="2"/>
  <c r="K1408" i="2"/>
  <c r="Q1407" i="2"/>
  <c r="C1407" i="2"/>
  <c r="H1406" i="2"/>
  <c r="M1405" i="2"/>
  <c r="R1404" i="2"/>
  <c r="E1404" i="2"/>
  <c r="K1403" i="2"/>
  <c r="R1402" i="2"/>
  <c r="E1402" i="2"/>
  <c r="K1401" i="2"/>
  <c r="R1400" i="2"/>
  <c r="E1400" i="2"/>
  <c r="K1399" i="2"/>
  <c r="R1398" i="2"/>
  <c r="E1398" i="2"/>
  <c r="K1397" i="2"/>
  <c r="R1396" i="2"/>
  <c r="E1396" i="2"/>
  <c r="K1395" i="2"/>
  <c r="R1394" i="2"/>
  <c r="E1394" i="2"/>
  <c r="K1393" i="2"/>
  <c r="R1392" i="2"/>
  <c r="E1392" i="2"/>
  <c r="K1391" i="2"/>
  <c r="R1390" i="2"/>
  <c r="E1390" i="2"/>
  <c r="K1389" i="2"/>
  <c r="R1388" i="2"/>
  <c r="E1388" i="2"/>
  <c r="K1387" i="2"/>
  <c r="R1386" i="2"/>
  <c r="E1386" i="2"/>
  <c r="K1385" i="2"/>
  <c r="R1384" i="2"/>
  <c r="E1384" i="2"/>
  <c r="K1383" i="2"/>
  <c r="R1382" i="2"/>
  <c r="E1382" i="2"/>
  <c r="K1381" i="2"/>
  <c r="R1380" i="2"/>
  <c r="E1380" i="2"/>
  <c r="K1379" i="2"/>
  <c r="R1378" i="2"/>
  <c r="E1378" i="2"/>
  <c r="K1377" i="2"/>
  <c r="R1376" i="2"/>
  <c r="E1376" i="2"/>
  <c r="K1375" i="2"/>
  <c r="R1374" i="2"/>
  <c r="E1374" i="2"/>
  <c r="K1373" i="2"/>
  <c r="R1372" i="2"/>
  <c r="E1372" i="2"/>
  <c r="K1371" i="2"/>
  <c r="R1370" i="2"/>
  <c r="E1370" i="2"/>
  <c r="K1369" i="2"/>
  <c r="R1368" i="2"/>
  <c r="E1368" i="2"/>
  <c r="K1367" i="2"/>
  <c r="R1366" i="2"/>
  <c r="E1366" i="2"/>
  <c r="K1365" i="2"/>
  <c r="R1364" i="2"/>
  <c r="E1364" i="2"/>
  <c r="K1363" i="2"/>
  <c r="R1362" i="2"/>
  <c r="E1362" i="2"/>
  <c r="K1361" i="2"/>
  <c r="R1360" i="2"/>
  <c r="E1360" i="2"/>
  <c r="K1359" i="2"/>
  <c r="R1358" i="2"/>
  <c r="E1358" i="2"/>
  <c r="K1357" i="2"/>
  <c r="R1356" i="2"/>
  <c r="E1356" i="2"/>
  <c r="K1355" i="2"/>
  <c r="R1354" i="2"/>
  <c r="E1354" i="2"/>
  <c r="K1353" i="2"/>
  <c r="R1352" i="2"/>
  <c r="E1352" i="2"/>
  <c r="M1638" i="2"/>
  <c r="T1570" i="2"/>
  <c r="G1545" i="2"/>
  <c r="M1527" i="2"/>
  <c r="P1514" i="2"/>
  <c r="F1506" i="2"/>
  <c r="F1498" i="2"/>
  <c r="E1492" i="2"/>
  <c r="R1486" i="2"/>
  <c r="K1481" i="2"/>
  <c r="E1476" i="2"/>
  <c r="S1470" i="2"/>
  <c r="S1466" i="2"/>
  <c r="G1463" i="2"/>
  <c r="J1460" i="2"/>
  <c r="Q1457" i="2"/>
  <c r="D1455" i="2"/>
  <c r="J1452" i="2"/>
  <c r="Q1449" i="2"/>
  <c r="D1447" i="2"/>
  <c r="J1444" i="2"/>
  <c r="Q1441" i="2"/>
  <c r="D1439" i="2"/>
  <c r="J1436" i="2"/>
  <c r="Q1433" i="2"/>
  <c r="D1431" i="2"/>
  <c r="J1428" i="2"/>
  <c r="Q1425" i="2"/>
  <c r="D1423" i="2"/>
  <c r="C1421" i="2"/>
  <c r="F1419" i="2"/>
  <c r="Q1417" i="2"/>
  <c r="K1416" i="2"/>
  <c r="K1415" i="2"/>
  <c r="K1414" i="2"/>
  <c r="M1413" i="2"/>
  <c r="Q1412" i="2"/>
  <c r="C1412" i="2"/>
  <c r="H1411" i="2"/>
  <c r="N1410" i="2"/>
  <c r="S1409" i="2"/>
  <c r="E1409" i="2"/>
  <c r="J1408" i="2"/>
  <c r="P1407" i="2"/>
  <c r="A1407" i="2"/>
  <c r="F1406" i="2"/>
  <c r="K1405" i="2"/>
  <c r="Q1404" i="2"/>
  <c r="D1404" i="2"/>
  <c r="J1403" i="2"/>
  <c r="Q1402" i="2"/>
  <c r="D1402" i="2"/>
  <c r="J1401" i="2"/>
  <c r="Q1400" i="2"/>
  <c r="D1400" i="2"/>
  <c r="J1399" i="2"/>
  <c r="Q1398" i="2"/>
  <c r="D1398" i="2"/>
  <c r="J1397" i="2"/>
  <c r="Q1396" i="2"/>
  <c r="D1396" i="2"/>
  <c r="J1395" i="2"/>
  <c r="Q1394" i="2"/>
  <c r="D1394" i="2"/>
  <c r="J1393" i="2"/>
  <c r="Q1392" i="2"/>
  <c r="D1392" i="2"/>
  <c r="J1391" i="2"/>
  <c r="Q1390" i="2"/>
  <c r="D1390" i="2"/>
  <c r="J1389" i="2"/>
  <c r="Q1388" i="2"/>
  <c r="D1388" i="2"/>
  <c r="J1387" i="2"/>
  <c r="Q1386" i="2"/>
  <c r="D1386" i="2"/>
  <c r="J1385" i="2"/>
  <c r="Q1384" i="2"/>
  <c r="D1384" i="2"/>
  <c r="J1383" i="2"/>
  <c r="Q1382" i="2"/>
  <c r="D1382" i="2"/>
  <c r="J1381" i="2"/>
  <c r="Q1380" i="2"/>
  <c r="D1380" i="2"/>
  <c r="J1379" i="2"/>
  <c r="Q1378" i="2"/>
  <c r="D1378" i="2"/>
  <c r="J1377" i="2"/>
  <c r="Q1376" i="2"/>
  <c r="D1376" i="2"/>
  <c r="J1375" i="2"/>
  <c r="Q1374" i="2"/>
  <c r="D1374" i="2"/>
  <c r="J1373" i="2"/>
  <c r="Q1372" i="2"/>
  <c r="D1372" i="2"/>
  <c r="J1371" i="2"/>
  <c r="Q1370" i="2"/>
  <c r="D1370" i="2"/>
  <c r="J1369" i="2"/>
  <c r="Q1368" i="2"/>
  <c r="D1368" i="2"/>
  <c r="J1367" i="2"/>
  <c r="Q1366" i="2"/>
  <c r="D1366" i="2"/>
  <c r="J1365" i="2"/>
  <c r="Q1364" i="2"/>
  <c r="D1364" i="2"/>
  <c r="J1363" i="2"/>
  <c r="Q1362" i="2"/>
  <c r="D1362" i="2"/>
  <c r="J1361" i="2"/>
  <c r="Q1360" i="2"/>
  <c r="D1360" i="2"/>
  <c r="N1615" i="2"/>
  <c r="K1565" i="2"/>
  <c r="P1540" i="2"/>
  <c r="P1524" i="2"/>
  <c r="A1513" i="2"/>
  <c r="Q1504" i="2"/>
  <c r="Q1496" i="2"/>
  <c r="T1490" i="2"/>
  <c r="N1485" i="2"/>
  <c r="G1480" i="2"/>
  <c r="T1474" i="2"/>
  <c r="T1469" i="2"/>
  <c r="E1466" i="2"/>
  <c r="P1462" i="2"/>
  <c r="S1459" i="2"/>
  <c r="F1457" i="2"/>
  <c r="M1454" i="2"/>
  <c r="S1451" i="2"/>
  <c r="F1449" i="2"/>
  <c r="M1446" i="2"/>
  <c r="S1443" i="2"/>
  <c r="F1441" i="2"/>
  <c r="M1438" i="2"/>
  <c r="S1435" i="2"/>
  <c r="F1433" i="2"/>
  <c r="M1430" i="2"/>
  <c r="S1427" i="2"/>
  <c r="F1425" i="2"/>
  <c r="M1422" i="2"/>
  <c r="R1420" i="2"/>
  <c r="E1419" i="2"/>
  <c r="P1417" i="2"/>
  <c r="J1416" i="2"/>
  <c r="J1415" i="2"/>
  <c r="J1414" i="2"/>
  <c r="K1413" i="2"/>
  <c r="P1412" i="2"/>
  <c r="A1412" i="2"/>
  <c r="G1411" i="2"/>
  <c r="M1410" i="2"/>
  <c r="R1409" i="2"/>
  <c r="D1409" i="2"/>
  <c r="O1407" i="2"/>
  <c r="S1406" i="2"/>
  <c r="E1406" i="2"/>
  <c r="J1405" i="2"/>
  <c r="P1404" i="2"/>
  <c r="C1404" i="2"/>
  <c r="P1402" i="2"/>
  <c r="C1402" i="2"/>
  <c r="P1400" i="2"/>
  <c r="C1400" i="2"/>
  <c r="P1398" i="2"/>
  <c r="C1398" i="2"/>
  <c r="P1396" i="2"/>
  <c r="C1396" i="2"/>
  <c r="P1394" i="2"/>
  <c r="C1394" i="2"/>
  <c r="P1392" i="2"/>
  <c r="C1392" i="2"/>
  <c r="P1390" i="2"/>
  <c r="C1390" i="2"/>
  <c r="P1388" i="2"/>
  <c r="C1388" i="2"/>
  <c r="P1386" i="2"/>
  <c r="C1386" i="2"/>
  <c r="P1384" i="2"/>
  <c r="C1384" i="2"/>
  <c r="P1382" i="2"/>
  <c r="C1382" i="2"/>
  <c r="P1380" i="2"/>
  <c r="C1380" i="2"/>
  <c r="D1611" i="2"/>
  <c r="Q1563" i="2"/>
  <c r="Q1539" i="2"/>
  <c r="Q1523" i="2"/>
  <c r="J1512" i="2"/>
  <c r="G1504" i="2"/>
  <c r="G1496" i="2"/>
  <c r="S1490" i="2"/>
  <c r="M1485" i="2"/>
  <c r="F1480" i="2"/>
  <c r="S1474" i="2"/>
  <c r="R1469" i="2"/>
  <c r="D1466" i="2"/>
  <c r="N1462" i="2"/>
  <c r="R1459" i="2"/>
  <c r="E1457" i="2"/>
  <c r="K1454" i="2"/>
  <c r="R1451" i="2"/>
  <c r="E1449" i="2"/>
  <c r="K1446" i="2"/>
  <c r="R1443" i="2"/>
  <c r="E1441" i="2"/>
  <c r="K1438" i="2"/>
  <c r="R1435" i="2"/>
  <c r="E1433" i="2"/>
  <c r="K1430" i="2"/>
  <c r="R1427" i="2"/>
  <c r="E1425" i="2"/>
  <c r="K1422" i="2"/>
  <c r="M1420" i="2"/>
  <c r="D1419" i="2"/>
  <c r="K1417" i="2"/>
  <c r="H1415" i="2"/>
  <c r="J1413" i="2"/>
  <c r="O1412" i="2"/>
  <c r="T1411" i="2"/>
  <c r="F1411" i="2"/>
  <c r="K1410" i="2"/>
  <c r="Q1409" i="2"/>
  <c r="C1409" i="2"/>
  <c r="H1408" i="2"/>
  <c r="M1407" i="2"/>
  <c r="R1406" i="2"/>
  <c r="D1406" i="2"/>
  <c r="O1404" i="2"/>
  <c r="A1404" i="2"/>
  <c r="H1403" i="2"/>
  <c r="O1402" i="2"/>
  <c r="A1402" i="2"/>
  <c r="H1401" i="2"/>
  <c r="O1400" i="2"/>
  <c r="A1400" i="2"/>
  <c r="H1399" i="2"/>
  <c r="O1398" i="2"/>
  <c r="A1398" i="2"/>
  <c r="H1397" i="2"/>
  <c r="O1396" i="2"/>
  <c r="A1396" i="2"/>
  <c r="H1395" i="2"/>
  <c r="O1394" i="2"/>
  <c r="A1394" i="2"/>
  <c r="H1393" i="2"/>
  <c r="O1392" i="2"/>
  <c r="A1392" i="2"/>
  <c r="H1391" i="2"/>
  <c r="O1390" i="2"/>
  <c r="A1390" i="2"/>
  <c r="H1389" i="2"/>
  <c r="O1388" i="2"/>
  <c r="A1388" i="2"/>
  <c r="H1387" i="2"/>
  <c r="O1386" i="2"/>
  <c r="A1386" i="2"/>
  <c r="H1385" i="2"/>
  <c r="O1384" i="2"/>
  <c r="A1384" i="2"/>
  <c r="H1383" i="2"/>
  <c r="O1382" i="2"/>
  <c r="A1382" i="2"/>
  <c r="H1381" i="2"/>
  <c r="O1380" i="2"/>
  <c r="A1380" i="2"/>
  <c r="H1379" i="2"/>
  <c r="O1378" i="2"/>
  <c r="A1378" i="2"/>
  <c r="H1377" i="2"/>
  <c r="O1376" i="2"/>
  <c r="A1376" i="2"/>
  <c r="H1375" i="2"/>
  <c r="O1374" i="2"/>
  <c r="A1374" i="2"/>
  <c r="H1373" i="2"/>
  <c r="O1372" i="2"/>
  <c r="A1372" i="2"/>
  <c r="H1371" i="2"/>
  <c r="O1370" i="2"/>
  <c r="A1370" i="2"/>
  <c r="H1369" i="2"/>
  <c r="O1368" i="2"/>
  <c r="A1368" i="2"/>
  <c r="H1367" i="2"/>
  <c r="O1366" i="2"/>
  <c r="A1366" i="2"/>
  <c r="H1365" i="2"/>
  <c r="O1364" i="2"/>
  <c r="A1364" i="2"/>
  <c r="H1363" i="2"/>
  <c r="O1362" i="2"/>
  <c r="C1611" i="2"/>
  <c r="P1563" i="2"/>
  <c r="M1539" i="2"/>
  <c r="M1523" i="2"/>
  <c r="F1504" i="2"/>
  <c r="F1496" i="2"/>
  <c r="R1490" i="2"/>
  <c r="K1485" i="2"/>
  <c r="E1480" i="2"/>
  <c r="R1474" i="2"/>
  <c r="Q1469" i="2"/>
  <c r="T1465" i="2"/>
  <c r="M1462" i="2"/>
  <c r="Q1459" i="2"/>
  <c r="D1457" i="2"/>
  <c r="J1454" i="2"/>
  <c r="Q1451" i="2"/>
  <c r="D1449" i="2"/>
  <c r="J1446" i="2"/>
  <c r="Q1443" i="2"/>
  <c r="D1441" i="2"/>
  <c r="J1438" i="2"/>
  <c r="Q1435" i="2"/>
  <c r="D1433" i="2"/>
  <c r="J1430" i="2"/>
  <c r="Q1427" i="2"/>
  <c r="D1425" i="2"/>
  <c r="J1422" i="2"/>
  <c r="K1420" i="2"/>
  <c r="C1419" i="2"/>
  <c r="J1417" i="2"/>
  <c r="F1416" i="2"/>
  <c r="F1415" i="2"/>
  <c r="F1414" i="2"/>
  <c r="N1412" i="2"/>
  <c r="S1411" i="2"/>
  <c r="E1411" i="2"/>
  <c r="J1410" i="2"/>
  <c r="P1409" i="2"/>
  <c r="A1409" i="2"/>
  <c r="F1408" i="2"/>
  <c r="K1407" i="2"/>
  <c r="Q1406" i="2"/>
  <c r="C1406" i="2"/>
  <c r="H1405" i="2"/>
  <c r="N1404" i="2"/>
  <c r="T1403" i="2"/>
  <c r="G1403" i="2"/>
  <c r="N1402" i="2"/>
  <c r="T1401" i="2"/>
  <c r="G1401" i="2"/>
  <c r="N1400" i="2"/>
  <c r="T1399" i="2"/>
  <c r="G1399" i="2"/>
  <c r="N1398" i="2"/>
  <c r="T1397" i="2"/>
  <c r="G1397" i="2"/>
  <c r="N1396" i="2"/>
  <c r="T1395" i="2"/>
  <c r="G1395" i="2"/>
  <c r="N1394" i="2"/>
  <c r="T1393" i="2"/>
  <c r="G1393" i="2"/>
  <c r="N1392" i="2"/>
  <c r="T1391" i="2"/>
  <c r="G1391" i="2"/>
  <c r="N1390" i="2"/>
  <c r="T1389" i="2"/>
  <c r="G1389" i="2"/>
  <c r="N1388" i="2"/>
  <c r="T1387" i="2"/>
  <c r="G1387" i="2"/>
  <c r="N1386" i="2"/>
  <c r="T1385" i="2"/>
  <c r="G1385" i="2"/>
  <c r="N1384" i="2"/>
  <c r="T1383" i="2"/>
  <c r="G1383" i="2"/>
  <c r="N1382" i="2"/>
  <c r="T1381" i="2"/>
  <c r="G1381" i="2"/>
  <c r="N1380" i="2"/>
  <c r="T1379" i="2"/>
  <c r="G1379" i="2"/>
  <c r="N1378" i="2"/>
  <c r="T1377" i="2"/>
  <c r="G1377" i="2"/>
  <c r="N1376" i="2"/>
  <c r="T1375" i="2"/>
  <c r="G1375" i="2"/>
  <c r="N1374" i="2"/>
  <c r="T1373" i="2"/>
  <c r="G1373" i="2"/>
  <c r="N1372" i="2"/>
  <c r="T1371" i="2"/>
  <c r="G1371" i="2"/>
  <c r="N1370" i="2"/>
  <c r="T1369" i="2"/>
  <c r="G1369" i="2"/>
  <c r="N1368" i="2"/>
  <c r="T1367" i="2"/>
  <c r="G1367" i="2"/>
  <c r="N1366" i="2"/>
  <c r="T1365" i="2"/>
  <c r="G1365" i="2"/>
  <c r="N1364" i="2"/>
  <c r="T1363" i="2"/>
  <c r="G1363" i="2"/>
  <c r="N1362" i="2"/>
  <c r="T1361" i="2"/>
  <c r="G1361" i="2"/>
  <c r="N1360" i="2"/>
  <c r="T1359" i="2"/>
  <c r="G1359" i="2"/>
  <c r="N1358" i="2"/>
  <c r="T1357" i="2"/>
  <c r="G1357" i="2"/>
  <c r="N1356" i="2"/>
  <c r="T1355" i="2"/>
  <c r="G1355" i="2"/>
  <c r="N1354" i="2"/>
  <c r="T1353" i="2"/>
  <c r="G1353" i="2"/>
  <c r="N1352" i="2"/>
  <c r="T1351" i="2"/>
  <c r="G1351" i="2"/>
  <c r="N1350" i="2"/>
  <c r="T1349" i="2"/>
  <c r="J1578" i="2"/>
  <c r="H1551" i="2"/>
  <c r="Q1531" i="2"/>
  <c r="J1517" i="2"/>
  <c r="G1508" i="2"/>
  <c r="G1500" i="2"/>
  <c r="M1493" i="2"/>
  <c r="F1488" i="2"/>
  <c r="S1482" i="2"/>
  <c r="M1477" i="2"/>
  <c r="F1472" i="2"/>
  <c r="R1467" i="2"/>
  <c r="G1464" i="2"/>
  <c r="E1461" i="2"/>
  <c r="K1458" i="2"/>
  <c r="R1455" i="2"/>
  <c r="E1453" i="2"/>
  <c r="K1450" i="2"/>
  <c r="R1447" i="2"/>
  <c r="E1445" i="2"/>
  <c r="K1442" i="2"/>
  <c r="R1439" i="2"/>
  <c r="E1437" i="2"/>
  <c r="K1434" i="2"/>
  <c r="R1431" i="2"/>
  <c r="E1429" i="2"/>
  <c r="K1426" i="2"/>
  <c r="R1423" i="2"/>
  <c r="K1421" i="2"/>
  <c r="R1419" i="2"/>
  <c r="R1416" i="2"/>
  <c r="R1415" i="2"/>
  <c r="R1414" i="2"/>
  <c r="S1413" i="2"/>
  <c r="D1413" i="2"/>
  <c r="H1412" i="2"/>
  <c r="M1411" i="2"/>
  <c r="R1410" i="2"/>
  <c r="D1410" i="2"/>
  <c r="O1408" i="2"/>
  <c r="T1407" i="2"/>
  <c r="F1407" i="2"/>
  <c r="K1406" i="2"/>
  <c r="Q1405" i="2"/>
  <c r="C1405" i="2"/>
  <c r="H1404" i="2"/>
  <c r="O1403" i="2"/>
  <c r="A1403" i="2"/>
  <c r="H1402" i="2"/>
  <c r="O1401" i="2"/>
  <c r="A1401" i="2"/>
  <c r="H1400" i="2"/>
  <c r="O1399" i="2"/>
  <c r="A1399" i="2"/>
  <c r="H1398" i="2"/>
  <c r="O1397" i="2"/>
  <c r="A1397" i="2"/>
  <c r="H1396" i="2"/>
  <c r="O1395" i="2"/>
  <c r="A1395" i="2"/>
  <c r="H1394" i="2"/>
  <c r="O1393" i="2"/>
  <c r="A1393" i="2"/>
  <c r="H1392" i="2"/>
  <c r="O1391" i="2"/>
  <c r="A1391" i="2"/>
  <c r="H1390" i="2"/>
  <c r="O1389" i="2"/>
  <c r="A1389" i="2"/>
  <c r="H1388" i="2"/>
  <c r="O1387" i="2"/>
  <c r="A1387" i="2"/>
  <c r="H1386" i="2"/>
  <c r="O1385" i="2"/>
  <c r="A1385" i="2"/>
  <c r="H1384" i="2"/>
  <c r="O1383" i="2"/>
  <c r="A1383" i="2"/>
  <c r="H1382" i="2"/>
  <c r="O1381" i="2"/>
  <c r="A1381" i="2"/>
  <c r="H1380" i="2"/>
  <c r="O1379" i="2"/>
  <c r="A1379" i="2"/>
  <c r="H1378" i="2"/>
  <c r="O1377" i="2"/>
  <c r="A1377" i="2"/>
  <c r="H1376" i="2"/>
  <c r="O1375" i="2"/>
  <c r="A1375" i="2"/>
  <c r="H1374" i="2"/>
  <c r="O1373" i="2"/>
  <c r="A1373" i="2"/>
  <c r="H1372" i="2"/>
  <c r="O1371" i="2"/>
  <c r="A1371" i="2"/>
  <c r="H1370" i="2"/>
  <c r="O1369" i="2"/>
  <c r="A1369" i="2"/>
  <c r="H1368" i="2"/>
  <c r="O1367" i="2"/>
  <c r="A1367" i="2"/>
  <c r="H1366" i="2"/>
  <c r="O1365" i="2"/>
  <c r="A1365" i="2"/>
  <c r="H1364" i="2"/>
  <c r="O1363" i="2"/>
  <c r="A1363" i="2"/>
  <c r="H1362" i="2"/>
  <c r="O1361" i="2"/>
  <c r="A1361" i="2"/>
  <c r="H1360" i="2"/>
  <c r="O1359" i="2"/>
  <c r="A1359" i="2"/>
  <c r="H1358" i="2"/>
  <c r="O1357" i="2"/>
  <c r="A1357" i="2"/>
  <c r="H1356" i="2"/>
  <c r="O1355" i="2"/>
  <c r="A1355" i="2"/>
  <c r="H1354" i="2"/>
  <c r="O1353" i="2"/>
  <c r="A1353" i="2"/>
  <c r="H1352" i="2"/>
  <c r="O1351" i="2"/>
  <c r="A1351" i="2"/>
  <c r="H1350" i="2"/>
  <c r="O1349" i="2"/>
  <c r="A1349" i="2"/>
  <c r="H1348" i="2"/>
  <c r="O1347" i="2"/>
  <c r="A1347" i="2"/>
  <c r="G1551" i="2"/>
  <c r="M1531" i="2"/>
  <c r="F1508" i="2"/>
  <c r="F1500" i="2"/>
  <c r="K1493" i="2"/>
  <c r="E1488" i="2"/>
  <c r="R1482" i="2"/>
  <c r="K1477" i="2"/>
  <c r="E1472" i="2"/>
  <c r="Q1467" i="2"/>
  <c r="F1464" i="2"/>
  <c r="D1461" i="2"/>
  <c r="J1458" i="2"/>
  <c r="Q1455" i="2"/>
  <c r="D1453" i="2"/>
  <c r="J1450" i="2"/>
  <c r="Q1447" i="2"/>
  <c r="D1445" i="2"/>
  <c r="J1442" i="2"/>
  <c r="Q1439" i="2"/>
  <c r="D1437" i="2"/>
  <c r="J1434" i="2"/>
  <c r="Q1431" i="2"/>
  <c r="D1429" i="2"/>
  <c r="J1426" i="2"/>
  <c r="Q1423" i="2"/>
  <c r="F1421" i="2"/>
  <c r="Q1419" i="2"/>
  <c r="E1418" i="2"/>
  <c r="Q1416" i="2"/>
  <c r="Q1415" i="2"/>
  <c r="Q1414" i="2"/>
  <c r="R1413" i="2"/>
  <c r="C1413" i="2"/>
  <c r="F1412" i="2"/>
  <c r="K1411" i="2"/>
  <c r="Q1410" i="2"/>
  <c r="C1410" i="2"/>
  <c r="H1409" i="2"/>
  <c r="N1408" i="2"/>
  <c r="S1407" i="2"/>
  <c r="E1407" i="2"/>
  <c r="J1406" i="2"/>
  <c r="P1405" i="2"/>
  <c r="A1405" i="2"/>
  <c r="G1404" i="2"/>
  <c r="N1403" i="2"/>
  <c r="T1402" i="2"/>
  <c r="G1402" i="2"/>
  <c r="N1401" i="2"/>
  <c r="T1400" i="2"/>
  <c r="G1400" i="2"/>
  <c r="N1399" i="2"/>
  <c r="T1398" i="2"/>
  <c r="G1398" i="2"/>
  <c r="N1397" i="2"/>
  <c r="T1396" i="2"/>
  <c r="G1396" i="2"/>
  <c r="N1395" i="2"/>
  <c r="T1394" i="2"/>
  <c r="G1394" i="2"/>
  <c r="N1393" i="2"/>
  <c r="T1392" i="2"/>
  <c r="G1392" i="2"/>
  <c r="N1391" i="2"/>
  <c r="T1390" i="2"/>
  <c r="G1390" i="2"/>
  <c r="N1389" i="2"/>
  <c r="T1388" i="2"/>
  <c r="G1388" i="2"/>
  <c r="N1387" i="2"/>
  <c r="T1386" i="2"/>
  <c r="G1386" i="2"/>
  <c r="N1385" i="2"/>
  <c r="T1384" i="2"/>
  <c r="G1384" i="2"/>
  <c r="N1383" i="2"/>
  <c r="T1382" i="2"/>
  <c r="G1382" i="2"/>
  <c r="N1381" i="2"/>
  <c r="T1380" i="2"/>
  <c r="G1380" i="2"/>
  <c r="N1379" i="2"/>
  <c r="T1378" i="2"/>
  <c r="G1378" i="2"/>
  <c r="N1377" i="2"/>
  <c r="T1376" i="2"/>
  <c r="G1376" i="2"/>
  <c r="N1375" i="2"/>
  <c r="T1374" i="2"/>
  <c r="G1374" i="2"/>
  <c r="N1373" i="2"/>
  <c r="T1372" i="2"/>
  <c r="G1372" i="2"/>
  <c r="N1371" i="2"/>
  <c r="T1370" i="2"/>
  <c r="G1370" i="2"/>
  <c r="N1369" i="2"/>
  <c r="T1368" i="2"/>
  <c r="G1368" i="2"/>
  <c r="N1367" i="2"/>
  <c r="T1366" i="2"/>
  <c r="G1366" i="2"/>
  <c r="N1365" i="2"/>
  <c r="T1364" i="2"/>
  <c r="G1364" i="2"/>
  <c r="N1363" i="2"/>
  <c r="T1362" i="2"/>
  <c r="G1362" i="2"/>
  <c r="N1361" i="2"/>
  <c r="T1360" i="2"/>
  <c r="G1360" i="2"/>
  <c r="N1359" i="2"/>
  <c r="T1358" i="2"/>
  <c r="G1358" i="2"/>
  <c r="N1357" i="2"/>
  <c r="T1356" i="2"/>
  <c r="G1356" i="2"/>
  <c r="N1355" i="2"/>
  <c r="T1354" i="2"/>
  <c r="G1354" i="2"/>
  <c r="N1353" i="2"/>
  <c r="T1352" i="2"/>
  <c r="G1352" i="2"/>
  <c r="N1351" i="2"/>
  <c r="T1350" i="2"/>
  <c r="G1350" i="2"/>
  <c r="N1349" i="2"/>
  <c r="T1348" i="2"/>
  <c r="G1348" i="2"/>
  <c r="N1347" i="2"/>
  <c r="N1597" i="2"/>
  <c r="A1521" i="2"/>
  <c r="T1494" i="2"/>
  <c r="T1478" i="2"/>
  <c r="F1465" i="2"/>
  <c r="M1456" i="2"/>
  <c r="M1448" i="2"/>
  <c r="M1440" i="2"/>
  <c r="M1432" i="2"/>
  <c r="M1424" i="2"/>
  <c r="R1418" i="2"/>
  <c r="E1415" i="2"/>
  <c r="M1412" i="2"/>
  <c r="E1408" i="2"/>
  <c r="A1406" i="2"/>
  <c r="S1403" i="2"/>
  <c r="S1401" i="2"/>
  <c r="S1399" i="2"/>
  <c r="S1397" i="2"/>
  <c r="S1395" i="2"/>
  <c r="S1393" i="2"/>
  <c r="S1391" i="2"/>
  <c r="S1389" i="2"/>
  <c r="S1387" i="2"/>
  <c r="S1385" i="2"/>
  <c r="S1383" i="2"/>
  <c r="S1381" i="2"/>
  <c r="S1379" i="2"/>
  <c r="C1377" i="2"/>
  <c r="P1375" i="2"/>
  <c r="C1373" i="2"/>
  <c r="P1371" i="2"/>
  <c r="C1369" i="2"/>
  <c r="P1367" i="2"/>
  <c r="C1365" i="2"/>
  <c r="P1363" i="2"/>
  <c r="E1361" i="2"/>
  <c r="A1360" i="2"/>
  <c r="C1359" i="2"/>
  <c r="A1358" i="2"/>
  <c r="C1357" i="2"/>
  <c r="A1356" i="2"/>
  <c r="C1355" i="2"/>
  <c r="A1354" i="2"/>
  <c r="C1353" i="2"/>
  <c r="A1352" i="2"/>
  <c r="D1351" i="2"/>
  <c r="E1350" i="2"/>
  <c r="H1349" i="2"/>
  <c r="M1348" i="2"/>
  <c r="Q1347" i="2"/>
  <c r="T1346" i="2"/>
  <c r="G1346" i="2"/>
  <c r="N1345" i="2"/>
  <c r="T1344" i="2"/>
  <c r="G1344" i="2"/>
  <c r="N1343" i="2"/>
  <c r="T1342" i="2"/>
  <c r="G1342" i="2"/>
  <c r="N1341" i="2"/>
  <c r="T1340" i="2"/>
  <c r="G1340" i="2"/>
  <c r="N1339" i="2"/>
  <c r="T1338" i="2"/>
  <c r="G1338" i="2"/>
  <c r="N1337" i="2"/>
  <c r="T1336" i="2"/>
  <c r="G1336" i="2"/>
  <c r="N1335" i="2"/>
  <c r="T1334" i="2"/>
  <c r="G1334" i="2"/>
  <c r="N1333" i="2"/>
  <c r="T1332" i="2"/>
  <c r="G1332" i="2"/>
  <c r="N1331" i="2"/>
  <c r="T1330" i="2"/>
  <c r="G1330" i="2"/>
  <c r="N1329" i="2"/>
  <c r="T1328" i="2"/>
  <c r="G1328" i="2"/>
  <c r="N1327" i="2"/>
  <c r="T1326" i="2"/>
  <c r="G1326" i="2"/>
  <c r="N1325" i="2"/>
  <c r="T1324" i="2"/>
  <c r="G1324" i="2"/>
  <c r="N1323" i="2"/>
  <c r="T1322" i="2"/>
  <c r="G1322" i="2"/>
  <c r="N1321" i="2"/>
  <c r="T1320" i="2"/>
  <c r="G1320" i="2"/>
  <c r="N1319" i="2"/>
  <c r="T1318" i="2"/>
  <c r="G1318" i="2"/>
  <c r="N1317" i="2"/>
  <c r="D1593" i="2"/>
  <c r="G1520" i="2"/>
  <c r="S1494" i="2"/>
  <c r="S1478" i="2"/>
  <c r="E1465" i="2"/>
  <c r="K1456" i="2"/>
  <c r="K1448" i="2"/>
  <c r="K1440" i="2"/>
  <c r="K1432" i="2"/>
  <c r="K1424" i="2"/>
  <c r="M1418" i="2"/>
  <c r="D1415" i="2"/>
  <c r="K1412" i="2"/>
  <c r="H1410" i="2"/>
  <c r="D1408" i="2"/>
  <c r="T1405" i="2"/>
  <c r="R1403" i="2"/>
  <c r="R1401" i="2"/>
  <c r="R1399" i="2"/>
  <c r="R1397" i="2"/>
  <c r="R1395" i="2"/>
  <c r="R1393" i="2"/>
  <c r="R1391" i="2"/>
  <c r="R1389" i="2"/>
  <c r="R1387" i="2"/>
  <c r="R1385" i="2"/>
  <c r="R1383" i="2"/>
  <c r="R1381" i="2"/>
  <c r="R1379" i="2"/>
  <c r="F1378" i="2"/>
  <c r="S1376" i="2"/>
  <c r="M1375" i="2"/>
  <c r="F1374" i="2"/>
  <c r="S1372" i="2"/>
  <c r="M1371" i="2"/>
  <c r="F1370" i="2"/>
  <c r="S1368" i="2"/>
  <c r="M1367" i="2"/>
  <c r="F1366" i="2"/>
  <c r="S1364" i="2"/>
  <c r="M1363" i="2"/>
  <c r="F1362" i="2"/>
  <c r="D1361" i="2"/>
  <c r="S1359" i="2"/>
  <c r="S1358" i="2"/>
  <c r="S1357" i="2"/>
  <c r="S1356" i="2"/>
  <c r="S1355" i="2"/>
  <c r="S1354" i="2"/>
  <c r="S1353" i="2"/>
  <c r="S1352" i="2"/>
  <c r="S1351" i="2"/>
  <c r="C1351" i="2"/>
  <c r="D1350" i="2"/>
  <c r="G1349" i="2"/>
  <c r="K1348" i="2"/>
  <c r="P1347" i="2"/>
  <c r="S1346" i="2"/>
  <c r="F1346" i="2"/>
  <c r="M1345" i="2"/>
  <c r="S1344" i="2"/>
  <c r="F1344" i="2"/>
  <c r="M1343" i="2"/>
  <c r="S1342" i="2"/>
  <c r="F1342" i="2"/>
  <c r="M1341" i="2"/>
  <c r="S1340" i="2"/>
  <c r="F1340" i="2"/>
  <c r="M1339" i="2"/>
  <c r="S1338" i="2"/>
  <c r="F1338" i="2"/>
  <c r="M1337" i="2"/>
  <c r="S1336" i="2"/>
  <c r="F1336" i="2"/>
  <c r="M1335" i="2"/>
  <c r="S1334" i="2"/>
  <c r="F1334" i="2"/>
  <c r="M1333" i="2"/>
  <c r="S1332" i="2"/>
  <c r="F1332" i="2"/>
  <c r="M1331" i="2"/>
  <c r="S1330" i="2"/>
  <c r="F1330" i="2"/>
  <c r="M1329" i="2"/>
  <c r="S1328" i="2"/>
  <c r="F1328" i="2"/>
  <c r="M1327" i="2"/>
  <c r="S1326" i="2"/>
  <c r="F1326" i="2"/>
  <c r="M1325" i="2"/>
  <c r="S1324" i="2"/>
  <c r="F1324" i="2"/>
  <c r="M1323" i="2"/>
  <c r="S1322" i="2"/>
  <c r="F1322" i="2"/>
  <c r="M1321" i="2"/>
  <c r="S1320" i="2"/>
  <c r="F1320" i="2"/>
  <c r="M1319" i="2"/>
  <c r="S1318" i="2"/>
  <c r="F1318" i="2"/>
  <c r="M1317" i="2"/>
  <c r="S1316" i="2"/>
  <c r="F1316" i="2"/>
  <c r="M1315" i="2"/>
  <c r="S1314" i="2"/>
  <c r="F1314" i="2"/>
  <c r="M1313" i="2"/>
  <c r="S1312" i="2"/>
  <c r="F1312" i="2"/>
  <c r="M1311" i="2"/>
  <c r="S1310" i="2"/>
  <c r="F1310" i="2"/>
  <c r="M1309" i="2"/>
  <c r="S1308" i="2"/>
  <c r="F1308" i="2"/>
  <c r="M1307" i="2"/>
  <c r="S1306" i="2"/>
  <c r="F1306" i="2"/>
  <c r="M1305" i="2"/>
  <c r="S1304" i="2"/>
  <c r="F1304" i="2"/>
  <c r="M1303" i="2"/>
  <c r="S1302" i="2"/>
  <c r="F1302" i="2"/>
  <c r="M1301" i="2"/>
  <c r="S1300" i="2"/>
  <c r="F1300" i="2"/>
  <c r="M1299" i="2"/>
  <c r="S1298" i="2"/>
  <c r="F1298" i="2"/>
  <c r="M1297" i="2"/>
  <c r="S1296" i="2"/>
  <c r="F1296" i="2"/>
  <c r="M1295" i="2"/>
  <c r="S1294" i="2"/>
  <c r="F1294" i="2"/>
  <c r="M1293" i="2"/>
  <c r="S1292" i="2"/>
  <c r="F1292" i="2"/>
  <c r="M1291" i="2"/>
  <c r="S1290" i="2"/>
  <c r="F1290" i="2"/>
  <c r="M1289" i="2"/>
  <c r="S1288" i="2"/>
  <c r="F1288" i="2"/>
  <c r="M1287" i="2"/>
  <c r="S1286" i="2"/>
  <c r="F1286" i="2"/>
  <c r="M1285" i="2"/>
  <c r="S1284" i="2"/>
  <c r="F1284" i="2"/>
  <c r="M1283" i="2"/>
  <c r="S1282" i="2"/>
  <c r="F1282" i="2"/>
  <c r="M1281" i="2"/>
  <c r="S1280" i="2"/>
  <c r="F1280" i="2"/>
  <c r="M1279" i="2"/>
  <c r="S1278" i="2"/>
  <c r="F1278" i="2"/>
  <c r="M1277" i="2"/>
  <c r="S1276" i="2"/>
  <c r="F1276" i="2"/>
  <c r="M1275" i="2"/>
  <c r="C1593" i="2"/>
  <c r="F1520" i="2"/>
  <c r="R1494" i="2"/>
  <c r="R1478" i="2"/>
  <c r="D1465" i="2"/>
  <c r="J1456" i="2"/>
  <c r="J1448" i="2"/>
  <c r="J1440" i="2"/>
  <c r="J1432" i="2"/>
  <c r="J1424" i="2"/>
  <c r="K1418" i="2"/>
  <c r="C1415" i="2"/>
  <c r="J1412" i="2"/>
  <c r="F1410" i="2"/>
  <c r="C1408" i="2"/>
  <c r="S1405" i="2"/>
  <c r="Q1403" i="2"/>
  <c r="Q1401" i="2"/>
  <c r="Q1399" i="2"/>
  <c r="Q1397" i="2"/>
  <c r="Q1395" i="2"/>
  <c r="Q1393" i="2"/>
  <c r="Q1391" i="2"/>
  <c r="Q1389" i="2"/>
  <c r="Q1387" i="2"/>
  <c r="Q1385" i="2"/>
  <c r="Q1383" i="2"/>
  <c r="Q1381" i="2"/>
  <c r="Q1379" i="2"/>
  <c r="C1378" i="2"/>
  <c r="P1376" i="2"/>
  <c r="C1374" i="2"/>
  <c r="P1372" i="2"/>
  <c r="C1370" i="2"/>
  <c r="P1368" i="2"/>
  <c r="C1366" i="2"/>
  <c r="P1364" i="2"/>
  <c r="C1362" i="2"/>
  <c r="C1361" i="2"/>
  <c r="R1359" i="2"/>
  <c r="Q1358" i="2"/>
  <c r="R1357" i="2"/>
  <c r="Q1356" i="2"/>
  <c r="R1355" i="2"/>
  <c r="Q1354" i="2"/>
  <c r="R1353" i="2"/>
  <c r="Q1352" i="2"/>
  <c r="R1351" i="2"/>
  <c r="S1350" i="2"/>
  <c r="C1350" i="2"/>
  <c r="F1349" i="2"/>
  <c r="J1348" i="2"/>
  <c r="M1347" i="2"/>
  <c r="R1346" i="2"/>
  <c r="E1346" i="2"/>
  <c r="K1345" i="2"/>
  <c r="R1344" i="2"/>
  <c r="E1344" i="2"/>
  <c r="K1343" i="2"/>
  <c r="R1342" i="2"/>
  <c r="E1342" i="2"/>
  <c r="K1341" i="2"/>
  <c r="R1340" i="2"/>
  <c r="E1340" i="2"/>
  <c r="K1339" i="2"/>
  <c r="R1338" i="2"/>
  <c r="E1338" i="2"/>
  <c r="K1337" i="2"/>
  <c r="R1336" i="2"/>
  <c r="E1336" i="2"/>
  <c r="K1335" i="2"/>
  <c r="R1334" i="2"/>
  <c r="E1334" i="2"/>
  <c r="K1333" i="2"/>
  <c r="R1332" i="2"/>
  <c r="E1332" i="2"/>
  <c r="K1331" i="2"/>
  <c r="R1330" i="2"/>
  <c r="E1330" i="2"/>
  <c r="K1329" i="2"/>
  <c r="R1328" i="2"/>
  <c r="E1328" i="2"/>
  <c r="K1327" i="2"/>
  <c r="R1326" i="2"/>
  <c r="E1326" i="2"/>
  <c r="K1325" i="2"/>
  <c r="R1324" i="2"/>
  <c r="E1324" i="2"/>
  <c r="K1323" i="2"/>
  <c r="R1322" i="2"/>
  <c r="E1322" i="2"/>
  <c r="K1321" i="2"/>
  <c r="R1320" i="2"/>
  <c r="E1320" i="2"/>
  <c r="K1319" i="2"/>
  <c r="R1318" i="2"/>
  <c r="E1318" i="2"/>
  <c r="K1317" i="2"/>
  <c r="R1316" i="2"/>
  <c r="E1316" i="2"/>
  <c r="K1315" i="2"/>
  <c r="R1314" i="2"/>
  <c r="E1314" i="2"/>
  <c r="K1313" i="2"/>
  <c r="R1312" i="2"/>
  <c r="E1312" i="2"/>
  <c r="K1311" i="2"/>
  <c r="R1310" i="2"/>
  <c r="E1310" i="2"/>
  <c r="K1309" i="2"/>
  <c r="R1308" i="2"/>
  <c r="E1308" i="2"/>
  <c r="K1307" i="2"/>
  <c r="R1306" i="2"/>
  <c r="E1306" i="2"/>
  <c r="K1305" i="2"/>
  <c r="R1304" i="2"/>
  <c r="E1304" i="2"/>
  <c r="K1303" i="2"/>
  <c r="R1302" i="2"/>
  <c r="E1302" i="2"/>
  <c r="K1301" i="2"/>
  <c r="R1300" i="2"/>
  <c r="N1581" i="2"/>
  <c r="D1518" i="2"/>
  <c r="N1493" i="2"/>
  <c r="N1477" i="2"/>
  <c r="S1455" i="2"/>
  <c r="S1447" i="2"/>
  <c r="S1439" i="2"/>
  <c r="S1431" i="2"/>
  <c r="S1423" i="2"/>
  <c r="J1418" i="2"/>
  <c r="S1414" i="2"/>
  <c r="E1410" i="2"/>
  <c r="A1408" i="2"/>
  <c r="R1405" i="2"/>
  <c r="P1403" i="2"/>
  <c r="P1401" i="2"/>
  <c r="P1399" i="2"/>
  <c r="P1397" i="2"/>
  <c r="P1395" i="2"/>
  <c r="P1393" i="2"/>
  <c r="P1391" i="2"/>
  <c r="P1389" i="2"/>
  <c r="P1387" i="2"/>
  <c r="P1385" i="2"/>
  <c r="P1383" i="2"/>
  <c r="P1381" i="2"/>
  <c r="P1379" i="2"/>
  <c r="S1377" i="2"/>
  <c r="M1376" i="2"/>
  <c r="F1375" i="2"/>
  <c r="S1373" i="2"/>
  <c r="M1372" i="2"/>
  <c r="F1371" i="2"/>
  <c r="S1369" i="2"/>
  <c r="M1368" i="2"/>
  <c r="F1367" i="2"/>
  <c r="S1365" i="2"/>
  <c r="M1364" i="2"/>
  <c r="F1363" i="2"/>
  <c r="A1362" i="2"/>
  <c r="S1360" i="2"/>
  <c r="Q1359" i="2"/>
  <c r="P1358" i="2"/>
  <c r="Q1357" i="2"/>
  <c r="P1356" i="2"/>
  <c r="Q1355" i="2"/>
  <c r="P1354" i="2"/>
  <c r="Q1353" i="2"/>
  <c r="P1352" i="2"/>
  <c r="Q1351" i="2"/>
  <c r="R1350" i="2"/>
  <c r="A1350" i="2"/>
  <c r="E1349" i="2"/>
  <c r="K1347" i="2"/>
  <c r="Q1346" i="2"/>
  <c r="D1346" i="2"/>
  <c r="J1345" i="2"/>
  <c r="Q1344" i="2"/>
  <c r="D1344" i="2"/>
  <c r="J1343" i="2"/>
  <c r="Q1342" i="2"/>
  <c r="D1342" i="2"/>
  <c r="J1341" i="2"/>
  <c r="Q1340" i="2"/>
  <c r="D1340" i="2"/>
  <c r="J1339" i="2"/>
  <c r="Q1338" i="2"/>
  <c r="D1338" i="2"/>
  <c r="J1337" i="2"/>
  <c r="Q1336" i="2"/>
  <c r="D1336" i="2"/>
  <c r="J1335" i="2"/>
  <c r="Q1334" i="2"/>
  <c r="D1334" i="2"/>
  <c r="J1333" i="2"/>
  <c r="Q1332" i="2"/>
  <c r="D1332" i="2"/>
  <c r="J1331" i="2"/>
  <c r="Q1330" i="2"/>
  <c r="D1330" i="2"/>
  <c r="J1329" i="2"/>
  <c r="Q1328" i="2"/>
  <c r="D1328" i="2"/>
  <c r="J1327" i="2"/>
  <c r="Q1326" i="2"/>
  <c r="D1326" i="2"/>
  <c r="J1325" i="2"/>
  <c r="Q1324" i="2"/>
  <c r="D1324" i="2"/>
  <c r="J1323" i="2"/>
  <c r="Q1322" i="2"/>
  <c r="D1322" i="2"/>
  <c r="J1321" i="2"/>
  <c r="Q1320" i="2"/>
  <c r="D1320" i="2"/>
  <c r="J1319" i="2"/>
  <c r="Q1318" i="2"/>
  <c r="D1318" i="2"/>
  <c r="J1317" i="2"/>
  <c r="P1558" i="2"/>
  <c r="R1510" i="2"/>
  <c r="N1489" i="2"/>
  <c r="N1473" i="2"/>
  <c r="T1461" i="2"/>
  <c r="S1453" i="2"/>
  <c r="S1445" i="2"/>
  <c r="S1437" i="2"/>
  <c r="S1429" i="2"/>
  <c r="S1421" i="2"/>
  <c r="F1417" i="2"/>
  <c r="E1414" i="2"/>
  <c r="R1411" i="2"/>
  <c r="O1409" i="2"/>
  <c r="J1407" i="2"/>
  <c r="G1405" i="2"/>
  <c r="F1403" i="2"/>
  <c r="F1401" i="2"/>
  <c r="F1399" i="2"/>
  <c r="F1397" i="2"/>
  <c r="F1395" i="2"/>
  <c r="F1393" i="2"/>
  <c r="F1391" i="2"/>
  <c r="F1389" i="2"/>
  <c r="F1387" i="2"/>
  <c r="F1385" i="2"/>
  <c r="F1383" i="2"/>
  <c r="F1381" i="2"/>
  <c r="F1379" i="2"/>
  <c r="R1377" i="2"/>
  <c r="K1376" i="2"/>
  <c r="E1375" i="2"/>
  <c r="R1373" i="2"/>
  <c r="K1372" i="2"/>
  <c r="E1371" i="2"/>
  <c r="R1369" i="2"/>
  <c r="K1368" i="2"/>
  <c r="E1367" i="2"/>
  <c r="R1365" i="2"/>
  <c r="K1364" i="2"/>
  <c r="E1363" i="2"/>
  <c r="S1361" i="2"/>
  <c r="P1360" i="2"/>
  <c r="P1359" i="2"/>
  <c r="O1358" i="2"/>
  <c r="P1357" i="2"/>
  <c r="O1356" i="2"/>
  <c r="P1355" i="2"/>
  <c r="O1354" i="2"/>
  <c r="P1353" i="2"/>
  <c r="O1352" i="2"/>
  <c r="P1351" i="2"/>
  <c r="Q1350" i="2"/>
  <c r="S1349" i="2"/>
  <c r="D1349" i="2"/>
  <c r="F1348" i="2"/>
  <c r="J1347" i="2"/>
  <c r="P1346" i="2"/>
  <c r="C1346" i="2"/>
  <c r="P1344" i="2"/>
  <c r="C1344" i="2"/>
  <c r="P1342" i="2"/>
  <c r="C1342" i="2"/>
  <c r="P1340" i="2"/>
  <c r="C1340" i="2"/>
  <c r="P1338" i="2"/>
  <c r="C1338" i="2"/>
  <c r="P1336" i="2"/>
  <c r="C1336" i="2"/>
  <c r="P1334" i="2"/>
  <c r="C1334" i="2"/>
  <c r="P1332" i="2"/>
  <c r="C1332" i="2"/>
  <c r="P1330" i="2"/>
  <c r="C1330" i="2"/>
  <c r="P1328" i="2"/>
  <c r="C1328" i="2"/>
  <c r="P1326" i="2"/>
  <c r="C1326" i="2"/>
  <c r="P1324" i="2"/>
  <c r="C1324" i="2"/>
  <c r="P1322" i="2"/>
  <c r="C1322" i="2"/>
  <c r="P1320" i="2"/>
  <c r="C1320" i="2"/>
  <c r="P1318" i="2"/>
  <c r="C1318" i="2"/>
  <c r="P1316" i="2"/>
  <c r="C1316" i="2"/>
  <c r="P1314" i="2"/>
  <c r="C1314" i="2"/>
  <c r="P1312" i="2"/>
  <c r="C1312" i="2"/>
  <c r="P1310" i="2"/>
  <c r="C1310" i="2"/>
  <c r="P1308" i="2"/>
  <c r="C1308" i="2"/>
  <c r="P1306" i="2"/>
  <c r="C1306" i="2"/>
  <c r="P1304" i="2"/>
  <c r="C1304" i="2"/>
  <c r="H1557" i="2"/>
  <c r="G1510" i="2"/>
  <c r="M1489" i="2"/>
  <c r="M1473" i="2"/>
  <c r="S1461" i="2"/>
  <c r="R1453" i="2"/>
  <c r="R1445" i="2"/>
  <c r="R1437" i="2"/>
  <c r="R1429" i="2"/>
  <c r="R1421" i="2"/>
  <c r="E1417" i="2"/>
  <c r="D1414" i="2"/>
  <c r="Q1411" i="2"/>
  <c r="M1409" i="2"/>
  <c r="F1405" i="2"/>
  <c r="E1403" i="2"/>
  <c r="E1401" i="2"/>
  <c r="E1399" i="2"/>
  <c r="E1397" i="2"/>
  <c r="E1395" i="2"/>
  <c r="E1393" i="2"/>
  <c r="E1391" i="2"/>
  <c r="E1389" i="2"/>
  <c r="E1387" i="2"/>
  <c r="E1385" i="2"/>
  <c r="E1383" i="2"/>
  <c r="E1381" i="2"/>
  <c r="E1379" i="2"/>
  <c r="Q1377" i="2"/>
  <c r="J1376" i="2"/>
  <c r="D1375" i="2"/>
  <c r="Q1373" i="2"/>
  <c r="J1372" i="2"/>
  <c r="D1371" i="2"/>
  <c r="Q1369" i="2"/>
  <c r="J1368" i="2"/>
  <c r="D1367" i="2"/>
  <c r="Q1365" i="2"/>
  <c r="J1364" i="2"/>
  <c r="D1363" i="2"/>
  <c r="R1361" i="2"/>
  <c r="O1360" i="2"/>
  <c r="M1359" i="2"/>
  <c r="M1358" i="2"/>
  <c r="M1357" i="2"/>
  <c r="M1356" i="2"/>
  <c r="M1355" i="2"/>
  <c r="M1354" i="2"/>
  <c r="M1353" i="2"/>
  <c r="M1352" i="2"/>
  <c r="M1351" i="2"/>
  <c r="P1350" i="2"/>
  <c r="R1349" i="2"/>
  <c r="C1349" i="2"/>
  <c r="E1348" i="2"/>
  <c r="O1346" i="2"/>
  <c r="A1346" i="2"/>
  <c r="H1345" i="2"/>
  <c r="O1344" i="2"/>
  <c r="A1344" i="2"/>
  <c r="H1343" i="2"/>
  <c r="O1342" i="2"/>
  <c r="A1342" i="2"/>
  <c r="H1341" i="2"/>
  <c r="O1340" i="2"/>
  <c r="A1340" i="2"/>
  <c r="H1339" i="2"/>
  <c r="O1338" i="2"/>
  <c r="A1338" i="2"/>
  <c r="H1337" i="2"/>
  <c r="O1336" i="2"/>
  <c r="A1336" i="2"/>
  <c r="H1335" i="2"/>
  <c r="O1334" i="2"/>
  <c r="A1334" i="2"/>
  <c r="H1333" i="2"/>
  <c r="O1332" i="2"/>
  <c r="A1332" i="2"/>
  <c r="H1331" i="2"/>
  <c r="O1330" i="2"/>
  <c r="A1330" i="2"/>
  <c r="H1329" i="2"/>
  <c r="O1328" i="2"/>
  <c r="A1328" i="2"/>
  <c r="H1327" i="2"/>
  <c r="O1326" i="2"/>
  <c r="A1326" i="2"/>
  <c r="H1325" i="2"/>
  <c r="O1324" i="2"/>
  <c r="A1324" i="2"/>
  <c r="H1323" i="2"/>
  <c r="O1322" i="2"/>
  <c r="A1322" i="2"/>
  <c r="H1321" i="2"/>
  <c r="O1320" i="2"/>
  <c r="A1320" i="2"/>
  <c r="H1319" i="2"/>
  <c r="O1318" i="2"/>
  <c r="A1318" i="2"/>
  <c r="H1317" i="2"/>
  <c r="O1316" i="2"/>
  <c r="A1316" i="2"/>
  <c r="H1315" i="2"/>
  <c r="O1314" i="2"/>
  <c r="A1314" i="2"/>
  <c r="H1313" i="2"/>
  <c r="O1312" i="2"/>
  <c r="A1312" i="2"/>
  <c r="H1311" i="2"/>
  <c r="O1310" i="2"/>
  <c r="A1310" i="2"/>
  <c r="H1309" i="2"/>
  <c r="O1308" i="2"/>
  <c r="A1308" i="2"/>
  <c r="H1307" i="2"/>
  <c r="O1306" i="2"/>
  <c r="A1306" i="2"/>
  <c r="H1305" i="2"/>
  <c r="O1304" i="2"/>
  <c r="A1304" i="2"/>
  <c r="H1303" i="2"/>
  <c r="O1302" i="2"/>
  <c r="A1302" i="2"/>
  <c r="H1301" i="2"/>
  <c r="O1300" i="2"/>
  <c r="A1300" i="2"/>
  <c r="H1299" i="2"/>
  <c r="O1298" i="2"/>
  <c r="A1298" i="2"/>
  <c r="H1297" i="2"/>
  <c r="O1296" i="2"/>
  <c r="A1296" i="2"/>
  <c r="H1295" i="2"/>
  <c r="O1294" i="2"/>
  <c r="A1294" i="2"/>
  <c r="H1293" i="2"/>
  <c r="O1292" i="2"/>
  <c r="A1292" i="2"/>
  <c r="H1291" i="2"/>
  <c r="O1290" i="2"/>
  <c r="G1557" i="2"/>
  <c r="F1510" i="2"/>
  <c r="K1489" i="2"/>
  <c r="K1473" i="2"/>
  <c r="R1461" i="2"/>
  <c r="Q1453" i="2"/>
  <c r="Q1445" i="2"/>
  <c r="Q1437" i="2"/>
  <c r="Q1429" i="2"/>
  <c r="Q1421" i="2"/>
  <c r="D1417" i="2"/>
  <c r="C1414" i="2"/>
  <c r="P1411" i="2"/>
  <c r="K1409" i="2"/>
  <c r="H1407" i="2"/>
  <c r="E1405" i="2"/>
  <c r="D1403" i="2"/>
  <c r="D1401" i="2"/>
  <c r="D1399" i="2"/>
  <c r="D1397" i="2"/>
  <c r="D1395" i="2"/>
  <c r="D1393" i="2"/>
  <c r="D1391" i="2"/>
  <c r="D1389" i="2"/>
  <c r="D1387" i="2"/>
  <c r="D1385" i="2"/>
  <c r="D1383" i="2"/>
  <c r="D1381" i="2"/>
  <c r="D1379" i="2"/>
  <c r="P1377" i="2"/>
  <c r="C1375" i="2"/>
  <c r="P1373" i="2"/>
  <c r="C1371" i="2"/>
  <c r="P1369" i="2"/>
  <c r="C1367" i="2"/>
  <c r="P1365" i="2"/>
  <c r="C1363" i="2"/>
  <c r="Q1361" i="2"/>
  <c r="M1360" i="2"/>
  <c r="J1359" i="2"/>
  <c r="K1358" i="2"/>
  <c r="J1357" i="2"/>
  <c r="K1356" i="2"/>
  <c r="J1355" i="2"/>
  <c r="K1354" i="2"/>
  <c r="J1353" i="2"/>
  <c r="K1352" i="2"/>
  <c r="K1351" i="2"/>
  <c r="O1350" i="2"/>
  <c r="Q1349" i="2"/>
  <c r="S1348" i="2"/>
  <c r="D1348" i="2"/>
  <c r="H1347" i="2"/>
  <c r="N1346" i="2"/>
  <c r="T1345" i="2"/>
  <c r="G1345" i="2"/>
  <c r="N1344" i="2"/>
  <c r="T1343" i="2"/>
  <c r="G1343" i="2"/>
  <c r="N1342" i="2"/>
  <c r="T1341" i="2"/>
  <c r="G1341" i="2"/>
  <c r="N1340" i="2"/>
  <c r="T1339" i="2"/>
  <c r="G1339" i="2"/>
  <c r="N1338" i="2"/>
  <c r="T1337" i="2"/>
  <c r="G1337" i="2"/>
  <c r="N1336" i="2"/>
  <c r="T1335" i="2"/>
  <c r="G1335" i="2"/>
  <c r="N1334" i="2"/>
  <c r="T1333" i="2"/>
  <c r="G1333" i="2"/>
  <c r="N1332" i="2"/>
  <c r="T1331" i="2"/>
  <c r="G1331" i="2"/>
  <c r="N1330" i="2"/>
  <c r="T1329" i="2"/>
  <c r="G1329" i="2"/>
  <c r="N1328" i="2"/>
  <c r="T1327" i="2"/>
  <c r="G1327" i="2"/>
  <c r="N1326" i="2"/>
  <c r="T1325" i="2"/>
  <c r="G1325" i="2"/>
  <c r="N1324" i="2"/>
  <c r="T1323" i="2"/>
  <c r="G1323" i="2"/>
  <c r="N1322" i="2"/>
  <c r="T1321" i="2"/>
  <c r="G1321" i="2"/>
  <c r="N1320" i="2"/>
  <c r="T1319" i="2"/>
  <c r="G1319" i="2"/>
  <c r="N1318" i="2"/>
  <c r="T1317" i="2"/>
  <c r="G1317" i="2"/>
  <c r="N1316" i="2"/>
  <c r="T1315" i="2"/>
  <c r="G1315" i="2"/>
  <c r="N1314" i="2"/>
  <c r="T1313" i="2"/>
  <c r="G1313" i="2"/>
  <c r="N1312" i="2"/>
  <c r="T1311" i="2"/>
  <c r="G1311" i="2"/>
  <c r="N1310" i="2"/>
  <c r="T1309" i="2"/>
  <c r="G1309" i="2"/>
  <c r="N1308" i="2"/>
  <c r="T1307" i="2"/>
  <c r="G1307" i="2"/>
  <c r="N1306" i="2"/>
  <c r="T1305" i="2"/>
  <c r="G1305" i="2"/>
  <c r="N1304" i="2"/>
  <c r="T1303" i="2"/>
  <c r="G1303" i="2"/>
  <c r="N1302" i="2"/>
  <c r="T1301" i="2"/>
  <c r="G1301" i="2"/>
  <c r="N1300" i="2"/>
  <c r="T1299" i="2"/>
  <c r="G1299" i="2"/>
  <c r="N1298" i="2"/>
  <c r="T1297" i="2"/>
  <c r="G1297" i="2"/>
  <c r="N1296" i="2"/>
  <c r="T1295" i="2"/>
  <c r="G1295" i="2"/>
  <c r="N1294" i="2"/>
  <c r="T1293" i="2"/>
  <c r="G1293" i="2"/>
  <c r="N1292" i="2"/>
  <c r="T1291" i="2"/>
  <c r="G1291" i="2"/>
  <c r="N1290" i="2"/>
  <c r="T1289" i="2"/>
  <c r="G1289" i="2"/>
  <c r="N1288" i="2"/>
  <c r="T1287" i="2"/>
  <c r="G1287" i="2"/>
  <c r="N1286" i="2"/>
  <c r="T1285" i="2"/>
  <c r="G1285" i="2"/>
  <c r="N1284" i="2"/>
  <c r="T1283" i="2"/>
  <c r="G1283" i="2"/>
  <c r="M1535" i="2"/>
  <c r="F1502" i="2"/>
  <c r="E1484" i="2"/>
  <c r="R1468" i="2"/>
  <c r="D1459" i="2"/>
  <c r="D1451" i="2"/>
  <c r="D1443" i="2"/>
  <c r="D1435" i="2"/>
  <c r="D1427" i="2"/>
  <c r="E1420" i="2"/>
  <c r="A1416" i="2"/>
  <c r="F1413" i="2"/>
  <c r="A1411" i="2"/>
  <c r="Q1408" i="2"/>
  <c r="N1406" i="2"/>
  <c r="J1404" i="2"/>
  <c r="J1402" i="2"/>
  <c r="J1400" i="2"/>
  <c r="J1398" i="2"/>
  <c r="J1396" i="2"/>
  <c r="J1394" i="2"/>
  <c r="J1392" i="2"/>
  <c r="J1390" i="2"/>
  <c r="J1388" i="2"/>
  <c r="J1386" i="2"/>
  <c r="J1384" i="2"/>
  <c r="J1382" i="2"/>
  <c r="J1380" i="2"/>
  <c r="K1378" i="2"/>
  <c r="E1377" i="2"/>
  <c r="R1375" i="2"/>
  <c r="K1374" i="2"/>
  <c r="E1373" i="2"/>
  <c r="R1371" i="2"/>
  <c r="K1370" i="2"/>
  <c r="E1369" i="2"/>
  <c r="R1367" i="2"/>
  <c r="K1366" i="2"/>
  <c r="E1365" i="2"/>
  <c r="R1363" i="2"/>
  <c r="K1362" i="2"/>
  <c r="H1361" i="2"/>
  <c r="F1360" i="2"/>
  <c r="E1359" i="2"/>
  <c r="D1358" i="2"/>
  <c r="E1357" i="2"/>
  <c r="D1356" i="2"/>
  <c r="E1355" i="2"/>
  <c r="D1354" i="2"/>
  <c r="E1353" i="2"/>
  <c r="D1352" i="2"/>
  <c r="F1351" i="2"/>
  <c r="J1349" i="2"/>
  <c r="O1348" i="2"/>
  <c r="S1347" i="2"/>
  <c r="D1347" i="2"/>
  <c r="P1345" i="2"/>
  <c r="C1345" i="2"/>
  <c r="P1343" i="2"/>
  <c r="C1343" i="2"/>
  <c r="P1341" i="2"/>
  <c r="C1341" i="2"/>
  <c r="P1339" i="2"/>
  <c r="C1339" i="2"/>
  <c r="P1337" i="2"/>
  <c r="C1337" i="2"/>
  <c r="P1335" i="2"/>
  <c r="C1335" i="2"/>
  <c r="P1333" i="2"/>
  <c r="C1333" i="2"/>
  <c r="P1331" i="2"/>
  <c r="C1331" i="2"/>
  <c r="P1329" i="2"/>
  <c r="C1329" i="2"/>
  <c r="P1327" i="2"/>
  <c r="C1327" i="2"/>
  <c r="P1325" i="2"/>
  <c r="C1325" i="2"/>
  <c r="P1323" i="2"/>
  <c r="C1323" i="2"/>
  <c r="P1321" i="2"/>
  <c r="C1321" i="2"/>
  <c r="P1319" i="2"/>
  <c r="C1319" i="2"/>
  <c r="P1317" i="2"/>
  <c r="C1317" i="2"/>
  <c r="P1315" i="2"/>
  <c r="C1315" i="2"/>
  <c r="P1313" i="2"/>
  <c r="C1313" i="2"/>
  <c r="P1311" i="2"/>
  <c r="C1311" i="2"/>
  <c r="P1309" i="2"/>
  <c r="C1309" i="2"/>
  <c r="P1307" i="2"/>
  <c r="C1307" i="2"/>
  <c r="P1305" i="2"/>
  <c r="C1305" i="2"/>
  <c r="P1303" i="2"/>
  <c r="C1303" i="2"/>
  <c r="P1301" i="2"/>
  <c r="C1301" i="2"/>
  <c r="P1299" i="2"/>
  <c r="C1299" i="2"/>
  <c r="P1297" i="2"/>
  <c r="C1297" i="2"/>
  <c r="P1295" i="2"/>
  <c r="C1295" i="2"/>
  <c r="P1293" i="2"/>
  <c r="C1293" i="2"/>
  <c r="P1291" i="2"/>
  <c r="C1291" i="2"/>
  <c r="P1289" i="2"/>
  <c r="C1289" i="2"/>
  <c r="P1532" i="2"/>
  <c r="Q1500" i="2"/>
  <c r="T1482" i="2"/>
  <c r="T1467" i="2"/>
  <c r="M1458" i="2"/>
  <c r="M1450" i="2"/>
  <c r="M1442" i="2"/>
  <c r="M1434" i="2"/>
  <c r="M1426" i="2"/>
  <c r="S1419" i="2"/>
  <c r="S1415" i="2"/>
  <c r="E1413" i="2"/>
  <c r="S1410" i="2"/>
  <c r="P1408" i="2"/>
  <c r="M1406" i="2"/>
  <c r="J1378" i="2"/>
  <c r="D1377" i="2"/>
  <c r="Q1375" i="2"/>
  <c r="J1374" i="2"/>
  <c r="D1373" i="2"/>
  <c r="Q1371" i="2"/>
  <c r="J1370" i="2"/>
  <c r="D1369" i="2"/>
  <c r="Q1367" i="2"/>
  <c r="J1366" i="2"/>
  <c r="D1365" i="2"/>
  <c r="Q1363" i="2"/>
  <c r="J1362" i="2"/>
  <c r="F1361" i="2"/>
  <c r="C1360" i="2"/>
  <c r="D1359" i="2"/>
  <c r="C1358" i="2"/>
  <c r="D1357" i="2"/>
  <c r="C1356" i="2"/>
  <c r="D1355" i="2"/>
  <c r="C1354" i="2"/>
  <c r="D1353" i="2"/>
  <c r="C1352" i="2"/>
  <c r="E1351" i="2"/>
  <c r="F1350" i="2"/>
  <c r="N1348" i="2"/>
  <c r="R1347" i="2"/>
  <c r="C1347" i="2"/>
  <c r="H1346" i="2"/>
  <c r="O1345" i="2"/>
  <c r="A1345" i="2"/>
  <c r="H1344" i="2"/>
  <c r="O1343" i="2"/>
  <c r="A1343" i="2"/>
  <c r="H1342" i="2"/>
  <c r="O1341" i="2"/>
  <c r="A1341" i="2"/>
  <c r="H1340" i="2"/>
  <c r="O1339" i="2"/>
  <c r="A1339" i="2"/>
  <c r="H1338" i="2"/>
  <c r="O1337" i="2"/>
  <c r="A1337" i="2"/>
  <c r="H1336" i="2"/>
  <c r="O1335" i="2"/>
  <c r="A1335" i="2"/>
  <c r="H1334" i="2"/>
  <c r="O1333" i="2"/>
  <c r="A1333" i="2"/>
  <c r="H1332" i="2"/>
  <c r="O1331" i="2"/>
  <c r="A1331" i="2"/>
  <c r="H1330" i="2"/>
  <c r="O1329" i="2"/>
  <c r="A1329" i="2"/>
  <c r="H1328" i="2"/>
  <c r="O1327" i="2"/>
  <c r="A1327" i="2"/>
  <c r="H1326" i="2"/>
  <c r="O1325" i="2"/>
  <c r="A1325" i="2"/>
  <c r="H1324" i="2"/>
  <c r="O1323" i="2"/>
  <c r="A1323" i="2"/>
  <c r="H1322" i="2"/>
  <c r="O1321" i="2"/>
  <c r="A1321" i="2"/>
  <c r="H1320" i="2"/>
  <c r="O1319" i="2"/>
  <c r="A1319" i="2"/>
  <c r="H1318" i="2"/>
  <c r="O1317" i="2"/>
  <c r="A1317" i="2"/>
  <c r="H1316" i="2"/>
  <c r="O1315" i="2"/>
  <c r="A1315" i="2"/>
  <c r="H1314" i="2"/>
  <c r="O1313" i="2"/>
  <c r="A1313" i="2"/>
  <c r="H1312" i="2"/>
  <c r="O1311" i="2"/>
  <c r="A1311" i="2"/>
  <c r="H1310" i="2"/>
  <c r="O1309" i="2"/>
  <c r="A1309" i="2"/>
  <c r="H1308" i="2"/>
  <c r="O1307" i="2"/>
  <c r="A1307" i="2"/>
  <c r="H1306" i="2"/>
  <c r="O1305" i="2"/>
  <c r="A1305" i="2"/>
  <c r="H1304" i="2"/>
  <c r="O1303" i="2"/>
  <c r="A1303" i="2"/>
  <c r="H1302" i="2"/>
  <c r="O1301" i="2"/>
  <c r="A1301" i="2"/>
  <c r="H1300" i="2"/>
  <c r="O1299" i="2"/>
  <c r="A1299" i="2"/>
  <c r="H1298" i="2"/>
  <c r="O1297" i="2"/>
  <c r="A1297" i="2"/>
  <c r="H1296" i="2"/>
  <c r="O1295" i="2"/>
  <c r="A1295" i="2"/>
  <c r="H1294" i="2"/>
  <c r="O1293" i="2"/>
  <c r="A1293" i="2"/>
  <c r="H1292" i="2"/>
  <c r="O1291" i="2"/>
  <c r="A1291" i="2"/>
  <c r="H1290" i="2"/>
  <c r="O1289" i="2"/>
  <c r="A1289" i="2"/>
  <c r="H1288" i="2"/>
  <c r="O1287" i="2"/>
  <c r="A1287" i="2"/>
  <c r="H1286" i="2"/>
  <c r="P1552" i="2"/>
  <c r="F1461" i="2"/>
  <c r="F1429" i="2"/>
  <c r="O1411" i="2"/>
  <c r="C1403" i="2"/>
  <c r="C1395" i="2"/>
  <c r="C1387" i="2"/>
  <c r="C1379" i="2"/>
  <c r="M1373" i="2"/>
  <c r="F1368" i="2"/>
  <c r="S1362" i="2"/>
  <c r="J1358" i="2"/>
  <c r="J1354" i="2"/>
  <c r="M1350" i="2"/>
  <c r="G1347" i="2"/>
  <c r="M1344" i="2"/>
  <c r="S1341" i="2"/>
  <c r="F1339" i="2"/>
  <c r="M1336" i="2"/>
  <c r="S1333" i="2"/>
  <c r="F1331" i="2"/>
  <c r="M1328" i="2"/>
  <c r="S1325" i="2"/>
  <c r="F1323" i="2"/>
  <c r="M1320" i="2"/>
  <c r="S1317" i="2"/>
  <c r="D1316" i="2"/>
  <c r="K1314" i="2"/>
  <c r="T1312" i="2"/>
  <c r="F1311" i="2"/>
  <c r="Q1309" i="2"/>
  <c r="D1308" i="2"/>
  <c r="K1306" i="2"/>
  <c r="T1304" i="2"/>
  <c r="F1303" i="2"/>
  <c r="S1301" i="2"/>
  <c r="M1300" i="2"/>
  <c r="J1299" i="2"/>
  <c r="G1298" i="2"/>
  <c r="E1297" i="2"/>
  <c r="C1296" i="2"/>
  <c r="R1294" i="2"/>
  <c r="Q1293" i="2"/>
  <c r="M1292" i="2"/>
  <c r="J1291" i="2"/>
  <c r="G1290" i="2"/>
  <c r="H1289" i="2"/>
  <c r="G1288" i="2"/>
  <c r="K1286" i="2"/>
  <c r="O1285" i="2"/>
  <c r="R1284" i="2"/>
  <c r="C1284" i="2"/>
  <c r="F1283" i="2"/>
  <c r="K1282" i="2"/>
  <c r="Q1281" i="2"/>
  <c r="C1281" i="2"/>
  <c r="H1280" i="2"/>
  <c r="N1279" i="2"/>
  <c r="R1278" i="2"/>
  <c r="D1278" i="2"/>
  <c r="O1276" i="2"/>
  <c r="T1275" i="2"/>
  <c r="F1275" i="2"/>
  <c r="M1274" i="2"/>
  <c r="S1273" i="2"/>
  <c r="F1273" i="2"/>
  <c r="M1272" i="2"/>
  <c r="S1271" i="2"/>
  <c r="F1271" i="2"/>
  <c r="M1270" i="2"/>
  <c r="S1269" i="2"/>
  <c r="F1269" i="2"/>
  <c r="M1268" i="2"/>
  <c r="S1267" i="2"/>
  <c r="F1267" i="2"/>
  <c r="M1266" i="2"/>
  <c r="S1265" i="2"/>
  <c r="F1265" i="2"/>
  <c r="M1264" i="2"/>
  <c r="S1263" i="2"/>
  <c r="F1263" i="2"/>
  <c r="M1262" i="2"/>
  <c r="S1261" i="2"/>
  <c r="F1261" i="2"/>
  <c r="M1260" i="2"/>
  <c r="S1259" i="2"/>
  <c r="F1259" i="2"/>
  <c r="M1258" i="2"/>
  <c r="S1257" i="2"/>
  <c r="F1257" i="2"/>
  <c r="M1256" i="2"/>
  <c r="S1255" i="2"/>
  <c r="F1255" i="2"/>
  <c r="M1254" i="2"/>
  <c r="S1253" i="2"/>
  <c r="F1253" i="2"/>
  <c r="M1252" i="2"/>
  <c r="S1251" i="2"/>
  <c r="F1251" i="2"/>
  <c r="M1250" i="2"/>
  <c r="S1249" i="2"/>
  <c r="F1249" i="2"/>
  <c r="M1248" i="2"/>
  <c r="S1247" i="2"/>
  <c r="F1247" i="2"/>
  <c r="M1246" i="2"/>
  <c r="S1245" i="2"/>
  <c r="F1245" i="2"/>
  <c r="M1244" i="2"/>
  <c r="S1243" i="2"/>
  <c r="F1243" i="2"/>
  <c r="M1242" i="2"/>
  <c r="S1241" i="2"/>
  <c r="F1241" i="2"/>
  <c r="M1240" i="2"/>
  <c r="S1239" i="2"/>
  <c r="F1239" i="2"/>
  <c r="M1238" i="2"/>
  <c r="S1237" i="2"/>
  <c r="F1237" i="2"/>
  <c r="M1236" i="2"/>
  <c r="S1235" i="2"/>
  <c r="F1235" i="2"/>
  <c r="M1234" i="2"/>
  <c r="S1233" i="2"/>
  <c r="F1233" i="2"/>
  <c r="M1232" i="2"/>
  <c r="S1231" i="2"/>
  <c r="P1536" i="2"/>
  <c r="F1459" i="2"/>
  <c r="F1427" i="2"/>
  <c r="D1411" i="2"/>
  <c r="M1402" i="2"/>
  <c r="M1394" i="2"/>
  <c r="M1386" i="2"/>
  <c r="P1378" i="2"/>
  <c r="C1368" i="2"/>
  <c r="P1362" i="2"/>
  <c r="K1350" i="2"/>
  <c r="F1347" i="2"/>
  <c r="K1344" i="2"/>
  <c r="R1341" i="2"/>
  <c r="E1339" i="2"/>
  <c r="K1336" i="2"/>
  <c r="R1333" i="2"/>
  <c r="E1331" i="2"/>
  <c r="K1328" i="2"/>
  <c r="R1325" i="2"/>
  <c r="E1323" i="2"/>
  <c r="K1320" i="2"/>
  <c r="R1317" i="2"/>
  <c r="S1315" i="2"/>
  <c r="J1314" i="2"/>
  <c r="Q1312" i="2"/>
  <c r="E1311" i="2"/>
  <c r="N1309" i="2"/>
  <c r="S1307" i="2"/>
  <c r="J1306" i="2"/>
  <c r="Q1304" i="2"/>
  <c r="E1303" i="2"/>
  <c r="R1301" i="2"/>
  <c r="K1300" i="2"/>
  <c r="E1298" i="2"/>
  <c r="D1297" i="2"/>
  <c r="S1295" i="2"/>
  <c r="Q1294" i="2"/>
  <c r="N1293" i="2"/>
  <c r="K1292" i="2"/>
  <c r="E1290" i="2"/>
  <c r="F1289" i="2"/>
  <c r="E1288" i="2"/>
  <c r="H1287" i="2"/>
  <c r="J1286" i="2"/>
  <c r="N1285" i="2"/>
  <c r="Q1284" i="2"/>
  <c r="A1284" i="2"/>
  <c r="E1283" i="2"/>
  <c r="J1282" i="2"/>
  <c r="P1281" i="2"/>
  <c r="A1281" i="2"/>
  <c r="G1280" i="2"/>
  <c r="K1279" i="2"/>
  <c r="Q1278" i="2"/>
  <c r="C1278" i="2"/>
  <c r="H1277" i="2"/>
  <c r="N1276" i="2"/>
  <c r="S1275" i="2"/>
  <c r="E1275" i="2"/>
  <c r="K1274" i="2"/>
  <c r="R1273" i="2"/>
  <c r="E1273" i="2"/>
  <c r="K1272" i="2"/>
  <c r="R1271" i="2"/>
  <c r="E1271" i="2"/>
  <c r="K1270" i="2"/>
  <c r="R1269" i="2"/>
  <c r="E1269" i="2"/>
  <c r="K1268" i="2"/>
  <c r="R1267" i="2"/>
  <c r="E1267" i="2"/>
  <c r="K1266" i="2"/>
  <c r="R1265" i="2"/>
  <c r="E1265" i="2"/>
  <c r="K1264" i="2"/>
  <c r="R1263" i="2"/>
  <c r="E1263" i="2"/>
  <c r="K1262" i="2"/>
  <c r="R1261" i="2"/>
  <c r="E1261" i="2"/>
  <c r="K1260" i="2"/>
  <c r="R1259" i="2"/>
  <c r="E1259" i="2"/>
  <c r="K1258" i="2"/>
  <c r="R1257" i="2"/>
  <c r="E1257" i="2"/>
  <c r="K1256" i="2"/>
  <c r="R1255" i="2"/>
  <c r="E1255" i="2"/>
  <c r="K1254" i="2"/>
  <c r="R1253" i="2"/>
  <c r="E1253" i="2"/>
  <c r="K1252" i="2"/>
  <c r="R1251" i="2"/>
  <c r="E1251" i="2"/>
  <c r="K1250" i="2"/>
  <c r="R1249" i="2"/>
  <c r="E1249" i="2"/>
  <c r="K1248" i="2"/>
  <c r="Q1535" i="2"/>
  <c r="E1459" i="2"/>
  <c r="E1427" i="2"/>
  <c r="C1411" i="2"/>
  <c r="K1402" i="2"/>
  <c r="K1394" i="2"/>
  <c r="K1386" i="2"/>
  <c r="M1378" i="2"/>
  <c r="F1373" i="2"/>
  <c r="S1367" i="2"/>
  <c r="M1362" i="2"/>
  <c r="F1358" i="2"/>
  <c r="F1354" i="2"/>
  <c r="J1350" i="2"/>
  <c r="E1347" i="2"/>
  <c r="J1344" i="2"/>
  <c r="Q1341" i="2"/>
  <c r="D1339" i="2"/>
  <c r="J1336" i="2"/>
  <c r="Q1333" i="2"/>
  <c r="D1331" i="2"/>
  <c r="J1328" i="2"/>
  <c r="Q1325" i="2"/>
  <c r="D1323" i="2"/>
  <c r="J1320" i="2"/>
  <c r="Q1317" i="2"/>
  <c r="R1315" i="2"/>
  <c r="G1314" i="2"/>
  <c r="M1312" i="2"/>
  <c r="D1311" i="2"/>
  <c r="J1309" i="2"/>
  <c r="R1307" i="2"/>
  <c r="G1306" i="2"/>
  <c r="M1304" i="2"/>
  <c r="D1303" i="2"/>
  <c r="Q1301" i="2"/>
  <c r="J1300" i="2"/>
  <c r="F1299" i="2"/>
  <c r="D1298" i="2"/>
  <c r="T1296" i="2"/>
  <c r="R1295" i="2"/>
  <c r="P1294" i="2"/>
  <c r="K1293" i="2"/>
  <c r="J1292" i="2"/>
  <c r="F1291" i="2"/>
  <c r="D1290" i="2"/>
  <c r="E1289" i="2"/>
  <c r="D1288" i="2"/>
  <c r="F1287" i="2"/>
  <c r="K1285" i="2"/>
  <c r="P1284" i="2"/>
  <c r="S1283" i="2"/>
  <c r="D1283" i="2"/>
  <c r="O1281" i="2"/>
  <c r="T1280" i="2"/>
  <c r="E1280" i="2"/>
  <c r="J1279" i="2"/>
  <c r="P1278" i="2"/>
  <c r="A1278" i="2"/>
  <c r="G1277" i="2"/>
  <c r="M1276" i="2"/>
  <c r="R1275" i="2"/>
  <c r="D1275" i="2"/>
  <c r="J1274" i="2"/>
  <c r="Q1273" i="2"/>
  <c r="D1273" i="2"/>
  <c r="J1272" i="2"/>
  <c r="Q1271" i="2"/>
  <c r="D1271" i="2"/>
  <c r="J1270" i="2"/>
  <c r="Q1269" i="2"/>
  <c r="D1269" i="2"/>
  <c r="J1268" i="2"/>
  <c r="Q1267" i="2"/>
  <c r="D1267" i="2"/>
  <c r="J1266" i="2"/>
  <c r="Q1265" i="2"/>
  <c r="D1265" i="2"/>
  <c r="J1264" i="2"/>
  <c r="Q1263" i="2"/>
  <c r="D1263" i="2"/>
  <c r="J1262" i="2"/>
  <c r="Q1261" i="2"/>
  <c r="D1261" i="2"/>
  <c r="J1260" i="2"/>
  <c r="Q1259" i="2"/>
  <c r="D1259" i="2"/>
  <c r="J1258" i="2"/>
  <c r="Q1257" i="2"/>
  <c r="D1257" i="2"/>
  <c r="J1256" i="2"/>
  <c r="Q1255" i="2"/>
  <c r="D1255" i="2"/>
  <c r="J1254" i="2"/>
  <c r="Q1253" i="2"/>
  <c r="D1253" i="2"/>
  <c r="J1252" i="2"/>
  <c r="Q1251" i="2"/>
  <c r="D1251" i="2"/>
  <c r="J1250" i="2"/>
  <c r="Q1249" i="2"/>
  <c r="D1249" i="2"/>
  <c r="Q1508" i="2"/>
  <c r="F1453" i="2"/>
  <c r="P1421" i="2"/>
  <c r="J1409" i="2"/>
  <c r="C1401" i="2"/>
  <c r="C1393" i="2"/>
  <c r="C1385" i="2"/>
  <c r="M1377" i="2"/>
  <c r="F1372" i="2"/>
  <c r="S1366" i="2"/>
  <c r="P1361" i="2"/>
  <c r="P1349" i="2"/>
  <c r="M1346" i="2"/>
  <c r="S1343" i="2"/>
  <c r="F1341" i="2"/>
  <c r="M1338" i="2"/>
  <c r="S1335" i="2"/>
  <c r="F1333" i="2"/>
  <c r="M1330" i="2"/>
  <c r="S1327" i="2"/>
  <c r="F1325" i="2"/>
  <c r="M1322" i="2"/>
  <c r="S1319" i="2"/>
  <c r="F1317" i="2"/>
  <c r="Q1315" i="2"/>
  <c r="D1314" i="2"/>
  <c r="K1312" i="2"/>
  <c r="T1310" i="2"/>
  <c r="F1309" i="2"/>
  <c r="Q1307" i="2"/>
  <c r="D1306" i="2"/>
  <c r="K1304" i="2"/>
  <c r="T1302" i="2"/>
  <c r="N1301" i="2"/>
  <c r="G1300" i="2"/>
  <c r="E1299" i="2"/>
  <c r="C1298" i="2"/>
  <c r="R1296" i="2"/>
  <c r="Q1295" i="2"/>
  <c r="M1294" i="2"/>
  <c r="J1293" i="2"/>
  <c r="G1292" i="2"/>
  <c r="E1291" i="2"/>
  <c r="C1290" i="2"/>
  <c r="D1289" i="2"/>
  <c r="C1288" i="2"/>
  <c r="E1287" i="2"/>
  <c r="G1286" i="2"/>
  <c r="J1285" i="2"/>
  <c r="O1284" i="2"/>
  <c r="R1283" i="2"/>
  <c r="C1283" i="2"/>
  <c r="H1282" i="2"/>
  <c r="N1281" i="2"/>
  <c r="R1280" i="2"/>
  <c r="D1280" i="2"/>
  <c r="O1278" i="2"/>
  <c r="T1277" i="2"/>
  <c r="F1277" i="2"/>
  <c r="K1276" i="2"/>
  <c r="Q1275" i="2"/>
  <c r="C1275" i="2"/>
  <c r="P1273" i="2"/>
  <c r="C1273" i="2"/>
  <c r="P1271" i="2"/>
  <c r="C1271" i="2"/>
  <c r="P1269" i="2"/>
  <c r="C1269" i="2"/>
  <c r="P1267" i="2"/>
  <c r="C1267" i="2"/>
  <c r="P1265" i="2"/>
  <c r="C1265" i="2"/>
  <c r="P1263" i="2"/>
  <c r="C1263" i="2"/>
  <c r="P1261" i="2"/>
  <c r="C1261" i="2"/>
  <c r="P1259" i="2"/>
  <c r="C1259" i="2"/>
  <c r="P1257" i="2"/>
  <c r="C1257" i="2"/>
  <c r="P1255" i="2"/>
  <c r="C1255" i="2"/>
  <c r="P1253" i="2"/>
  <c r="C1253" i="2"/>
  <c r="P1251" i="2"/>
  <c r="C1251" i="2"/>
  <c r="P1249" i="2"/>
  <c r="C1249" i="2"/>
  <c r="P1247" i="2"/>
  <c r="C1247" i="2"/>
  <c r="Q1502" i="2"/>
  <c r="F1451" i="2"/>
  <c r="J1420" i="2"/>
  <c r="S1408" i="2"/>
  <c r="M1400" i="2"/>
  <c r="M1392" i="2"/>
  <c r="M1384" i="2"/>
  <c r="C1372" i="2"/>
  <c r="P1366" i="2"/>
  <c r="M1361" i="2"/>
  <c r="H1357" i="2"/>
  <c r="H1353" i="2"/>
  <c r="M1349" i="2"/>
  <c r="K1346" i="2"/>
  <c r="R1343" i="2"/>
  <c r="E1341" i="2"/>
  <c r="K1338" i="2"/>
  <c r="R1335" i="2"/>
  <c r="E1333" i="2"/>
  <c r="K1330" i="2"/>
  <c r="R1327" i="2"/>
  <c r="E1325" i="2"/>
  <c r="K1322" i="2"/>
  <c r="R1319" i="2"/>
  <c r="E1317" i="2"/>
  <c r="N1315" i="2"/>
  <c r="S1313" i="2"/>
  <c r="J1312" i="2"/>
  <c r="Q1310" i="2"/>
  <c r="E1309" i="2"/>
  <c r="N1307" i="2"/>
  <c r="S1305" i="2"/>
  <c r="J1304" i="2"/>
  <c r="Q1302" i="2"/>
  <c r="J1301" i="2"/>
  <c r="E1300" i="2"/>
  <c r="D1299" i="2"/>
  <c r="S1297" i="2"/>
  <c r="Q1296" i="2"/>
  <c r="N1295" i="2"/>
  <c r="K1294" i="2"/>
  <c r="E1292" i="2"/>
  <c r="D1291" i="2"/>
  <c r="A1290" i="2"/>
  <c r="T1288" i="2"/>
  <c r="A1288" i="2"/>
  <c r="D1287" i="2"/>
  <c r="E1286" i="2"/>
  <c r="M1284" i="2"/>
  <c r="Q1283" i="2"/>
  <c r="A1283" i="2"/>
  <c r="G1282" i="2"/>
  <c r="K1281" i="2"/>
  <c r="Q1280" i="2"/>
  <c r="C1280" i="2"/>
  <c r="H1279" i="2"/>
  <c r="N1278" i="2"/>
  <c r="S1277" i="2"/>
  <c r="E1277" i="2"/>
  <c r="J1276" i="2"/>
  <c r="P1275" i="2"/>
  <c r="A1275" i="2"/>
  <c r="H1274" i="2"/>
  <c r="O1273" i="2"/>
  <c r="A1273" i="2"/>
  <c r="H1272" i="2"/>
  <c r="O1271" i="2"/>
  <c r="A1271" i="2"/>
  <c r="H1270" i="2"/>
  <c r="O1269" i="2"/>
  <c r="A1269" i="2"/>
  <c r="H1268" i="2"/>
  <c r="O1267" i="2"/>
  <c r="A1267" i="2"/>
  <c r="H1266" i="2"/>
  <c r="O1265" i="2"/>
  <c r="A1265" i="2"/>
  <c r="H1264" i="2"/>
  <c r="O1263" i="2"/>
  <c r="A1263" i="2"/>
  <c r="H1262" i="2"/>
  <c r="O1261" i="2"/>
  <c r="A1261" i="2"/>
  <c r="H1260" i="2"/>
  <c r="O1259" i="2"/>
  <c r="A1259" i="2"/>
  <c r="H1258" i="2"/>
  <c r="O1257" i="2"/>
  <c r="A1257" i="2"/>
  <c r="H1256" i="2"/>
  <c r="O1255" i="2"/>
  <c r="A1255" i="2"/>
  <c r="H1254" i="2"/>
  <c r="O1253" i="2"/>
  <c r="A1253" i="2"/>
  <c r="H1252" i="2"/>
  <c r="O1251" i="2"/>
  <c r="A1251" i="2"/>
  <c r="H1250" i="2"/>
  <c r="O1249" i="2"/>
  <c r="A1249" i="2"/>
  <c r="H1248" i="2"/>
  <c r="O1247" i="2"/>
  <c r="A1247" i="2"/>
  <c r="H1246" i="2"/>
  <c r="O1245" i="2"/>
  <c r="A1245" i="2"/>
  <c r="H1244" i="2"/>
  <c r="O1243" i="2"/>
  <c r="A1243" i="2"/>
  <c r="H1242" i="2"/>
  <c r="O1241" i="2"/>
  <c r="A1241" i="2"/>
  <c r="H1240" i="2"/>
  <c r="O1239" i="2"/>
  <c r="A1239" i="2"/>
  <c r="H1238" i="2"/>
  <c r="O1237" i="2"/>
  <c r="A1237" i="2"/>
  <c r="H1236" i="2"/>
  <c r="O1235" i="2"/>
  <c r="A1235" i="2"/>
  <c r="H1234" i="2"/>
  <c r="O1233" i="2"/>
  <c r="G1502" i="2"/>
  <c r="E1451" i="2"/>
  <c r="R1408" i="2"/>
  <c r="K1400" i="2"/>
  <c r="K1392" i="2"/>
  <c r="K1384" i="2"/>
  <c r="F1377" i="2"/>
  <c r="S1371" i="2"/>
  <c r="M1366" i="2"/>
  <c r="F1357" i="2"/>
  <c r="F1353" i="2"/>
  <c r="K1349" i="2"/>
  <c r="J1346" i="2"/>
  <c r="Q1343" i="2"/>
  <c r="D1341" i="2"/>
  <c r="J1338" i="2"/>
  <c r="Q1335" i="2"/>
  <c r="D1333" i="2"/>
  <c r="J1330" i="2"/>
  <c r="Q1327" i="2"/>
  <c r="D1325" i="2"/>
  <c r="J1322" i="2"/>
  <c r="Q1319" i="2"/>
  <c r="D1317" i="2"/>
  <c r="J1315" i="2"/>
  <c r="R1313" i="2"/>
  <c r="G1312" i="2"/>
  <c r="M1310" i="2"/>
  <c r="D1309" i="2"/>
  <c r="J1307" i="2"/>
  <c r="R1305" i="2"/>
  <c r="G1304" i="2"/>
  <c r="P1302" i="2"/>
  <c r="D1300" i="2"/>
  <c r="T1298" i="2"/>
  <c r="R1297" i="2"/>
  <c r="P1296" i="2"/>
  <c r="K1295" i="2"/>
  <c r="J1294" i="2"/>
  <c r="F1293" i="2"/>
  <c r="D1292" i="2"/>
  <c r="T1290" i="2"/>
  <c r="S1289" i="2"/>
  <c r="R1288" i="2"/>
  <c r="S1287" i="2"/>
  <c r="C1287" i="2"/>
  <c r="D1286" i="2"/>
  <c r="H1285" i="2"/>
  <c r="K1284" i="2"/>
  <c r="P1283" i="2"/>
  <c r="T1282" i="2"/>
  <c r="E1282" i="2"/>
  <c r="J1281" i="2"/>
  <c r="P1280" i="2"/>
  <c r="A1280" i="2"/>
  <c r="G1279" i="2"/>
  <c r="M1278" i="2"/>
  <c r="R1277" i="2"/>
  <c r="D1277" i="2"/>
  <c r="O1275" i="2"/>
  <c r="T1274" i="2"/>
  <c r="G1274" i="2"/>
  <c r="N1273" i="2"/>
  <c r="T1272" i="2"/>
  <c r="G1272" i="2"/>
  <c r="N1271" i="2"/>
  <c r="T1270" i="2"/>
  <c r="G1270" i="2"/>
  <c r="N1269" i="2"/>
  <c r="T1268" i="2"/>
  <c r="G1268" i="2"/>
  <c r="N1267" i="2"/>
  <c r="T1266" i="2"/>
  <c r="G1266" i="2"/>
  <c r="N1265" i="2"/>
  <c r="T1264" i="2"/>
  <c r="G1264" i="2"/>
  <c r="N1263" i="2"/>
  <c r="T1262" i="2"/>
  <c r="G1262" i="2"/>
  <c r="N1261" i="2"/>
  <c r="T1260" i="2"/>
  <c r="G1260" i="2"/>
  <c r="N1259" i="2"/>
  <c r="T1258" i="2"/>
  <c r="G1258" i="2"/>
  <c r="N1257" i="2"/>
  <c r="T1256" i="2"/>
  <c r="G1256" i="2"/>
  <c r="N1255" i="2"/>
  <c r="T1254" i="2"/>
  <c r="G1254" i="2"/>
  <c r="N1253" i="2"/>
  <c r="T1252" i="2"/>
  <c r="G1252" i="2"/>
  <c r="N1251" i="2"/>
  <c r="T1250" i="2"/>
  <c r="G1250" i="2"/>
  <c r="N1249" i="2"/>
  <c r="T1248" i="2"/>
  <c r="G1248" i="2"/>
  <c r="N1247" i="2"/>
  <c r="T1246" i="2"/>
  <c r="G1246" i="2"/>
  <c r="N1245" i="2"/>
  <c r="T1244" i="2"/>
  <c r="G1244" i="2"/>
  <c r="N1243" i="2"/>
  <c r="T1242" i="2"/>
  <c r="G1242" i="2"/>
  <c r="G1488" i="2"/>
  <c r="F1445" i="2"/>
  <c r="C1417" i="2"/>
  <c r="G1407" i="2"/>
  <c r="C1399" i="2"/>
  <c r="C1391" i="2"/>
  <c r="C1383" i="2"/>
  <c r="F1376" i="2"/>
  <c r="S1370" i="2"/>
  <c r="M1365" i="2"/>
  <c r="K1360" i="2"/>
  <c r="J1356" i="2"/>
  <c r="J1352" i="2"/>
  <c r="R1348" i="2"/>
  <c r="S1345" i="2"/>
  <c r="F1343" i="2"/>
  <c r="M1340" i="2"/>
  <c r="S1337" i="2"/>
  <c r="F1335" i="2"/>
  <c r="M1332" i="2"/>
  <c r="S1329" i="2"/>
  <c r="F1327" i="2"/>
  <c r="M1324" i="2"/>
  <c r="S1321" i="2"/>
  <c r="F1319" i="2"/>
  <c r="T1316" i="2"/>
  <c r="F1315" i="2"/>
  <c r="Q1313" i="2"/>
  <c r="D1312" i="2"/>
  <c r="K1310" i="2"/>
  <c r="T1308" i="2"/>
  <c r="F1307" i="2"/>
  <c r="Q1305" i="2"/>
  <c r="D1304" i="2"/>
  <c r="M1302" i="2"/>
  <c r="F1301" i="2"/>
  <c r="C1300" i="2"/>
  <c r="R1298" i="2"/>
  <c r="Q1297" i="2"/>
  <c r="M1296" i="2"/>
  <c r="J1295" i="2"/>
  <c r="G1294" i="2"/>
  <c r="E1293" i="2"/>
  <c r="C1292" i="2"/>
  <c r="R1290" i="2"/>
  <c r="R1289" i="2"/>
  <c r="Q1288" i="2"/>
  <c r="R1287" i="2"/>
  <c r="T1286" i="2"/>
  <c r="C1286" i="2"/>
  <c r="F1285" i="2"/>
  <c r="J1284" i="2"/>
  <c r="O1283" i="2"/>
  <c r="R1282" i="2"/>
  <c r="D1282" i="2"/>
  <c r="O1280" i="2"/>
  <c r="T1279" i="2"/>
  <c r="F1279" i="2"/>
  <c r="K1278" i="2"/>
  <c r="Q1277" i="2"/>
  <c r="C1277" i="2"/>
  <c r="H1276" i="2"/>
  <c r="N1275" i="2"/>
  <c r="S1274" i="2"/>
  <c r="F1274" i="2"/>
  <c r="M1273" i="2"/>
  <c r="S1272" i="2"/>
  <c r="F1272" i="2"/>
  <c r="M1271" i="2"/>
  <c r="S1270" i="2"/>
  <c r="F1270" i="2"/>
  <c r="M1269" i="2"/>
  <c r="S1268" i="2"/>
  <c r="F1268" i="2"/>
  <c r="M1267" i="2"/>
  <c r="S1266" i="2"/>
  <c r="F1266" i="2"/>
  <c r="M1265" i="2"/>
  <c r="S1264" i="2"/>
  <c r="F1264" i="2"/>
  <c r="M1263" i="2"/>
  <c r="S1262" i="2"/>
  <c r="F1262" i="2"/>
  <c r="M1261" i="2"/>
  <c r="S1260" i="2"/>
  <c r="F1260" i="2"/>
  <c r="M1259" i="2"/>
  <c r="S1258" i="2"/>
  <c r="F1258" i="2"/>
  <c r="M1257" i="2"/>
  <c r="S1256" i="2"/>
  <c r="F1256" i="2"/>
  <c r="M1255" i="2"/>
  <c r="S1254" i="2"/>
  <c r="F1254" i="2"/>
  <c r="M1253" i="2"/>
  <c r="S1252" i="2"/>
  <c r="F1252" i="2"/>
  <c r="M1251" i="2"/>
  <c r="S1250" i="2"/>
  <c r="F1250" i="2"/>
  <c r="M1249" i="2"/>
  <c r="S1248" i="2"/>
  <c r="F1248" i="2"/>
  <c r="M1247" i="2"/>
  <c r="S1246" i="2"/>
  <c r="F1246" i="2"/>
  <c r="M1245" i="2"/>
  <c r="S1244" i="2"/>
  <c r="F1244" i="2"/>
  <c r="M1243" i="2"/>
  <c r="S1242" i="2"/>
  <c r="F1242" i="2"/>
  <c r="M1241" i="2"/>
  <c r="S1240" i="2"/>
  <c r="F1240" i="2"/>
  <c r="T1468" i="2"/>
  <c r="F1435" i="2"/>
  <c r="H1413" i="2"/>
  <c r="M1404" i="2"/>
  <c r="M1396" i="2"/>
  <c r="M1388" i="2"/>
  <c r="M1380" i="2"/>
  <c r="P1374" i="2"/>
  <c r="C1364" i="2"/>
  <c r="H1359" i="2"/>
  <c r="H1355" i="2"/>
  <c r="A1348" i="2"/>
  <c r="E1345" i="2"/>
  <c r="K1342" i="2"/>
  <c r="R1339" i="2"/>
  <c r="E1337" i="2"/>
  <c r="K1334" i="2"/>
  <c r="R1331" i="2"/>
  <c r="E1329" i="2"/>
  <c r="K1326" i="2"/>
  <c r="R1323" i="2"/>
  <c r="E1321" i="2"/>
  <c r="K1318" i="2"/>
  <c r="J1316" i="2"/>
  <c r="Q1314" i="2"/>
  <c r="E1313" i="2"/>
  <c r="N1311" i="2"/>
  <c r="S1309" i="2"/>
  <c r="J1308" i="2"/>
  <c r="Q1306" i="2"/>
  <c r="E1305" i="2"/>
  <c r="N1303" i="2"/>
  <c r="D1302" i="2"/>
  <c r="Q1300" i="2"/>
  <c r="N1299" i="2"/>
  <c r="K1298" i="2"/>
  <c r="E1296" i="2"/>
  <c r="D1295" i="2"/>
  <c r="S1293" i="2"/>
  <c r="Q1292" i="2"/>
  <c r="N1291" i="2"/>
  <c r="K1290" i="2"/>
  <c r="J1289" i="2"/>
  <c r="K1288" i="2"/>
  <c r="K1287" i="2"/>
  <c r="O1286" i="2"/>
  <c r="Q1285" i="2"/>
  <c r="A1285" i="2"/>
  <c r="E1284" i="2"/>
  <c r="N1282" i="2"/>
  <c r="S1281" i="2"/>
  <c r="E1281" i="2"/>
  <c r="J1280" i="2"/>
  <c r="P1279" i="2"/>
  <c r="A1279" i="2"/>
  <c r="G1278" i="2"/>
  <c r="K1277" i="2"/>
  <c r="Q1276" i="2"/>
  <c r="C1276" i="2"/>
  <c r="H1275" i="2"/>
  <c r="O1274" i="2"/>
  <c r="A1274" i="2"/>
  <c r="H1273" i="2"/>
  <c r="O1272" i="2"/>
  <c r="A1272" i="2"/>
  <c r="H1271" i="2"/>
  <c r="O1270" i="2"/>
  <c r="A1270" i="2"/>
  <c r="H1269" i="2"/>
  <c r="O1268" i="2"/>
  <c r="A1268" i="2"/>
  <c r="H1267" i="2"/>
  <c r="O1266" i="2"/>
  <c r="A1266" i="2"/>
  <c r="H1265" i="2"/>
  <c r="O1264" i="2"/>
  <c r="A1264" i="2"/>
  <c r="H1263" i="2"/>
  <c r="O1262" i="2"/>
  <c r="A1262" i="2"/>
  <c r="H1261" i="2"/>
  <c r="O1260" i="2"/>
  <c r="A1260" i="2"/>
  <c r="H1259" i="2"/>
  <c r="O1258" i="2"/>
  <c r="A1258" i="2"/>
  <c r="H1257" i="2"/>
  <c r="O1256" i="2"/>
  <c r="A1256" i="2"/>
  <c r="H1255" i="2"/>
  <c r="O1254" i="2"/>
  <c r="A1254" i="2"/>
  <c r="H1253" i="2"/>
  <c r="O1252" i="2"/>
  <c r="A1252" i="2"/>
  <c r="H1251" i="2"/>
  <c r="O1250" i="2"/>
  <c r="A1250" i="2"/>
  <c r="H1249" i="2"/>
  <c r="O1248" i="2"/>
  <c r="A1248" i="2"/>
  <c r="H1247" i="2"/>
  <c r="O1246" i="2"/>
  <c r="S1468" i="2"/>
  <c r="E1435" i="2"/>
  <c r="G1413" i="2"/>
  <c r="K1404" i="2"/>
  <c r="K1396" i="2"/>
  <c r="K1388" i="2"/>
  <c r="K1380" i="2"/>
  <c r="M1374" i="2"/>
  <c r="F1369" i="2"/>
  <c r="S1363" i="2"/>
  <c r="F1359" i="2"/>
  <c r="F1355" i="2"/>
  <c r="H1351" i="2"/>
  <c r="T1347" i="2"/>
  <c r="D1345" i="2"/>
  <c r="J1342" i="2"/>
  <c r="Q1339" i="2"/>
  <c r="D1337" i="2"/>
  <c r="J1334" i="2"/>
  <c r="Q1331" i="2"/>
  <c r="D1329" i="2"/>
  <c r="J1326" i="2"/>
  <c r="Q1323" i="2"/>
  <c r="D1321" i="2"/>
  <c r="J1318" i="2"/>
  <c r="G1316" i="2"/>
  <c r="M1314" i="2"/>
  <c r="D1313" i="2"/>
  <c r="J1311" i="2"/>
  <c r="R1309" i="2"/>
  <c r="G1308" i="2"/>
  <c r="M1306" i="2"/>
  <c r="D1305" i="2"/>
  <c r="J1303" i="2"/>
  <c r="C1302" i="2"/>
  <c r="P1300" i="2"/>
  <c r="K1299" i="2"/>
  <c r="J1298" i="2"/>
  <c r="F1297" i="2"/>
  <c r="D1296" i="2"/>
  <c r="T1294" i="2"/>
  <c r="R1293" i="2"/>
  <c r="P1292" i="2"/>
  <c r="K1291" i="2"/>
  <c r="J1290" i="2"/>
  <c r="J1288" i="2"/>
  <c r="J1287" i="2"/>
  <c r="M1286" i="2"/>
  <c r="P1285" i="2"/>
  <c r="T1284" i="2"/>
  <c r="D1284" i="2"/>
  <c r="H1283" i="2"/>
  <c r="M1282" i="2"/>
  <c r="R1281" i="2"/>
  <c r="D1281" i="2"/>
  <c r="O1279" i="2"/>
  <c r="T1278" i="2"/>
  <c r="E1278" i="2"/>
  <c r="J1277" i="2"/>
  <c r="P1276" i="2"/>
  <c r="A1276" i="2"/>
  <c r="G1275" i="2"/>
  <c r="N1274" i="2"/>
  <c r="T1273" i="2"/>
  <c r="G1273" i="2"/>
  <c r="N1272" i="2"/>
  <c r="T1271" i="2"/>
  <c r="G1271" i="2"/>
  <c r="N1270" i="2"/>
  <c r="T1269" i="2"/>
  <c r="G1269" i="2"/>
  <c r="N1268" i="2"/>
  <c r="T1267" i="2"/>
  <c r="G1267" i="2"/>
  <c r="N1266" i="2"/>
  <c r="T1265" i="2"/>
  <c r="G1265" i="2"/>
  <c r="N1264" i="2"/>
  <c r="T1263" i="2"/>
  <c r="G1263" i="2"/>
  <c r="N1262" i="2"/>
  <c r="T1261" i="2"/>
  <c r="G1261" i="2"/>
  <c r="N1260" i="2"/>
  <c r="T1259" i="2"/>
  <c r="G1259" i="2"/>
  <c r="N1258" i="2"/>
  <c r="T1257" i="2"/>
  <c r="G1257" i="2"/>
  <c r="N1256" i="2"/>
  <c r="T1255" i="2"/>
  <c r="G1255" i="2"/>
  <c r="N1254" i="2"/>
  <c r="T1253" i="2"/>
  <c r="G1253" i="2"/>
  <c r="N1252" i="2"/>
  <c r="T1251" i="2"/>
  <c r="G1251" i="2"/>
  <c r="N1250" i="2"/>
  <c r="T1249" i="2"/>
  <c r="G1249" i="2"/>
  <c r="N1248" i="2"/>
  <c r="T1247" i="2"/>
  <c r="G1247" i="2"/>
  <c r="N1246" i="2"/>
  <c r="T1245" i="2"/>
  <c r="G1245" i="2"/>
  <c r="N1244" i="2"/>
  <c r="T1243" i="2"/>
  <c r="G1243" i="2"/>
  <c r="N1242" i="2"/>
  <c r="T1241" i="2"/>
  <c r="G1241" i="2"/>
  <c r="N1240" i="2"/>
  <c r="T1239" i="2"/>
  <c r="G1239" i="2"/>
  <c r="N1238" i="2"/>
  <c r="T1237" i="2"/>
  <c r="G1237" i="2"/>
  <c r="N1236" i="2"/>
  <c r="T1235" i="2"/>
  <c r="G1235" i="2"/>
  <c r="N1234" i="2"/>
  <c r="T1233" i="2"/>
  <c r="G1233" i="2"/>
  <c r="G1484" i="2"/>
  <c r="M1398" i="2"/>
  <c r="P1370" i="2"/>
  <c r="K1340" i="2"/>
  <c r="R1329" i="2"/>
  <c r="E1319" i="2"/>
  <c r="S1311" i="2"/>
  <c r="N1305" i="2"/>
  <c r="S1299" i="2"/>
  <c r="Q1290" i="2"/>
  <c r="R1286" i="2"/>
  <c r="N1283" i="2"/>
  <c r="N1280" i="2"/>
  <c r="P1277" i="2"/>
  <c r="R1274" i="2"/>
  <c r="E1272" i="2"/>
  <c r="K1269" i="2"/>
  <c r="R1266" i="2"/>
  <c r="E1264" i="2"/>
  <c r="K1261" i="2"/>
  <c r="R1258" i="2"/>
  <c r="E1256" i="2"/>
  <c r="K1253" i="2"/>
  <c r="R1250" i="2"/>
  <c r="J1248" i="2"/>
  <c r="Q1246" i="2"/>
  <c r="K1245" i="2"/>
  <c r="J1244" i="2"/>
  <c r="H1243" i="2"/>
  <c r="D1242" i="2"/>
  <c r="D1241" i="2"/>
  <c r="D1240" i="2"/>
  <c r="E1239" i="2"/>
  <c r="G1238" i="2"/>
  <c r="J1237" i="2"/>
  <c r="K1236" i="2"/>
  <c r="N1235" i="2"/>
  <c r="Q1234" i="2"/>
  <c r="R1233" i="2"/>
  <c r="A1233" i="2"/>
  <c r="G1232" i="2"/>
  <c r="M1231" i="2"/>
  <c r="S1230" i="2"/>
  <c r="F1230" i="2"/>
  <c r="M1229" i="2"/>
  <c r="S1228" i="2"/>
  <c r="F1228" i="2"/>
  <c r="M1227" i="2"/>
  <c r="S1226" i="2"/>
  <c r="F1226" i="2"/>
  <c r="M1225" i="2"/>
  <c r="S1224" i="2"/>
  <c r="F1224" i="2"/>
  <c r="M1223" i="2"/>
  <c r="S1222" i="2"/>
  <c r="F1222" i="2"/>
  <c r="M1221" i="2"/>
  <c r="S1220" i="2"/>
  <c r="F1220" i="2"/>
  <c r="M1219" i="2"/>
  <c r="S1218" i="2"/>
  <c r="F1218" i="2"/>
  <c r="M1217" i="2"/>
  <c r="S1216" i="2"/>
  <c r="F1216" i="2"/>
  <c r="M1215" i="2"/>
  <c r="S1214" i="2"/>
  <c r="F1214" i="2"/>
  <c r="M1213" i="2"/>
  <c r="S1212" i="2"/>
  <c r="F1212" i="2"/>
  <c r="M1211" i="2"/>
  <c r="S1210" i="2"/>
  <c r="F1210" i="2"/>
  <c r="M1209" i="2"/>
  <c r="S1208" i="2"/>
  <c r="F1208" i="2"/>
  <c r="M1207" i="2"/>
  <c r="S1206" i="2"/>
  <c r="F1206" i="2"/>
  <c r="M1205" i="2"/>
  <c r="S1204" i="2"/>
  <c r="F1204" i="2"/>
  <c r="M1203" i="2"/>
  <c r="S1202" i="2"/>
  <c r="F1202" i="2"/>
  <c r="M1201" i="2"/>
  <c r="S1200" i="2"/>
  <c r="F1200" i="2"/>
  <c r="M1199" i="2"/>
  <c r="S1198" i="2"/>
  <c r="F1198" i="2"/>
  <c r="M1197" i="2"/>
  <c r="S1196" i="2"/>
  <c r="F1196" i="2"/>
  <c r="M1195" i="2"/>
  <c r="S1194" i="2"/>
  <c r="F1194" i="2"/>
  <c r="M1193" i="2"/>
  <c r="S1192" i="2"/>
  <c r="F1192" i="2"/>
  <c r="M1191" i="2"/>
  <c r="S1190" i="2"/>
  <c r="F1190" i="2"/>
  <c r="M1189" i="2"/>
  <c r="S1188" i="2"/>
  <c r="F1188" i="2"/>
  <c r="M1187" i="2"/>
  <c r="S1186" i="2"/>
  <c r="F1186" i="2"/>
  <c r="M1185" i="2"/>
  <c r="S1184" i="2"/>
  <c r="F1184" i="2"/>
  <c r="M1183" i="2"/>
  <c r="S1182" i="2"/>
  <c r="F1182" i="2"/>
  <c r="M1181" i="2"/>
  <c r="S1180" i="2"/>
  <c r="F1180" i="2"/>
  <c r="M1179" i="2"/>
  <c r="S1178" i="2"/>
  <c r="F1178" i="2"/>
  <c r="M1177" i="2"/>
  <c r="S1176" i="2"/>
  <c r="F1176" i="2"/>
  <c r="M1175" i="2"/>
  <c r="S1174" i="2"/>
  <c r="F1174" i="2"/>
  <c r="M1173" i="2"/>
  <c r="S1172" i="2"/>
  <c r="F1172" i="2"/>
  <c r="M1171" i="2"/>
  <c r="S1170" i="2"/>
  <c r="F1170" i="2"/>
  <c r="M1169" i="2"/>
  <c r="S1168" i="2"/>
  <c r="F1168" i="2"/>
  <c r="M1167" i="2"/>
  <c r="S1166" i="2"/>
  <c r="F1166" i="2"/>
  <c r="M1165" i="2"/>
  <c r="S1164" i="2"/>
  <c r="F1164" i="2"/>
  <c r="M1163" i="2"/>
  <c r="S1162" i="2"/>
  <c r="F1162" i="2"/>
  <c r="M1161" i="2"/>
  <c r="S1160" i="2"/>
  <c r="F1160" i="2"/>
  <c r="M1159" i="2"/>
  <c r="S1158" i="2"/>
  <c r="F1158" i="2"/>
  <c r="M1157" i="2"/>
  <c r="S1156" i="2"/>
  <c r="F1156" i="2"/>
  <c r="M1155" i="2"/>
  <c r="S1154" i="2"/>
  <c r="F1154" i="2"/>
  <c r="M1153" i="2"/>
  <c r="S1152" i="2"/>
  <c r="F1152" i="2"/>
  <c r="M1151" i="2"/>
  <c r="S1150" i="2"/>
  <c r="F1150" i="2"/>
  <c r="M1149" i="2"/>
  <c r="S1148" i="2"/>
  <c r="F1148" i="2"/>
  <c r="M1147" i="2"/>
  <c r="S1146" i="2"/>
  <c r="F1146" i="2"/>
  <c r="M1145" i="2"/>
  <c r="S1144" i="2"/>
  <c r="F1144" i="2"/>
  <c r="M1143" i="2"/>
  <c r="S1142" i="2"/>
  <c r="F1142" i="2"/>
  <c r="M1141" i="2"/>
  <c r="S1140" i="2"/>
  <c r="F1140" i="2"/>
  <c r="M1139" i="2"/>
  <c r="S1138" i="2"/>
  <c r="F1138" i="2"/>
  <c r="M1137" i="2"/>
  <c r="S1136" i="2"/>
  <c r="F1136" i="2"/>
  <c r="M1135" i="2"/>
  <c r="S1134" i="2"/>
  <c r="F1134" i="2"/>
  <c r="M1133" i="2"/>
  <c r="S1132" i="2"/>
  <c r="F1132" i="2"/>
  <c r="M1131" i="2"/>
  <c r="S1130" i="2"/>
  <c r="F1130" i="2"/>
  <c r="M1129" i="2"/>
  <c r="F1484" i="2"/>
  <c r="K1398" i="2"/>
  <c r="M1370" i="2"/>
  <c r="F1352" i="2"/>
  <c r="J1340" i="2"/>
  <c r="Q1329" i="2"/>
  <c r="D1319" i="2"/>
  <c r="R1311" i="2"/>
  <c r="J1305" i="2"/>
  <c r="R1299" i="2"/>
  <c r="F1295" i="2"/>
  <c r="P1290" i="2"/>
  <c r="Q1286" i="2"/>
  <c r="K1283" i="2"/>
  <c r="M1280" i="2"/>
  <c r="O1277" i="2"/>
  <c r="Q1274" i="2"/>
  <c r="D1272" i="2"/>
  <c r="J1269" i="2"/>
  <c r="Q1266" i="2"/>
  <c r="D1264" i="2"/>
  <c r="J1261" i="2"/>
  <c r="Q1258" i="2"/>
  <c r="D1256" i="2"/>
  <c r="J1253" i="2"/>
  <c r="Q1250" i="2"/>
  <c r="E1248" i="2"/>
  <c r="P1246" i="2"/>
  <c r="J1245" i="2"/>
  <c r="E1243" i="2"/>
  <c r="C1242" i="2"/>
  <c r="C1241" i="2"/>
  <c r="C1240" i="2"/>
  <c r="D1239" i="2"/>
  <c r="F1238" i="2"/>
  <c r="J1236" i="2"/>
  <c r="M1235" i="2"/>
  <c r="P1234" i="2"/>
  <c r="Q1233" i="2"/>
  <c r="T1232" i="2"/>
  <c r="F1232" i="2"/>
  <c r="K1231" i="2"/>
  <c r="R1230" i="2"/>
  <c r="E1230" i="2"/>
  <c r="K1229" i="2"/>
  <c r="R1228" i="2"/>
  <c r="E1228" i="2"/>
  <c r="K1227" i="2"/>
  <c r="R1226" i="2"/>
  <c r="E1226" i="2"/>
  <c r="K1225" i="2"/>
  <c r="R1224" i="2"/>
  <c r="E1224" i="2"/>
  <c r="K1223" i="2"/>
  <c r="R1222" i="2"/>
  <c r="E1222" i="2"/>
  <c r="K1221" i="2"/>
  <c r="R1220" i="2"/>
  <c r="E1220" i="2"/>
  <c r="K1219" i="2"/>
  <c r="R1218" i="2"/>
  <c r="E1218" i="2"/>
  <c r="K1217" i="2"/>
  <c r="R1216" i="2"/>
  <c r="E1216" i="2"/>
  <c r="K1215" i="2"/>
  <c r="R1214" i="2"/>
  <c r="E1214" i="2"/>
  <c r="K1213" i="2"/>
  <c r="R1212" i="2"/>
  <c r="E1212" i="2"/>
  <c r="K1211" i="2"/>
  <c r="R1210" i="2"/>
  <c r="E1210" i="2"/>
  <c r="K1209" i="2"/>
  <c r="R1208" i="2"/>
  <c r="E1208" i="2"/>
  <c r="K1207" i="2"/>
  <c r="R1206" i="2"/>
  <c r="E1206" i="2"/>
  <c r="K1205" i="2"/>
  <c r="R1204" i="2"/>
  <c r="E1204" i="2"/>
  <c r="K1203" i="2"/>
  <c r="R1202" i="2"/>
  <c r="E1202" i="2"/>
  <c r="K1201" i="2"/>
  <c r="R1200" i="2"/>
  <c r="E1200" i="2"/>
  <c r="K1199" i="2"/>
  <c r="R1198" i="2"/>
  <c r="E1198" i="2"/>
  <c r="K1197" i="2"/>
  <c r="R1196" i="2"/>
  <c r="E1196" i="2"/>
  <c r="K1195" i="2"/>
  <c r="R1194" i="2"/>
  <c r="E1194" i="2"/>
  <c r="K1193" i="2"/>
  <c r="R1192" i="2"/>
  <c r="E1192" i="2"/>
  <c r="K1191" i="2"/>
  <c r="R1190" i="2"/>
  <c r="E1190" i="2"/>
  <c r="K1189" i="2"/>
  <c r="R1188" i="2"/>
  <c r="E1188" i="2"/>
  <c r="K1187" i="2"/>
  <c r="R1186" i="2"/>
  <c r="E1186" i="2"/>
  <c r="K1185" i="2"/>
  <c r="R1184" i="2"/>
  <c r="E1184" i="2"/>
  <c r="K1183" i="2"/>
  <c r="R1182" i="2"/>
  <c r="E1182" i="2"/>
  <c r="K1181" i="2"/>
  <c r="R1180" i="2"/>
  <c r="E1180" i="2"/>
  <c r="K1179" i="2"/>
  <c r="R1178" i="2"/>
  <c r="E1178" i="2"/>
  <c r="K1177" i="2"/>
  <c r="R1176" i="2"/>
  <c r="E1176" i="2"/>
  <c r="K1175" i="2"/>
  <c r="R1174" i="2"/>
  <c r="E1174" i="2"/>
  <c r="K1173" i="2"/>
  <c r="R1172" i="2"/>
  <c r="E1172" i="2"/>
  <c r="K1171" i="2"/>
  <c r="R1170" i="2"/>
  <c r="E1170" i="2"/>
  <c r="K1169" i="2"/>
  <c r="R1168" i="2"/>
  <c r="E1168" i="2"/>
  <c r="K1167" i="2"/>
  <c r="R1166" i="2"/>
  <c r="E1166" i="2"/>
  <c r="K1165" i="2"/>
  <c r="R1164" i="2"/>
  <c r="E1164" i="2"/>
  <c r="K1163" i="2"/>
  <c r="R1162" i="2"/>
  <c r="E1162" i="2"/>
  <c r="K1161" i="2"/>
  <c r="R1160" i="2"/>
  <c r="E1160" i="2"/>
  <c r="K1159" i="2"/>
  <c r="R1158" i="2"/>
  <c r="E1158" i="2"/>
  <c r="K1157" i="2"/>
  <c r="R1156" i="2"/>
  <c r="E1156" i="2"/>
  <c r="K1155" i="2"/>
  <c r="R1154" i="2"/>
  <c r="E1154" i="2"/>
  <c r="K1153" i="2"/>
  <c r="R1152" i="2"/>
  <c r="E1152" i="2"/>
  <c r="K1151" i="2"/>
  <c r="R1150" i="2"/>
  <c r="E1150" i="2"/>
  <c r="K1149" i="2"/>
  <c r="R1148" i="2"/>
  <c r="E1148" i="2"/>
  <c r="K1147" i="2"/>
  <c r="R1146" i="2"/>
  <c r="E1146" i="2"/>
  <c r="K1145" i="2"/>
  <c r="R1144" i="2"/>
  <c r="E1144" i="2"/>
  <c r="K1143" i="2"/>
  <c r="R1142" i="2"/>
  <c r="E1142" i="2"/>
  <c r="K1141" i="2"/>
  <c r="R1140" i="2"/>
  <c r="E1140" i="2"/>
  <c r="K1139" i="2"/>
  <c r="R1138" i="2"/>
  <c r="E1138" i="2"/>
  <c r="K1137" i="2"/>
  <c r="R1136" i="2"/>
  <c r="E1136" i="2"/>
  <c r="K1135" i="2"/>
  <c r="R1134" i="2"/>
  <c r="E1134" i="2"/>
  <c r="K1133" i="2"/>
  <c r="R1132" i="2"/>
  <c r="E1132" i="2"/>
  <c r="K1131" i="2"/>
  <c r="R1130" i="2"/>
  <c r="E1130" i="2"/>
  <c r="K1129" i="2"/>
  <c r="R1128" i="2"/>
  <c r="E1128" i="2"/>
  <c r="K1127" i="2"/>
  <c r="R1126" i="2"/>
  <c r="E1126" i="2"/>
  <c r="K1125" i="2"/>
  <c r="R1124" i="2"/>
  <c r="E1124" i="2"/>
  <c r="K1123" i="2"/>
  <c r="R1122" i="2"/>
  <c r="E1122" i="2"/>
  <c r="K1121" i="2"/>
  <c r="R1120" i="2"/>
  <c r="E1120" i="2"/>
  <c r="K1119" i="2"/>
  <c r="R1118" i="2"/>
  <c r="E1118" i="2"/>
  <c r="K1117" i="2"/>
  <c r="R1116" i="2"/>
  <c r="E1116" i="2"/>
  <c r="K1115" i="2"/>
  <c r="R1114" i="2"/>
  <c r="G1472" i="2"/>
  <c r="C1397" i="2"/>
  <c r="M1369" i="2"/>
  <c r="J1351" i="2"/>
  <c r="S1339" i="2"/>
  <c r="F1329" i="2"/>
  <c r="M1318" i="2"/>
  <c r="Q1311" i="2"/>
  <c r="F1305" i="2"/>
  <c r="Q1299" i="2"/>
  <c r="E1295" i="2"/>
  <c r="M1290" i="2"/>
  <c r="P1286" i="2"/>
  <c r="J1283" i="2"/>
  <c r="K1280" i="2"/>
  <c r="N1277" i="2"/>
  <c r="P1274" i="2"/>
  <c r="C1272" i="2"/>
  <c r="P1266" i="2"/>
  <c r="C1264" i="2"/>
  <c r="P1258" i="2"/>
  <c r="C1256" i="2"/>
  <c r="P1250" i="2"/>
  <c r="D1248" i="2"/>
  <c r="K1246" i="2"/>
  <c r="E1244" i="2"/>
  <c r="D1243" i="2"/>
  <c r="A1242" i="2"/>
  <c r="T1240" i="2"/>
  <c r="A1240" i="2"/>
  <c r="C1239" i="2"/>
  <c r="E1238" i="2"/>
  <c r="H1237" i="2"/>
  <c r="K1235" i="2"/>
  <c r="O1234" i="2"/>
  <c r="P1233" i="2"/>
  <c r="S1232" i="2"/>
  <c r="E1232" i="2"/>
  <c r="J1231" i="2"/>
  <c r="Q1230" i="2"/>
  <c r="D1230" i="2"/>
  <c r="J1229" i="2"/>
  <c r="Q1228" i="2"/>
  <c r="D1228" i="2"/>
  <c r="J1227" i="2"/>
  <c r="Q1226" i="2"/>
  <c r="D1226" i="2"/>
  <c r="J1225" i="2"/>
  <c r="Q1224" i="2"/>
  <c r="D1224" i="2"/>
  <c r="J1223" i="2"/>
  <c r="Q1222" i="2"/>
  <c r="D1222" i="2"/>
  <c r="J1221" i="2"/>
  <c r="Q1220" i="2"/>
  <c r="D1220" i="2"/>
  <c r="J1219" i="2"/>
  <c r="Q1218" i="2"/>
  <c r="D1218" i="2"/>
  <c r="J1217" i="2"/>
  <c r="Q1216" i="2"/>
  <c r="D1216" i="2"/>
  <c r="J1215" i="2"/>
  <c r="Q1214" i="2"/>
  <c r="D1214" i="2"/>
  <c r="J1213" i="2"/>
  <c r="Q1212" i="2"/>
  <c r="D1212" i="2"/>
  <c r="J1211" i="2"/>
  <c r="Q1210" i="2"/>
  <c r="D1210" i="2"/>
  <c r="J1209" i="2"/>
  <c r="Q1208" i="2"/>
  <c r="D1208" i="2"/>
  <c r="J1207" i="2"/>
  <c r="Q1206" i="2"/>
  <c r="D1206" i="2"/>
  <c r="J1205" i="2"/>
  <c r="Q1204" i="2"/>
  <c r="D1204" i="2"/>
  <c r="J1203" i="2"/>
  <c r="Q1202" i="2"/>
  <c r="D1202" i="2"/>
  <c r="J1201" i="2"/>
  <c r="Q1200" i="2"/>
  <c r="D1200" i="2"/>
  <c r="J1199" i="2"/>
  <c r="Q1198" i="2"/>
  <c r="D1198" i="2"/>
  <c r="J1197" i="2"/>
  <c r="Q1196" i="2"/>
  <c r="D1196" i="2"/>
  <c r="J1195" i="2"/>
  <c r="Q1194" i="2"/>
  <c r="D1194" i="2"/>
  <c r="J1193" i="2"/>
  <c r="Q1192" i="2"/>
  <c r="D1192" i="2"/>
  <c r="J1191" i="2"/>
  <c r="Q1190" i="2"/>
  <c r="D1190" i="2"/>
  <c r="J1189" i="2"/>
  <c r="Q1188" i="2"/>
  <c r="D1188" i="2"/>
  <c r="J1187" i="2"/>
  <c r="Q1186" i="2"/>
  <c r="D1186" i="2"/>
  <c r="J1185" i="2"/>
  <c r="Q1184" i="2"/>
  <c r="D1184" i="2"/>
  <c r="J1183" i="2"/>
  <c r="Q1182" i="2"/>
  <c r="D1182" i="2"/>
  <c r="J1181" i="2"/>
  <c r="Q1180" i="2"/>
  <c r="D1180" i="2"/>
  <c r="J1179" i="2"/>
  <c r="Q1178" i="2"/>
  <c r="D1178" i="2"/>
  <c r="J1177" i="2"/>
  <c r="Q1176" i="2"/>
  <c r="D1176" i="2"/>
  <c r="J1175" i="2"/>
  <c r="Q1174" i="2"/>
  <c r="D1174" i="2"/>
  <c r="J1173" i="2"/>
  <c r="Q1172" i="2"/>
  <c r="D1172" i="2"/>
  <c r="J1171" i="2"/>
  <c r="Q1170" i="2"/>
  <c r="D1170" i="2"/>
  <c r="J1169" i="2"/>
  <c r="Q1168" i="2"/>
  <c r="D1168" i="2"/>
  <c r="J1167" i="2"/>
  <c r="Q1166" i="2"/>
  <c r="D1166" i="2"/>
  <c r="J1165" i="2"/>
  <c r="Q1164" i="2"/>
  <c r="D1164" i="2"/>
  <c r="J1163" i="2"/>
  <c r="Q1162" i="2"/>
  <c r="D1162" i="2"/>
  <c r="J1161" i="2"/>
  <c r="Q1160" i="2"/>
  <c r="D1160" i="2"/>
  <c r="J1159" i="2"/>
  <c r="Q1158" i="2"/>
  <c r="D1158" i="2"/>
  <c r="J1157" i="2"/>
  <c r="Q1156" i="2"/>
  <c r="D1156" i="2"/>
  <c r="J1155" i="2"/>
  <c r="Q1154" i="2"/>
  <c r="D1154" i="2"/>
  <c r="J1153" i="2"/>
  <c r="Q1152" i="2"/>
  <c r="D1152" i="2"/>
  <c r="J1151" i="2"/>
  <c r="Q1150" i="2"/>
  <c r="D1150" i="2"/>
  <c r="J1149" i="2"/>
  <c r="Q1148" i="2"/>
  <c r="D1148" i="2"/>
  <c r="J1147" i="2"/>
  <c r="Q1146" i="2"/>
  <c r="D1146" i="2"/>
  <c r="J1145" i="2"/>
  <c r="Q1144" i="2"/>
  <c r="D1144" i="2"/>
  <c r="J1143" i="2"/>
  <c r="Q1142" i="2"/>
  <c r="D1142" i="2"/>
  <c r="J1141" i="2"/>
  <c r="Q1140" i="2"/>
  <c r="D1140" i="2"/>
  <c r="J1139" i="2"/>
  <c r="Q1138" i="2"/>
  <c r="D1138" i="2"/>
  <c r="J1137" i="2"/>
  <c r="Q1136" i="2"/>
  <c r="D1136" i="2"/>
  <c r="J1135" i="2"/>
  <c r="Q1134" i="2"/>
  <c r="D1134" i="2"/>
  <c r="J1133" i="2"/>
  <c r="Q1132" i="2"/>
  <c r="D1132" i="2"/>
  <c r="J1131" i="2"/>
  <c r="Q1130" i="2"/>
  <c r="D1130" i="2"/>
  <c r="J1129" i="2"/>
  <c r="Q1128" i="2"/>
  <c r="D1128" i="2"/>
  <c r="J1127" i="2"/>
  <c r="Q1126" i="2"/>
  <c r="D1126" i="2"/>
  <c r="J1125" i="2"/>
  <c r="Q1124" i="2"/>
  <c r="F1443" i="2"/>
  <c r="M1390" i="2"/>
  <c r="Q1348" i="2"/>
  <c r="R1337" i="2"/>
  <c r="E1327" i="2"/>
  <c r="Q1316" i="2"/>
  <c r="J1310" i="2"/>
  <c r="S1303" i="2"/>
  <c r="Q1298" i="2"/>
  <c r="E1294" i="2"/>
  <c r="Q1289" i="2"/>
  <c r="A1286" i="2"/>
  <c r="Q1282" i="2"/>
  <c r="S1279" i="2"/>
  <c r="A1277" i="2"/>
  <c r="E1274" i="2"/>
  <c r="K1271" i="2"/>
  <c r="R1268" i="2"/>
  <c r="E1266" i="2"/>
  <c r="K1263" i="2"/>
  <c r="R1260" i="2"/>
  <c r="E1258" i="2"/>
  <c r="K1255" i="2"/>
  <c r="R1252" i="2"/>
  <c r="E1250" i="2"/>
  <c r="C1248" i="2"/>
  <c r="J1246" i="2"/>
  <c r="H1245" i="2"/>
  <c r="D1244" i="2"/>
  <c r="C1243" i="2"/>
  <c r="R1241" i="2"/>
  <c r="R1240" i="2"/>
  <c r="R1239" i="2"/>
  <c r="T1238" i="2"/>
  <c r="D1238" i="2"/>
  <c r="E1237" i="2"/>
  <c r="G1236" i="2"/>
  <c r="J1235" i="2"/>
  <c r="K1234" i="2"/>
  <c r="N1233" i="2"/>
  <c r="R1232" i="2"/>
  <c r="D1232" i="2"/>
  <c r="P1230" i="2"/>
  <c r="C1230" i="2"/>
  <c r="P1228" i="2"/>
  <c r="C1228" i="2"/>
  <c r="P1226" i="2"/>
  <c r="C1226" i="2"/>
  <c r="P1224" i="2"/>
  <c r="C1224" i="2"/>
  <c r="P1222" i="2"/>
  <c r="C1222" i="2"/>
  <c r="P1220" i="2"/>
  <c r="C1220" i="2"/>
  <c r="P1218" i="2"/>
  <c r="C1218" i="2"/>
  <c r="P1216" i="2"/>
  <c r="C1216" i="2"/>
  <c r="P1214" i="2"/>
  <c r="C1214" i="2"/>
  <c r="P1212" i="2"/>
  <c r="C1212" i="2"/>
  <c r="P1210" i="2"/>
  <c r="C1210" i="2"/>
  <c r="P1208" i="2"/>
  <c r="C1208" i="2"/>
  <c r="P1206" i="2"/>
  <c r="C1206" i="2"/>
  <c r="P1204" i="2"/>
  <c r="C1204" i="2"/>
  <c r="P1202" i="2"/>
  <c r="C1202" i="2"/>
  <c r="P1200" i="2"/>
  <c r="C1200" i="2"/>
  <c r="P1198" i="2"/>
  <c r="C1198" i="2"/>
  <c r="P1196" i="2"/>
  <c r="C1196" i="2"/>
  <c r="P1194" i="2"/>
  <c r="C1194" i="2"/>
  <c r="P1192" i="2"/>
  <c r="C1192" i="2"/>
  <c r="P1190" i="2"/>
  <c r="C1190" i="2"/>
  <c r="P1188" i="2"/>
  <c r="C1188" i="2"/>
  <c r="P1186" i="2"/>
  <c r="C1186" i="2"/>
  <c r="P1184" i="2"/>
  <c r="C1184" i="2"/>
  <c r="P1182" i="2"/>
  <c r="C1182" i="2"/>
  <c r="P1180" i="2"/>
  <c r="C1180" i="2"/>
  <c r="P1178" i="2"/>
  <c r="C1178" i="2"/>
  <c r="P1176" i="2"/>
  <c r="C1176" i="2"/>
  <c r="P1174" i="2"/>
  <c r="C1174" i="2"/>
  <c r="P1172" i="2"/>
  <c r="C1172" i="2"/>
  <c r="P1170" i="2"/>
  <c r="C1170" i="2"/>
  <c r="P1168" i="2"/>
  <c r="C1168" i="2"/>
  <c r="P1166" i="2"/>
  <c r="C1166" i="2"/>
  <c r="P1164" i="2"/>
  <c r="C1164" i="2"/>
  <c r="P1162" i="2"/>
  <c r="C1162" i="2"/>
  <c r="P1160" i="2"/>
  <c r="C1160" i="2"/>
  <c r="P1158" i="2"/>
  <c r="C1158" i="2"/>
  <c r="P1156" i="2"/>
  <c r="C1156" i="2"/>
  <c r="P1154" i="2"/>
  <c r="C1154" i="2"/>
  <c r="P1152" i="2"/>
  <c r="C1152" i="2"/>
  <c r="P1150" i="2"/>
  <c r="C1150" i="2"/>
  <c r="P1148" i="2"/>
  <c r="C1148" i="2"/>
  <c r="P1146" i="2"/>
  <c r="C1146" i="2"/>
  <c r="P1144" i="2"/>
  <c r="C1144" i="2"/>
  <c r="P1142" i="2"/>
  <c r="C1142" i="2"/>
  <c r="P1140" i="2"/>
  <c r="C1140" i="2"/>
  <c r="P1138" i="2"/>
  <c r="C1138" i="2"/>
  <c r="P1136" i="2"/>
  <c r="C1136" i="2"/>
  <c r="P1134" i="2"/>
  <c r="C1134" i="2"/>
  <c r="P1132" i="2"/>
  <c r="C1132" i="2"/>
  <c r="P1130" i="2"/>
  <c r="C1130" i="2"/>
  <c r="P1128" i="2"/>
  <c r="E1443" i="2"/>
  <c r="K1390" i="2"/>
  <c r="F1365" i="2"/>
  <c r="P1348" i="2"/>
  <c r="Q1337" i="2"/>
  <c r="D1327" i="2"/>
  <c r="M1316" i="2"/>
  <c r="G1310" i="2"/>
  <c r="R1303" i="2"/>
  <c r="P1298" i="2"/>
  <c r="D1294" i="2"/>
  <c r="N1289" i="2"/>
  <c r="S1285" i="2"/>
  <c r="P1282" i="2"/>
  <c r="R1279" i="2"/>
  <c r="T1276" i="2"/>
  <c r="D1274" i="2"/>
  <c r="J1271" i="2"/>
  <c r="Q1268" i="2"/>
  <c r="D1266" i="2"/>
  <c r="J1263" i="2"/>
  <c r="Q1260" i="2"/>
  <c r="D1258" i="2"/>
  <c r="J1255" i="2"/>
  <c r="Q1252" i="2"/>
  <c r="D1250" i="2"/>
  <c r="R1247" i="2"/>
  <c r="E1245" i="2"/>
  <c r="C1244" i="2"/>
  <c r="R1242" i="2"/>
  <c r="Q1241" i="2"/>
  <c r="Q1240" i="2"/>
  <c r="Q1239" i="2"/>
  <c r="S1238" i="2"/>
  <c r="C1238" i="2"/>
  <c r="D1237" i="2"/>
  <c r="F1236" i="2"/>
  <c r="J1234" i="2"/>
  <c r="M1233" i="2"/>
  <c r="Q1232" i="2"/>
  <c r="C1232" i="2"/>
  <c r="H1231" i="2"/>
  <c r="O1230" i="2"/>
  <c r="A1230" i="2"/>
  <c r="H1229" i="2"/>
  <c r="O1228" i="2"/>
  <c r="A1228" i="2"/>
  <c r="H1227" i="2"/>
  <c r="O1226" i="2"/>
  <c r="A1226" i="2"/>
  <c r="H1225" i="2"/>
  <c r="O1224" i="2"/>
  <c r="A1224" i="2"/>
  <c r="H1223" i="2"/>
  <c r="O1222" i="2"/>
  <c r="A1222" i="2"/>
  <c r="H1221" i="2"/>
  <c r="O1220" i="2"/>
  <c r="A1220" i="2"/>
  <c r="H1219" i="2"/>
  <c r="O1218" i="2"/>
  <c r="A1218" i="2"/>
  <c r="H1217" i="2"/>
  <c r="O1216" i="2"/>
  <c r="A1216" i="2"/>
  <c r="H1215" i="2"/>
  <c r="O1214" i="2"/>
  <c r="A1214" i="2"/>
  <c r="H1213" i="2"/>
  <c r="O1212" i="2"/>
  <c r="A1212" i="2"/>
  <c r="H1211" i="2"/>
  <c r="O1210" i="2"/>
  <c r="A1210" i="2"/>
  <c r="H1209" i="2"/>
  <c r="O1208" i="2"/>
  <c r="A1208" i="2"/>
  <c r="H1207" i="2"/>
  <c r="O1206" i="2"/>
  <c r="A1206" i="2"/>
  <c r="H1205" i="2"/>
  <c r="O1204" i="2"/>
  <c r="A1204" i="2"/>
  <c r="H1203" i="2"/>
  <c r="O1202" i="2"/>
  <c r="A1202" i="2"/>
  <c r="H1201" i="2"/>
  <c r="O1200" i="2"/>
  <c r="A1200" i="2"/>
  <c r="H1199" i="2"/>
  <c r="O1198" i="2"/>
  <c r="A1198" i="2"/>
  <c r="H1197" i="2"/>
  <c r="O1196" i="2"/>
  <c r="A1196" i="2"/>
  <c r="H1195" i="2"/>
  <c r="O1194" i="2"/>
  <c r="A1194" i="2"/>
  <c r="H1193" i="2"/>
  <c r="O1192" i="2"/>
  <c r="A1192" i="2"/>
  <c r="H1191" i="2"/>
  <c r="O1190" i="2"/>
  <c r="A1190" i="2"/>
  <c r="H1189" i="2"/>
  <c r="O1188" i="2"/>
  <c r="A1188" i="2"/>
  <c r="H1187" i="2"/>
  <c r="O1186" i="2"/>
  <c r="A1186" i="2"/>
  <c r="H1185" i="2"/>
  <c r="O1184" i="2"/>
  <c r="A1184" i="2"/>
  <c r="H1183" i="2"/>
  <c r="O1182" i="2"/>
  <c r="A1182" i="2"/>
  <c r="H1181" i="2"/>
  <c r="O1180" i="2"/>
  <c r="A1180" i="2"/>
  <c r="H1179" i="2"/>
  <c r="O1178" i="2"/>
  <c r="A1178" i="2"/>
  <c r="H1177" i="2"/>
  <c r="O1176" i="2"/>
  <c r="A1176" i="2"/>
  <c r="H1175" i="2"/>
  <c r="O1174" i="2"/>
  <c r="A1174" i="2"/>
  <c r="H1173" i="2"/>
  <c r="O1172" i="2"/>
  <c r="A1172" i="2"/>
  <c r="H1171" i="2"/>
  <c r="O1170" i="2"/>
  <c r="A1170" i="2"/>
  <c r="H1169" i="2"/>
  <c r="O1168" i="2"/>
  <c r="A1168" i="2"/>
  <c r="H1167" i="2"/>
  <c r="O1166" i="2"/>
  <c r="A1166" i="2"/>
  <c r="H1165" i="2"/>
  <c r="O1164" i="2"/>
  <c r="A1164" i="2"/>
  <c r="H1163" i="2"/>
  <c r="O1162" i="2"/>
  <c r="A1162" i="2"/>
  <c r="H1161" i="2"/>
  <c r="O1160" i="2"/>
  <c r="A1160" i="2"/>
  <c r="H1159" i="2"/>
  <c r="O1158" i="2"/>
  <c r="A1158" i="2"/>
  <c r="H1157" i="2"/>
  <c r="O1156" i="2"/>
  <c r="A1156" i="2"/>
  <c r="H1155" i="2"/>
  <c r="O1154" i="2"/>
  <c r="A1154" i="2"/>
  <c r="H1153" i="2"/>
  <c r="O1152" i="2"/>
  <c r="A1152" i="2"/>
  <c r="H1151" i="2"/>
  <c r="O1150" i="2"/>
  <c r="A1150" i="2"/>
  <c r="H1149" i="2"/>
  <c r="O1148" i="2"/>
  <c r="A1148" i="2"/>
  <c r="H1147" i="2"/>
  <c r="O1146" i="2"/>
  <c r="A1146" i="2"/>
  <c r="H1145" i="2"/>
  <c r="O1144" i="2"/>
  <c r="A1144" i="2"/>
  <c r="H1143" i="2"/>
  <c r="O1142" i="2"/>
  <c r="A1142" i="2"/>
  <c r="H1141" i="2"/>
  <c r="O1140" i="2"/>
  <c r="A1140" i="2"/>
  <c r="H1139" i="2"/>
  <c r="O1138" i="2"/>
  <c r="A1138" i="2"/>
  <c r="H1137" i="2"/>
  <c r="O1136" i="2"/>
  <c r="A1136" i="2"/>
  <c r="H1135" i="2"/>
  <c r="O1134" i="2"/>
  <c r="A1134" i="2"/>
  <c r="H1133" i="2"/>
  <c r="O1132" i="2"/>
  <c r="A1132" i="2"/>
  <c r="H1131" i="2"/>
  <c r="O1130" i="2"/>
  <c r="A1130" i="2"/>
  <c r="H1129" i="2"/>
  <c r="O1128" i="2"/>
  <c r="A1128" i="2"/>
  <c r="H1127" i="2"/>
  <c r="O1126" i="2"/>
  <c r="A1126" i="2"/>
  <c r="H1125" i="2"/>
  <c r="O1124" i="2"/>
  <c r="A1124" i="2"/>
  <c r="H1123" i="2"/>
  <c r="O1122" i="2"/>
  <c r="A1122" i="2"/>
  <c r="H1121" i="2"/>
  <c r="O1120" i="2"/>
  <c r="A1120" i="2"/>
  <c r="H1119" i="2"/>
  <c r="F1437" i="2"/>
  <c r="C1389" i="2"/>
  <c r="F1364" i="2"/>
  <c r="C1348" i="2"/>
  <c r="F1337" i="2"/>
  <c r="M1326" i="2"/>
  <c r="K1316" i="2"/>
  <c r="D1310" i="2"/>
  <c r="Q1303" i="2"/>
  <c r="M1298" i="2"/>
  <c r="C1294" i="2"/>
  <c r="K1289" i="2"/>
  <c r="R1285" i="2"/>
  <c r="O1282" i="2"/>
  <c r="Q1279" i="2"/>
  <c r="R1276" i="2"/>
  <c r="C1274" i="2"/>
  <c r="P1268" i="2"/>
  <c r="C1266" i="2"/>
  <c r="P1260" i="2"/>
  <c r="C1258" i="2"/>
  <c r="P1252" i="2"/>
  <c r="C1250" i="2"/>
  <c r="Q1247" i="2"/>
  <c r="E1246" i="2"/>
  <c r="D1245" i="2"/>
  <c r="A1244" i="2"/>
  <c r="Q1242" i="2"/>
  <c r="P1241" i="2"/>
  <c r="P1240" i="2"/>
  <c r="P1239" i="2"/>
  <c r="R1238" i="2"/>
  <c r="A1238" i="2"/>
  <c r="C1237" i="2"/>
  <c r="E1236" i="2"/>
  <c r="H1235" i="2"/>
  <c r="K1233" i="2"/>
  <c r="P1232" i="2"/>
  <c r="A1232" i="2"/>
  <c r="G1231" i="2"/>
  <c r="N1230" i="2"/>
  <c r="T1229" i="2"/>
  <c r="G1229" i="2"/>
  <c r="N1228" i="2"/>
  <c r="T1227" i="2"/>
  <c r="G1227" i="2"/>
  <c r="N1226" i="2"/>
  <c r="T1225" i="2"/>
  <c r="G1225" i="2"/>
  <c r="N1224" i="2"/>
  <c r="T1223" i="2"/>
  <c r="G1223" i="2"/>
  <c r="N1222" i="2"/>
  <c r="T1221" i="2"/>
  <c r="G1221" i="2"/>
  <c r="N1220" i="2"/>
  <c r="T1219" i="2"/>
  <c r="G1219" i="2"/>
  <c r="N1218" i="2"/>
  <c r="T1217" i="2"/>
  <c r="G1217" i="2"/>
  <c r="N1216" i="2"/>
  <c r="T1215" i="2"/>
  <c r="G1215" i="2"/>
  <c r="N1214" i="2"/>
  <c r="T1213" i="2"/>
  <c r="G1213" i="2"/>
  <c r="N1212" i="2"/>
  <c r="T1211" i="2"/>
  <c r="G1211" i="2"/>
  <c r="N1210" i="2"/>
  <c r="T1209" i="2"/>
  <c r="G1209" i="2"/>
  <c r="N1208" i="2"/>
  <c r="T1207" i="2"/>
  <c r="G1207" i="2"/>
  <c r="N1206" i="2"/>
  <c r="T1205" i="2"/>
  <c r="G1205" i="2"/>
  <c r="N1204" i="2"/>
  <c r="T1203" i="2"/>
  <c r="G1203" i="2"/>
  <c r="N1202" i="2"/>
  <c r="T1201" i="2"/>
  <c r="G1201" i="2"/>
  <c r="N1200" i="2"/>
  <c r="T1199" i="2"/>
  <c r="G1199" i="2"/>
  <c r="N1198" i="2"/>
  <c r="T1197" i="2"/>
  <c r="G1197" i="2"/>
  <c r="N1196" i="2"/>
  <c r="T1195" i="2"/>
  <c r="G1195" i="2"/>
  <c r="N1194" i="2"/>
  <c r="T1193" i="2"/>
  <c r="G1193" i="2"/>
  <c r="N1192" i="2"/>
  <c r="T1191" i="2"/>
  <c r="G1191" i="2"/>
  <c r="N1190" i="2"/>
  <c r="T1189" i="2"/>
  <c r="G1189" i="2"/>
  <c r="N1188" i="2"/>
  <c r="T1187" i="2"/>
  <c r="G1187" i="2"/>
  <c r="N1186" i="2"/>
  <c r="T1185" i="2"/>
  <c r="G1185" i="2"/>
  <c r="N1184" i="2"/>
  <c r="T1183" i="2"/>
  <c r="G1183" i="2"/>
  <c r="N1182" i="2"/>
  <c r="T1181" i="2"/>
  <c r="G1181" i="2"/>
  <c r="N1180" i="2"/>
  <c r="T1179" i="2"/>
  <c r="G1179" i="2"/>
  <c r="N1178" i="2"/>
  <c r="T1177" i="2"/>
  <c r="G1177" i="2"/>
  <c r="N1176" i="2"/>
  <c r="T1175" i="2"/>
  <c r="G1175" i="2"/>
  <c r="N1174" i="2"/>
  <c r="T1173" i="2"/>
  <c r="G1173" i="2"/>
  <c r="N1172" i="2"/>
  <c r="T1171" i="2"/>
  <c r="G1171" i="2"/>
  <c r="N1170" i="2"/>
  <c r="T1169" i="2"/>
  <c r="G1169" i="2"/>
  <c r="N1168" i="2"/>
  <c r="T1167" i="2"/>
  <c r="G1167" i="2"/>
  <c r="N1166" i="2"/>
  <c r="T1165" i="2"/>
  <c r="G1165" i="2"/>
  <c r="N1164" i="2"/>
  <c r="T1163" i="2"/>
  <c r="G1163" i="2"/>
  <c r="N1162" i="2"/>
  <c r="T1161" i="2"/>
  <c r="G1161" i="2"/>
  <c r="N1160" i="2"/>
  <c r="T1159" i="2"/>
  <c r="G1159" i="2"/>
  <c r="N1158" i="2"/>
  <c r="T1157" i="2"/>
  <c r="G1157" i="2"/>
  <c r="N1156" i="2"/>
  <c r="T1155" i="2"/>
  <c r="G1155" i="2"/>
  <c r="N1154" i="2"/>
  <c r="T1153" i="2"/>
  <c r="G1153" i="2"/>
  <c r="N1152" i="2"/>
  <c r="T1151" i="2"/>
  <c r="G1151" i="2"/>
  <c r="N1150" i="2"/>
  <c r="T1149" i="2"/>
  <c r="G1149" i="2"/>
  <c r="N1148" i="2"/>
  <c r="T1147" i="2"/>
  <c r="G1147" i="2"/>
  <c r="N1146" i="2"/>
  <c r="T1145" i="2"/>
  <c r="G1145" i="2"/>
  <c r="N1144" i="2"/>
  <c r="T1143" i="2"/>
  <c r="G1143" i="2"/>
  <c r="N1142" i="2"/>
  <c r="T1141" i="2"/>
  <c r="G1141" i="2"/>
  <c r="N1140" i="2"/>
  <c r="T1139" i="2"/>
  <c r="G1139" i="2"/>
  <c r="N1138" i="2"/>
  <c r="T1137" i="2"/>
  <c r="G1137" i="2"/>
  <c r="N1136" i="2"/>
  <c r="T1135" i="2"/>
  <c r="G1135" i="2"/>
  <c r="N1134" i="2"/>
  <c r="T1133" i="2"/>
  <c r="G1133" i="2"/>
  <c r="N1132" i="2"/>
  <c r="T1131" i="2"/>
  <c r="G1131" i="2"/>
  <c r="N1130" i="2"/>
  <c r="T1129" i="2"/>
  <c r="G1129" i="2"/>
  <c r="N1128" i="2"/>
  <c r="T1127" i="2"/>
  <c r="G1127" i="2"/>
  <c r="N1126" i="2"/>
  <c r="T1125" i="2"/>
  <c r="G1125" i="2"/>
  <c r="N1124" i="2"/>
  <c r="T1123" i="2"/>
  <c r="G1123" i="2"/>
  <c r="N1122" i="2"/>
  <c r="T1121" i="2"/>
  <c r="G1121" i="2"/>
  <c r="N1120" i="2"/>
  <c r="T1119" i="2"/>
  <c r="G1119" i="2"/>
  <c r="N1118" i="2"/>
  <c r="T1117" i="2"/>
  <c r="G1117" i="2"/>
  <c r="N1116" i="2"/>
  <c r="T1115" i="2"/>
  <c r="G1115" i="2"/>
  <c r="N1114" i="2"/>
  <c r="T1113" i="2"/>
  <c r="G1113" i="2"/>
  <c r="N1112" i="2"/>
  <c r="T1111" i="2"/>
  <c r="G1111" i="2"/>
  <c r="N1110" i="2"/>
  <c r="T1109" i="2"/>
  <c r="G1109" i="2"/>
  <c r="N1108" i="2"/>
  <c r="T1107" i="2"/>
  <c r="G1107" i="2"/>
  <c r="N1106" i="2"/>
  <c r="T1105" i="2"/>
  <c r="G1105" i="2"/>
  <c r="N1104" i="2"/>
  <c r="O1406" i="2"/>
  <c r="S1375" i="2"/>
  <c r="F1356" i="2"/>
  <c r="D1343" i="2"/>
  <c r="J1332" i="2"/>
  <c r="Q1321" i="2"/>
  <c r="J1313" i="2"/>
  <c r="D1307" i="2"/>
  <c r="D1301" i="2"/>
  <c r="J1296" i="2"/>
  <c r="R1291" i="2"/>
  <c r="P1287" i="2"/>
  <c r="H1284" i="2"/>
  <c r="G1281" i="2"/>
  <c r="J1275" i="2"/>
  <c r="Q1272" i="2"/>
  <c r="D1270" i="2"/>
  <c r="J1267" i="2"/>
  <c r="Q1264" i="2"/>
  <c r="D1262" i="2"/>
  <c r="J1259" i="2"/>
  <c r="Q1256" i="2"/>
  <c r="D1254" i="2"/>
  <c r="J1251" i="2"/>
  <c r="Q1248" i="2"/>
  <c r="D1247" i="2"/>
  <c r="Q1245" i="2"/>
  <c r="O1244" i="2"/>
  <c r="J1243" i="2"/>
  <c r="H1241" i="2"/>
  <c r="G1240" i="2"/>
  <c r="J1238" i="2"/>
  <c r="M1237" i="2"/>
  <c r="P1236" i="2"/>
  <c r="Q1235" i="2"/>
  <c r="S1234" i="2"/>
  <c r="C1234" i="2"/>
  <c r="D1233" i="2"/>
  <c r="O1231" i="2"/>
  <c r="A1231" i="2"/>
  <c r="H1230" i="2"/>
  <c r="O1229" i="2"/>
  <c r="A1229" i="2"/>
  <c r="H1228" i="2"/>
  <c r="O1227" i="2"/>
  <c r="A1227" i="2"/>
  <c r="H1226" i="2"/>
  <c r="O1225" i="2"/>
  <c r="A1225" i="2"/>
  <c r="H1224" i="2"/>
  <c r="O1223" i="2"/>
  <c r="A1223" i="2"/>
  <c r="H1222" i="2"/>
  <c r="O1221" i="2"/>
  <c r="A1221" i="2"/>
  <c r="H1220" i="2"/>
  <c r="O1219" i="2"/>
  <c r="A1219" i="2"/>
  <c r="H1218" i="2"/>
  <c r="O1217" i="2"/>
  <c r="A1217" i="2"/>
  <c r="H1216" i="2"/>
  <c r="O1215" i="2"/>
  <c r="A1215" i="2"/>
  <c r="H1214" i="2"/>
  <c r="O1213" i="2"/>
  <c r="A1213" i="2"/>
  <c r="H1212" i="2"/>
  <c r="O1211" i="2"/>
  <c r="A1211" i="2"/>
  <c r="H1210" i="2"/>
  <c r="O1209" i="2"/>
  <c r="A1209" i="2"/>
  <c r="H1208" i="2"/>
  <c r="O1207" i="2"/>
  <c r="A1207" i="2"/>
  <c r="H1206" i="2"/>
  <c r="O1205" i="2"/>
  <c r="A1205" i="2"/>
  <c r="H1204" i="2"/>
  <c r="O1203" i="2"/>
  <c r="A1203" i="2"/>
  <c r="H1202" i="2"/>
  <c r="O1201" i="2"/>
  <c r="A1201" i="2"/>
  <c r="H1200" i="2"/>
  <c r="O1199" i="2"/>
  <c r="A1199" i="2"/>
  <c r="H1198" i="2"/>
  <c r="O1197" i="2"/>
  <c r="A1197" i="2"/>
  <c r="H1196" i="2"/>
  <c r="O1195" i="2"/>
  <c r="A1195" i="2"/>
  <c r="H1194" i="2"/>
  <c r="O1193" i="2"/>
  <c r="A1193" i="2"/>
  <c r="H1192" i="2"/>
  <c r="O1191" i="2"/>
  <c r="A1191" i="2"/>
  <c r="H1190" i="2"/>
  <c r="O1189" i="2"/>
  <c r="A1189" i="2"/>
  <c r="H1188" i="2"/>
  <c r="O1187" i="2"/>
  <c r="A1187" i="2"/>
  <c r="H1186" i="2"/>
  <c r="O1185" i="2"/>
  <c r="A1185" i="2"/>
  <c r="H1184" i="2"/>
  <c r="O1183" i="2"/>
  <c r="A1183" i="2"/>
  <c r="H1182" i="2"/>
  <c r="O1181" i="2"/>
  <c r="A1181" i="2"/>
  <c r="H1180" i="2"/>
  <c r="O1179" i="2"/>
  <c r="A1179" i="2"/>
  <c r="H1178" i="2"/>
  <c r="O1177" i="2"/>
  <c r="A1177" i="2"/>
  <c r="H1176" i="2"/>
  <c r="O1175" i="2"/>
  <c r="A1175" i="2"/>
  <c r="H1174" i="2"/>
  <c r="O1173" i="2"/>
  <c r="A1173" i="2"/>
  <c r="H1172" i="2"/>
  <c r="O1171" i="2"/>
  <c r="A1171" i="2"/>
  <c r="H1170" i="2"/>
  <c r="O1169" i="2"/>
  <c r="A1169" i="2"/>
  <c r="H1168" i="2"/>
  <c r="O1167" i="2"/>
  <c r="A1167" i="2"/>
  <c r="H1166" i="2"/>
  <c r="O1165" i="2"/>
  <c r="A1165" i="2"/>
  <c r="H1164" i="2"/>
  <c r="O1163" i="2"/>
  <c r="A1163" i="2"/>
  <c r="H1162" i="2"/>
  <c r="O1161" i="2"/>
  <c r="A1161" i="2"/>
  <c r="H1160" i="2"/>
  <c r="O1159" i="2"/>
  <c r="A1159" i="2"/>
  <c r="H1158" i="2"/>
  <c r="O1157" i="2"/>
  <c r="A1157" i="2"/>
  <c r="H1156" i="2"/>
  <c r="O1155" i="2"/>
  <c r="A1155" i="2"/>
  <c r="H1154" i="2"/>
  <c r="O1153" i="2"/>
  <c r="A1153" i="2"/>
  <c r="H1152" i="2"/>
  <c r="O1151" i="2"/>
  <c r="A1151" i="2"/>
  <c r="H1150" i="2"/>
  <c r="O1149" i="2"/>
  <c r="A1149" i="2"/>
  <c r="H1148" i="2"/>
  <c r="O1147" i="2"/>
  <c r="A1147" i="2"/>
  <c r="H1146" i="2"/>
  <c r="O1145" i="2"/>
  <c r="A1145" i="2"/>
  <c r="H1144" i="2"/>
  <c r="O1143" i="2"/>
  <c r="A1143" i="2"/>
  <c r="H1142" i="2"/>
  <c r="O1141" i="2"/>
  <c r="A1141" i="2"/>
  <c r="H1140" i="2"/>
  <c r="O1139" i="2"/>
  <c r="A1139" i="2"/>
  <c r="H1138" i="2"/>
  <c r="O1137" i="2"/>
  <c r="A1137" i="2"/>
  <c r="H1136" i="2"/>
  <c r="O1135" i="2"/>
  <c r="A1135" i="2"/>
  <c r="H1134" i="2"/>
  <c r="O1133" i="2"/>
  <c r="A1133" i="2"/>
  <c r="H1132" i="2"/>
  <c r="O1131" i="2"/>
  <c r="A1131" i="2"/>
  <c r="H1130" i="2"/>
  <c r="O1129" i="2"/>
  <c r="A1129" i="2"/>
  <c r="H1128" i="2"/>
  <c r="O1127" i="2"/>
  <c r="A1127" i="2"/>
  <c r="H1126" i="2"/>
  <c r="O1125" i="2"/>
  <c r="A1125" i="2"/>
  <c r="H1124" i="2"/>
  <c r="O1123" i="2"/>
  <c r="A1123" i="2"/>
  <c r="H1122" i="2"/>
  <c r="O1121" i="2"/>
  <c r="A1121" i="2"/>
  <c r="H1120" i="2"/>
  <c r="O1119" i="2"/>
  <c r="A1119" i="2"/>
  <c r="H1118" i="2"/>
  <c r="O1117" i="2"/>
  <c r="A1117" i="2"/>
  <c r="H1116" i="2"/>
  <c r="O1115" i="2"/>
  <c r="A1115" i="2"/>
  <c r="H1114" i="2"/>
  <c r="O1113" i="2"/>
  <c r="A1113" i="2"/>
  <c r="H1112" i="2"/>
  <c r="O1111" i="2"/>
  <c r="A1111" i="2"/>
  <c r="H1110" i="2"/>
  <c r="O1109" i="2"/>
  <c r="A1109" i="2"/>
  <c r="H1108" i="2"/>
  <c r="O1107" i="2"/>
  <c r="A1107" i="2"/>
  <c r="H1106" i="2"/>
  <c r="O1105" i="2"/>
  <c r="A1105" i="2"/>
  <c r="H1104" i="2"/>
  <c r="O1103" i="2"/>
  <c r="A1103" i="2"/>
  <c r="H1102" i="2"/>
  <c r="O1101" i="2"/>
  <c r="A1101" i="2"/>
  <c r="H1100" i="2"/>
  <c r="O1099" i="2"/>
  <c r="A1099" i="2"/>
  <c r="H1098" i="2"/>
  <c r="O1097" i="2"/>
  <c r="A1097" i="2"/>
  <c r="H1096" i="2"/>
  <c r="O1095" i="2"/>
  <c r="A1095" i="2"/>
  <c r="H1094" i="2"/>
  <c r="O1093" i="2"/>
  <c r="A1093" i="2"/>
  <c r="H1092" i="2"/>
  <c r="O1091" i="2"/>
  <c r="A1091" i="2"/>
  <c r="H1090" i="2"/>
  <c r="D1405" i="2"/>
  <c r="S1374" i="2"/>
  <c r="M1342" i="2"/>
  <c r="S1331" i="2"/>
  <c r="F1321" i="2"/>
  <c r="F1313" i="2"/>
  <c r="T1306" i="2"/>
  <c r="T1300" i="2"/>
  <c r="G1296" i="2"/>
  <c r="Q1291" i="2"/>
  <c r="N1287" i="2"/>
  <c r="G1284" i="2"/>
  <c r="F1281" i="2"/>
  <c r="H1278" i="2"/>
  <c r="P1272" i="2"/>
  <c r="C1270" i="2"/>
  <c r="P1264" i="2"/>
  <c r="C1262" i="2"/>
  <c r="P1256" i="2"/>
  <c r="C1254" i="2"/>
  <c r="P1248" i="2"/>
  <c r="R1246" i="2"/>
  <c r="P1245" i="2"/>
  <c r="K1244" i="2"/>
  <c r="E1242" i="2"/>
  <c r="E1241" i="2"/>
  <c r="E1240" i="2"/>
  <c r="H1239" i="2"/>
  <c r="K1237" i="2"/>
  <c r="O1236" i="2"/>
  <c r="P1235" i="2"/>
  <c r="R1234" i="2"/>
  <c r="A1234" i="2"/>
  <c r="C1233" i="2"/>
  <c r="H1232" i="2"/>
  <c r="N1231" i="2"/>
  <c r="T1230" i="2"/>
  <c r="G1230" i="2"/>
  <c r="N1229" i="2"/>
  <c r="T1228" i="2"/>
  <c r="G1228" i="2"/>
  <c r="N1227" i="2"/>
  <c r="T1226" i="2"/>
  <c r="G1226" i="2"/>
  <c r="N1225" i="2"/>
  <c r="T1224" i="2"/>
  <c r="G1224" i="2"/>
  <c r="N1223" i="2"/>
  <c r="T1222" i="2"/>
  <c r="G1222" i="2"/>
  <c r="N1221" i="2"/>
  <c r="T1220" i="2"/>
  <c r="G1220" i="2"/>
  <c r="N1219" i="2"/>
  <c r="T1218" i="2"/>
  <c r="G1218" i="2"/>
  <c r="N1217" i="2"/>
  <c r="T1216" i="2"/>
  <c r="G1216" i="2"/>
  <c r="N1215" i="2"/>
  <c r="T1214" i="2"/>
  <c r="G1214" i="2"/>
  <c r="N1213" i="2"/>
  <c r="T1212" i="2"/>
  <c r="G1212" i="2"/>
  <c r="N1211" i="2"/>
  <c r="T1210" i="2"/>
  <c r="G1210" i="2"/>
  <c r="N1209" i="2"/>
  <c r="T1208" i="2"/>
  <c r="G1208" i="2"/>
  <c r="N1207" i="2"/>
  <c r="T1206" i="2"/>
  <c r="G1206" i="2"/>
  <c r="N1205" i="2"/>
  <c r="T1204" i="2"/>
  <c r="G1204" i="2"/>
  <c r="N1203" i="2"/>
  <c r="T1202" i="2"/>
  <c r="G1202" i="2"/>
  <c r="N1201" i="2"/>
  <c r="T1200" i="2"/>
  <c r="G1200" i="2"/>
  <c r="N1199" i="2"/>
  <c r="T1198" i="2"/>
  <c r="G1198" i="2"/>
  <c r="N1197" i="2"/>
  <c r="T1196" i="2"/>
  <c r="G1196" i="2"/>
  <c r="N1195" i="2"/>
  <c r="T1194" i="2"/>
  <c r="G1194" i="2"/>
  <c r="N1193" i="2"/>
  <c r="T1192" i="2"/>
  <c r="G1192" i="2"/>
  <c r="N1191" i="2"/>
  <c r="T1190" i="2"/>
  <c r="G1190" i="2"/>
  <c r="N1189" i="2"/>
  <c r="T1188" i="2"/>
  <c r="G1188" i="2"/>
  <c r="N1187" i="2"/>
  <c r="T1186" i="2"/>
  <c r="G1186" i="2"/>
  <c r="N1185" i="2"/>
  <c r="T1184" i="2"/>
  <c r="G1184" i="2"/>
  <c r="N1183" i="2"/>
  <c r="T1182" i="2"/>
  <c r="G1182" i="2"/>
  <c r="N1181" i="2"/>
  <c r="T1180" i="2"/>
  <c r="G1180" i="2"/>
  <c r="N1179" i="2"/>
  <c r="T1178" i="2"/>
  <c r="G1178" i="2"/>
  <c r="N1177" i="2"/>
  <c r="T1176" i="2"/>
  <c r="G1176" i="2"/>
  <c r="N1175" i="2"/>
  <c r="T1174" i="2"/>
  <c r="G1174" i="2"/>
  <c r="N1173" i="2"/>
  <c r="T1172" i="2"/>
  <c r="G1172" i="2"/>
  <c r="N1171" i="2"/>
  <c r="T1170" i="2"/>
  <c r="G1170" i="2"/>
  <c r="N1169" i="2"/>
  <c r="T1168" i="2"/>
  <c r="G1168" i="2"/>
  <c r="N1167" i="2"/>
  <c r="T1166" i="2"/>
  <c r="G1166" i="2"/>
  <c r="N1165" i="2"/>
  <c r="T1164" i="2"/>
  <c r="G1164" i="2"/>
  <c r="N1163" i="2"/>
  <c r="T1162" i="2"/>
  <c r="G1162" i="2"/>
  <c r="N1161" i="2"/>
  <c r="T1160" i="2"/>
  <c r="G1160" i="2"/>
  <c r="N1159" i="2"/>
  <c r="T1158" i="2"/>
  <c r="G1158" i="2"/>
  <c r="N1157" i="2"/>
  <c r="T1156" i="2"/>
  <c r="G1156" i="2"/>
  <c r="N1155" i="2"/>
  <c r="T1154" i="2"/>
  <c r="G1154" i="2"/>
  <c r="N1153" i="2"/>
  <c r="T1152" i="2"/>
  <c r="G1152" i="2"/>
  <c r="N1151" i="2"/>
  <c r="T1150" i="2"/>
  <c r="G1150" i="2"/>
  <c r="N1149" i="2"/>
  <c r="T1148" i="2"/>
  <c r="G1148" i="2"/>
  <c r="N1147" i="2"/>
  <c r="T1146" i="2"/>
  <c r="G1146" i="2"/>
  <c r="N1145" i="2"/>
  <c r="T1144" i="2"/>
  <c r="G1144" i="2"/>
  <c r="N1143" i="2"/>
  <c r="T1142" i="2"/>
  <c r="G1142" i="2"/>
  <c r="N1141" i="2"/>
  <c r="T1140" i="2"/>
  <c r="G1140" i="2"/>
  <c r="N1139" i="2"/>
  <c r="T1138" i="2"/>
  <c r="G1138" i="2"/>
  <c r="N1137" i="2"/>
  <c r="T1136" i="2"/>
  <c r="G1136" i="2"/>
  <c r="N1135" i="2"/>
  <c r="T1134" i="2"/>
  <c r="G1134" i="2"/>
  <c r="N1133" i="2"/>
  <c r="T1132" i="2"/>
  <c r="G1132" i="2"/>
  <c r="N1131" i="2"/>
  <c r="T1130" i="2"/>
  <c r="G1130" i="2"/>
  <c r="N1129" i="2"/>
  <c r="T1128" i="2"/>
  <c r="G1128" i="2"/>
  <c r="N1127" i="2"/>
  <c r="T1126" i="2"/>
  <c r="G1126" i="2"/>
  <c r="N1125" i="2"/>
  <c r="T1124" i="2"/>
  <c r="G1124" i="2"/>
  <c r="N1123" i="2"/>
  <c r="T1122" i="2"/>
  <c r="G1122" i="2"/>
  <c r="N1121" i="2"/>
  <c r="T1120" i="2"/>
  <c r="G1120" i="2"/>
  <c r="N1119" i="2"/>
  <c r="T1118" i="2"/>
  <c r="G1118" i="2"/>
  <c r="N1117" i="2"/>
  <c r="T1116" i="2"/>
  <c r="G1116" i="2"/>
  <c r="N1115" i="2"/>
  <c r="T1114" i="2"/>
  <c r="G1114" i="2"/>
  <c r="N1113" i="2"/>
  <c r="T1112" i="2"/>
  <c r="G1112" i="2"/>
  <c r="N1111" i="2"/>
  <c r="T1110" i="2"/>
  <c r="G1110" i="2"/>
  <c r="N1109" i="2"/>
  <c r="T1108" i="2"/>
  <c r="G1108" i="2"/>
  <c r="N1107" i="2"/>
  <c r="T1106" i="2"/>
  <c r="G1106" i="2"/>
  <c r="N1105" i="2"/>
  <c r="T1104" i="2"/>
  <c r="G1104" i="2"/>
  <c r="N1103" i="2"/>
  <c r="T1102" i="2"/>
  <c r="G1102" i="2"/>
  <c r="N1101" i="2"/>
  <c r="T1100" i="2"/>
  <c r="G1100" i="2"/>
  <c r="N1099" i="2"/>
  <c r="T1098" i="2"/>
  <c r="G1098" i="2"/>
  <c r="N1097" i="2"/>
  <c r="T1096" i="2"/>
  <c r="G1096" i="2"/>
  <c r="N1095" i="2"/>
  <c r="T1094" i="2"/>
  <c r="G1094" i="2"/>
  <c r="N1093" i="2"/>
  <c r="T1092" i="2"/>
  <c r="G1092" i="2"/>
  <c r="N1091" i="2"/>
  <c r="T1090" i="2"/>
  <c r="G1090" i="2"/>
  <c r="E1416" i="2"/>
  <c r="R1345" i="2"/>
  <c r="E1315" i="2"/>
  <c r="N1297" i="2"/>
  <c r="E1285" i="2"/>
  <c r="G1276" i="2"/>
  <c r="E1268" i="2"/>
  <c r="E1260" i="2"/>
  <c r="E1252" i="2"/>
  <c r="D1246" i="2"/>
  <c r="P1242" i="2"/>
  <c r="N1239" i="2"/>
  <c r="T1236" i="2"/>
  <c r="G1234" i="2"/>
  <c r="T1231" i="2"/>
  <c r="S1229" i="2"/>
  <c r="S1227" i="2"/>
  <c r="S1225" i="2"/>
  <c r="S1223" i="2"/>
  <c r="S1221" i="2"/>
  <c r="S1219" i="2"/>
  <c r="S1217" i="2"/>
  <c r="S1215" i="2"/>
  <c r="S1213" i="2"/>
  <c r="S1211" i="2"/>
  <c r="S1209" i="2"/>
  <c r="S1207" i="2"/>
  <c r="S1205" i="2"/>
  <c r="S1203" i="2"/>
  <c r="S1201" i="2"/>
  <c r="S1199" i="2"/>
  <c r="S1197" i="2"/>
  <c r="S1195" i="2"/>
  <c r="S1193" i="2"/>
  <c r="S1191" i="2"/>
  <c r="S1189" i="2"/>
  <c r="S1187" i="2"/>
  <c r="S1185" i="2"/>
  <c r="S1183" i="2"/>
  <c r="S1181" i="2"/>
  <c r="S1179" i="2"/>
  <c r="S1177" i="2"/>
  <c r="S1175" i="2"/>
  <c r="S1173" i="2"/>
  <c r="S1171" i="2"/>
  <c r="S1169" i="2"/>
  <c r="S1167" i="2"/>
  <c r="S1165" i="2"/>
  <c r="S1163" i="2"/>
  <c r="S1161" i="2"/>
  <c r="S1159" i="2"/>
  <c r="S1157" i="2"/>
  <c r="S1155" i="2"/>
  <c r="S1153" i="2"/>
  <c r="S1151" i="2"/>
  <c r="S1149" i="2"/>
  <c r="S1147" i="2"/>
  <c r="S1145" i="2"/>
  <c r="S1143" i="2"/>
  <c r="S1141" i="2"/>
  <c r="S1139" i="2"/>
  <c r="S1137" i="2"/>
  <c r="S1135" i="2"/>
  <c r="S1133" i="2"/>
  <c r="S1131" i="2"/>
  <c r="S1129" i="2"/>
  <c r="C1127" i="2"/>
  <c r="P1125" i="2"/>
  <c r="E1123" i="2"/>
  <c r="C1122" i="2"/>
  <c r="S1120" i="2"/>
  <c r="Q1119" i="2"/>
  <c r="O1118" i="2"/>
  <c r="P1117" i="2"/>
  <c r="O1116" i="2"/>
  <c r="P1115" i="2"/>
  <c r="O1114" i="2"/>
  <c r="Q1113" i="2"/>
  <c r="R1112" i="2"/>
  <c r="A1112" i="2"/>
  <c r="D1111" i="2"/>
  <c r="E1110" i="2"/>
  <c r="H1109" i="2"/>
  <c r="J1108" i="2"/>
  <c r="K1107" i="2"/>
  <c r="O1106" i="2"/>
  <c r="Q1105" i="2"/>
  <c r="R1104" i="2"/>
  <c r="A1104" i="2"/>
  <c r="F1103" i="2"/>
  <c r="J1102" i="2"/>
  <c r="M1101" i="2"/>
  <c r="Q1100" i="2"/>
  <c r="A1100" i="2"/>
  <c r="F1099" i="2"/>
  <c r="J1098" i="2"/>
  <c r="M1097" i="2"/>
  <c r="Q1096" i="2"/>
  <c r="A1096" i="2"/>
  <c r="F1095" i="2"/>
  <c r="J1094" i="2"/>
  <c r="M1093" i="2"/>
  <c r="Q1092" i="2"/>
  <c r="A1092" i="2"/>
  <c r="F1091" i="2"/>
  <c r="J1090" i="2"/>
  <c r="O1089" i="2"/>
  <c r="A1089" i="2"/>
  <c r="H1088" i="2"/>
  <c r="O1087" i="2"/>
  <c r="A1087" i="2"/>
  <c r="H1086" i="2"/>
  <c r="O1085" i="2"/>
  <c r="A1085" i="2"/>
  <c r="H1084" i="2"/>
  <c r="O1083" i="2"/>
  <c r="A1083" i="2"/>
  <c r="H1082" i="2"/>
  <c r="O1081" i="2"/>
  <c r="A1081" i="2"/>
  <c r="H1080" i="2"/>
  <c r="O1079" i="2"/>
  <c r="A1079" i="2"/>
  <c r="H1078" i="2"/>
  <c r="O1077" i="2"/>
  <c r="A1077" i="2"/>
  <c r="H1076" i="2"/>
  <c r="O1075" i="2"/>
  <c r="A1075" i="2"/>
  <c r="H1074" i="2"/>
  <c r="O1073" i="2"/>
  <c r="A1073" i="2"/>
  <c r="H1072" i="2"/>
  <c r="O1071" i="2"/>
  <c r="A1071" i="2"/>
  <c r="H1070" i="2"/>
  <c r="O1069" i="2"/>
  <c r="A1069" i="2"/>
  <c r="H1068" i="2"/>
  <c r="O1067" i="2"/>
  <c r="A1067" i="2"/>
  <c r="H1066" i="2"/>
  <c r="O1065" i="2"/>
  <c r="A1065" i="2"/>
  <c r="H1064" i="2"/>
  <c r="O1063" i="2"/>
  <c r="A1063" i="2"/>
  <c r="H1062" i="2"/>
  <c r="O1061" i="2"/>
  <c r="A1061" i="2"/>
  <c r="H1060" i="2"/>
  <c r="O1059" i="2"/>
  <c r="A1059" i="2"/>
  <c r="H1058" i="2"/>
  <c r="O1057" i="2"/>
  <c r="A1057" i="2"/>
  <c r="H1056" i="2"/>
  <c r="O1055" i="2"/>
  <c r="A1055" i="2"/>
  <c r="H1054" i="2"/>
  <c r="O1053" i="2"/>
  <c r="A1053" i="2"/>
  <c r="H1052" i="2"/>
  <c r="O1051" i="2"/>
  <c r="A1051" i="2"/>
  <c r="H1050" i="2"/>
  <c r="O1049" i="2"/>
  <c r="A1049" i="2"/>
  <c r="H1048" i="2"/>
  <c r="O1047" i="2"/>
  <c r="A1047" i="2"/>
  <c r="H1046" i="2"/>
  <c r="O1045" i="2"/>
  <c r="A1045" i="2"/>
  <c r="H1044" i="2"/>
  <c r="O1043" i="2"/>
  <c r="A1043" i="2"/>
  <c r="H1042" i="2"/>
  <c r="O1041" i="2"/>
  <c r="A1041" i="2"/>
  <c r="H1040" i="2"/>
  <c r="D1416" i="2"/>
  <c r="Q1345" i="2"/>
  <c r="D1315" i="2"/>
  <c r="K1297" i="2"/>
  <c r="D1285" i="2"/>
  <c r="E1276" i="2"/>
  <c r="D1268" i="2"/>
  <c r="D1260" i="2"/>
  <c r="D1252" i="2"/>
  <c r="C1246" i="2"/>
  <c r="O1242" i="2"/>
  <c r="M1239" i="2"/>
  <c r="S1236" i="2"/>
  <c r="F1234" i="2"/>
  <c r="R1231" i="2"/>
  <c r="R1229" i="2"/>
  <c r="R1227" i="2"/>
  <c r="R1225" i="2"/>
  <c r="R1223" i="2"/>
  <c r="R1221" i="2"/>
  <c r="R1219" i="2"/>
  <c r="R1217" i="2"/>
  <c r="R1215" i="2"/>
  <c r="R1213" i="2"/>
  <c r="R1211" i="2"/>
  <c r="R1209" i="2"/>
  <c r="R1207" i="2"/>
  <c r="R1205" i="2"/>
  <c r="R1203" i="2"/>
  <c r="R1201" i="2"/>
  <c r="R1199" i="2"/>
  <c r="R1197" i="2"/>
  <c r="R1195" i="2"/>
  <c r="R1193" i="2"/>
  <c r="R1191" i="2"/>
  <c r="R1189" i="2"/>
  <c r="R1187" i="2"/>
  <c r="R1185" i="2"/>
  <c r="R1183" i="2"/>
  <c r="R1181" i="2"/>
  <c r="R1179" i="2"/>
  <c r="R1177" i="2"/>
  <c r="R1175" i="2"/>
  <c r="R1173" i="2"/>
  <c r="R1171" i="2"/>
  <c r="R1169" i="2"/>
  <c r="R1167" i="2"/>
  <c r="R1165" i="2"/>
  <c r="R1163" i="2"/>
  <c r="R1161" i="2"/>
  <c r="R1159" i="2"/>
  <c r="R1157" i="2"/>
  <c r="R1155" i="2"/>
  <c r="R1153" i="2"/>
  <c r="R1151" i="2"/>
  <c r="R1149" i="2"/>
  <c r="R1147" i="2"/>
  <c r="R1145" i="2"/>
  <c r="R1143" i="2"/>
  <c r="R1141" i="2"/>
  <c r="R1139" i="2"/>
  <c r="R1137" i="2"/>
  <c r="R1135" i="2"/>
  <c r="R1133" i="2"/>
  <c r="R1131" i="2"/>
  <c r="R1129" i="2"/>
  <c r="F1128" i="2"/>
  <c r="S1126" i="2"/>
  <c r="M1125" i="2"/>
  <c r="F1124" i="2"/>
  <c r="D1123" i="2"/>
  <c r="S1121" i="2"/>
  <c r="Q1120" i="2"/>
  <c r="P1119" i="2"/>
  <c r="M1118" i="2"/>
  <c r="M1117" i="2"/>
  <c r="M1116" i="2"/>
  <c r="M1115" i="2"/>
  <c r="M1114" i="2"/>
  <c r="P1113" i="2"/>
  <c r="Q1112" i="2"/>
  <c r="S1111" i="2"/>
  <c r="C1111" i="2"/>
  <c r="D1110" i="2"/>
  <c r="F1109" i="2"/>
  <c r="J1107" i="2"/>
  <c r="M1106" i="2"/>
  <c r="P1105" i="2"/>
  <c r="Q1104" i="2"/>
  <c r="T1103" i="2"/>
  <c r="E1103" i="2"/>
  <c r="K1101" i="2"/>
  <c r="P1100" i="2"/>
  <c r="T1099" i="2"/>
  <c r="E1099" i="2"/>
  <c r="K1097" i="2"/>
  <c r="P1096" i="2"/>
  <c r="T1095" i="2"/>
  <c r="E1095" i="2"/>
  <c r="K1093" i="2"/>
  <c r="P1092" i="2"/>
  <c r="T1091" i="2"/>
  <c r="E1091" i="2"/>
  <c r="N1089" i="2"/>
  <c r="T1088" i="2"/>
  <c r="G1088" i="2"/>
  <c r="N1087" i="2"/>
  <c r="T1086" i="2"/>
  <c r="G1086" i="2"/>
  <c r="N1085" i="2"/>
  <c r="T1084" i="2"/>
  <c r="G1084" i="2"/>
  <c r="N1083" i="2"/>
  <c r="T1082" i="2"/>
  <c r="G1082" i="2"/>
  <c r="N1081" i="2"/>
  <c r="T1080" i="2"/>
  <c r="G1080" i="2"/>
  <c r="N1079" i="2"/>
  <c r="T1078" i="2"/>
  <c r="G1078" i="2"/>
  <c r="N1077" i="2"/>
  <c r="T1076" i="2"/>
  <c r="G1076" i="2"/>
  <c r="N1075" i="2"/>
  <c r="T1074" i="2"/>
  <c r="G1074" i="2"/>
  <c r="N1073" i="2"/>
  <c r="T1072" i="2"/>
  <c r="G1072" i="2"/>
  <c r="N1071" i="2"/>
  <c r="T1070" i="2"/>
  <c r="G1070" i="2"/>
  <c r="N1069" i="2"/>
  <c r="T1068" i="2"/>
  <c r="G1068" i="2"/>
  <c r="N1067" i="2"/>
  <c r="T1066" i="2"/>
  <c r="G1066" i="2"/>
  <c r="N1065" i="2"/>
  <c r="T1064" i="2"/>
  <c r="G1064" i="2"/>
  <c r="N1063" i="2"/>
  <c r="T1062" i="2"/>
  <c r="G1062" i="2"/>
  <c r="N1061" i="2"/>
  <c r="T1060" i="2"/>
  <c r="G1060" i="2"/>
  <c r="N1059" i="2"/>
  <c r="T1058" i="2"/>
  <c r="G1058" i="2"/>
  <c r="N1057" i="2"/>
  <c r="T1056" i="2"/>
  <c r="G1056" i="2"/>
  <c r="N1055" i="2"/>
  <c r="T1054" i="2"/>
  <c r="G1054" i="2"/>
  <c r="N1053" i="2"/>
  <c r="T1052" i="2"/>
  <c r="G1052" i="2"/>
  <c r="N1051" i="2"/>
  <c r="T1050" i="2"/>
  <c r="G1050" i="2"/>
  <c r="N1049" i="2"/>
  <c r="T1048" i="2"/>
  <c r="G1048" i="2"/>
  <c r="N1047" i="2"/>
  <c r="T1046" i="2"/>
  <c r="G1046" i="2"/>
  <c r="N1045" i="2"/>
  <c r="T1044" i="2"/>
  <c r="G1044" i="2"/>
  <c r="N1043" i="2"/>
  <c r="T1042" i="2"/>
  <c r="G1042" i="2"/>
  <c r="N1041" i="2"/>
  <c r="T1040" i="2"/>
  <c r="G1040" i="2"/>
  <c r="N1039" i="2"/>
  <c r="T1038" i="2"/>
  <c r="G1038" i="2"/>
  <c r="N1037" i="2"/>
  <c r="T1036" i="2"/>
  <c r="G1036" i="2"/>
  <c r="N1035" i="2"/>
  <c r="T1034" i="2"/>
  <c r="G1034" i="2"/>
  <c r="N1033" i="2"/>
  <c r="T1032" i="2"/>
  <c r="G1032" i="2"/>
  <c r="N1031" i="2"/>
  <c r="T1030" i="2"/>
  <c r="G1030" i="2"/>
  <c r="N1029" i="2"/>
  <c r="T1028" i="2"/>
  <c r="G1028" i="2"/>
  <c r="N1027" i="2"/>
  <c r="T1026" i="2"/>
  <c r="G1026" i="2"/>
  <c r="N1025" i="2"/>
  <c r="T1024" i="2"/>
  <c r="G1024" i="2"/>
  <c r="N1023" i="2"/>
  <c r="T1022" i="2"/>
  <c r="G1022" i="2"/>
  <c r="N1021" i="2"/>
  <c r="T1020" i="2"/>
  <c r="G1020" i="2"/>
  <c r="N1019" i="2"/>
  <c r="T1018" i="2"/>
  <c r="G1018" i="2"/>
  <c r="N1017" i="2"/>
  <c r="T1016" i="2"/>
  <c r="G1016" i="2"/>
  <c r="N1015" i="2"/>
  <c r="T1014" i="2"/>
  <c r="G1014" i="2"/>
  <c r="N1013" i="2"/>
  <c r="T1012" i="2"/>
  <c r="G1012" i="2"/>
  <c r="N1011" i="2"/>
  <c r="T1010" i="2"/>
  <c r="G1010" i="2"/>
  <c r="N1009" i="2"/>
  <c r="T1008" i="2"/>
  <c r="G1008" i="2"/>
  <c r="N1007" i="2"/>
  <c r="T1006" i="2"/>
  <c r="G1006" i="2"/>
  <c r="N1005" i="2"/>
  <c r="T1004" i="2"/>
  <c r="G1004" i="2"/>
  <c r="N1003" i="2"/>
  <c r="T1002" i="2"/>
  <c r="G1002" i="2"/>
  <c r="N1001" i="2"/>
  <c r="T1000" i="2"/>
  <c r="G1000" i="2"/>
  <c r="N999" i="2"/>
  <c r="T998" i="2"/>
  <c r="G998" i="2"/>
  <c r="N997" i="2"/>
  <c r="T996" i="2"/>
  <c r="G996" i="2"/>
  <c r="N995" i="2"/>
  <c r="T994" i="2"/>
  <c r="G994" i="2"/>
  <c r="N993" i="2"/>
  <c r="T992" i="2"/>
  <c r="G992" i="2"/>
  <c r="A1414" i="2"/>
  <c r="F1345" i="2"/>
  <c r="T1314" i="2"/>
  <c r="J1297" i="2"/>
  <c r="C1285" i="2"/>
  <c r="D1276" i="2"/>
  <c r="C1268" i="2"/>
  <c r="C1260" i="2"/>
  <c r="C1252" i="2"/>
  <c r="A1246" i="2"/>
  <c r="K1242" i="2"/>
  <c r="K1239" i="2"/>
  <c r="R1236" i="2"/>
  <c r="E1234" i="2"/>
  <c r="Q1231" i="2"/>
  <c r="Q1229" i="2"/>
  <c r="Q1227" i="2"/>
  <c r="Q1225" i="2"/>
  <c r="Q1223" i="2"/>
  <c r="Q1221" i="2"/>
  <c r="Q1219" i="2"/>
  <c r="Q1217" i="2"/>
  <c r="Q1215" i="2"/>
  <c r="Q1213" i="2"/>
  <c r="Q1211" i="2"/>
  <c r="Q1209" i="2"/>
  <c r="Q1207" i="2"/>
  <c r="Q1205" i="2"/>
  <c r="Q1203" i="2"/>
  <c r="Q1201" i="2"/>
  <c r="Q1199" i="2"/>
  <c r="Q1197" i="2"/>
  <c r="Q1195" i="2"/>
  <c r="Q1193" i="2"/>
  <c r="Q1191" i="2"/>
  <c r="Q1189" i="2"/>
  <c r="Q1187" i="2"/>
  <c r="Q1185" i="2"/>
  <c r="Q1183" i="2"/>
  <c r="Q1181" i="2"/>
  <c r="Q1179" i="2"/>
  <c r="Q1177" i="2"/>
  <c r="Q1175" i="2"/>
  <c r="Q1173" i="2"/>
  <c r="Q1171" i="2"/>
  <c r="Q1169" i="2"/>
  <c r="Q1167" i="2"/>
  <c r="Q1165" i="2"/>
  <c r="Q1163" i="2"/>
  <c r="Q1161" i="2"/>
  <c r="Q1159" i="2"/>
  <c r="Q1157" i="2"/>
  <c r="Q1155" i="2"/>
  <c r="Q1153" i="2"/>
  <c r="Q1151" i="2"/>
  <c r="Q1149" i="2"/>
  <c r="Q1147" i="2"/>
  <c r="Q1145" i="2"/>
  <c r="Q1143" i="2"/>
  <c r="Q1141" i="2"/>
  <c r="Q1139" i="2"/>
  <c r="Q1137" i="2"/>
  <c r="Q1135" i="2"/>
  <c r="Q1133" i="2"/>
  <c r="Q1131" i="2"/>
  <c r="Q1129" i="2"/>
  <c r="C1128" i="2"/>
  <c r="P1126" i="2"/>
  <c r="D1124" i="2"/>
  <c r="C1123" i="2"/>
  <c r="R1121" i="2"/>
  <c r="P1120" i="2"/>
  <c r="M1119" i="2"/>
  <c r="K1118" i="2"/>
  <c r="J1117" i="2"/>
  <c r="K1116" i="2"/>
  <c r="J1115" i="2"/>
  <c r="K1114" i="2"/>
  <c r="M1113" i="2"/>
  <c r="P1112" i="2"/>
  <c r="R1111" i="2"/>
  <c r="S1110" i="2"/>
  <c r="C1110" i="2"/>
  <c r="E1109" i="2"/>
  <c r="F1108" i="2"/>
  <c r="K1106" i="2"/>
  <c r="M1105" i="2"/>
  <c r="P1104" i="2"/>
  <c r="S1103" i="2"/>
  <c r="D1103" i="2"/>
  <c r="F1102" i="2"/>
  <c r="J1101" i="2"/>
  <c r="O1100" i="2"/>
  <c r="S1099" i="2"/>
  <c r="D1099" i="2"/>
  <c r="F1098" i="2"/>
  <c r="J1097" i="2"/>
  <c r="O1096" i="2"/>
  <c r="S1095" i="2"/>
  <c r="D1095" i="2"/>
  <c r="F1094" i="2"/>
  <c r="J1093" i="2"/>
  <c r="O1092" i="2"/>
  <c r="S1091" i="2"/>
  <c r="D1091" i="2"/>
  <c r="F1090" i="2"/>
  <c r="M1089" i="2"/>
  <c r="S1088" i="2"/>
  <c r="F1088" i="2"/>
  <c r="M1087" i="2"/>
  <c r="S1086" i="2"/>
  <c r="F1086" i="2"/>
  <c r="M1085" i="2"/>
  <c r="S1084" i="2"/>
  <c r="F1084" i="2"/>
  <c r="M1083" i="2"/>
  <c r="S1082" i="2"/>
  <c r="F1082" i="2"/>
  <c r="M1081" i="2"/>
  <c r="S1080" i="2"/>
  <c r="F1080" i="2"/>
  <c r="M1079" i="2"/>
  <c r="S1078" i="2"/>
  <c r="F1078" i="2"/>
  <c r="M1077" i="2"/>
  <c r="S1076" i="2"/>
  <c r="F1076" i="2"/>
  <c r="M1075" i="2"/>
  <c r="S1074" i="2"/>
  <c r="F1074" i="2"/>
  <c r="M1073" i="2"/>
  <c r="S1072" i="2"/>
  <c r="F1072" i="2"/>
  <c r="M1071" i="2"/>
  <c r="S1070" i="2"/>
  <c r="F1070" i="2"/>
  <c r="M1069" i="2"/>
  <c r="S1068" i="2"/>
  <c r="F1068" i="2"/>
  <c r="M1067" i="2"/>
  <c r="S1066" i="2"/>
  <c r="F1066" i="2"/>
  <c r="M1065" i="2"/>
  <c r="S1064" i="2"/>
  <c r="F1064" i="2"/>
  <c r="M1063" i="2"/>
  <c r="S1062" i="2"/>
  <c r="F1062" i="2"/>
  <c r="M1061" i="2"/>
  <c r="S1060" i="2"/>
  <c r="F1060" i="2"/>
  <c r="M1059" i="2"/>
  <c r="S1058" i="2"/>
  <c r="F1058" i="2"/>
  <c r="M1057" i="2"/>
  <c r="S1056" i="2"/>
  <c r="F1056" i="2"/>
  <c r="M1055" i="2"/>
  <c r="S1054" i="2"/>
  <c r="F1054" i="2"/>
  <c r="M1053" i="2"/>
  <c r="S1052" i="2"/>
  <c r="F1052" i="2"/>
  <c r="M1051" i="2"/>
  <c r="S1050" i="2"/>
  <c r="F1050" i="2"/>
  <c r="M1049" i="2"/>
  <c r="S1048" i="2"/>
  <c r="F1048" i="2"/>
  <c r="M1047" i="2"/>
  <c r="S1046" i="2"/>
  <c r="F1046" i="2"/>
  <c r="M1045" i="2"/>
  <c r="S1044" i="2"/>
  <c r="F1044" i="2"/>
  <c r="M1043" i="2"/>
  <c r="S1042" i="2"/>
  <c r="F1042" i="2"/>
  <c r="M1041" i="2"/>
  <c r="S1040" i="2"/>
  <c r="F1040" i="2"/>
  <c r="M1039" i="2"/>
  <c r="S1038" i="2"/>
  <c r="F1038" i="2"/>
  <c r="M1037" i="2"/>
  <c r="S1036" i="2"/>
  <c r="F1036" i="2"/>
  <c r="M1035" i="2"/>
  <c r="S1034" i="2"/>
  <c r="F1034" i="2"/>
  <c r="M1033" i="2"/>
  <c r="S1032" i="2"/>
  <c r="F1032" i="2"/>
  <c r="P1406" i="2"/>
  <c r="E1343" i="2"/>
  <c r="N1313" i="2"/>
  <c r="K1296" i="2"/>
  <c r="K1275" i="2"/>
  <c r="K1267" i="2"/>
  <c r="K1259" i="2"/>
  <c r="K1251" i="2"/>
  <c r="R1245" i="2"/>
  <c r="J1242" i="2"/>
  <c r="J1239" i="2"/>
  <c r="Q1236" i="2"/>
  <c r="D1234" i="2"/>
  <c r="P1231" i="2"/>
  <c r="P1229" i="2"/>
  <c r="P1227" i="2"/>
  <c r="P1225" i="2"/>
  <c r="P1223" i="2"/>
  <c r="P1221" i="2"/>
  <c r="P1219" i="2"/>
  <c r="P1217" i="2"/>
  <c r="P1215" i="2"/>
  <c r="P1213" i="2"/>
  <c r="P1211" i="2"/>
  <c r="P1209" i="2"/>
  <c r="P1207" i="2"/>
  <c r="P1205" i="2"/>
  <c r="P1203" i="2"/>
  <c r="P1201" i="2"/>
  <c r="P1199" i="2"/>
  <c r="P1197" i="2"/>
  <c r="P1195" i="2"/>
  <c r="P1193" i="2"/>
  <c r="P1191" i="2"/>
  <c r="P1189" i="2"/>
  <c r="P1187" i="2"/>
  <c r="P1185" i="2"/>
  <c r="P1183" i="2"/>
  <c r="P1181" i="2"/>
  <c r="P1179" i="2"/>
  <c r="P1177" i="2"/>
  <c r="P1175" i="2"/>
  <c r="P1173" i="2"/>
  <c r="P1171" i="2"/>
  <c r="P1169" i="2"/>
  <c r="P1167" i="2"/>
  <c r="P1165" i="2"/>
  <c r="P1163" i="2"/>
  <c r="P1161" i="2"/>
  <c r="P1159" i="2"/>
  <c r="P1157" i="2"/>
  <c r="P1155" i="2"/>
  <c r="P1153" i="2"/>
  <c r="P1151" i="2"/>
  <c r="P1149" i="2"/>
  <c r="P1147" i="2"/>
  <c r="P1145" i="2"/>
  <c r="P1143" i="2"/>
  <c r="P1141" i="2"/>
  <c r="P1139" i="2"/>
  <c r="P1137" i="2"/>
  <c r="P1135" i="2"/>
  <c r="P1133" i="2"/>
  <c r="P1131" i="2"/>
  <c r="P1129" i="2"/>
  <c r="S1127" i="2"/>
  <c r="M1126" i="2"/>
  <c r="F1125" i="2"/>
  <c r="C1124" i="2"/>
  <c r="S1122" i="2"/>
  <c r="Q1121" i="2"/>
  <c r="M1120" i="2"/>
  <c r="J1119" i="2"/>
  <c r="J1118" i="2"/>
  <c r="J1116" i="2"/>
  <c r="J1114" i="2"/>
  <c r="K1113" i="2"/>
  <c r="O1112" i="2"/>
  <c r="Q1111" i="2"/>
  <c r="R1110" i="2"/>
  <c r="A1110" i="2"/>
  <c r="D1109" i="2"/>
  <c r="E1108" i="2"/>
  <c r="H1107" i="2"/>
  <c r="J1106" i="2"/>
  <c r="K1105" i="2"/>
  <c r="O1104" i="2"/>
  <c r="R1103" i="2"/>
  <c r="C1103" i="2"/>
  <c r="E1102" i="2"/>
  <c r="N1100" i="2"/>
  <c r="R1099" i="2"/>
  <c r="C1099" i="2"/>
  <c r="E1098" i="2"/>
  <c r="N1096" i="2"/>
  <c r="R1095" i="2"/>
  <c r="C1095" i="2"/>
  <c r="E1094" i="2"/>
  <c r="N1092" i="2"/>
  <c r="R1091" i="2"/>
  <c r="C1091" i="2"/>
  <c r="E1090" i="2"/>
  <c r="K1089" i="2"/>
  <c r="R1088" i="2"/>
  <c r="E1088" i="2"/>
  <c r="K1087" i="2"/>
  <c r="R1086" i="2"/>
  <c r="E1086" i="2"/>
  <c r="K1085" i="2"/>
  <c r="R1084" i="2"/>
  <c r="E1084" i="2"/>
  <c r="K1083" i="2"/>
  <c r="R1082" i="2"/>
  <c r="E1082" i="2"/>
  <c r="K1081" i="2"/>
  <c r="R1080" i="2"/>
  <c r="E1080" i="2"/>
  <c r="K1079" i="2"/>
  <c r="R1078" i="2"/>
  <c r="E1078" i="2"/>
  <c r="K1077" i="2"/>
  <c r="R1076" i="2"/>
  <c r="E1076" i="2"/>
  <c r="K1075" i="2"/>
  <c r="R1074" i="2"/>
  <c r="E1074" i="2"/>
  <c r="K1073" i="2"/>
  <c r="R1072" i="2"/>
  <c r="E1072" i="2"/>
  <c r="K1071" i="2"/>
  <c r="R1070" i="2"/>
  <c r="E1070" i="2"/>
  <c r="K1069" i="2"/>
  <c r="R1068" i="2"/>
  <c r="E1068" i="2"/>
  <c r="K1067" i="2"/>
  <c r="R1066" i="2"/>
  <c r="E1066" i="2"/>
  <c r="K1065" i="2"/>
  <c r="R1064" i="2"/>
  <c r="E1064" i="2"/>
  <c r="K1063" i="2"/>
  <c r="R1062" i="2"/>
  <c r="E1062" i="2"/>
  <c r="K1061" i="2"/>
  <c r="R1060" i="2"/>
  <c r="E1060" i="2"/>
  <c r="K1059" i="2"/>
  <c r="R1058" i="2"/>
  <c r="E1058" i="2"/>
  <c r="K1057" i="2"/>
  <c r="R1056" i="2"/>
  <c r="E1056" i="2"/>
  <c r="K1055" i="2"/>
  <c r="R1054" i="2"/>
  <c r="E1054" i="2"/>
  <c r="K1053" i="2"/>
  <c r="R1052" i="2"/>
  <c r="E1052" i="2"/>
  <c r="K1051" i="2"/>
  <c r="R1050" i="2"/>
  <c r="E1050" i="2"/>
  <c r="K1049" i="2"/>
  <c r="R1048" i="2"/>
  <c r="E1048" i="2"/>
  <c r="K1047" i="2"/>
  <c r="R1046" i="2"/>
  <c r="E1046" i="2"/>
  <c r="K1045" i="2"/>
  <c r="R1044" i="2"/>
  <c r="E1044" i="2"/>
  <c r="K1043" i="2"/>
  <c r="R1042" i="2"/>
  <c r="E1042" i="2"/>
  <c r="K1041" i="2"/>
  <c r="R1040" i="2"/>
  <c r="E1040" i="2"/>
  <c r="M1382" i="2"/>
  <c r="E1335" i="2"/>
  <c r="Q1308" i="2"/>
  <c r="D1293" i="2"/>
  <c r="C1282" i="2"/>
  <c r="K1273" i="2"/>
  <c r="K1265" i="2"/>
  <c r="K1257" i="2"/>
  <c r="K1249" i="2"/>
  <c r="C1245" i="2"/>
  <c r="N1241" i="2"/>
  <c r="Q1238" i="2"/>
  <c r="D1236" i="2"/>
  <c r="J1233" i="2"/>
  <c r="F1231" i="2"/>
  <c r="F1229" i="2"/>
  <c r="F1227" i="2"/>
  <c r="F1225" i="2"/>
  <c r="F1223" i="2"/>
  <c r="F1221" i="2"/>
  <c r="F1219" i="2"/>
  <c r="F1217" i="2"/>
  <c r="F1215" i="2"/>
  <c r="F1213" i="2"/>
  <c r="F1211" i="2"/>
  <c r="F1209" i="2"/>
  <c r="F1207" i="2"/>
  <c r="F1205" i="2"/>
  <c r="F1203" i="2"/>
  <c r="F1201" i="2"/>
  <c r="F1199" i="2"/>
  <c r="F1197" i="2"/>
  <c r="F1195" i="2"/>
  <c r="F1193" i="2"/>
  <c r="F1191" i="2"/>
  <c r="F1189" i="2"/>
  <c r="F1187" i="2"/>
  <c r="F1185" i="2"/>
  <c r="F1183" i="2"/>
  <c r="F1181" i="2"/>
  <c r="F1179" i="2"/>
  <c r="F1177" i="2"/>
  <c r="F1175" i="2"/>
  <c r="F1173" i="2"/>
  <c r="F1171" i="2"/>
  <c r="F1169" i="2"/>
  <c r="F1167" i="2"/>
  <c r="F1165" i="2"/>
  <c r="F1163" i="2"/>
  <c r="F1161" i="2"/>
  <c r="F1159" i="2"/>
  <c r="F1157" i="2"/>
  <c r="F1155" i="2"/>
  <c r="F1153" i="2"/>
  <c r="F1151" i="2"/>
  <c r="F1149" i="2"/>
  <c r="F1147" i="2"/>
  <c r="F1145" i="2"/>
  <c r="F1143" i="2"/>
  <c r="F1141" i="2"/>
  <c r="F1139" i="2"/>
  <c r="F1137" i="2"/>
  <c r="F1135" i="2"/>
  <c r="F1133" i="2"/>
  <c r="F1131" i="2"/>
  <c r="F1129" i="2"/>
  <c r="R1127" i="2"/>
  <c r="K1126" i="2"/>
  <c r="E1125" i="2"/>
  <c r="S1123" i="2"/>
  <c r="Q1122" i="2"/>
  <c r="P1121" i="2"/>
  <c r="K1120" i="2"/>
  <c r="H1117" i="2"/>
  <c r="H1115" i="2"/>
  <c r="J1113" i="2"/>
  <c r="M1112" i="2"/>
  <c r="P1111" i="2"/>
  <c r="Q1110" i="2"/>
  <c r="S1109" i="2"/>
  <c r="C1109" i="2"/>
  <c r="D1108" i="2"/>
  <c r="F1107" i="2"/>
  <c r="J1105" i="2"/>
  <c r="M1104" i="2"/>
  <c r="Q1103" i="2"/>
  <c r="S1102" i="2"/>
  <c r="D1102" i="2"/>
  <c r="H1101" i="2"/>
  <c r="M1100" i="2"/>
  <c r="Q1099" i="2"/>
  <c r="S1098" i="2"/>
  <c r="D1098" i="2"/>
  <c r="H1097" i="2"/>
  <c r="M1096" i="2"/>
  <c r="Q1095" i="2"/>
  <c r="S1094" i="2"/>
  <c r="D1094" i="2"/>
  <c r="H1093" i="2"/>
  <c r="M1092" i="2"/>
  <c r="Q1091" i="2"/>
  <c r="S1090" i="2"/>
  <c r="D1090" i="2"/>
  <c r="J1089" i="2"/>
  <c r="Q1088" i="2"/>
  <c r="D1088" i="2"/>
  <c r="J1087" i="2"/>
  <c r="Q1086" i="2"/>
  <c r="D1086" i="2"/>
  <c r="J1085" i="2"/>
  <c r="Q1084" i="2"/>
  <c r="D1084" i="2"/>
  <c r="J1083" i="2"/>
  <c r="Q1082" i="2"/>
  <c r="D1082" i="2"/>
  <c r="J1081" i="2"/>
  <c r="Q1080" i="2"/>
  <c r="D1080" i="2"/>
  <c r="J1079" i="2"/>
  <c r="Q1078" i="2"/>
  <c r="D1078" i="2"/>
  <c r="J1077" i="2"/>
  <c r="Q1076" i="2"/>
  <c r="D1076" i="2"/>
  <c r="J1075" i="2"/>
  <c r="Q1074" i="2"/>
  <c r="D1074" i="2"/>
  <c r="J1073" i="2"/>
  <c r="Q1072" i="2"/>
  <c r="D1072" i="2"/>
  <c r="J1071" i="2"/>
  <c r="Q1070" i="2"/>
  <c r="D1070" i="2"/>
  <c r="J1069" i="2"/>
  <c r="Q1068" i="2"/>
  <c r="D1068" i="2"/>
  <c r="J1067" i="2"/>
  <c r="Q1066" i="2"/>
  <c r="D1066" i="2"/>
  <c r="J1065" i="2"/>
  <c r="Q1064" i="2"/>
  <c r="D1064" i="2"/>
  <c r="J1063" i="2"/>
  <c r="Q1062" i="2"/>
  <c r="D1062" i="2"/>
  <c r="J1061" i="2"/>
  <c r="Q1060" i="2"/>
  <c r="D1060" i="2"/>
  <c r="J1059" i="2"/>
  <c r="Q1058" i="2"/>
  <c r="D1058" i="2"/>
  <c r="J1057" i="2"/>
  <c r="Q1056" i="2"/>
  <c r="D1056" i="2"/>
  <c r="J1055" i="2"/>
  <c r="Q1054" i="2"/>
  <c r="D1054" i="2"/>
  <c r="J1053" i="2"/>
  <c r="Q1052" i="2"/>
  <c r="D1052" i="2"/>
  <c r="J1051" i="2"/>
  <c r="Q1050" i="2"/>
  <c r="D1050" i="2"/>
  <c r="J1049" i="2"/>
  <c r="Q1048" i="2"/>
  <c r="D1048" i="2"/>
  <c r="J1047" i="2"/>
  <c r="Q1046" i="2"/>
  <c r="D1046" i="2"/>
  <c r="J1045" i="2"/>
  <c r="Q1044" i="2"/>
  <c r="D1044" i="2"/>
  <c r="J1043" i="2"/>
  <c r="Q1042" i="2"/>
  <c r="D1042" i="2"/>
  <c r="J1041" i="2"/>
  <c r="Q1040" i="2"/>
  <c r="D1040" i="2"/>
  <c r="J1039" i="2"/>
  <c r="Q1038" i="2"/>
  <c r="K1382" i="2"/>
  <c r="D1335" i="2"/>
  <c r="M1308" i="2"/>
  <c r="T1292" i="2"/>
  <c r="A1282" i="2"/>
  <c r="J1273" i="2"/>
  <c r="J1265" i="2"/>
  <c r="J1257" i="2"/>
  <c r="J1249" i="2"/>
  <c r="R1244" i="2"/>
  <c r="K1241" i="2"/>
  <c r="P1238" i="2"/>
  <c r="C1236" i="2"/>
  <c r="E1231" i="2"/>
  <c r="E1229" i="2"/>
  <c r="E1227" i="2"/>
  <c r="E1225" i="2"/>
  <c r="E1223" i="2"/>
  <c r="E1221" i="2"/>
  <c r="E1219" i="2"/>
  <c r="E1217" i="2"/>
  <c r="E1215" i="2"/>
  <c r="E1213" i="2"/>
  <c r="E1211" i="2"/>
  <c r="E1209" i="2"/>
  <c r="E1207" i="2"/>
  <c r="E1205" i="2"/>
  <c r="E1203" i="2"/>
  <c r="E1201" i="2"/>
  <c r="E1199" i="2"/>
  <c r="E1197" i="2"/>
  <c r="E1195" i="2"/>
  <c r="E1193" i="2"/>
  <c r="E1191" i="2"/>
  <c r="E1189" i="2"/>
  <c r="E1187" i="2"/>
  <c r="E1185" i="2"/>
  <c r="E1183" i="2"/>
  <c r="E1181" i="2"/>
  <c r="E1179" i="2"/>
  <c r="E1177" i="2"/>
  <c r="E1175" i="2"/>
  <c r="E1173" i="2"/>
  <c r="E1171" i="2"/>
  <c r="E1169" i="2"/>
  <c r="E1167" i="2"/>
  <c r="E1165" i="2"/>
  <c r="E1163" i="2"/>
  <c r="E1161" i="2"/>
  <c r="E1159" i="2"/>
  <c r="E1157" i="2"/>
  <c r="E1155" i="2"/>
  <c r="E1153" i="2"/>
  <c r="E1151" i="2"/>
  <c r="E1149" i="2"/>
  <c r="E1147" i="2"/>
  <c r="E1145" i="2"/>
  <c r="E1143" i="2"/>
  <c r="E1141" i="2"/>
  <c r="E1139" i="2"/>
  <c r="E1137" i="2"/>
  <c r="E1135" i="2"/>
  <c r="E1133" i="2"/>
  <c r="E1131" i="2"/>
  <c r="E1129" i="2"/>
  <c r="Q1127" i="2"/>
  <c r="J1126" i="2"/>
  <c r="D1125" i="2"/>
  <c r="R1123" i="2"/>
  <c r="P1122" i="2"/>
  <c r="M1121" i="2"/>
  <c r="J1120" i="2"/>
  <c r="F1119" i="2"/>
  <c r="F1118" i="2"/>
  <c r="F1117" i="2"/>
  <c r="F1116" i="2"/>
  <c r="F1115" i="2"/>
  <c r="F1114" i="2"/>
  <c r="K1112" i="2"/>
  <c r="M1111" i="2"/>
  <c r="P1110" i="2"/>
  <c r="R1109" i="2"/>
  <c r="S1108" i="2"/>
  <c r="C1108" i="2"/>
  <c r="E1107" i="2"/>
  <c r="F1106" i="2"/>
  <c r="K1104" i="2"/>
  <c r="P1103" i="2"/>
  <c r="R1102" i="2"/>
  <c r="C1102" i="2"/>
  <c r="G1101" i="2"/>
  <c r="K1100" i="2"/>
  <c r="P1099" i="2"/>
  <c r="R1098" i="2"/>
  <c r="C1098" i="2"/>
  <c r="G1097" i="2"/>
  <c r="K1096" i="2"/>
  <c r="P1095" i="2"/>
  <c r="R1094" i="2"/>
  <c r="C1094" i="2"/>
  <c r="G1093" i="2"/>
  <c r="K1092" i="2"/>
  <c r="P1091" i="2"/>
  <c r="R1090" i="2"/>
  <c r="C1090" i="2"/>
  <c r="P1088" i="2"/>
  <c r="C1088" i="2"/>
  <c r="P1086" i="2"/>
  <c r="C1086" i="2"/>
  <c r="P1084" i="2"/>
  <c r="C1084" i="2"/>
  <c r="P1082" i="2"/>
  <c r="C1082" i="2"/>
  <c r="P1080" i="2"/>
  <c r="C1080" i="2"/>
  <c r="P1078" i="2"/>
  <c r="C1078" i="2"/>
  <c r="P1076" i="2"/>
  <c r="C1076" i="2"/>
  <c r="P1074" i="2"/>
  <c r="C1074" i="2"/>
  <c r="P1072" i="2"/>
  <c r="C1072" i="2"/>
  <c r="P1070" i="2"/>
  <c r="C1070" i="2"/>
  <c r="P1068" i="2"/>
  <c r="C1068" i="2"/>
  <c r="P1066" i="2"/>
  <c r="C1066" i="2"/>
  <c r="P1064" i="2"/>
  <c r="C1064" i="2"/>
  <c r="P1062" i="2"/>
  <c r="C1062" i="2"/>
  <c r="P1060" i="2"/>
  <c r="C1060" i="2"/>
  <c r="P1058" i="2"/>
  <c r="C1058" i="2"/>
  <c r="P1056" i="2"/>
  <c r="C1056" i="2"/>
  <c r="P1054" i="2"/>
  <c r="C1054" i="2"/>
  <c r="P1052" i="2"/>
  <c r="C1052" i="2"/>
  <c r="P1050" i="2"/>
  <c r="C1050" i="2"/>
  <c r="P1048" i="2"/>
  <c r="C1048" i="2"/>
  <c r="P1046" i="2"/>
  <c r="C1046" i="2"/>
  <c r="P1044" i="2"/>
  <c r="C1044" i="2"/>
  <c r="P1042" i="2"/>
  <c r="C1042" i="2"/>
  <c r="P1040" i="2"/>
  <c r="C1040" i="2"/>
  <c r="P1038" i="2"/>
  <c r="C1038" i="2"/>
  <c r="P1036" i="2"/>
  <c r="C1036" i="2"/>
  <c r="P1034" i="2"/>
  <c r="C1034" i="2"/>
  <c r="P1032" i="2"/>
  <c r="C1032" i="2"/>
  <c r="P1030" i="2"/>
  <c r="C1030" i="2"/>
  <c r="P1028" i="2"/>
  <c r="C1028" i="2"/>
  <c r="P1026" i="2"/>
  <c r="C1026" i="2"/>
  <c r="P1024" i="2"/>
  <c r="C1024" i="2"/>
  <c r="P1022" i="2"/>
  <c r="C1022" i="2"/>
  <c r="P1020" i="2"/>
  <c r="C1020" i="2"/>
  <c r="C1381" i="2"/>
  <c r="M1334" i="2"/>
  <c r="K1308" i="2"/>
  <c r="R1292" i="2"/>
  <c r="T1281" i="2"/>
  <c r="Q1244" i="2"/>
  <c r="J1241" i="2"/>
  <c r="O1238" i="2"/>
  <c r="A1236" i="2"/>
  <c r="H1233" i="2"/>
  <c r="D1231" i="2"/>
  <c r="D1229" i="2"/>
  <c r="D1227" i="2"/>
  <c r="D1225" i="2"/>
  <c r="D1223" i="2"/>
  <c r="D1221" i="2"/>
  <c r="D1219" i="2"/>
  <c r="D1217" i="2"/>
  <c r="D1215" i="2"/>
  <c r="D1213" i="2"/>
  <c r="D1211" i="2"/>
  <c r="D1209" i="2"/>
  <c r="D1207" i="2"/>
  <c r="D1205" i="2"/>
  <c r="D1203" i="2"/>
  <c r="D1201" i="2"/>
  <c r="D1199" i="2"/>
  <c r="D1197" i="2"/>
  <c r="D1195" i="2"/>
  <c r="D1193" i="2"/>
  <c r="D1191" i="2"/>
  <c r="D1189" i="2"/>
  <c r="D1187" i="2"/>
  <c r="D1185" i="2"/>
  <c r="D1183" i="2"/>
  <c r="D1181" i="2"/>
  <c r="D1179" i="2"/>
  <c r="D1177" i="2"/>
  <c r="D1175" i="2"/>
  <c r="D1173" i="2"/>
  <c r="D1171" i="2"/>
  <c r="D1169" i="2"/>
  <c r="D1167" i="2"/>
  <c r="D1165" i="2"/>
  <c r="D1163" i="2"/>
  <c r="D1161" i="2"/>
  <c r="D1159" i="2"/>
  <c r="D1157" i="2"/>
  <c r="D1155" i="2"/>
  <c r="D1153" i="2"/>
  <c r="D1151" i="2"/>
  <c r="D1149" i="2"/>
  <c r="D1147" i="2"/>
  <c r="D1145" i="2"/>
  <c r="D1143" i="2"/>
  <c r="D1141" i="2"/>
  <c r="D1139" i="2"/>
  <c r="D1137" i="2"/>
  <c r="D1135" i="2"/>
  <c r="D1133" i="2"/>
  <c r="D1131" i="2"/>
  <c r="D1129" i="2"/>
  <c r="P1127" i="2"/>
  <c r="C1125" i="2"/>
  <c r="Q1123" i="2"/>
  <c r="M1122" i="2"/>
  <c r="J1121" i="2"/>
  <c r="E1119" i="2"/>
  <c r="D1118" i="2"/>
  <c r="E1117" i="2"/>
  <c r="D1116" i="2"/>
  <c r="E1115" i="2"/>
  <c r="E1114" i="2"/>
  <c r="H1113" i="2"/>
  <c r="J1112" i="2"/>
  <c r="K1111" i="2"/>
  <c r="O1110" i="2"/>
  <c r="Q1109" i="2"/>
  <c r="R1108" i="2"/>
  <c r="A1108" i="2"/>
  <c r="D1107" i="2"/>
  <c r="E1106" i="2"/>
  <c r="H1105" i="2"/>
  <c r="J1104" i="2"/>
  <c r="M1103" i="2"/>
  <c r="Q1102" i="2"/>
  <c r="A1102" i="2"/>
  <c r="F1101" i="2"/>
  <c r="J1100" i="2"/>
  <c r="M1099" i="2"/>
  <c r="Q1098" i="2"/>
  <c r="A1098" i="2"/>
  <c r="F1097" i="2"/>
  <c r="J1096" i="2"/>
  <c r="M1095" i="2"/>
  <c r="Q1094" i="2"/>
  <c r="A1094" i="2"/>
  <c r="F1093" i="2"/>
  <c r="J1092" i="2"/>
  <c r="M1091" i="2"/>
  <c r="Q1090" i="2"/>
  <c r="A1090" i="2"/>
  <c r="H1089" i="2"/>
  <c r="O1088" i="2"/>
  <c r="A1088" i="2"/>
  <c r="H1087" i="2"/>
  <c r="O1086" i="2"/>
  <c r="A1086" i="2"/>
  <c r="H1085" i="2"/>
  <c r="O1084" i="2"/>
  <c r="A1084" i="2"/>
  <c r="H1083" i="2"/>
  <c r="O1082" i="2"/>
  <c r="A1082" i="2"/>
  <c r="H1081" i="2"/>
  <c r="O1080" i="2"/>
  <c r="A1080" i="2"/>
  <c r="H1079" i="2"/>
  <c r="O1078" i="2"/>
  <c r="A1078" i="2"/>
  <c r="H1077" i="2"/>
  <c r="O1076" i="2"/>
  <c r="A1076" i="2"/>
  <c r="H1075" i="2"/>
  <c r="O1074" i="2"/>
  <c r="A1074" i="2"/>
  <c r="H1073" i="2"/>
  <c r="O1072" i="2"/>
  <c r="A1072" i="2"/>
  <c r="H1071" i="2"/>
  <c r="O1070" i="2"/>
  <c r="A1070" i="2"/>
  <c r="H1069" i="2"/>
  <c r="O1068" i="2"/>
  <c r="A1068" i="2"/>
  <c r="H1067" i="2"/>
  <c r="O1066" i="2"/>
  <c r="A1066" i="2"/>
  <c r="H1065" i="2"/>
  <c r="O1064" i="2"/>
  <c r="A1064" i="2"/>
  <c r="H1063" i="2"/>
  <c r="O1062" i="2"/>
  <c r="A1062" i="2"/>
  <c r="H1061" i="2"/>
  <c r="O1060" i="2"/>
  <c r="A1060" i="2"/>
  <c r="H1059" i="2"/>
  <c r="O1058" i="2"/>
  <c r="A1058" i="2"/>
  <c r="H1057" i="2"/>
  <c r="O1056" i="2"/>
  <c r="A1056" i="2"/>
  <c r="H1055" i="2"/>
  <c r="O1054" i="2"/>
  <c r="A1054" i="2"/>
  <c r="H1053" i="2"/>
  <c r="O1052" i="2"/>
  <c r="A1052" i="2"/>
  <c r="H1051" i="2"/>
  <c r="O1050" i="2"/>
  <c r="A1050" i="2"/>
  <c r="H1049" i="2"/>
  <c r="O1048" i="2"/>
  <c r="A1048" i="2"/>
  <c r="H1047" i="2"/>
  <c r="O1046" i="2"/>
  <c r="A1046" i="2"/>
  <c r="H1045" i="2"/>
  <c r="O1044" i="2"/>
  <c r="A1044" i="2"/>
  <c r="H1043" i="2"/>
  <c r="O1042" i="2"/>
  <c r="A1042" i="2"/>
  <c r="H1041" i="2"/>
  <c r="O1040" i="2"/>
  <c r="A1040" i="2"/>
  <c r="H1039" i="2"/>
  <c r="O1038" i="2"/>
  <c r="A1038" i="2"/>
  <c r="H1037" i="2"/>
  <c r="O1036" i="2"/>
  <c r="A1036" i="2"/>
  <c r="H1035" i="2"/>
  <c r="O1034" i="2"/>
  <c r="A1034" i="2"/>
  <c r="H1033" i="2"/>
  <c r="O1032" i="2"/>
  <c r="A1032" i="2"/>
  <c r="H1031" i="2"/>
  <c r="O1030" i="2"/>
  <c r="A1030" i="2"/>
  <c r="H1029" i="2"/>
  <c r="O1028" i="2"/>
  <c r="A1028" i="2"/>
  <c r="H1027" i="2"/>
  <c r="O1026" i="2"/>
  <c r="A1026" i="2"/>
  <c r="H1025" i="2"/>
  <c r="O1024" i="2"/>
  <c r="A1024" i="2"/>
  <c r="H1023" i="2"/>
  <c r="O1022" i="2"/>
  <c r="A1022" i="2"/>
  <c r="H1021" i="2"/>
  <c r="O1020" i="2"/>
  <c r="A1020" i="2"/>
  <c r="H1019" i="2"/>
  <c r="O1018" i="2"/>
  <c r="A1018" i="2"/>
  <c r="H1017" i="2"/>
  <c r="O1016" i="2"/>
  <c r="A1016" i="2"/>
  <c r="H1015" i="2"/>
  <c r="O1014" i="2"/>
  <c r="A1014" i="2"/>
  <c r="H1013" i="2"/>
  <c r="O1012" i="2"/>
  <c r="A1012" i="2"/>
  <c r="S1323" i="2"/>
  <c r="G1302" i="2"/>
  <c r="M1288" i="2"/>
  <c r="C1279" i="2"/>
  <c r="P1270" i="2"/>
  <c r="P1262" i="2"/>
  <c r="P1254" i="2"/>
  <c r="P1243" i="2"/>
  <c r="J1240" i="2"/>
  <c r="P1237" i="2"/>
  <c r="C1235" i="2"/>
  <c r="K1232" i="2"/>
  <c r="J1230" i="2"/>
  <c r="J1228" i="2"/>
  <c r="J1226" i="2"/>
  <c r="J1224" i="2"/>
  <c r="J1222" i="2"/>
  <c r="J1220" i="2"/>
  <c r="J1218" i="2"/>
  <c r="J1216" i="2"/>
  <c r="J1214" i="2"/>
  <c r="J1212" i="2"/>
  <c r="J1210" i="2"/>
  <c r="J1208" i="2"/>
  <c r="J1206" i="2"/>
  <c r="J1204" i="2"/>
  <c r="J1202" i="2"/>
  <c r="J1200" i="2"/>
  <c r="J1198" i="2"/>
  <c r="J1196" i="2"/>
  <c r="J1194" i="2"/>
  <c r="J1192" i="2"/>
  <c r="J1190" i="2"/>
  <c r="J1188" i="2"/>
  <c r="J1186" i="2"/>
  <c r="J1184" i="2"/>
  <c r="J1182" i="2"/>
  <c r="J1180" i="2"/>
  <c r="J1178" i="2"/>
  <c r="J1176" i="2"/>
  <c r="J1174" i="2"/>
  <c r="J1172" i="2"/>
  <c r="J1170" i="2"/>
  <c r="J1168" i="2"/>
  <c r="J1166" i="2"/>
  <c r="J1164" i="2"/>
  <c r="J1162" i="2"/>
  <c r="J1160" i="2"/>
  <c r="J1158" i="2"/>
  <c r="J1156" i="2"/>
  <c r="J1154" i="2"/>
  <c r="J1152" i="2"/>
  <c r="J1150" i="2"/>
  <c r="J1148" i="2"/>
  <c r="J1146" i="2"/>
  <c r="J1144" i="2"/>
  <c r="J1142" i="2"/>
  <c r="J1140" i="2"/>
  <c r="J1138" i="2"/>
  <c r="J1136" i="2"/>
  <c r="J1134" i="2"/>
  <c r="J1132" i="2"/>
  <c r="J1130" i="2"/>
  <c r="K1128" i="2"/>
  <c r="E1127" i="2"/>
  <c r="R1125" i="2"/>
  <c r="K1124" i="2"/>
  <c r="F1122" i="2"/>
  <c r="D1121" i="2"/>
  <c r="S1119" i="2"/>
  <c r="Q1118" i="2"/>
  <c r="R1117" i="2"/>
  <c r="Q1116" i="2"/>
  <c r="R1115" i="2"/>
  <c r="Q1114" i="2"/>
  <c r="S1113" i="2"/>
  <c r="C1113" i="2"/>
  <c r="D1112" i="2"/>
  <c r="F1111" i="2"/>
  <c r="J1109" i="2"/>
  <c r="M1108" i="2"/>
  <c r="P1107" i="2"/>
  <c r="Q1106" i="2"/>
  <c r="S1105" i="2"/>
  <c r="C1105" i="2"/>
  <c r="D1104" i="2"/>
  <c r="H1103" i="2"/>
  <c r="M1102" i="2"/>
  <c r="Q1101" i="2"/>
  <c r="S1100" i="2"/>
  <c r="D1100" i="2"/>
  <c r="H1099" i="2"/>
  <c r="M1098" i="2"/>
  <c r="Q1097" i="2"/>
  <c r="S1096" i="2"/>
  <c r="D1096" i="2"/>
  <c r="H1095" i="2"/>
  <c r="M1094" i="2"/>
  <c r="Q1093" i="2"/>
  <c r="S1092" i="2"/>
  <c r="D1092" i="2"/>
  <c r="H1091" i="2"/>
  <c r="M1090" i="2"/>
  <c r="Q1089" i="2"/>
  <c r="D1089" i="2"/>
  <c r="J1088" i="2"/>
  <c r="Q1087" i="2"/>
  <c r="D1087" i="2"/>
  <c r="J1086" i="2"/>
  <c r="Q1085" i="2"/>
  <c r="D1085" i="2"/>
  <c r="J1084" i="2"/>
  <c r="Q1083" i="2"/>
  <c r="D1083" i="2"/>
  <c r="J1082" i="2"/>
  <c r="Q1081" i="2"/>
  <c r="D1081" i="2"/>
  <c r="J1080" i="2"/>
  <c r="Q1079" i="2"/>
  <c r="D1079" i="2"/>
  <c r="J1078" i="2"/>
  <c r="Q1077" i="2"/>
  <c r="D1077" i="2"/>
  <c r="J1076" i="2"/>
  <c r="Q1075" i="2"/>
  <c r="D1075" i="2"/>
  <c r="J1074" i="2"/>
  <c r="Q1073" i="2"/>
  <c r="D1073" i="2"/>
  <c r="J1072" i="2"/>
  <c r="Q1071" i="2"/>
  <c r="D1071" i="2"/>
  <c r="J1070" i="2"/>
  <c r="Q1069" i="2"/>
  <c r="D1069" i="2"/>
  <c r="J1068" i="2"/>
  <c r="Q1067" i="2"/>
  <c r="D1067" i="2"/>
  <c r="J1066" i="2"/>
  <c r="Q1065" i="2"/>
  <c r="D1065" i="2"/>
  <c r="J1064" i="2"/>
  <c r="Q1063" i="2"/>
  <c r="D1063" i="2"/>
  <c r="J1062" i="2"/>
  <c r="Q1061" i="2"/>
  <c r="D1061" i="2"/>
  <c r="J1060" i="2"/>
  <c r="Q1059" i="2"/>
  <c r="D1059" i="2"/>
  <c r="J1058" i="2"/>
  <c r="Q1057" i="2"/>
  <c r="D1057" i="2"/>
  <c r="J1056" i="2"/>
  <c r="Q1055" i="2"/>
  <c r="D1055" i="2"/>
  <c r="J1054" i="2"/>
  <c r="Q1053" i="2"/>
  <c r="D1053" i="2"/>
  <c r="J1052" i="2"/>
  <c r="Q1051" i="2"/>
  <c r="D1051" i="2"/>
  <c r="J1050" i="2"/>
  <c r="Q1049" i="2"/>
  <c r="D1049" i="2"/>
  <c r="J1048" i="2"/>
  <c r="Q1047" i="2"/>
  <c r="D1047" i="2"/>
  <c r="J1046" i="2"/>
  <c r="Q1045" i="2"/>
  <c r="D1045" i="2"/>
  <c r="J1044" i="2"/>
  <c r="Q1043" i="2"/>
  <c r="D1043" i="2"/>
  <c r="J1042" i="2"/>
  <c r="Q1041" i="2"/>
  <c r="D1041" i="2"/>
  <c r="J1040" i="2"/>
  <c r="Q1039" i="2"/>
  <c r="D1039" i="2"/>
  <c r="J1038" i="2"/>
  <c r="Q1037" i="2"/>
  <c r="D1037" i="2"/>
  <c r="J1036" i="2"/>
  <c r="Q1035" i="2"/>
  <c r="D1035" i="2"/>
  <c r="J1034" i="2"/>
  <c r="Q1033" i="2"/>
  <c r="D1033" i="2"/>
  <c r="J1032" i="2"/>
  <c r="Q1031" i="2"/>
  <c r="D1031" i="2"/>
  <c r="J1030" i="2"/>
  <c r="Q1029" i="2"/>
  <c r="D1029" i="2"/>
  <c r="J1028" i="2"/>
  <c r="Q1027" i="2"/>
  <c r="D1027" i="2"/>
  <c r="J1026" i="2"/>
  <c r="Q1025" i="2"/>
  <c r="D1025" i="2"/>
  <c r="J1024" i="2"/>
  <c r="Q1023" i="2"/>
  <c r="D1023" i="2"/>
  <c r="J1022" i="2"/>
  <c r="Q1021" i="2"/>
  <c r="D1021" i="2"/>
  <c r="J1020" i="2"/>
  <c r="Q1019" i="2"/>
  <c r="D1019" i="2"/>
  <c r="J1018" i="2"/>
  <c r="Q1017" i="2"/>
  <c r="D1017" i="2"/>
  <c r="J1016" i="2"/>
  <c r="Q1015" i="2"/>
  <c r="D1015" i="2"/>
  <c r="J1014" i="2"/>
  <c r="Q1013" i="2"/>
  <c r="D1013" i="2"/>
  <c r="J1012" i="2"/>
  <c r="Q1011" i="2"/>
  <c r="D1011" i="2"/>
  <c r="J1010" i="2"/>
  <c r="Q1009" i="2"/>
  <c r="D1009" i="2"/>
  <c r="J1008" i="2"/>
  <c r="Q1007" i="2"/>
  <c r="R1321" i="2"/>
  <c r="E1301" i="2"/>
  <c r="Q1287" i="2"/>
  <c r="J1278" i="2"/>
  <c r="E1270" i="2"/>
  <c r="E1262" i="2"/>
  <c r="E1254" i="2"/>
  <c r="E1247" i="2"/>
  <c r="K1243" i="2"/>
  <c r="N1237" i="2"/>
  <c r="T1234" i="2"/>
  <c r="J1232" i="2"/>
  <c r="J1128" i="2"/>
  <c r="D1127" i="2"/>
  <c r="Q1125" i="2"/>
  <c r="J1124" i="2"/>
  <c r="F1123" i="2"/>
  <c r="D1122" i="2"/>
  <c r="C1121" i="2"/>
  <c r="R1119" i="2"/>
  <c r="P1118" i="2"/>
  <c r="Q1117" i="2"/>
  <c r="P1116" i="2"/>
  <c r="Q1115" i="2"/>
  <c r="P1114" i="2"/>
  <c r="R1113" i="2"/>
  <c r="S1112" i="2"/>
  <c r="C1112" i="2"/>
  <c r="E1111" i="2"/>
  <c r="F1110" i="2"/>
  <c r="K1108" i="2"/>
  <c r="M1107" i="2"/>
  <c r="P1106" i="2"/>
  <c r="R1105" i="2"/>
  <c r="S1104" i="2"/>
  <c r="C1104" i="2"/>
  <c r="G1103" i="2"/>
  <c r="K1102" i="2"/>
  <c r="P1101" i="2"/>
  <c r="R1100" i="2"/>
  <c r="C1100" i="2"/>
  <c r="G1099" i="2"/>
  <c r="K1098" i="2"/>
  <c r="P1097" i="2"/>
  <c r="R1096" i="2"/>
  <c r="C1096" i="2"/>
  <c r="G1095" i="2"/>
  <c r="K1094" i="2"/>
  <c r="P1093" i="2"/>
  <c r="R1092" i="2"/>
  <c r="C1092" i="2"/>
  <c r="G1091" i="2"/>
  <c r="K1090" i="2"/>
  <c r="P1089" i="2"/>
  <c r="C1089" i="2"/>
  <c r="P1087" i="2"/>
  <c r="C1087" i="2"/>
  <c r="P1085" i="2"/>
  <c r="C1085" i="2"/>
  <c r="P1083" i="2"/>
  <c r="C1083" i="2"/>
  <c r="P1081" i="2"/>
  <c r="C1081" i="2"/>
  <c r="P1079" i="2"/>
  <c r="C1079" i="2"/>
  <c r="P1077" i="2"/>
  <c r="C1077" i="2"/>
  <c r="P1075" i="2"/>
  <c r="C1075" i="2"/>
  <c r="P1073" i="2"/>
  <c r="C1073" i="2"/>
  <c r="P1071" i="2"/>
  <c r="C1071" i="2"/>
  <c r="P1069" i="2"/>
  <c r="C1069" i="2"/>
  <c r="P1067" i="2"/>
  <c r="C1067" i="2"/>
  <c r="P1065" i="2"/>
  <c r="C1065" i="2"/>
  <c r="P1063" i="2"/>
  <c r="C1063" i="2"/>
  <c r="P1061" i="2"/>
  <c r="C1061" i="2"/>
  <c r="P1059" i="2"/>
  <c r="C1059" i="2"/>
  <c r="P1057" i="2"/>
  <c r="C1057" i="2"/>
  <c r="P1055" i="2"/>
  <c r="C1055" i="2"/>
  <c r="P1053" i="2"/>
  <c r="C1053" i="2"/>
  <c r="P1051" i="2"/>
  <c r="C1051" i="2"/>
  <c r="P1049" i="2"/>
  <c r="C1049" i="2"/>
  <c r="P1047" i="2"/>
  <c r="C1047" i="2"/>
  <c r="P1045" i="2"/>
  <c r="C1045" i="2"/>
  <c r="P1043" i="2"/>
  <c r="C1043" i="2"/>
  <c r="P1041" i="2"/>
  <c r="C1041" i="2"/>
  <c r="P1039" i="2"/>
  <c r="C1039" i="2"/>
  <c r="P1037" i="2"/>
  <c r="C1037" i="2"/>
  <c r="P1035" i="2"/>
  <c r="C1035" i="2"/>
  <c r="P1033" i="2"/>
  <c r="C1033" i="2"/>
  <c r="P1031" i="2"/>
  <c r="C1031" i="2"/>
  <c r="P1029" i="2"/>
  <c r="C1029" i="2"/>
  <c r="P1027" i="2"/>
  <c r="C1027" i="2"/>
  <c r="P1025" i="2"/>
  <c r="C1025" i="2"/>
  <c r="P1023" i="2"/>
  <c r="C1023" i="2"/>
  <c r="P1021" i="2"/>
  <c r="C1021" i="2"/>
  <c r="P1019" i="2"/>
  <c r="C1019" i="2"/>
  <c r="P1017" i="2"/>
  <c r="C1017" i="2"/>
  <c r="P1015" i="2"/>
  <c r="C1015" i="2"/>
  <c r="C1376" i="2"/>
  <c r="H1281" i="2"/>
  <c r="R1248" i="2"/>
  <c r="R1235" i="2"/>
  <c r="C1227" i="2"/>
  <c r="C1219" i="2"/>
  <c r="C1211" i="2"/>
  <c r="C1203" i="2"/>
  <c r="C1195" i="2"/>
  <c r="C1187" i="2"/>
  <c r="C1179" i="2"/>
  <c r="C1171" i="2"/>
  <c r="C1163" i="2"/>
  <c r="C1155" i="2"/>
  <c r="C1147" i="2"/>
  <c r="C1139" i="2"/>
  <c r="C1131" i="2"/>
  <c r="S1124" i="2"/>
  <c r="F1120" i="2"/>
  <c r="C1116" i="2"/>
  <c r="Q1108" i="2"/>
  <c r="F1105" i="2"/>
  <c r="T1101" i="2"/>
  <c r="P1098" i="2"/>
  <c r="K1095" i="2"/>
  <c r="G1089" i="2"/>
  <c r="N1086" i="2"/>
  <c r="T1083" i="2"/>
  <c r="G1081" i="2"/>
  <c r="N1078" i="2"/>
  <c r="T1075" i="2"/>
  <c r="G1073" i="2"/>
  <c r="N1070" i="2"/>
  <c r="T1067" i="2"/>
  <c r="G1065" i="2"/>
  <c r="N1062" i="2"/>
  <c r="T1059" i="2"/>
  <c r="G1057" i="2"/>
  <c r="N1054" i="2"/>
  <c r="T1051" i="2"/>
  <c r="G1049" i="2"/>
  <c r="N1046" i="2"/>
  <c r="T1043" i="2"/>
  <c r="G1041" i="2"/>
  <c r="F1039" i="2"/>
  <c r="R1037" i="2"/>
  <c r="K1036" i="2"/>
  <c r="E1035" i="2"/>
  <c r="R1033" i="2"/>
  <c r="K1032" i="2"/>
  <c r="F1031" i="2"/>
  <c r="D1030" i="2"/>
  <c r="S1028" i="2"/>
  <c r="R1027" i="2"/>
  <c r="N1026" i="2"/>
  <c r="K1025" i="2"/>
  <c r="H1024" i="2"/>
  <c r="F1023" i="2"/>
  <c r="D1022" i="2"/>
  <c r="S1020" i="2"/>
  <c r="R1019" i="2"/>
  <c r="P1018" i="2"/>
  <c r="O1017" i="2"/>
  <c r="P1016" i="2"/>
  <c r="O1015" i="2"/>
  <c r="P1014" i="2"/>
  <c r="R1013" i="2"/>
  <c r="S1012" i="2"/>
  <c r="C1012" i="2"/>
  <c r="F1011" i="2"/>
  <c r="M1009" i="2"/>
  <c r="Q1008" i="2"/>
  <c r="A1008" i="2"/>
  <c r="F1007" i="2"/>
  <c r="K1006" i="2"/>
  <c r="Q1005" i="2"/>
  <c r="C1005" i="2"/>
  <c r="H1004" i="2"/>
  <c r="M1003" i="2"/>
  <c r="R1002" i="2"/>
  <c r="D1002" i="2"/>
  <c r="O1000" i="2"/>
  <c r="T999" i="2"/>
  <c r="F999" i="2"/>
  <c r="K998" i="2"/>
  <c r="Q997" i="2"/>
  <c r="C997" i="2"/>
  <c r="H996" i="2"/>
  <c r="M995" i="2"/>
  <c r="R994" i="2"/>
  <c r="D994" i="2"/>
  <c r="O992" i="2"/>
  <c r="T991" i="2"/>
  <c r="G991" i="2"/>
  <c r="N990" i="2"/>
  <c r="T989" i="2"/>
  <c r="G989" i="2"/>
  <c r="N988" i="2"/>
  <c r="T987" i="2"/>
  <c r="G987" i="2"/>
  <c r="N986" i="2"/>
  <c r="T985" i="2"/>
  <c r="G985" i="2"/>
  <c r="N984" i="2"/>
  <c r="T983" i="2"/>
  <c r="G983" i="2"/>
  <c r="N982" i="2"/>
  <c r="T981" i="2"/>
  <c r="G981" i="2"/>
  <c r="N980" i="2"/>
  <c r="T979" i="2"/>
  <c r="G979" i="2"/>
  <c r="N978" i="2"/>
  <c r="T977" i="2"/>
  <c r="G977" i="2"/>
  <c r="N976" i="2"/>
  <c r="T975" i="2"/>
  <c r="G975" i="2"/>
  <c r="N974" i="2"/>
  <c r="T973" i="2"/>
  <c r="G973" i="2"/>
  <c r="N972" i="2"/>
  <c r="T971" i="2"/>
  <c r="G971" i="2"/>
  <c r="N970" i="2"/>
  <c r="T969" i="2"/>
  <c r="G969" i="2"/>
  <c r="N968" i="2"/>
  <c r="T967" i="2"/>
  <c r="G967" i="2"/>
  <c r="N966" i="2"/>
  <c r="T965" i="2"/>
  <c r="G965" i="2"/>
  <c r="N964" i="2"/>
  <c r="T963" i="2"/>
  <c r="G963" i="2"/>
  <c r="N962" i="2"/>
  <c r="T961" i="2"/>
  <c r="G961" i="2"/>
  <c r="N960" i="2"/>
  <c r="T959" i="2"/>
  <c r="G959" i="2"/>
  <c r="N958" i="2"/>
  <c r="T957" i="2"/>
  <c r="G957" i="2"/>
  <c r="N956" i="2"/>
  <c r="T955" i="2"/>
  <c r="G955" i="2"/>
  <c r="N954" i="2"/>
  <c r="T953" i="2"/>
  <c r="G953" i="2"/>
  <c r="N952" i="2"/>
  <c r="T951" i="2"/>
  <c r="G951" i="2"/>
  <c r="N950" i="2"/>
  <c r="T949" i="2"/>
  <c r="G949" i="2"/>
  <c r="N948" i="2"/>
  <c r="T947" i="2"/>
  <c r="G947" i="2"/>
  <c r="N946" i="2"/>
  <c r="T945" i="2"/>
  <c r="G945" i="2"/>
  <c r="N944" i="2"/>
  <c r="T943" i="2"/>
  <c r="G943" i="2"/>
  <c r="N942" i="2"/>
  <c r="T941" i="2"/>
  <c r="G941" i="2"/>
  <c r="N940" i="2"/>
  <c r="T939" i="2"/>
  <c r="G939" i="2"/>
  <c r="N938" i="2"/>
  <c r="T937" i="2"/>
  <c r="G937" i="2"/>
  <c r="N936" i="2"/>
  <c r="T935" i="2"/>
  <c r="G935" i="2"/>
  <c r="N934" i="2"/>
  <c r="T933" i="2"/>
  <c r="G933" i="2"/>
  <c r="N932" i="2"/>
  <c r="T931" i="2"/>
  <c r="G931" i="2"/>
  <c r="N930" i="2"/>
  <c r="T929" i="2"/>
  <c r="G929" i="2"/>
  <c r="N928" i="2"/>
  <c r="T927" i="2"/>
  <c r="G927" i="2"/>
  <c r="N926" i="2"/>
  <c r="T925" i="2"/>
  <c r="G925" i="2"/>
  <c r="N924" i="2"/>
  <c r="T923" i="2"/>
  <c r="G923" i="2"/>
  <c r="N922" i="2"/>
  <c r="T921" i="2"/>
  <c r="G921" i="2"/>
  <c r="N920" i="2"/>
  <c r="T919" i="2"/>
  <c r="G919" i="2"/>
  <c r="N918" i="2"/>
  <c r="T917" i="2"/>
  <c r="G917" i="2"/>
  <c r="N916" i="2"/>
  <c r="T915" i="2"/>
  <c r="G915" i="2"/>
  <c r="N914" i="2"/>
  <c r="J1360" i="2"/>
  <c r="E1279" i="2"/>
  <c r="K1247" i="2"/>
  <c r="E1235" i="2"/>
  <c r="M1226" i="2"/>
  <c r="M1218" i="2"/>
  <c r="M1210" i="2"/>
  <c r="M1202" i="2"/>
  <c r="M1194" i="2"/>
  <c r="M1186" i="2"/>
  <c r="M1178" i="2"/>
  <c r="M1170" i="2"/>
  <c r="M1162" i="2"/>
  <c r="M1154" i="2"/>
  <c r="M1146" i="2"/>
  <c r="M1138" i="2"/>
  <c r="M1130" i="2"/>
  <c r="P1124" i="2"/>
  <c r="D1120" i="2"/>
  <c r="A1116" i="2"/>
  <c r="F1112" i="2"/>
  <c r="P1108" i="2"/>
  <c r="E1105" i="2"/>
  <c r="S1101" i="2"/>
  <c r="O1098" i="2"/>
  <c r="J1095" i="2"/>
  <c r="F1092" i="2"/>
  <c r="F1089" i="2"/>
  <c r="M1086" i="2"/>
  <c r="S1083" i="2"/>
  <c r="F1081" i="2"/>
  <c r="M1078" i="2"/>
  <c r="S1075" i="2"/>
  <c r="F1073" i="2"/>
  <c r="M1070" i="2"/>
  <c r="S1067" i="2"/>
  <c r="F1065" i="2"/>
  <c r="M1062" i="2"/>
  <c r="S1059" i="2"/>
  <c r="F1057" i="2"/>
  <c r="M1054" i="2"/>
  <c r="S1051" i="2"/>
  <c r="F1049" i="2"/>
  <c r="M1046" i="2"/>
  <c r="S1043" i="2"/>
  <c r="F1041" i="2"/>
  <c r="E1039" i="2"/>
  <c r="O1037" i="2"/>
  <c r="H1036" i="2"/>
  <c r="A1035" i="2"/>
  <c r="O1033" i="2"/>
  <c r="H1032" i="2"/>
  <c r="E1031" i="2"/>
  <c r="T1029" i="2"/>
  <c r="R1028" i="2"/>
  <c r="O1027" i="2"/>
  <c r="M1026" i="2"/>
  <c r="J1025" i="2"/>
  <c r="F1024" i="2"/>
  <c r="E1023" i="2"/>
  <c r="T1021" i="2"/>
  <c r="R1020" i="2"/>
  <c r="O1019" i="2"/>
  <c r="N1018" i="2"/>
  <c r="M1017" i="2"/>
  <c r="N1016" i="2"/>
  <c r="M1015" i="2"/>
  <c r="N1014" i="2"/>
  <c r="P1013" i="2"/>
  <c r="R1012" i="2"/>
  <c r="T1011" i="2"/>
  <c r="E1011" i="2"/>
  <c r="H1010" i="2"/>
  <c r="K1009" i="2"/>
  <c r="P1008" i="2"/>
  <c r="T1007" i="2"/>
  <c r="E1007" i="2"/>
  <c r="J1006" i="2"/>
  <c r="P1005" i="2"/>
  <c r="A1005" i="2"/>
  <c r="F1004" i="2"/>
  <c r="K1003" i="2"/>
  <c r="Q1002" i="2"/>
  <c r="C1002" i="2"/>
  <c r="H1001" i="2"/>
  <c r="N1000" i="2"/>
  <c r="S999" i="2"/>
  <c r="E999" i="2"/>
  <c r="J998" i="2"/>
  <c r="P997" i="2"/>
  <c r="A997" i="2"/>
  <c r="F996" i="2"/>
  <c r="K995" i="2"/>
  <c r="Q994" i="2"/>
  <c r="C994" i="2"/>
  <c r="H993" i="2"/>
  <c r="N992" i="2"/>
  <c r="S991" i="2"/>
  <c r="F991" i="2"/>
  <c r="M990" i="2"/>
  <c r="S989" i="2"/>
  <c r="F989" i="2"/>
  <c r="M988" i="2"/>
  <c r="S987" i="2"/>
  <c r="F987" i="2"/>
  <c r="M986" i="2"/>
  <c r="S985" i="2"/>
  <c r="F985" i="2"/>
  <c r="M984" i="2"/>
  <c r="S983" i="2"/>
  <c r="F983" i="2"/>
  <c r="M982" i="2"/>
  <c r="S981" i="2"/>
  <c r="F981" i="2"/>
  <c r="M980" i="2"/>
  <c r="S979" i="2"/>
  <c r="F979" i="2"/>
  <c r="M978" i="2"/>
  <c r="S977" i="2"/>
  <c r="F977" i="2"/>
  <c r="M976" i="2"/>
  <c r="S975" i="2"/>
  <c r="F975" i="2"/>
  <c r="M974" i="2"/>
  <c r="S973" i="2"/>
  <c r="F973" i="2"/>
  <c r="M972" i="2"/>
  <c r="S971" i="2"/>
  <c r="F971" i="2"/>
  <c r="M970" i="2"/>
  <c r="S969" i="2"/>
  <c r="F969" i="2"/>
  <c r="M968" i="2"/>
  <c r="S967" i="2"/>
  <c r="F967" i="2"/>
  <c r="M966" i="2"/>
  <c r="S965" i="2"/>
  <c r="F965" i="2"/>
  <c r="M964" i="2"/>
  <c r="S963" i="2"/>
  <c r="F963" i="2"/>
  <c r="M962" i="2"/>
  <c r="S961" i="2"/>
  <c r="F961" i="2"/>
  <c r="M960" i="2"/>
  <c r="S959" i="2"/>
  <c r="F959" i="2"/>
  <c r="M958" i="2"/>
  <c r="S957" i="2"/>
  <c r="F957" i="2"/>
  <c r="M956" i="2"/>
  <c r="S955" i="2"/>
  <c r="F955" i="2"/>
  <c r="M954" i="2"/>
  <c r="S953" i="2"/>
  <c r="F953" i="2"/>
  <c r="M952" i="2"/>
  <c r="S951" i="2"/>
  <c r="F951" i="2"/>
  <c r="M950" i="2"/>
  <c r="S949" i="2"/>
  <c r="F949" i="2"/>
  <c r="M948" i="2"/>
  <c r="S947" i="2"/>
  <c r="F947" i="2"/>
  <c r="M946" i="2"/>
  <c r="S945" i="2"/>
  <c r="F945" i="2"/>
  <c r="M944" i="2"/>
  <c r="S943" i="2"/>
  <c r="F943" i="2"/>
  <c r="M942" i="2"/>
  <c r="S941" i="2"/>
  <c r="F941" i="2"/>
  <c r="M940" i="2"/>
  <c r="S939" i="2"/>
  <c r="F939" i="2"/>
  <c r="M938" i="2"/>
  <c r="S937" i="2"/>
  <c r="F937" i="2"/>
  <c r="M936" i="2"/>
  <c r="S935" i="2"/>
  <c r="F935" i="2"/>
  <c r="M934" i="2"/>
  <c r="S933" i="2"/>
  <c r="F933" i="2"/>
  <c r="M932" i="2"/>
  <c r="S931" i="2"/>
  <c r="F931" i="2"/>
  <c r="M930" i="2"/>
  <c r="S929" i="2"/>
  <c r="F929" i="2"/>
  <c r="M928" i="2"/>
  <c r="S927" i="2"/>
  <c r="F927" i="2"/>
  <c r="M926" i="2"/>
  <c r="S925" i="2"/>
  <c r="F925" i="2"/>
  <c r="M924" i="2"/>
  <c r="S923" i="2"/>
  <c r="F923" i="2"/>
  <c r="M922" i="2"/>
  <c r="S921" i="2"/>
  <c r="F921" i="2"/>
  <c r="M920" i="2"/>
  <c r="S919" i="2"/>
  <c r="F919" i="2"/>
  <c r="M918" i="2"/>
  <c r="S917" i="2"/>
  <c r="F917" i="2"/>
  <c r="M916" i="2"/>
  <c r="S915" i="2"/>
  <c r="F915" i="2"/>
  <c r="M914" i="2"/>
  <c r="S913" i="2"/>
  <c r="F913" i="2"/>
  <c r="M912" i="2"/>
  <c r="S911" i="2"/>
  <c r="F911" i="2"/>
  <c r="M910" i="2"/>
  <c r="S909" i="2"/>
  <c r="F909" i="2"/>
  <c r="M908" i="2"/>
  <c r="S907" i="2"/>
  <c r="F907" i="2"/>
  <c r="M906" i="2"/>
  <c r="S905" i="2"/>
  <c r="D1279" i="2"/>
  <c r="J1247" i="2"/>
  <c r="D1235" i="2"/>
  <c r="K1226" i="2"/>
  <c r="K1218" i="2"/>
  <c r="K1210" i="2"/>
  <c r="K1202" i="2"/>
  <c r="K1194" i="2"/>
  <c r="K1186" i="2"/>
  <c r="K1178" i="2"/>
  <c r="K1170" i="2"/>
  <c r="K1162" i="2"/>
  <c r="K1154" i="2"/>
  <c r="K1146" i="2"/>
  <c r="K1138" i="2"/>
  <c r="K1130" i="2"/>
  <c r="M1124" i="2"/>
  <c r="C1120" i="2"/>
  <c r="S1115" i="2"/>
  <c r="E1112" i="2"/>
  <c r="O1108" i="2"/>
  <c r="D1105" i="2"/>
  <c r="R1101" i="2"/>
  <c r="N1098" i="2"/>
  <c r="E1092" i="2"/>
  <c r="E1089" i="2"/>
  <c r="K1086" i="2"/>
  <c r="R1083" i="2"/>
  <c r="E1081" i="2"/>
  <c r="K1078" i="2"/>
  <c r="R1075" i="2"/>
  <c r="E1073" i="2"/>
  <c r="K1070" i="2"/>
  <c r="R1067" i="2"/>
  <c r="E1065" i="2"/>
  <c r="K1062" i="2"/>
  <c r="R1059" i="2"/>
  <c r="E1057" i="2"/>
  <c r="K1054" i="2"/>
  <c r="R1051" i="2"/>
  <c r="E1049" i="2"/>
  <c r="K1046" i="2"/>
  <c r="R1043" i="2"/>
  <c r="E1041" i="2"/>
  <c r="A1039" i="2"/>
  <c r="K1037" i="2"/>
  <c r="E1036" i="2"/>
  <c r="R1034" i="2"/>
  <c r="K1033" i="2"/>
  <c r="E1032" i="2"/>
  <c r="A1031" i="2"/>
  <c r="S1029" i="2"/>
  <c r="Q1028" i="2"/>
  <c r="M1027" i="2"/>
  <c r="K1026" i="2"/>
  <c r="G1025" i="2"/>
  <c r="E1024" i="2"/>
  <c r="A1023" i="2"/>
  <c r="S1021" i="2"/>
  <c r="Q1020" i="2"/>
  <c r="M1019" i="2"/>
  <c r="M1018" i="2"/>
  <c r="K1017" i="2"/>
  <c r="M1016" i="2"/>
  <c r="K1015" i="2"/>
  <c r="M1014" i="2"/>
  <c r="O1013" i="2"/>
  <c r="Q1012" i="2"/>
  <c r="S1011" i="2"/>
  <c r="C1011" i="2"/>
  <c r="F1010" i="2"/>
  <c r="J1009" i="2"/>
  <c r="O1008" i="2"/>
  <c r="S1007" i="2"/>
  <c r="D1007" i="2"/>
  <c r="O1005" i="2"/>
  <c r="S1004" i="2"/>
  <c r="E1004" i="2"/>
  <c r="J1003" i="2"/>
  <c r="P1002" i="2"/>
  <c r="A1002" i="2"/>
  <c r="G1001" i="2"/>
  <c r="M1000" i="2"/>
  <c r="R999" i="2"/>
  <c r="D999" i="2"/>
  <c r="O997" i="2"/>
  <c r="S996" i="2"/>
  <c r="E996" i="2"/>
  <c r="J995" i="2"/>
  <c r="P994" i="2"/>
  <c r="A994" i="2"/>
  <c r="G993" i="2"/>
  <c r="M992" i="2"/>
  <c r="R991" i="2"/>
  <c r="E991" i="2"/>
  <c r="K990" i="2"/>
  <c r="R989" i="2"/>
  <c r="E989" i="2"/>
  <c r="K988" i="2"/>
  <c r="R987" i="2"/>
  <c r="E987" i="2"/>
  <c r="K986" i="2"/>
  <c r="R985" i="2"/>
  <c r="E985" i="2"/>
  <c r="K984" i="2"/>
  <c r="R983" i="2"/>
  <c r="E983" i="2"/>
  <c r="K982" i="2"/>
  <c r="R981" i="2"/>
  <c r="E981" i="2"/>
  <c r="K980" i="2"/>
  <c r="R979" i="2"/>
  <c r="E979" i="2"/>
  <c r="K978" i="2"/>
  <c r="R977" i="2"/>
  <c r="E977" i="2"/>
  <c r="K976" i="2"/>
  <c r="R975" i="2"/>
  <c r="E975" i="2"/>
  <c r="K974" i="2"/>
  <c r="R973" i="2"/>
  <c r="E973" i="2"/>
  <c r="K972" i="2"/>
  <c r="R971" i="2"/>
  <c r="E971" i="2"/>
  <c r="K970" i="2"/>
  <c r="R969" i="2"/>
  <c r="E969" i="2"/>
  <c r="K968" i="2"/>
  <c r="R967" i="2"/>
  <c r="E967" i="2"/>
  <c r="K966" i="2"/>
  <c r="R965" i="2"/>
  <c r="E965" i="2"/>
  <c r="K964" i="2"/>
  <c r="R963" i="2"/>
  <c r="E963" i="2"/>
  <c r="K962" i="2"/>
  <c r="R961" i="2"/>
  <c r="E961" i="2"/>
  <c r="K960" i="2"/>
  <c r="R959" i="2"/>
  <c r="E959" i="2"/>
  <c r="K958" i="2"/>
  <c r="R957" i="2"/>
  <c r="E957" i="2"/>
  <c r="K956" i="2"/>
  <c r="R955" i="2"/>
  <c r="E955" i="2"/>
  <c r="K954" i="2"/>
  <c r="R953" i="2"/>
  <c r="E953" i="2"/>
  <c r="K952" i="2"/>
  <c r="R951" i="2"/>
  <c r="E951" i="2"/>
  <c r="K950" i="2"/>
  <c r="R949" i="2"/>
  <c r="E949" i="2"/>
  <c r="K948" i="2"/>
  <c r="R947" i="2"/>
  <c r="E947" i="2"/>
  <c r="K946" i="2"/>
  <c r="R945" i="2"/>
  <c r="E945" i="2"/>
  <c r="K944" i="2"/>
  <c r="R943" i="2"/>
  <c r="E943" i="2"/>
  <c r="K942" i="2"/>
  <c r="R941" i="2"/>
  <c r="E941" i="2"/>
  <c r="K940" i="2"/>
  <c r="R939" i="2"/>
  <c r="E939" i="2"/>
  <c r="K938" i="2"/>
  <c r="R937" i="2"/>
  <c r="E937" i="2"/>
  <c r="K936" i="2"/>
  <c r="R935" i="2"/>
  <c r="E935" i="2"/>
  <c r="K934" i="2"/>
  <c r="R933" i="2"/>
  <c r="E933" i="2"/>
  <c r="K932" i="2"/>
  <c r="R931" i="2"/>
  <c r="E931" i="2"/>
  <c r="K930" i="2"/>
  <c r="R929" i="2"/>
  <c r="E929" i="2"/>
  <c r="K928" i="2"/>
  <c r="R927" i="2"/>
  <c r="E927" i="2"/>
  <c r="K926" i="2"/>
  <c r="R925" i="2"/>
  <c r="E925" i="2"/>
  <c r="K924" i="2"/>
  <c r="R923" i="2"/>
  <c r="E923" i="2"/>
  <c r="K922" i="2"/>
  <c r="R921" i="2"/>
  <c r="E921" i="2"/>
  <c r="K920" i="2"/>
  <c r="R919" i="2"/>
  <c r="E919" i="2"/>
  <c r="K918" i="2"/>
  <c r="R917" i="2"/>
  <c r="E917" i="2"/>
  <c r="K916" i="2"/>
  <c r="R915" i="2"/>
  <c r="E915" i="2"/>
  <c r="K1332" i="2"/>
  <c r="R1272" i="2"/>
  <c r="P1244" i="2"/>
  <c r="E1233" i="2"/>
  <c r="C1225" i="2"/>
  <c r="C1217" i="2"/>
  <c r="C1209" i="2"/>
  <c r="C1201" i="2"/>
  <c r="C1193" i="2"/>
  <c r="C1185" i="2"/>
  <c r="C1177" i="2"/>
  <c r="C1169" i="2"/>
  <c r="C1161" i="2"/>
  <c r="C1153" i="2"/>
  <c r="C1145" i="2"/>
  <c r="C1137" i="2"/>
  <c r="C1129" i="2"/>
  <c r="P1123" i="2"/>
  <c r="D1119" i="2"/>
  <c r="D1115" i="2"/>
  <c r="J1111" i="2"/>
  <c r="S1107" i="2"/>
  <c r="E1101" i="2"/>
  <c r="T1097" i="2"/>
  <c r="P1094" i="2"/>
  <c r="K1091" i="2"/>
  <c r="N1088" i="2"/>
  <c r="T1085" i="2"/>
  <c r="G1083" i="2"/>
  <c r="N1080" i="2"/>
  <c r="T1077" i="2"/>
  <c r="G1075" i="2"/>
  <c r="N1072" i="2"/>
  <c r="T1069" i="2"/>
  <c r="G1067" i="2"/>
  <c r="N1064" i="2"/>
  <c r="T1061" i="2"/>
  <c r="G1059" i="2"/>
  <c r="N1056" i="2"/>
  <c r="T1053" i="2"/>
  <c r="G1051" i="2"/>
  <c r="N1048" i="2"/>
  <c r="T1045" i="2"/>
  <c r="G1043" i="2"/>
  <c r="N1040" i="2"/>
  <c r="R1038" i="2"/>
  <c r="J1037" i="2"/>
  <c r="D1036" i="2"/>
  <c r="Q1034" i="2"/>
  <c r="J1033" i="2"/>
  <c r="D1032" i="2"/>
  <c r="S1030" i="2"/>
  <c r="R1029" i="2"/>
  <c r="N1028" i="2"/>
  <c r="K1027" i="2"/>
  <c r="H1026" i="2"/>
  <c r="F1025" i="2"/>
  <c r="D1024" i="2"/>
  <c r="S1022" i="2"/>
  <c r="R1021" i="2"/>
  <c r="N1020" i="2"/>
  <c r="K1019" i="2"/>
  <c r="K1018" i="2"/>
  <c r="J1017" i="2"/>
  <c r="K1016" i="2"/>
  <c r="J1015" i="2"/>
  <c r="K1014" i="2"/>
  <c r="M1013" i="2"/>
  <c r="P1012" i="2"/>
  <c r="R1011" i="2"/>
  <c r="A1011" i="2"/>
  <c r="E1010" i="2"/>
  <c r="N1008" i="2"/>
  <c r="R1007" i="2"/>
  <c r="C1007" i="2"/>
  <c r="H1006" i="2"/>
  <c r="M1005" i="2"/>
  <c r="R1004" i="2"/>
  <c r="D1004" i="2"/>
  <c r="O1002" i="2"/>
  <c r="T1001" i="2"/>
  <c r="F1001" i="2"/>
  <c r="K1000" i="2"/>
  <c r="Q999" i="2"/>
  <c r="C999" i="2"/>
  <c r="H998" i="2"/>
  <c r="M997" i="2"/>
  <c r="R996" i="2"/>
  <c r="D996" i="2"/>
  <c r="O994" i="2"/>
  <c r="T993" i="2"/>
  <c r="F993" i="2"/>
  <c r="K992" i="2"/>
  <c r="Q991" i="2"/>
  <c r="D991" i="2"/>
  <c r="J990" i="2"/>
  <c r="Q989" i="2"/>
  <c r="D989" i="2"/>
  <c r="J988" i="2"/>
  <c r="Q987" i="2"/>
  <c r="D987" i="2"/>
  <c r="J986" i="2"/>
  <c r="Q985" i="2"/>
  <c r="D985" i="2"/>
  <c r="J984" i="2"/>
  <c r="Q983" i="2"/>
  <c r="D983" i="2"/>
  <c r="J982" i="2"/>
  <c r="Q981" i="2"/>
  <c r="D981" i="2"/>
  <c r="J980" i="2"/>
  <c r="Q979" i="2"/>
  <c r="D979" i="2"/>
  <c r="J978" i="2"/>
  <c r="Q977" i="2"/>
  <c r="D977" i="2"/>
  <c r="J976" i="2"/>
  <c r="Q975" i="2"/>
  <c r="D975" i="2"/>
  <c r="J974" i="2"/>
  <c r="Q973" i="2"/>
  <c r="D973" i="2"/>
  <c r="J972" i="2"/>
  <c r="Q971" i="2"/>
  <c r="D971" i="2"/>
  <c r="J970" i="2"/>
  <c r="Q969" i="2"/>
  <c r="D969" i="2"/>
  <c r="J968" i="2"/>
  <c r="Q967" i="2"/>
  <c r="D967" i="2"/>
  <c r="J966" i="2"/>
  <c r="Q965" i="2"/>
  <c r="D965" i="2"/>
  <c r="J964" i="2"/>
  <c r="Q963" i="2"/>
  <c r="D963" i="2"/>
  <c r="J962" i="2"/>
  <c r="Q961" i="2"/>
  <c r="D961" i="2"/>
  <c r="J960" i="2"/>
  <c r="Q959" i="2"/>
  <c r="D959" i="2"/>
  <c r="J958" i="2"/>
  <c r="Q957" i="2"/>
  <c r="D957" i="2"/>
  <c r="J956" i="2"/>
  <c r="Q955" i="2"/>
  <c r="D955" i="2"/>
  <c r="J954" i="2"/>
  <c r="Q953" i="2"/>
  <c r="D953" i="2"/>
  <c r="J952" i="2"/>
  <c r="Q951" i="2"/>
  <c r="D951" i="2"/>
  <c r="J950" i="2"/>
  <c r="Q949" i="2"/>
  <c r="D949" i="2"/>
  <c r="J948" i="2"/>
  <c r="Q947" i="2"/>
  <c r="D947" i="2"/>
  <c r="J946" i="2"/>
  <c r="Q945" i="2"/>
  <c r="D945" i="2"/>
  <c r="J944" i="2"/>
  <c r="Q943" i="2"/>
  <c r="D943" i="2"/>
  <c r="J942" i="2"/>
  <c r="Q941" i="2"/>
  <c r="D941" i="2"/>
  <c r="J940" i="2"/>
  <c r="Q939" i="2"/>
  <c r="D939" i="2"/>
  <c r="J938" i="2"/>
  <c r="Q937" i="2"/>
  <c r="D937" i="2"/>
  <c r="J936" i="2"/>
  <c r="Q935" i="2"/>
  <c r="D935" i="2"/>
  <c r="J934" i="2"/>
  <c r="Q933" i="2"/>
  <c r="D933" i="2"/>
  <c r="J932" i="2"/>
  <c r="Q931" i="2"/>
  <c r="D931" i="2"/>
  <c r="J930" i="2"/>
  <c r="Q929" i="2"/>
  <c r="D929" i="2"/>
  <c r="J928" i="2"/>
  <c r="Q927" i="2"/>
  <c r="D927" i="2"/>
  <c r="J926" i="2"/>
  <c r="Q925" i="2"/>
  <c r="D925" i="2"/>
  <c r="J924" i="2"/>
  <c r="Q923" i="2"/>
  <c r="D923" i="2"/>
  <c r="J922" i="2"/>
  <c r="Q921" i="2"/>
  <c r="D921" i="2"/>
  <c r="J920" i="2"/>
  <c r="Q919" i="2"/>
  <c r="D919" i="2"/>
  <c r="J918" i="2"/>
  <c r="Q917" i="2"/>
  <c r="D917" i="2"/>
  <c r="J916" i="2"/>
  <c r="Q915" i="2"/>
  <c r="D915" i="2"/>
  <c r="J914" i="2"/>
  <c r="Q913" i="2"/>
  <c r="D913" i="2"/>
  <c r="J912" i="2"/>
  <c r="K1324" i="2"/>
  <c r="R1270" i="2"/>
  <c r="R1243" i="2"/>
  <c r="O1232" i="2"/>
  <c r="M1224" i="2"/>
  <c r="M1216" i="2"/>
  <c r="M1208" i="2"/>
  <c r="M1200" i="2"/>
  <c r="M1192" i="2"/>
  <c r="M1184" i="2"/>
  <c r="M1176" i="2"/>
  <c r="M1168" i="2"/>
  <c r="M1160" i="2"/>
  <c r="M1152" i="2"/>
  <c r="M1144" i="2"/>
  <c r="M1136" i="2"/>
  <c r="S1128" i="2"/>
  <c r="M1123" i="2"/>
  <c r="C1119" i="2"/>
  <c r="C1115" i="2"/>
  <c r="R1107" i="2"/>
  <c r="F1104" i="2"/>
  <c r="D1101" i="2"/>
  <c r="S1097" i="2"/>
  <c r="O1094" i="2"/>
  <c r="J1091" i="2"/>
  <c r="M1088" i="2"/>
  <c r="S1085" i="2"/>
  <c r="F1083" i="2"/>
  <c r="M1080" i="2"/>
  <c r="S1077" i="2"/>
  <c r="F1075" i="2"/>
  <c r="M1072" i="2"/>
  <c r="S1069" i="2"/>
  <c r="F1067" i="2"/>
  <c r="M1064" i="2"/>
  <c r="S1061" i="2"/>
  <c r="F1059" i="2"/>
  <c r="M1056" i="2"/>
  <c r="S1053" i="2"/>
  <c r="F1051" i="2"/>
  <c r="M1048" i="2"/>
  <c r="S1045" i="2"/>
  <c r="F1043" i="2"/>
  <c r="M1040" i="2"/>
  <c r="N1038" i="2"/>
  <c r="G1037" i="2"/>
  <c r="T1035" i="2"/>
  <c r="N1034" i="2"/>
  <c r="G1033" i="2"/>
  <c r="T1031" i="2"/>
  <c r="R1030" i="2"/>
  <c r="O1029" i="2"/>
  <c r="M1028" i="2"/>
  <c r="J1027" i="2"/>
  <c r="F1026" i="2"/>
  <c r="E1025" i="2"/>
  <c r="T1023" i="2"/>
  <c r="R1022" i="2"/>
  <c r="O1021" i="2"/>
  <c r="M1020" i="2"/>
  <c r="J1019" i="2"/>
  <c r="H1018" i="2"/>
  <c r="H1016" i="2"/>
  <c r="K1013" i="2"/>
  <c r="N1012" i="2"/>
  <c r="P1011" i="2"/>
  <c r="S1010" i="2"/>
  <c r="D1010" i="2"/>
  <c r="H1009" i="2"/>
  <c r="M1008" i="2"/>
  <c r="P1007" i="2"/>
  <c r="A1007" i="2"/>
  <c r="F1006" i="2"/>
  <c r="K1005" i="2"/>
  <c r="Q1004" i="2"/>
  <c r="C1004" i="2"/>
  <c r="H1003" i="2"/>
  <c r="N1002" i="2"/>
  <c r="S1001" i="2"/>
  <c r="E1001" i="2"/>
  <c r="J1000" i="2"/>
  <c r="P999" i="2"/>
  <c r="A999" i="2"/>
  <c r="F998" i="2"/>
  <c r="K997" i="2"/>
  <c r="Q996" i="2"/>
  <c r="C996" i="2"/>
  <c r="H995" i="2"/>
  <c r="N994" i="2"/>
  <c r="S993" i="2"/>
  <c r="E993" i="2"/>
  <c r="J992" i="2"/>
  <c r="P991" i="2"/>
  <c r="C991" i="2"/>
  <c r="P989" i="2"/>
  <c r="C989" i="2"/>
  <c r="P987" i="2"/>
  <c r="C987" i="2"/>
  <c r="P985" i="2"/>
  <c r="C985" i="2"/>
  <c r="P983" i="2"/>
  <c r="C983" i="2"/>
  <c r="P981" i="2"/>
  <c r="C981" i="2"/>
  <c r="P979" i="2"/>
  <c r="C979" i="2"/>
  <c r="P977" i="2"/>
  <c r="C977" i="2"/>
  <c r="P975" i="2"/>
  <c r="C975" i="2"/>
  <c r="P973" i="2"/>
  <c r="C973" i="2"/>
  <c r="P971" i="2"/>
  <c r="C971" i="2"/>
  <c r="P969" i="2"/>
  <c r="C969" i="2"/>
  <c r="P967" i="2"/>
  <c r="C967" i="2"/>
  <c r="P965" i="2"/>
  <c r="C965" i="2"/>
  <c r="P963" i="2"/>
  <c r="C963" i="2"/>
  <c r="P961" i="2"/>
  <c r="C961" i="2"/>
  <c r="P959" i="2"/>
  <c r="C959" i="2"/>
  <c r="P957" i="2"/>
  <c r="C957" i="2"/>
  <c r="P955" i="2"/>
  <c r="C955" i="2"/>
  <c r="P953" i="2"/>
  <c r="C953" i="2"/>
  <c r="P951" i="2"/>
  <c r="C951" i="2"/>
  <c r="P949" i="2"/>
  <c r="C949" i="2"/>
  <c r="P947" i="2"/>
  <c r="C947" i="2"/>
  <c r="P945" i="2"/>
  <c r="C945" i="2"/>
  <c r="P943" i="2"/>
  <c r="C943" i="2"/>
  <c r="P941" i="2"/>
  <c r="C941" i="2"/>
  <c r="P939" i="2"/>
  <c r="C939" i="2"/>
  <c r="P937" i="2"/>
  <c r="C937" i="2"/>
  <c r="P935" i="2"/>
  <c r="C935" i="2"/>
  <c r="P933" i="2"/>
  <c r="C933" i="2"/>
  <c r="P931" i="2"/>
  <c r="C931" i="2"/>
  <c r="P929" i="2"/>
  <c r="C929" i="2"/>
  <c r="P927" i="2"/>
  <c r="C927" i="2"/>
  <c r="P925" i="2"/>
  <c r="C925" i="2"/>
  <c r="P923" i="2"/>
  <c r="C923" i="2"/>
  <c r="P921" i="2"/>
  <c r="C921" i="2"/>
  <c r="P919" i="2"/>
  <c r="C919" i="2"/>
  <c r="P917" i="2"/>
  <c r="C917" i="2"/>
  <c r="P915" i="2"/>
  <c r="C915" i="2"/>
  <c r="P913" i="2"/>
  <c r="C913" i="2"/>
  <c r="P911" i="2"/>
  <c r="C911" i="2"/>
  <c r="P909" i="2"/>
  <c r="C909" i="2"/>
  <c r="J1324" i="2"/>
  <c r="Q1270" i="2"/>
  <c r="Q1243" i="2"/>
  <c r="N1232" i="2"/>
  <c r="K1224" i="2"/>
  <c r="K1216" i="2"/>
  <c r="K1208" i="2"/>
  <c r="K1200" i="2"/>
  <c r="K1192" i="2"/>
  <c r="K1184" i="2"/>
  <c r="K1176" i="2"/>
  <c r="K1168" i="2"/>
  <c r="K1160" i="2"/>
  <c r="K1152" i="2"/>
  <c r="K1144" i="2"/>
  <c r="K1136" i="2"/>
  <c r="M1128" i="2"/>
  <c r="J1123" i="2"/>
  <c r="S1118" i="2"/>
  <c r="S1114" i="2"/>
  <c r="H1111" i="2"/>
  <c r="Q1107" i="2"/>
  <c r="E1104" i="2"/>
  <c r="C1101" i="2"/>
  <c r="R1097" i="2"/>
  <c r="N1094" i="2"/>
  <c r="K1088" i="2"/>
  <c r="R1085" i="2"/>
  <c r="E1083" i="2"/>
  <c r="K1080" i="2"/>
  <c r="R1077" i="2"/>
  <c r="E1075" i="2"/>
  <c r="K1072" i="2"/>
  <c r="R1069" i="2"/>
  <c r="E1067" i="2"/>
  <c r="K1064" i="2"/>
  <c r="R1061" i="2"/>
  <c r="E1059" i="2"/>
  <c r="K1056" i="2"/>
  <c r="R1053" i="2"/>
  <c r="E1051" i="2"/>
  <c r="K1048" i="2"/>
  <c r="R1045" i="2"/>
  <c r="E1043" i="2"/>
  <c r="K1040" i="2"/>
  <c r="M1038" i="2"/>
  <c r="F1037" i="2"/>
  <c r="S1035" i="2"/>
  <c r="M1034" i="2"/>
  <c r="F1033" i="2"/>
  <c r="S1031" i="2"/>
  <c r="Q1030" i="2"/>
  <c r="M1029" i="2"/>
  <c r="K1028" i="2"/>
  <c r="G1027" i="2"/>
  <c r="E1026" i="2"/>
  <c r="A1025" i="2"/>
  <c r="S1023" i="2"/>
  <c r="Q1022" i="2"/>
  <c r="M1021" i="2"/>
  <c r="K1020" i="2"/>
  <c r="G1019" i="2"/>
  <c r="F1018" i="2"/>
  <c r="G1017" i="2"/>
  <c r="F1016" i="2"/>
  <c r="G1015" i="2"/>
  <c r="H1014" i="2"/>
  <c r="J1013" i="2"/>
  <c r="M1012" i="2"/>
  <c r="O1011" i="2"/>
  <c r="R1010" i="2"/>
  <c r="C1010" i="2"/>
  <c r="G1009" i="2"/>
  <c r="K1008" i="2"/>
  <c r="O1007" i="2"/>
  <c r="S1006" i="2"/>
  <c r="E1006" i="2"/>
  <c r="J1005" i="2"/>
  <c r="P1004" i="2"/>
  <c r="A1004" i="2"/>
  <c r="G1003" i="2"/>
  <c r="M1002" i="2"/>
  <c r="R1001" i="2"/>
  <c r="D1001" i="2"/>
  <c r="O999" i="2"/>
  <c r="S998" i="2"/>
  <c r="E998" i="2"/>
  <c r="J997" i="2"/>
  <c r="P996" i="2"/>
  <c r="A996" i="2"/>
  <c r="G995" i="2"/>
  <c r="M994" i="2"/>
  <c r="R993" i="2"/>
  <c r="D993" i="2"/>
  <c r="O991" i="2"/>
  <c r="A991" i="2"/>
  <c r="H990" i="2"/>
  <c r="O989" i="2"/>
  <c r="A989" i="2"/>
  <c r="H988" i="2"/>
  <c r="O987" i="2"/>
  <c r="A987" i="2"/>
  <c r="H986" i="2"/>
  <c r="O985" i="2"/>
  <c r="A985" i="2"/>
  <c r="H984" i="2"/>
  <c r="O983" i="2"/>
  <c r="A983" i="2"/>
  <c r="H982" i="2"/>
  <c r="O981" i="2"/>
  <c r="A981" i="2"/>
  <c r="H980" i="2"/>
  <c r="O979" i="2"/>
  <c r="A979" i="2"/>
  <c r="H978" i="2"/>
  <c r="O977" i="2"/>
  <c r="A977" i="2"/>
  <c r="H976" i="2"/>
  <c r="O975" i="2"/>
  <c r="A975" i="2"/>
  <c r="H974" i="2"/>
  <c r="O973" i="2"/>
  <c r="A973" i="2"/>
  <c r="H972" i="2"/>
  <c r="O971" i="2"/>
  <c r="A971" i="2"/>
  <c r="H970" i="2"/>
  <c r="O969" i="2"/>
  <c r="A969" i="2"/>
  <c r="H968" i="2"/>
  <c r="O967" i="2"/>
  <c r="A967" i="2"/>
  <c r="H966" i="2"/>
  <c r="O965" i="2"/>
  <c r="A965" i="2"/>
  <c r="H964" i="2"/>
  <c r="O963" i="2"/>
  <c r="A963" i="2"/>
  <c r="H962" i="2"/>
  <c r="O961" i="2"/>
  <c r="A961" i="2"/>
  <c r="H960" i="2"/>
  <c r="O959" i="2"/>
  <c r="A959" i="2"/>
  <c r="H958" i="2"/>
  <c r="O957" i="2"/>
  <c r="A957" i="2"/>
  <c r="H956" i="2"/>
  <c r="O955" i="2"/>
  <c r="A955" i="2"/>
  <c r="H954" i="2"/>
  <c r="O953" i="2"/>
  <c r="A953" i="2"/>
  <c r="H952" i="2"/>
  <c r="O951" i="2"/>
  <c r="A951" i="2"/>
  <c r="H950" i="2"/>
  <c r="O949" i="2"/>
  <c r="A949" i="2"/>
  <c r="H948" i="2"/>
  <c r="O947" i="2"/>
  <c r="A947" i="2"/>
  <c r="H946" i="2"/>
  <c r="O945" i="2"/>
  <c r="A945" i="2"/>
  <c r="H944" i="2"/>
  <c r="O943" i="2"/>
  <c r="A943" i="2"/>
  <c r="H942" i="2"/>
  <c r="O941" i="2"/>
  <c r="A941" i="2"/>
  <c r="H940" i="2"/>
  <c r="O939" i="2"/>
  <c r="A939" i="2"/>
  <c r="H938" i="2"/>
  <c r="O937" i="2"/>
  <c r="A937" i="2"/>
  <c r="H936" i="2"/>
  <c r="O935" i="2"/>
  <c r="A935" i="2"/>
  <c r="H934" i="2"/>
  <c r="O933" i="2"/>
  <c r="A933" i="2"/>
  <c r="H932" i="2"/>
  <c r="O931" i="2"/>
  <c r="A931" i="2"/>
  <c r="H930" i="2"/>
  <c r="O929" i="2"/>
  <c r="A929" i="2"/>
  <c r="H928" i="2"/>
  <c r="O927" i="2"/>
  <c r="A927" i="2"/>
  <c r="H926" i="2"/>
  <c r="O925" i="2"/>
  <c r="A925" i="2"/>
  <c r="H924" i="2"/>
  <c r="O923" i="2"/>
  <c r="A923" i="2"/>
  <c r="H922" i="2"/>
  <c r="O921" i="2"/>
  <c r="A921" i="2"/>
  <c r="H920" i="2"/>
  <c r="O919" i="2"/>
  <c r="A919" i="2"/>
  <c r="H918" i="2"/>
  <c r="O917" i="2"/>
  <c r="A917" i="2"/>
  <c r="H916" i="2"/>
  <c r="O915" i="2"/>
  <c r="A915" i="2"/>
  <c r="H914" i="2"/>
  <c r="O913" i="2"/>
  <c r="A913" i="2"/>
  <c r="H912" i="2"/>
  <c r="O911" i="2"/>
  <c r="A911" i="2"/>
  <c r="H910" i="2"/>
  <c r="O909" i="2"/>
  <c r="A909" i="2"/>
  <c r="H908" i="2"/>
  <c r="O907" i="2"/>
  <c r="A907" i="2"/>
  <c r="H906" i="2"/>
  <c r="O905" i="2"/>
  <c r="A905" i="2"/>
  <c r="H904" i="2"/>
  <c r="O903" i="2"/>
  <c r="A903" i="2"/>
  <c r="H902" i="2"/>
  <c r="O901" i="2"/>
  <c r="A901" i="2"/>
  <c r="H900" i="2"/>
  <c r="O899" i="2"/>
  <c r="A899" i="2"/>
  <c r="H898" i="2"/>
  <c r="O897" i="2"/>
  <c r="A897" i="2"/>
  <c r="H896" i="2"/>
  <c r="O895" i="2"/>
  <c r="A895" i="2"/>
  <c r="H894" i="2"/>
  <c r="O893" i="2"/>
  <c r="A893" i="2"/>
  <c r="H892" i="2"/>
  <c r="O891" i="2"/>
  <c r="A891" i="2"/>
  <c r="H890" i="2"/>
  <c r="O889" i="2"/>
  <c r="P1288" i="2"/>
  <c r="R1254" i="2"/>
  <c r="R1237" i="2"/>
  <c r="M1228" i="2"/>
  <c r="M1220" i="2"/>
  <c r="M1212" i="2"/>
  <c r="M1204" i="2"/>
  <c r="M1196" i="2"/>
  <c r="M1188" i="2"/>
  <c r="M1180" i="2"/>
  <c r="M1172" i="2"/>
  <c r="M1164" i="2"/>
  <c r="M1156" i="2"/>
  <c r="M1148" i="2"/>
  <c r="M1140" i="2"/>
  <c r="M1132" i="2"/>
  <c r="C1126" i="2"/>
  <c r="F1121" i="2"/>
  <c r="C1117" i="2"/>
  <c r="E1113" i="2"/>
  <c r="M1109" i="2"/>
  <c r="C1106" i="2"/>
  <c r="O1102" i="2"/>
  <c r="J1099" i="2"/>
  <c r="F1096" i="2"/>
  <c r="D1093" i="2"/>
  <c r="S1089" i="2"/>
  <c r="F1087" i="2"/>
  <c r="M1084" i="2"/>
  <c r="S1081" i="2"/>
  <c r="F1079" i="2"/>
  <c r="M1076" i="2"/>
  <c r="S1073" i="2"/>
  <c r="F1071" i="2"/>
  <c r="M1068" i="2"/>
  <c r="S1065" i="2"/>
  <c r="F1063" i="2"/>
  <c r="M1060" i="2"/>
  <c r="S1057" i="2"/>
  <c r="F1055" i="2"/>
  <c r="M1052" i="2"/>
  <c r="S1049" i="2"/>
  <c r="F1047" i="2"/>
  <c r="M1044" i="2"/>
  <c r="S1041" i="2"/>
  <c r="K1039" i="2"/>
  <c r="T1037" i="2"/>
  <c r="N1036" i="2"/>
  <c r="G1035" i="2"/>
  <c r="T1033" i="2"/>
  <c r="N1032" i="2"/>
  <c r="J1031" i="2"/>
  <c r="F1030" i="2"/>
  <c r="E1029" i="2"/>
  <c r="T1027" i="2"/>
  <c r="R1026" i="2"/>
  <c r="O1025" i="2"/>
  <c r="M1024" i="2"/>
  <c r="J1023" i="2"/>
  <c r="F1022" i="2"/>
  <c r="E1021" i="2"/>
  <c r="T1019" i="2"/>
  <c r="R1018" i="2"/>
  <c r="S1017" i="2"/>
  <c r="R1016" i="2"/>
  <c r="S1015" i="2"/>
  <c r="R1014" i="2"/>
  <c r="T1013" i="2"/>
  <c r="C1013" i="2"/>
  <c r="E1012" i="2"/>
  <c r="H1011" i="2"/>
  <c r="M1010" i="2"/>
  <c r="P1009" i="2"/>
  <c r="S1008" i="2"/>
  <c r="D1008" i="2"/>
  <c r="H1007" i="2"/>
  <c r="N1006" i="2"/>
  <c r="S1005" i="2"/>
  <c r="E1005" i="2"/>
  <c r="J1004" i="2"/>
  <c r="P1003" i="2"/>
  <c r="A1003" i="2"/>
  <c r="F1002" i="2"/>
  <c r="K1001" i="2"/>
  <c r="Q1000" i="2"/>
  <c r="C1000" i="2"/>
  <c r="H999" i="2"/>
  <c r="N998" i="2"/>
  <c r="S997" i="2"/>
  <c r="E997" i="2"/>
  <c r="J996" i="2"/>
  <c r="P995" i="2"/>
  <c r="A995" i="2"/>
  <c r="F994" i="2"/>
  <c r="K993" i="2"/>
  <c r="Q992" i="2"/>
  <c r="C992" i="2"/>
  <c r="P990" i="2"/>
  <c r="C990" i="2"/>
  <c r="P988" i="2"/>
  <c r="C988" i="2"/>
  <c r="P986" i="2"/>
  <c r="C986" i="2"/>
  <c r="P984" i="2"/>
  <c r="C984" i="2"/>
  <c r="P982" i="2"/>
  <c r="C982" i="2"/>
  <c r="P980" i="2"/>
  <c r="C980" i="2"/>
  <c r="P978" i="2"/>
  <c r="C978" i="2"/>
  <c r="P976" i="2"/>
  <c r="C976" i="2"/>
  <c r="P974" i="2"/>
  <c r="C974" i="2"/>
  <c r="P972" i="2"/>
  <c r="C972" i="2"/>
  <c r="P970" i="2"/>
  <c r="C970" i="2"/>
  <c r="P968" i="2"/>
  <c r="C968" i="2"/>
  <c r="P966" i="2"/>
  <c r="C966" i="2"/>
  <c r="P964" i="2"/>
  <c r="C964" i="2"/>
  <c r="P962" i="2"/>
  <c r="C962" i="2"/>
  <c r="P960" i="2"/>
  <c r="C960" i="2"/>
  <c r="P958" i="2"/>
  <c r="C958" i="2"/>
  <c r="P956" i="2"/>
  <c r="C956" i="2"/>
  <c r="P954" i="2"/>
  <c r="C954" i="2"/>
  <c r="P952" i="2"/>
  <c r="C952" i="2"/>
  <c r="P950" i="2"/>
  <c r="C950" i="2"/>
  <c r="P948" i="2"/>
  <c r="C948" i="2"/>
  <c r="P946" i="2"/>
  <c r="C946" i="2"/>
  <c r="P944" i="2"/>
  <c r="C944" i="2"/>
  <c r="P942" i="2"/>
  <c r="C942" i="2"/>
  <c r="P940" i="2"/>
  <c r="C940" i="2"/>
  <c r="P938" i="2"/>
  <c r="C938" i="2"/>
  <c r="P936" i="2"/>
  <c r="C936" i="2"/>
  <c r="P934" i="2"/>
  <c r="C934" i="2"/>
  <c r="P932" i="2"/>
  <c r="C932" i="2"/>
  <c r="P930" i="2"/>
  <c r="C930" i="2"/>
  <c r="P928" i="2"/>
  <c r="C928" i="2"/>
  <c r="P926" i="2"/>
  <c r="C926" i="2"/>
  <c r="P924" i="2"/>
  <c r="C924" i="2"/>
  <c r="P922" i="2"/>
  <c r="C922" i="2"/>
  <c r="P920" i="2"/>
  <c r="C920" i="2"/>
  <c r="P918" i="2"/>
  <c r="C918" i="2"/>
  <c r="P916" i="2"/>
  <c r="C916" i="2"/>
  <c r="P914" i="2"/>
  <c r="C914" i="2"/>
  <c r="P912" i="2"/>
  <c r="C912" i="2"/>
  <c r="P910" i="2"/>
  <c r="C910" i="2"/>
  <c r="P908" i="2"/>
  <c r="C908" i="2"/>
  <c r="P906" i="2"/>
  <c r="C906" i="2"/>
  <c r="P904" i="2"/>
  <c r="C904" i="2"/>
  <c r="P902" i="2"/>
  <c r="C902" i="2"/>
  <c r="P900" i="2"/>
  <c r="C900" i="2"/>
  <c r="P898" i="2"/>
  <c r="C898" i="2"/>
  <c r="P896" i="2"/>
  <c r="C896" i="2"/>
  <c r="P894" i="2"/>
  <c r="C894" i="2"/>
  <c r="P892" i="2"/>
  <c r="C892" i="2"/>
  <c r="O1288" i="2"/>
  <c r="Q1254" i="2"/>
  <c r="Q1237" i="2"/>
  <c r="K1228" i="2"/>
  <c r="K1220" i="2"/>
  <c r="K1212" i="2"/>
  <c r="K1204" i="2"/>
  <c r="K1196" i="2"/>
  <c r="K1188" i="2"/>
  <c r="K1180" i="2"/>
  <c r="K1172" i="2"/>
  <c r="K1164" i="2"/>
  <c r="K1156" i="2"/>
  <c r="K1148" i="2"/>
  <c r="K1140" i="2"/>
  <c r="K1132" i="2"/>
  <c r="S1125" i="2"/>
  <c r="E1121" i="2"/>
  <c r="S1116" i="2"/>
  <c r="D1113" i="2"/>
  <c r="K1109" i="2"/>
  <c r="A1106" i="2"/>
  <c r="N1102" i="2"/>
  <c r="E1096" i="2"/>
  <c r="C1093" i="2"/>
  <c r="R1089" i="2"/>
  <c r="E1087" i="2"/>
  <c r="K1084" i="2"/>
  <c r="R1081" i="2"/>
  <c r="E1079" i="2"/>
  <c r="K1076" i="2"/>
  <c r="R1073" i="2"/>
  <c r="E1071" i="2"/>
  <c r="K1068" i="2"/>
  <c r="R1065" i="2"/>
  <c r="E1063" i="2"/>
  <c r="K1060" i="2"/>
  <c r="R1057" i="2"/>
  <c r="E1055" i="2"/>
  <c r="K1052" i="2"/>
  <c r="R1049" i="2"/>
  <c r="E1047" i="2"/>
  <c r="K1044" i="2"/>
  <c r="R1041" i="2"/>
  <c r="G1039" i="2"/>
  <c r="S1037" i="2"/>
  <c r="M1036" i="2"/>
  <c r="F1035" i="2"/>
  <c r="S1033" i="2"/>
  <c r="M1032" i="2"/>
  <c r="G1031" i="2"/>
  <c r="E1030" i="2"/>
  <c r="A1029" i="2"/>
  <c r="S1027" i="2"/>
  <c r="Q1026" i="2"/>
  <c r="M1025" i="2"/>
  <c r="K1024" i="2"/>
  <c r="G1023" i="2"/>
  <c r="E1022" i="2"/>
  <c r="A1021" i="2"/>
  <c r="S1019" i="2"/>
  <c r="Q1018" i="2"/>
  <c r="R1017" i="2"/>
  <c r="Q1016" i="2"/>
  <c r="R1015" i="2"/>
  <c r="Q1014" i="2"/>
  <c r="S1013" i="2"/>
  <c r="A1013" i="2"/>
  <c r="D1012" i="2"/>
  <c r="G1011" i="2"/>
  <c r="K1010" i="2"/>
  <c r="O1009" i="2"/>
  <c r="R1008" i="2"/>
  <c r="C1008" i="2"/>
  <c r="G1007" i="2"/>
  <c r="M1006" i="2"/>
  <c r="R1005" i="2"/>
  <c r="D1005" i="2"/>
  <c r="O1003" i="2"/>
  <c r="S1002" i="2"/>
  <c r="E1002" i="2"/>
  <c r="J1001" i="2"/>
  <c r="P1000" i="2"/>
  <c r="A1000" i="2"/>
  <c r="G999" i="2"/>
  <c r="M998" i="2"/>
  <c r="R997" i="2"/>
  <c r="D997" i="2"/>
  <c r="O995" i="2"/>
  <c r="S994" i="2"/>
  <c r="E994" i="2"/>
  <c r="J993" i="2"/>
  <c r="P992" i="2"/>
  <c r="A992" i="2"/>
  <c r="H991" i="2"/>
  <c r="O990" i="2"/>
  <c r="A990" i="2"/>
  <c r="H989" i="2"/>
  <c r="O988" i="2"/>
  <c r="A988" i="2"/>
  <c r="H987" i="2"/>
  <c r="O986" i="2"/>
  <c r="A986" i="2"/>
  <c r="H985" i="2"/>
  <c r="O984" i="2"/>
  <c r="A984" i="2"/>
  <c r="H983" i="2"/>
  <c r="O982" i="2"/>
  <c r="A982" i="2"/>
  <c r="H981" i="2"/>
  <c r="O980" i="2"/>
  <c r="A980" i="2"/>
  <c r="H979" i="2"/>
  <c r="O978" i="2"/>
  <c r="A978" i="2"/>
  <c r="H977" i="2"/>
  <c r="O976" i="2"/>
  <c r="A976" i="2"/>
  <c r="H975" i="2"/>
  <c r="O974" i="2"/>
  <c r="A974" i="2"/>
  <c r="H973" i="2"/>
  <c r="O972" i="2"/>
  <c r="A972" i="2"/>
  <c r="H971" i="2"/>
  <c r="O970" i="2"/>
  <c r="A970" i="2"/>
  <c r="H969" i="2"/>
  <c r="O968" i="2"/>
  <c r="A968" i="2"/>
  <c r="H967" i="2"/>
  <c r="O966" i="2"/>
  <c r="A966" i="2"/>
  <c r="H965" i="2"/>
  <c r="O964" i="2"/>
  <c r="A964" i="2"/>
  <c r="H963" i="2"/>
  <c r="O962" i="2"/>
  <c r="A962" i="2"/>
  <c r="H961" i="2"/>
  <c r="O960" i="2"/>
  <c r="A960" i="2"/>
  <c r="H959" i="2"/>
  <c r="O958" i="2"/>
  <c r="A958" i="2"/>
  <c r="H957" i="2"/>
  <c r="O956" i="2"/>
  <c r="A956" i="2"/>
  <c r="H955" i="2"/>
  <c r="O954" i="2"/>
  <c r="A954" i="2"/>
  <c r="H953" i="2"/>
  <c r="O952" i="2"/>
  <c r="A952" i="2"/>
  <c r="H951" i="2"/>
  <c r="O950" i="2"/>
  <c r="A950" i="2"/>
  <c r="H949" i="2"/>
  <c r="O948" i="2"/>
  <c r="A948" i="2"/>
  <c r="H947" i="2"/>
  <c r="O946" i="2"/>
  <c r="A946" i="2"/>
  <c r="H945" i="2"/>
  <c r="O944" i="2"/>
  <c r="A944" i="2"/>
  <c r="H943" i="2"/>
  <c r="O942" i="2"/>
  <c r="A942" i="2"/>
  <c r="H941" i="2"/>
  <c r="O940" i="2"/>
  <c r="A940" i="2"/>
  <c r="H939" i="2"/>
  <c r="O938" i="2"/>
  <c r="A938" i="2"/>
  <c r="H937" i="2"/>
  <c r="O936" i="2"/>
  <c r="A936" i="2"/>
  <c r="H935" i="2"/>
  <c r="O934" i="2"/>
  <c r="A934" i="2"/>
  <c r="H933" i="2"/>
  <c r="O932" i="2"/>
  <c r="A932" i="2"/>
  <c r="H931" i="2"/>
  <c r="O930" i="2"/>
  <c r="A930" i="2"/>
  <c r="H929" i="2"/>
  <c r="O928" i="2"/>
  <c r="A928" i="2"/>
  <c r="H927" i="2"/>
  <c r="O926" i="2"/>
  <c r="A926" i="2"/>
  <c r="H925" i="2"/>
  <c r="O924" i="2"/>
  <c r="A924" i="2"/>
  <c r="H923" i="2"/>
  <c r="O922" i="2"/>
  <c r="A922" i="2"/>
  <c r="H921" i="2"/>
  <c r="O920" i="2"/>
  <c r="A920" i="2"/>
  <c r="H919" i="2"/>
  <c r="O918" i="2"/>
  <c r="A918" i="2"/>
  <c r="H917" i="2"/>
  <c r="O916" i="2"/>
  <c r="A916" i="2"/>
  <c r="H915" i="2"/>
  <c r="O914" i="2"/>
  <c r="A914" i="2"/>
  <c r="H913" i="2"/>
  <c r="O912" i="2"/>
  <c r="A912" i="2"/>
  <c r="H911" i="2"/>
  <c r="O910" i="2"/>
  <c r="A910" i="2"/>
  <c r="H909" i="2"/>
  <c r="O908" i="2"/>
  <c r="A908" i="2"/>
  <c r="H907" i="2"/>
  <c r="O906" i="2"/>
  <c r="A906" i="2"/>
  <c r="H905" i="2"/>
  <c r="O904" i="2"/>
  <c r="A904" i="2"/>
  <c r="H903" i="2"/>
  <c r="O902" i="2"/>
  <c r="A902" i="2"/>
  <c r="H901" i="2"/>
  <c r="O900" i="2"/>
  <c r="A900" i="2"/>
  <c r="H899" i="2"/>
  <c r="O898" i="2"/>
  <c r="A898" i="2"/>
  <c r="H897" i="2"/>
  <c r="O896" i="2"/>
  <c r="A896" i="2"/>
  <c r="H895" i="2"/>
  <c r="O894" i="2"/>
  <c r="A894" i="2"/>
  <c r="H893" i="2"/>
  <c r="O892" i="2"/>
  <c r="A892" i="2"/>
  <c r="H891" i="2"/>
  <c r="O890" i="2"/>
  <c r="A890" i="2"/>
  <c r="H889" i="2"/>
  <c r="O888" i="2"/>
  <c r="A888" i="2"/>
  <c r="H887" i="2"/>
  <c r="O886" i="2"/>
  <c r="E1307" i="2"/>
  <c r="C1231" i="2"/>
  <c r="C1207" i="2"/>
  <c r="C1183" i="2"/>
  <c r="C1159" i="2"/>
  <c r="C1135" i="2"/>
  <c r="C1118" i="2"/>
  <c r="C1107" i="2"/>
  <c r="E1097" i="2"/>
  <c r="T1087" i="2"/>
  <c r="T1079" i="2"/>
  <c r="T1071" i="2"/>
  <c r="T1063" i="2"/>
  <c r="T1055" i="2"/>
  <c r="T1047" i="2"/>
  <c r="T1039" i="2"/>
  <c r="R1035" i="2"/>
  <c r="R1031" i="2"/>
  <c r="H1028" i="2"/>
  <c r="S1024" i="2"/>
  <c r="K1021" i="2"/>
  <c r="E1018" i="2"/>
  <c r="F1015" i="2"/>
  <c r="K1012" i="2"/>
  <c r="A1010" i="2"/>
  <c r="M1007" i="2"/>
  <c r="F1003" i="2"/>
  <c r="C1001" i="2"/>
  <c r="R998" i="2"/>
  <c r="O996" i="2"/>
  <c r="K994" i="2"/>
  <c r="H992" i="2"/>
  <c r="G990" i="2"/>
  <c r="G988" i="2"/>
  <c r="G986" i="2"/>
  <c r="G984" i="2"/>
  <c r="G982" i="2"/>
  <c r="G980" i="2"/>
  <c r="G978" i="2"/>
  <c r="G976" i="2"/>
  <c r="G974" i="2"/>
  <c r="G972" i="2"/>
  <c r="G970" i="2"/>
  <c r="G968" i="2"/>
  <c r="G966" i="2"/>
  <c r="G964" i="2"/>
  <c r="G962" i="2"/>
  <c r="G960" i="2"/>
  <c r="G958" i="2"/>
  <c r="G956" i="2"/>
  <c r="G954" i="2"/>
  <c r="G952" i="2"/>
  <c r="G950" i="2"/>
  <c r="G948" i="2"/>
  <c r="G946" i="2"/>
  <c r="G944" i="2"/>
  <c r="G942" i="2"/>
  <c r="G940" i="2"/>
  <c r="G938" i="2"/>
  <c r="G936" i="2"/>
  <c r="G934" i="2"/>
  <c r="G932" i="2"/>
  <c r="G930" i="2"/>
  <c r="G928" i="2"/>
  <c r="G926" i="2"/>
  <c r="G924" i="2"/>
  <c r="G922" i="2"/>
  <c r="G920" i="2"/>
  <c r="G918" i="2"/>
  <c r="G916" i="2"/>
  <c r="K914" i="2"/>
  <c r="E913" i="2"/>
  <c r="R911" i="2"/>
  <c r="Q910" i="2"/>
  <c r="M909" i="2"/>
  <c r="J908" i="2"/>
  <c r="J907" i="2"/>
  <c r="J905" i="2"/>
  <c r="K904" i="2"/>
  <c r="N903" i="2"/>
  <c r="Q902" i="2"/>
  <c r="R901" i="2"/>
  <c r="T900" i="2"/>
  <c r="D900" i="2"/>
  <c r="E899" i="2"/>
  <c r="G898" i="2"/>
  <c r="J897" i="2"/>
  <c r="K896" i="2"/>
  <c r="N895" i="2"/>
  <c r="Q894" i="2"/>
  <c r="R893" i="2"/>
  <c r="T892" i="2"/>
  <c r="D892" i="2"/>
  <c r="F891" i="2"/>
  <c r="J890" i="2"/>
  <c r="N889" i="2"/>
  <c r="S888" i="2"/>
  <c r="E888" i="2"/>
  <c r="J887" i="2"/>
  <c r="P886" i="2"/>
  <c r="A886" i="2"/>
  <c r="H885" i="2"/>
  <c r="O884" i="2"/>
  <c r="A884" i="2"/>
  <c r="H883" i="2"/>
  <c r="O882" i="2"/>
  <c r="A882" i="2"/>
  <c r="H881" i="2"/>
  <c r="O880" i="2"/>
  <c r="A880" i="2"/>
  <c r="H879" i="2"/>
  <c r="O878" i="2"/>
  <c r="A878" i="2"/>
  <c r="H877" i="2"/>
  <c r="O876" i="2"/>
  <c r="A876" i="2"/>
  <c r="H875" i="2"/>
  <c r="O874" i="2"/>
  <c r="A874" i="2"/>
  <c r="H873" i="2"/>
  <c r="O872" i="2"/>
  <c r="A872" i="2"/>
  <c r="H871" i="2"/>
  <c r="O870" i="2"/>
  <c r="A870" i="2"/>
  <c r="H869" i="2"/>
  <c r="O868" i="2"/>
  <c r="A868" i="2"/>
  <c r="H867" i="2"/>
  <c r="O866" i="2"/>
  <c r="A866" i="2"/>
  <c r="H865" i="2"/>
  <c r="O864" i="2"/>
  <c r="A864" i="2"/>
  <c r="H863" i="2"/>
  <c r="O862" i="2"/>
  <c r="A862" i="2"/>
  <c r="H861" i="2"/>
  <c r="O860" i="2"/>
  <c r="A860" i="2"/>
  <c r="H859" i="2"/>
  <c r="O858" i="2"/>
  <c r="A858" i="2"/>
  <c r="H857" i="2"/>
  <c r="O856" i="2"/>
  <c r="A856" i="2"/>
  <c r="H855" i="2"/>
  <c r="O854" i="2"/>
  <c r="A854" i="2"/>
  <c r="H853" i="2"/>
  <c r="O852" i="2"/>
  <c r="A852" i="2"/>
  <c r="H851" i="2"/>
  <c r="O850" i="2"/>
  <c r="A850" i="2"/>
  <c r="H849" i="2"/>
  <c r="O848" i="2"/>
  <c r="A848" i="2"/>
  <c r="H847" i="2"/>
  <c r="O846" i="2"/>
  <c r="A846" i="2"/>
  <c r="H845" i="2"/>
  <c r="O844" i="2"/>
  <c r="A844" i="2"/>
  <c r="H843" i="2"/>
  <c r="O842" i="2"/>
  <c r="A842" i="2"/>
  <c r="H841" i="2"/>
  <c r="O840" i="2"/>
  <c r="A840" i="2"/>
  <c r="H839" i="2"/>
  <c r="O838" i="2"/>
  <c r="A838" i="2"/>
  <c r="H837" i="2"/>
  <c r="O836" i="2"/>
  <c r="A836" i="2"/>
  <c r="H835" i="2"/>
  <c r="O834" i="2"/>
  <c r="A834" i="2"/>
  <c r="H833" i="2"/>
  <c r="O832" i="2"/>
  <c r="A832" i="2"/>
  <c r="H831" i="2"/>
  <c r="O830" i="2"/>
  <c r="A830" i="2"/>
  <c r="H829" i="2"/>
  <c r="O828" i="2"/>
  <c r="A828" i="2"/>
  <c r="H827" i="2"/>
  <c r="O826" i="2"/>
  <c r="A826" i="2"/>
  <c r="H825" i="2"/>
  <c r="O824" i="2"/>
  <c r="A824" i="2"/>
  <c r="H823" i="2"/>
  <c r="O822" i="2"/>
  <c r="A822" i="2"/>
  <c r="H821" i="2"/>
  <c r="O820" i="2"/>
  <c r="A820" i="2"/>
  <c r="H819" i="2"/>
  <c r="O818" i="2"/>
  <c r="A818" i="2"/>
  <c r="H817" i="2"/>
  <c r="O816" i="2"/>
  <c r="A816" i="2"/>
  <c r="H815" i="2"/>
  <c r="O814" i="2"/>
  <c r="A814" i="2"/>
  <c r="H813" i="2"/>
  <c r="O812" i="2"/>
  <c r="A812" i="2"/>
  <c r="H811" i="2"/>
  <c r="O810" i="2"/>
  <c r="A810" i="2"/>
  <c r="H809" i="2"/>
  <c r="O808" i="2"/>
  <c r="A808" i="2"/>
  <c r="H807" i="2"/>
  <c r="O806" i="2"/>
  <c r="A806" i="2"/>
  <c r="H805" i="2"/>
  <c r="O804" i="2"/>
  <c r="A804" i="2"/>
  <c r="H803" i="2"/>
  <c r="O802" i="2"/>
  <c r="A802" i="2"/>
  <c r="H801" i="2"/>
  <c r="O800" i="2"/>
  <c r="A800" i="2"/>
  <c r="H799" i="2"/>
  <c r="O798" i="2"/>
  <c r="A798" i="2"/>
  <c r="H797" i="2"/>
  <c r="O796" i="2"/>
  <c r="A796" i="2"/>
  <c r="H795" i="2"/>
  <c r="O794" i="2"/>
  <c r="A794" i="2"/>
  <c r="H793" i="2"/>
  <c r="O792" i="2"/>
  <c r="A792" i="2"/>
  <c r="H791" i="2"/>
  <c r="O790" i="2"/>
  <c r="A790" i="2"/>
  <c r="H789" i="2"/>
  <c r="O788" i="2"/>
  <c r="A788" i="2"/>
  <c r="H787" i="2"/>
  <c r="O786" i="2"/>
  <c r="A786" i="2"/>
  <c r="H785" i="2"/>
  <c r="O784" i="2"/>
  <c r="K1302" i="2"/>
  <c r="M1230" i="2"/>
  <c r="M1206" i="2"/>
  <c r="M1182" i="2"/>
  <c r="M1158" i="2"/>
  <c r="M1134" i="2"/>
  <c r="A1118" i="2"/>
  <c r="S1106" i="2"/>
  <c r="D1097" i="2"/>
  <c r="S1087" i="2"/>
  <c r="S1079" i="2"/>
  <c r="S1071" i="2"/>
  <c r="S1063" i="2"/>
  <c r="S1055" i="2"/>
  <c r="S1047" i="2"/>
  <c r="S1039" i="2"/>
  <c r="O1035" i="2"/>
  <c r="O1031" i="2"/>
  <c r="F1028" i="2"/>
  <c r="R1024" i="2"/>
  <c r="J1021" i="2"/>
  <c r="D1018" i="2"/>
  <c r="E1015" i="2"/>
  <c r="T1009" i="2"/>
  <c r="K1007" i="2"/>
  <c r="H1005" i="2"/>
  <c r="E1003" i="2"/>
  <c r="A1001" i="2"/>
  <c r="Q998" i="2"/>
  <c r="N996" i="2"/>
  <c r="J994" i="2"/>
  <c r="F992" i="2"/>
  <c r="F990" i="2"/>
  <c r="F988" i="2"/>
  <c r="F986" i="2"/>
  <c r="F984" i="2"/>
  <c r="F982" i="2"/>
  <c r="F980" i="2"/>
  <c r="F978" i="2"/>
  <c r="F976" i="2"/>
  <c r="F974" i="2"/>
  <c r="F972" i="2"/>
  <c r="F970" i="2"/>
  <c r="F968" i="2"/>
  <c r="F966" i="2"/>
  <c r="F964" i="2"/>
  <c r="F962" i="2"/>
  <c r="F960" i="2"/>
  <c r="F958" i="2"/>
  <c r="F956" i="2"/>
  <c r="F954" i="2"/>
  <c r="F952" i="2"/>
  <c r="F950" i="2"/>
  <c r="F948" i="2"/>
  <c r="F946" i="2"/>
  <c r="F944" i="2"/>
  <c r="F942" i="2"/>
  <c r="F940" i="2"/>
  <c r="F938" i="2"/>
  <c r="F936" i="2"/>
  <c r="F934" i="2"/>
  <c r="F932" i="2"/>
  <c r="F930" i="2"/>
  <c r="F928" i="2"/>
  <c r="F926" i="2"/>
  <c r="F924" i="2"/>
  <c r="F922" i="2"/>
  <c r="F920" i="2"/>
  <c r="F918" i="2"/>
  <c r="F916" i="2"/>
  <c r="G914" i="2"/>
  <c r="T912" i="2"/>
  <c r="Q911" i="2"/>
  <c r="N910" i="2"/>
  <c r="K909" i="2"/>
  <c r="G908" i="2"/>
  <c r="G907" i="2"/>
  <c r="G906" i="2"/>
  <c r="G905" i="2"/>
  <c r="J904" i="2"/>
  <c r="M903" i="2"/>
  <c r="N902" i="2"/>
  <c r="Q901" i="2"/>
  <c r="S900" i="2"/>
  <c r="T899" i="2"/>
  <c r="D899" i="2"/>
  <c r="F898" i="2"/>
  <c r="G897" i="2"/>
  <c r="J896" i="2"/>
  <c r="M895" i="2"/>
  <c r="N894" i="2"/>
  <c r="Q893" i="2"/>
  <c r="S892" i="2"/>
  <c r="T891" i="2"/>
  <c r="E891" i="2"/>
  <c r="M889" i="2"/>
  <c r="R888" i="2"/>
  <c r="D888" i="2"/>
  <c r="N886" i="2"/>
  <c r="T885" i="2"/>
  <c r="G885" i="2"/>
  <c r="N884" i="2"/>
  <c r="T883" i="2"/>
  <c r="G883" i="2"/>
  <c r="N882" i="2"/>
  <c r="T881" i="2"/>
  <c r="G881" i="2"/>
  <c r="N880" i="2"/>
  <c r="T879" i="2"/>
  <c r="G879" i="2"/>
  <c r="N878" i="2"/>
  <c r="T877" i="2"/>
  <c r="G877" i="2"/>
  <c r="N876" i="2"/>
  <c r="T875" i="2"/>
  <c r="G875" i="2"/>
  <c r="N874" i="2"/>
  <c r="T873" i="2"/>
  <c r="G873" i="2"/>
  <c r="N872" i="2"/>
  <c r="T871" i="2"/>
  <c r="G871" i="2"/>
  <c r="N870" i="2"/>
  <c r="T869" i="2"/>
  <c r="G869" i="2"/>
  <c r="N868" i="2"/>
  <c r="T867" i="2"/>
  <c r="G867" i="2"/>
  <c r="N866" i="2"/>
  <c r="T865" i="2"/>
  <c r="G865" i="2"/>
  <c r="N864" i="2"/>
  <c r="T863" i="2"/>
  <c r="G863" i="2"/>
  <c r="N862" i="2"/>
  <c r="T861" i="2"/>
  <c r="G861" i="2"/>
  <c r="N860" i="2"/>
  <c r="T859" i="2"/>
  <c r="G859" i="2"/>
  <c r="N858" i="2"/>
  <c r="T857" i="2"/>
  <c r="G857" i="2"/>
  <c r="N856" i="2"/>
  <c r="T855" i="2"/>
  <c r="G855" i="2"/>
  <c r="N854" i="2"/>
  <c r="T853" i="2"/>
  <c r="G853" i="2"/>
  <c r="N852" i="2"/>
  <c r="T851" i="2"/>
  <c r="G851" i="2"/>
  <c r="N850" i="2"/>
  <c r="T849" i="2"/>
  <c r="G849" i="2"/>
  <c r="N848" i="2"/>
  <c r="T847" i="2"/>
  <c r="G847" i="2"/>
  <c r="N846" i="2"/>
  <c r="T845" i="2"/>
  <c r="G845" i="2"/>
  <c r="N844" i="2"/>
  <c r="T843" i="2"/>
  <c r="G843" i="2"/>
  <c r="N842" i="2"/>
  <c r="T841" i="2"/>
  <c r="G841" i="2"/>
  <c r="N840" i="2"/>
  <c r="T839" i="2"/>
  <c r="G839" i="2"/>
  <c r="N838" i="2"/>
  <c r="T837" i="2"/>
  <c r="G837" i="2"/>
  <c r="N836" i="2"/>
  <c r="T835" i="2"/>
  <c r="G835" i="2"/>
  <c r="N834" i="2"/>
  <c r="T833" i="2"/>
  <c r="G833" i="2"/>
  <c r="N832" i="2"/>
  <c r="T831" i="2"/>
  <c r="G831" i="2"/>
  <c r="J1302" i="2"/>
  <c r="K1230" i="2"/>
  <c r="K1206" i="2"/>
  <c r="K1182" i="2"/>
  <c r="K1158" i="2"/>
  <c r="K1134" i="2"/>
  <c r="S1117" i="2"/>
  <c r="R1106" i="2"/>
  <c r="C1097" i="2"/>
  <c r="R1087" i="2"/>
  <c r="R1079" i="2"/>
  <c r="R1071" i="2"/>
  <c r="R1063" i="2"/>
  <c r="R1055" i="2"/>
  <c r="R1047" i="2"/>
  <c r="R1039" i="2"/>
  <c r="K1035" i="2"/>
  <c r="M1031" i="2"/>
  <c r="E1028" i="2"/>
  <c r="Q1024" i="2"/>
  <c r="G1021" i="2"/>
  <c r="C1018" i="2"/>
  <c r="A1015" i="2"/>
  <c r="H1012" i="2"/>
  <c r="S1009" i="2"/>
  <c r="J1007" i="2"/>
  <c r="G1005" i="2"/>
  <c r="D1003" i="2"/>
  <c r="S1000" i="2"/>
  <c r="P998" i="2"/>
  <c r="M996" i="2"/>
  <c r="E992" i="2"/>
  <c r="E990" i="2"/>
  <c r="E988" i="2"/>
  <c r="E986" i="2"/>
  <c r="E984" i="2"/>
  <c r="E982" i="2"/>
  <c r="E980" i="2"/>
  <c r="E978" i="2"/>
  <c r="E976" i="2"/>
  <c r="E974" i="2"/>
  <c r="E972" i="2"/>
  <c r="E970" i="2"/>
  <c r="E968" i="2"/>
  <c r="E966" i="2"/>
  <c r="E964" i="2"/>
  <c r="E962" i="2"/>
  <c r="E960" i="2"/>
  <c r="E958" i="2"/>
  <c r="E956" i="2"/>
  <c r="E954" i="2"/>
  <c r="E952" i="2"/>
  <c r="E950" i="2"/>
  <c r="E948" i="2"/>
  <c r="E946" i="2"/>
  <c r="E944" i="2"/>
  <c r="E942" i="2"/>
  <c r="E940" i="2"/>
  <c r="E938" i="2"/>
  <c r="E936" i="2"/>
  <c r="E934" i="2"/>
  <c r="E932" i="2"/>
  <c r="E930" i="2"/>
  <c r="E928" i="2"/>
  <c r="E926" i="2"/>
  <c r="E924" i="2"/>
  <c r="E922" i="2"/>
  <c r="E920" i="2"/>
  <c r="E918" i="2"/>
  <c r="E916" i="2"/>
  <c r="F914" i="2"/>
  <c r="S912" i="2"/>
  <c r="N911" i="2"/>
  <c r="K910" i="2"/>
  <c r="J909" i="2"/>
  <c r="F908" i="2"/>
  <c r="E907" i="2"/>
  <c r="F906" i="2"/>
  <c r="F905" i="2"/>
  <c r="K903" i="2"/>
  <c r="M902" i="2"/>
  <c r="P901" i="2"/>
  <c r="R900" i="2"/>
  <c r="S899" i="2"/>
  <c r="C899" i="2"/>
  <c r="E898" i="2"/>
  <c r="F897" i="2"/>
  <c r="K895" i="2"/>
  <c r="M894" i="2"/>
  <c r="P893" i="2"/>
  <c r="R892" i="2"/>
  <c r="S891" i="2"/>
  <c r="D891" i="2"/>
  <c r="G890" i="2"/>
  <c r="K889" i="2"/>
  <c r="Q888" i="2"/>
  <c r="C888" i="2"/>
  <c r="G887" i="2"/>
  <c r="M886" i="2"/>
  <c r="S885" i="2"/>
  <c r="F885" i="2"/>
  <c r="M884" i="2"/>
  <c r="S883" i="2"/>
  <c r="F883" i="2"/>
  <c r="M882" i="2"/>
  <c r="S881" i="2"/>
  <c r="F881" i="2"/>
  <c r="M880" i="2"/>
  <c r="S879" i="2"/>
  <c r="F879" i="2"/>
  <c r="M878" i="2"/>
  <c r="S877" i="2"/>
  <c r="F877" i="2"/>
  <c r="M876" i="2"/>
  <c r="S875" i="2"/>
  <c r="F875" i="2"/>
  <c r="M874" i="2"/>
  <c r="S873" i="2"/>
  <c r="F873" i="2"/>
  <c r="M872" i="2"/>
  <c r="S871" i="2"/>
  <c r="F871" i="2"/>
  <c r="M870" i="2"/>
  <c r="S869" i="2"/>
  <c r="F869" i="2"/>
  <c r="M868" i="2"/>
  <c r="S867" i="2"/>
  <c r="F867" i="2"/>
  <c r="M866" i="2"/>
  <c r="S865" i="2"/>
  <c r="F865" i="2"/>
  <c r="M864" i="2"/>
  <c r="S863" i="2"/>
  <c r="F863" i="2"/>
  <c r="M862" i="2"/>
  <c r="S861" i="2"/>
  <c r="F861" i="2"/>
  <c r="M860" i="2"/>
  <c r="S859" i="2"/>
  <c r="F859" i="2"/>
  <c r="M858" i="2"/>
  <c r="S857" i="2"/>
  <c r="F857" i="2"/>
  <c r="M856" i="2"/>
  <c r="S855" i="2"/>
  <c r="F855" i="2"/>
  <c r="M854" i="2"/>
  <c r="S853" i="2"/>
  <c r="F853" i="2"/>
  <c r="M852" i="2"/>
  <c r="S851" i="2"/>
  <c r="F851" i="2"/>
  <c r="M850" i="2"/>
  <c r="S849" i="2"/>
  <c r="F849" i="2"/>
  <c r="M848" i="2"/>
  <c r="S847" i="2"/>
  <c r="F847" i="2"/>
  <c r="M846" i="2"/>
  <c r="S845" i="2"/>
  <c r="F845" i="2"/>
  <c r="M844" i="2"/>
  <c r="S843" i="2"/>
  <c r="F843" i="2"/>
  <c r="M842" i="2"/>
  <c r="S841" i="2"/>
  <c r="F841" i="2"/>
  <c r="M840" i="2"/>
  <c r="S839" i="2"/>
  <c r="F839" i="2"/>
  <c r="M838" i="2"/>
  <c r="S837" i="2"/>
  <c r="F837" i="2"/>
  <c r="M836" i="2"/>
  <c r="S835" i="2"/>
  <c r="F835" i="2"/>
  <c r="M834" i="2"/>
  <c r="S833" i="2"/>
  <c r="F833" i="2"/>
  <c r="M832" i="2"/>
  <c r="S831" i="2"/>
  <c r="F831" i="2"/>
  <c r="M830" i="2"/>
  <c r="S829" i="2"/>
  <c r="F829" i="2"/>
  <c r="M828" i="2"/>
  <c r="S827" i="2"/>
  <c r="F827" i="2"/>
  <c r="M826" i="2"/>
  <c r="S825" i="2"/>
  <c r="F825" i="2"/>
  <c r="M824" i="2"/>
  <c r="S823" i="2"/>
  <c r="F823" i="2"/>
  <c r="M822" i="2"/>
  <c r="S821" i="2"/>
  <c r="F821" i="2"/>
  <c r="M820" i="2"/>
  <c r="S819" i="2"/>
  <c r="S1291" i="2"/>
  <c r="C1229" i="2"/>
  <c r="C1205" i="2"/>
  <c r="C1181" i="2"/>
  <c r="C1157" i="2"/>
  <c r="C1133" i="2"/>
  <c r="D1117" i="2"/>
  <c r="D1106" i="2"/>
  <c r="G1087" i="2"/>
  <c r="G1079" i="2"/>
  <c r="G1071" i="2"/>
  <c r="G1063" i="2"/>
  <c r="G1055" i="2"/>
  <c r="G1047" i="2"/>
  <c r="O1039" i="2"/>
  <c r="J1035" i="2"/>
  <c r="K1031" i="2"/>
  <c r="D1028" i="2"/>
  <c r="N1024" i="2"/>
  <c r="F1021" i="2"/>
  <c r="T1017" i="2"/>
  <c r="S1014" i="2"/>
  <c r="F1012" i="2"/>
  <c r="R1009" i="2"/>
  <c r="F1005" i="2"/>
  <c r="C1003" i="2"/>
  <c r="R1000" i="2"/>
  <c r="O998" i="2"/>
  <c r="K996" i="2"/>
  <c r="H994" i="2"/>
  <c r="D992" i="2"/>
  <c r="D990" i="2"/>
  <c r="D988" i="2"/>
  <c r="D986" i="2"/>
  <c r="D984" i="2"/>
  <c r="D982" i="2"/>
  <c r="D980" i="2"/>
  <c r="D978" i="2"/>
  <c r="D976" i="2"/>
  <c r="D974" i="2"/>
  <c r="D972" i="2"/>
  <c r="D970" i="2"/>
  <c r="D968" i="2"/>
  <c r="D966" i="2"/>
  <c r="D964" i="2"/>
  <c r="D962" i="2"/>
  <c r="D960" i="2"/>
  <c r="D958" i="2"/>
  <c r="D956" i="2"/>
  <c r="D954" i="2"/>
  <c r="D952" i="2"/>
  <c r="D950" i="2"/>
  <c r="D948" i="2"/>
  <c r="D946" i="2"/>
  <c r="D944" i="2"/>
  <c r="D942" i="2"/>
  <c r="D940" i="2"/>
  <c r="D938" i="2"/>
  <c r="D936" i="2"/>
  <c r="D934" i="2"/>
  <c r="D932" i="2"/>
  <c r="D930" i="2"/>
  <c r="D928" i="2"/>
  <c r="D926" i="2"/>
  <c r="D924" i="2"/>
  <c r="D922" i="2"/>
  <c r="D920" i="2"/>
  <c r="D918" i="2"/>
  <c r="D916" i="2"/>
  <c r="E914" i="2"/>
  <c r="R912" i="2"/>
  <c r="M911" i="2"/>
  <c r="J910" i="2"/>
  <c r="G909" i="2"/>
  <c r="E908" i="2"/>
  <c r="D907" i="2"/>
  <c r="E906" i="2"/>
  <c r="E905" i="2"/>
  <c r="G904" i="2"/>
  <c r="J903" i="2"/>
  <c r="K902" i="2"/>
  <c r="N901" i="2"/>
  <c r="Q900" i="2"/>
  <c r="R899" i="2"/>
  <c r="T898" i="2"/>
  <c r="D898" i="2"/>
  <c r="E897" i="2"/>
  <c r="G896" i="2"/>
  <c r="J895" i="2"/>
  <c r="K894" i="2"/>
  <c r="N893" i="2"/>
  <c r="Q892" i="2"/>
  <c r="R891" i="2"/>
  <c r="C891" i="2"/>
  <c r="F890" i="2"/>
  <c r="J889" i="2"/>
  <c r="P888" i="2"/>
  <c r="T887" i="2"/>
  <c r="F887" i="2"/>
  <c r="K886" i="2"/>
  <c r="R885" i="2"/>
  <c r="E885" i="2"/>
  <c r="K884" i="2"/>
  <c r="R883" i="2"/>
  <c r="E883" i="2"/>
  <c r="K882" i="2"/>
  <c r="R881" i="2"/>
  <c r="E881" i="2"/>
  <c r="K880" i="2"/>
  <c r="R879" i="2"/>
  <c r="E879" i="2"/>
  <c r="K878" i="2"/>
  <c r="R877" i="2"/>
  <c r="E877" i="2"/>
  <c r="K876" i="2"/>
  <c r="R875" i="2"/>
  <c r="E875" i="2"/>
  <c r="K874" i="2"/>
  <c r="R873" i="2"/>
  <c r="E873" i="2"/>
  <c r="K872" i="2"/>
  <c r="R871" i="2"/>
  <c r="E871" i="2"/>
  <c r="K870" i="2"/>
  <c r="R869" i="2"/>
  <c r="E869" i="2"/>
  <c r="K868" i="2"/>
  <c r="R867" i="2"/>
  <c r="E867" i="2"/>
  <c r="K866" i="2"/>
  <c r="R865" i="2"/>
  <c r="E865" i="2"/>
  <c r="K864" i="2"/>
  <c r="R863" i="2"/>
  <c r="E863" i="2"/>
  <c r="K862" i="2"/>
  <c r="R861" i="2"/>
  <c r="E861" i="2"/>
  <c r="K860" i="2"/>
  <c r="R859" i="2"/>
  <c r="E859" i="2"/>
  <c r="K858" i="2"/>
  <c r="R857" i="2"/>
  <c r="E857" i="2"/>
  <c r="K856" i="2"/>
  <c r="R855" i="2"/>
  <c r="E855" i="2"/>
  <c r="K854" i="2"/>
  <c r="R853" i="2"/>
  <c r="E853" i="2"/>
  <c r="K852" i="2"/>
  <c r="R851" i="2"/>
  <c r="E851" i="2"/>
  <c r="K850" i="2"/>
  <c r="R849" i="2"/>
  <c r="E849" i="2"/>
  <c r="K848" i="2"/>
  <c r="R847" i="2"/>
  <c r="E847" i="2"/>
  <c r="K846" i="2"/>
  <c r="R845" i="2"/>
  <c r="E845" i="2"/>
  <c r="K844" i="2"/>
  <c r="R843" i="2"/>
  <c r="E843" i="2"/>
  <c r="K842" i="2"/>
  <c r="R841" i="2"/>
  <c r="E841" i="2"/>
  <c r="K840" i="2"/>
  <c r="R839" i="2"/>
  <c r="E839" i="2"/>
  <c r="K838" i="2"/>
  <c r="R837" i="2"/>
  <c r="E837" i="2"/>
  <c r="K836" i="2"/>
  <c r="R835" i="2"/>
  <c r="E835" i="2"/>
  <c r="K834" i="2"/>
  <c r="R833" i="2"/>
  <c r="E833" i="2"/>
  <c r="K832" i="2"/>
  <c r="R831" i="2"/>
  <c r="E831" i="2"/>
  <c r="K830" i="2"/>
  <c r="R829" i="2"/>
  <c r="E829" i="2"/>
  <c r="K828" i="2"/>
  <c r="R827" i="2"/>
  <c r="E827" i="2"/>
  <c r="K826" i="2"/>
  <c r="R825" i="2"/>
  <c r="E825" i="2"/>
  <c r="K824" i="2"/>
  <c r="R823" i="2"/>
  <c r="E823" i="2"/>
  <c r="K822" i="2"/>
  <c r="R821" i="2"/>
  <c r="E821" i="2"/>
  <c r="K820" i="2"/>
  <c r="R819" i="2"/>
  <c r="E819" i="2"/>
  <c r="K818" i="2"/>
  <c r="R817" i="2"/>
  <c r="E817" i="2"/>
  <c r="K816" i="2"/>
  <c r="R815" i="2"/>
  <c r="E815" i="2"/>
  <c r="K814" i="2"/>
  <c r="R813" i="2"/>
  <c r="E813" i="2"/>
  <c r="K812" i="2"/>
  <c r="R811" i="2"/>
  <c r="E811" i="2"/>
  <c r="K810" i="2"/>
  <c r="R809" i="2"/>
  <c r="E809" i="2"/>
  <c r="K808" i="2"/>
  <c r="R807" i="2"/>
  <c r="E807" i="2"/>
  <c r="K806" i="2"/>
  <c r="R805" i="2"/>
  <c r="E805" i="2"/>
  <c r="K804" i="2"/>
  <c r="R803" i="2"/>
  <c r="E803" i="2"/>
  <c r="K802" i="2"/>
  <c r="R801" i="2"/>
  <c r="E801" i="2"/>
  <c r="K800" i="2"/>
  <c r="R799" i="2"/>
  <c r="E799" i="2"/>
  <c r="K798" i="2"/>
  <c r="R797" i="2"/>
  <c r="E797" i="2"/>
  <c r="K796" i="2"/>
  <c r="R795" i="2"/>
  <c r="E795" i="2"/>
  <c r="K794" i="2"/>
  <c r="R793" i="2"/>
  <c r="E793" i="2"/>
  <c r="K792" i="2"/>
  <c r="R791" i="2"/>
  <c r="E791" i="2"/>
  <c r="K790" i="2"/>
  <c r="R789" i="2"/>
  <c r="E789" i="2"/>
  <c r="K788" i="2"/>
  <c r="R1264" i="2"/>
  <c r="C1223" i="2"/>
  <c r="C1199" i="2"/>
  <c r="C1175" i="2"/>
  <c r="C1151" i="2"/>
  <c r="M1127" i="2"/>
  <c r="D1114" i="2"/>
  <c r="K1103" i="2"/>
  <c r="T1093" i="2"/>
  <c r="G1085" i="2"/>
  <c r="G1077" i="2"/>
  <c r="G1069" i="2"/>
  <c r="G1061" i="2"/>
  <c r="G1053" i="2"/>
  <c r="G1045" i="2"/>
  <c r="K1038" i="2"/>
  <c r="K1034" i="2"/>
  <c r="N1030" i="2"/>
  <c r="F1027" i="2"/>
  <c r="R1023" i="2"/>
  <c r="H1020" i="2"/>
  <c r="F1017" i="2"/>
  <c r="F1014" i="2"/>
  <c r="M1011" i="2"/>
  <c r="F1009" i="2"/>
  <c r="R1006" i="2"/>
  <c r="O1004" i="2"/>
  <c r="K1002" i="2"/>
  <c r="H1000" i="2"/>
  <c r="D998" i="2"/>
  <c r="T995" i="2"/>
  <c r="Q993" i="2"/>
  <c r="N991" i="2"/>
  <c r="N989" i="2"/>
  <c r="N987" i="2"/>
  <c r="N985" i="2"/>
  <c r="N983" i="2"/>
  <c r="N981" i="2"/>
  <c r="N979" i="2"/>
  <c r="N977" i="2"/>
  <c r="N975" i="2"/>
  <c r="N973" i="2"/>
  <c r="N971" i="2"/>
  <c r="N969" i="2"/>
  <c r="N967" i="2"/>
  <c r="N965" i="2"/>
  <c r="N963" i="2"/>
  <c r="N961" i="2"/>
  <c r="N959" i="2"/>
  <c r="N957" i="2"/>
  <c r="N955" i="2"/>
  <c r="N953" i="2"/>
  <c r="N951" i="2"/>
  <c r="N949" i="2"/>
  <c r="N947" i="2"/>
  <c r="N945" i="2"/>
  <c r="N943" i="2"/>
  <c r="N941" i="2"/>
  <c r="N939" i="2"/>
  <c r="N937" i="2"/>
  <c r="N935" i="2"/>
  <c r="N933" i="2"/>
  <c r="N931" i="2"/>
  <c r="N929" i="2"/>
  <c r="N927" i="2"/>
  <c r="N925" i="2"/>
  <c r="N923" i="2"/>
  <c r="N921" i="2"/>
  <c r="N919" i="2"/>
  <c r="N917" i="2"/>
  <c r="N915" i="2"/>
  <c r="D914" i="2"/>
  <c r="Q912" i="2"/>
  <c r="K911" i="2"/>
  <c r="G910" i="2"/>
  <c r="E909" i="2"/>
  <c r="D908" i="2"/>
  <c r="C907" i="2"/>
  <c r="D906" i="2"/>
  <c r="D905" i="2"/>
  <c r="F904" i="2"/>
  <c r="G903" i="2"/>
  <c r="J902" i="2"/>
  <c r="M901" i="2"/>
  <c r="N900" i="2"/>
  <c r="Q899" i="2"/>
  <c r="S898" i="2"/>
  <c r="T897" i="2"/>
  <c r="D897" i="2"/>
  <c r="F896" i="2"/>
  <c r="G895" i="2"/>
  <c r="J894" i="2"/>
  <c r="M893" i="2"/>
  <c r="N892" i="2"/>
  <c r="Q891" i="2"/>
  <c r="T890" i="2"/>
  <c r="E890" i="2"/>
  <c r="N888" i="2"/>
  <c r="S887" i="2"/>
  <c r="E887" i="2"/>
  <c r="J886" i="2"/>
  <c r="Q885" i="2"/>
  <c r="D885" i="2"/>
  <c r="J884" i="2"/>
  <c r="Q883" i="2"/>
  <c r="D883" i="2"/>
  <c r="J882" i="2"/>
  <c r="Q881" i="2"/>
  <c r="D881" i="2"/>
  <c r="J880" i="2"/>
  <c r="Q879" i="2"/>
  <c r="D879" i="2"/>
  <c r="J878" i="2"/>
  <c r="Q877" i="2"/>
  <c r="D877" i="2"/>
  <c r="J876" i="2"/>
  <c r="Q875" i="2"/>
  <c r="D875" i="2"/>
  <c r="J874" i="2"/>
  <c r="Q873" i="2"/>
  <c r="D873" i="2"/>
  <c r="J872" i="2"/>
  <c r="Q871" i="2"/>
  <c r="D871" i="2"/>
  <c r="J870" i="2"/>
  <c r="Q869" i="2"/>
  <c r="D869" i="2"/>
  <c r="J868" i="2"/>
  <c r="Q867" i="2"/>
  <c r="D867" i="2"/>
  <c r="J866" i="2"/>
  <c r="Q865" i="2"/>
  <c r="D865" i="2"/>
  <c r="J864" i="2"/>
  <c r="Q863" i="2"/>
  <c r="D863" i="2"/>
  <c r="J862" i="2"/>
  <c r="Q861" i="2"/>
  <c r="D861" i="2"/>
  <c r="J860" i="2"/>
  <c r="Q859" i="2"/>
  <c r="D859" i="2"/>
  <c r="J858" i="2"/>
  <c r="Q857" i="2"/>
  <c r="D857" i="2"/>
  <c r="J856" i="2"/>
  <c r="Q855" i="2"/>
  <c r="D855" i="2"/>
  <c r="J854" i="2"/>
  <c r="Q853" i="2"/>
  <c r="D853" i="2"/>
  <c r="J852" i="2"/>
  <c r="Q851" i="2"/>
  <c r="D851" i="2"/>
  <c r="J850" i="2"/>
  <c r="Q849" i="2"/>
  <c r="D849" i="2"/>
  <c r="J848" i="2"/>
  <c r="Q847" i="2"/>
  <c r="D847" i="2"/>
  <c r="J846" i="2"/>
  <c r="Q845" i="2"/>
  <c r="D845" i="2"/>
  <c r="J844" i="2"/>
  <c r="Q843" i="2"/>
  <c r="D843" i="2"/>
  <c r="J842" i="2"/>
  <c r="Q841" i="2"/>
  <c r="D841" i="2"/>
  <c r="J840" i="2"/>
  <c r="Q839" i="2"/>
  <c r="D839" i="2"/>
  <c r="J838" i="2"/>
  <c r="Q837" i="2"/>
  <c r="D837" i="2"/>
  <c r="J836" i="2"/>
  <c r="Q835" i="2"/>
  <c r="D835" i="2"/>
  <c r="J834" i="2"/>
  <c r="Q833" i="2"/>
  <c r="D833" i="2"/>
  <c r="J832" i="2"/>
  <c r="Q831" i="2"/>
  <c r="D831" i="2"/>
  <c r="J830" i="2"/>
  <c r="Q829" i="2"/>
  <c r="D829" i="2"/>
  <c r="J828" i="2"/>
  <c r="Q827" i="2"/>
  <c r="D827" i="2"/>
  <c r="J826" i="2"/>
  <c r="Q825" i="2"/>
  <c r="D825" i="2"/>
  <c r="J824" i="2"/>
  <c r="Q823" i="2"/>
  <c r="D823" i="2"/>
  <c r="J822" i="2"/>
  <c r="Q821" i="2"/>
  <c r="D821" i="2"/>
  <c r="J820" i="2"/>
  <c r="Q819" i="2"/>
  <c r="D819" i="2"/>
  <c r="J818" i="2"/>
  <c r="Q817" i="2"/>
  <c r="D817" i="2"/>
  <c r="J816" i="2"/>
  <c r="Q815" i="2"/>
  <c r="D815" i="2"/>
  <c r="J814" i="2"/>
  <c r="Q813" i="2"/>
  <c r="D813" i="2"/>
  <c r="J812" i="2"/>
  <c r="R1262" i="2"/>
  <c r="M1222" i="2"/>
  <c r="M1198" i="2"/>
  <c r="M1174" i="2"/>
  <c r="M1150" i="2"/>
  <c r="C1114" i="2"/>
  <c r="J1103" i="2"/>
  <c r="S1093" i="2"/>
  <c r="F1085" i="2"/>
  <c r="F1077" i="2"/>
  <c r="F1069" i="2"/>
  <c r="F1061" i="2"/>
  <c r="F1053" i="2"/>
  <c r="F1045" i="2"/>
  <c r="H1038" i="2"/>
  <c r="H1034" i="2"/>
  <c r="M1030" i="2"/>
  <c r="E1027" i="2"/>
  <c r="O1023" i="2"/>
  <c r="F1020" i="2"/>
  <c r="E1017" i="2"/>
  <c r="E1014" i="2"/>
  <c r="K1011" i="2"/>
  <c r="E1009" i="2"/>
  <c r="Q1006" i="2"/>
  <c r="N1004" i="2"/>
  <c r="J1002" i="2"/>
  <c r="F1000" i="2"/>
  <c r="C998" i="2"/>
  <c r="S995" i="2"/>
  <c r="P993" i="2"/>
  <c r="M991" i="2"/>
  <c r="M989" i="2"/>
  <c r="M987" i="2"/>
  <c r="M985" i="2"/>
  <c r="M983" i="2"/>
  <c r="M981" i="2"/>
  <c r="M979" i="2"/>
  <c r="M977" i="2"/>
  <c r="M975" i="2"/>
  <c r="M973" i="2"/>
  <c r="M971" i="2"/>
  <c r="M969" i="2"/>
  <c r="M967" i="2"/>
  <c r="M965" i="2"/>
  <c r="M963" i="2"/>
  <c r="M961" i="2"/>
  <c r="M959" i="2"/>
  <c r="M957" i="2"/>
  <c r="M955" i="2"/>
  <c r="M953" i="2"/>
  <c r="M951" i="2"/>
  <c r="M949" i="2"/>
  <c r="M947" i="2"/>
  <c r="M945" i="2"/>
  <c r="M943" i="2"/>
  <c r="M941" i="2"/>
  <c r="M939" i="2"/>
  <c r="M937" i="2"/>
  <c r="M935" i="2"/>
  <c r="M933" i="2"/>
  <c r="M931" i="2"/>
  <c r="M929" i="2"/>
  <c r="M927" i="2"/>
  <c r="M925" i="2"/>
  <c r="M923" i="2"/>
  <c r="M921" i="2"/>
  <c r="M919" i="2"/>
  <c r="M917" i="2"/>
  <c r="M915" i="2"/>
  <c r="T913" i="2"/>
  <c r="N912" i="2"/>
  <c r="J911" i="2"/>
  <c r="F910" i="2"/>
  <c r="D909" i="2"/>
  <c r="T907" i="2"/>
  <c r="T906" i="2"/>
  <c r="T905" i="2"/>
  <c r="C905" i="2"/>
  <c r="E904" i="2"/>
  <c r="F903" i="2"/>
  <c r="K901" i="2"/>
  <c r="M900" i="2"/>
  <c r="P899" i="2"/>
  <c r="R898" i="2"/>
  <c r="S897" i="2"/>
  <c r="C897" i="2"/>
  <c r="E896" i="2"/>
  <c r="F895" i="2"/>
  <c r="K893" i="2"/>
  <c r="M892" i="2"/>
  <c r="P891" i="2"/>
  <c r="S890" i="2"/>
  <c r="D890" i="2"/>
  <c r="G889" i="2"/>
  <c r="M888" i="2"/>
  <c r="R887" i="2"/>
  <c r="D887" i="2"/>
  <c r="P885" i="2"/>
  <c r="C885" i="2"/>
  <c r="P883" i="2"/>
  <c r="C883" i="2"/>
  <c r="P881" i="2"/>
  <c r="C881" i="2"/>
  <c r="P879" i="2"/>
  <c r="C879" i="2"/>
  <c r="P877" i="2"/>
  <c r="C877" i="2"/>
  <c r="P875" i="2"/>
  <c r="C875" i="2"/>
  <c r="P873" i="2"/>
  <c r="C873" i="2"/>
  <c r="P871" i="2"/>
  <c r="C871" i="2"/>
  <c r="P869" i="2"/>
  <c r="C869" i="2"/>
  <c r="P867" i="2"/>
  <c r="C867" i="2"/>
  <c r="P865" i="2"/>
  <c r="C865" i="2"/>
  <c r="P863" i="2"/>
  <c r="C863" i="2"/>
  <c r="P861" i="2"/>
  <c r="C861" i="2"/>
  <c r="P859" i="2"/>
  <c r="C859" i="2"/>
  <c r="P857" i="2"/>
  <c r="C857" i="2"/>
  <c r="P855" i="2"/>
  <c r="C855" i="2"/>
  <c r="P853" i="2"/>
  <c r="C853" i="2"/>
  <c r="P851" i="2"/>
  <c r="C851" i="2"/>
  <c r="P849" i="2"/>
  <c r="C849" i="2"/>
  <c r="P847" i="2"/>
  <c r="C847" i="2"/>
  <c r="P845" i="2"/>
  <c r="C845" i="2"/>
  <c r="P843" i="2"/>
  <c r="C843" i="2"/>
  <c r="P841" i="2"/>
  <c r="C841" i="2"/>
  <c r="P839" i="2"/>
  <c r="C839" i="2"/>
  <c r="P837" i="2"/>
  <c r="C837" i="2"/>
  <c r="P835" i="2"/>
  <c r="C835" i="2"/>
  <c r="P833" i="2"/>
  <c r="C833" i="2"/>
  <c r="P831" i="2"/>
  <c r="C831" i="2"/>
  <c r="P829" i="2"/>
  <c r="C829" i="2"/>
  <c r="P827" i="2"/>
  <c r="C827" i="2"/>
  <c r="P825" i="2"/>
  <c r="C825" i="2"/>
  <c r="P823" i="2"/>
  <c r="C823" i="2"/>
  <c r="P821" i="2"/>
  <c r="C821" i="2"/>
  <c r="P819" i="2"/>
  <c r="C819" i="2"/>
  <c r="P817" i="2"/>
  <c r="C817" i="2"/>
  <c r="P815" i="2"/>
  <c r="C815" i="2"/>
  <c r="P813" i="2"/>
  <c r="C813" i="2"/>
  <c r="P811" i="2"/>
  <c r="C811" i="2"/>
  <c r="P809" i="2"/>
  <c r="C809" i="2"/>
  <c r="Q1262" i="2"/>
  <c r="K1222" i="2"/>
  <c r="K1198" i="2"/>
  <c r="K1174" i="2"/>
  <c r="K1150" i="2"/>
  <c r="F1127" i="2"/>
  <c r="A1114" i="2"/>
  <c r="R1093" i="2"/>
  <c r="E1085" i="2"/>
  <c r="E1077" i="2"/>
  <c r="E1069" i="2"/>
  <c r="E1061" i="2"/>
  <c r="E1053" i="2"/>
  <c r="E1045" i="2"/>
  <c r="E1038" i="2"/>
  <c r="E1034" i="2"/>
  <c r="K1030" i="2"/>
  <c r="A1027" i="2"/>
  <c r="M1023" i="2"/>
  <c r="E1020" i="2"/>
  <c r="A1017" i="2"/>
  <c r="D1014" i="2"/>
  <c r="J1011" i="2"/>
  <c r="C1009" i="2"/>
  <c r="P1006" i="2"/>
  <c r="M1004" i="2"/>
  <c r="E1000" i="2"/>
  <c r="A998" i="2"/>
  <c r="R995" i="2"/>
  <c r="O993" i="2"/>
  <c r="K991" i="2"/>
  <c r="K989" i="2"/>
  <c r="K987" i="2"/>
  <c r="K985" i="2"/>
  <c r="K983" i="2"/>
  <c r="K981" i="2"/>
  <c r="K979" i="2"/>
  <c r="K977" i="2"/>
  <c r="K975" i="2"/>
  <c r="K973" i="2"/>
  <c r="K971" i="2"/>
  <c r="K969" i="2"/>
  <c r="K967" i="2"/>
  <c r="K965" i="2"/>
  <c r="K963" i="2"/>
  <c r="K961" i="2"/>
  <c r="K959" i="2"/>
  <c r="K957" i="2"/>
  <c r="K955" i="2"/>
  <c r="K953" i="2"/>
  <c r="K951" i="2"/>
  <c r="K949" i="2"/>
  <c r="K947" i="2"/>
  <c r="K945" i="2"/>
  <c r="K943" i="2"/>
  <c r="K941" i="2"/>
  <c r="K939" i="2"/>
  <c r="K937" i="2"/>
  <c r="K935" i="2"/>
  <c r="K933" i="2"/>
  <c r="K931" i="2"/>
  <c r="K929" i="2"/>
  <c r="K927" i="2"/>
  <c r="K925" i="2"/>
  <c r="K923" i="2"/>
  <c r="K921" i="2"/>
  <c r="K919" i="2"/>
  <c r="K917" i="2"/>
  <c r="K915" i="2"/>
  <c r="R913" i="2"/>
  <c r="K912" i="2"/>
  <c r="G911" i="2"/>
  <c r="E910" i="2"/>
  <c r="T908" i="2"/>
  <c r="R907" i="2"/>
  <c r="S906" i="2"/>
  <c r="R905" i="2"/>
  <c r="T904" i="2"/>
  <c r="D904" i="2"/>
  <c r="E903" i="2"/>
  <c r="G902" i="2"/>
  <c r="J901" i="2"/>
  <c r="K900" i="2"/>
  <c r="N899" i="2"/>
  <c r="Q898" i="2"/>
  <c r="R897" i="2"/>
  <c r="T896" i="2"/>
  <c r="D896" i="2"/>
  <c r="E895" i="2"/>
  <c r="G894" i="2"/>
  <c r="J893" i="2"/>
  <c r="K892" i="2"/>
  <c r="N891" i="2"/>
  <c r="R890" i="2"/>
  <c r="C890" i="2"/>
  <c r="F889" i="2"/>
  <c r="K888" i="2"/>
  <c r="Q887" i="2"/>
  <c r="C887" i="2"/>
  <c r="H886" i="2"/>
  <c r="O885" i="2"/>
  <c r="A885" i="2"/>
  <c r="H884" i="2"/>
  <c r="O883" i="2"/>
  <c r="A883" i="2"/>
  <c r="H882" i="2"/>
  <c r="O881" i="2"/>
  <c r="A881" i="2"/>
  <c r="H880" i="2"/>
  <c r="O879" i="2"/>
  <c r="A879" i="2"/>
  <c r="H878" i="2"/>
  <c r="O877" i="2"/>
  <c r="A877" i="2"/>
  <c r="H876" i="2"/>
  <c r="O875" i="2"/>
  <c r="A875" i="2"/>
  <c r="H874" i="2"/>
  <c r="O873" i="2"/>
  <c r="A873" i="2"/>
  <c r="H872" i="2"/>
  <c r="O871" i="2"/>
  <c r="A871" i="2"/>
  <c r="H870" i="2"/>
  <c r="O869" i="2"/>
  <c r="A869" i="2"/>
  <c r="H868" i="2"/>
  <c r="O867" i="2"/>
  <c r="A867" i="2"/>
  <c r="H866" i="2"/>
  <c r="O865" i="2"/>
  <c r="A865" i="2"/>
  <c r="H864" i="2"/>
  <c r="O863" i="2"/>
  <c r="A863" i="2"/>
  <c r="H862" i="2"/>
  <c r="O861" i="2"/>
  <c r="A861" i="2"/>
  <c r="H860" i="2"/>
  <c r="O859" i="2"/>
  <c r="A859" i="2"/>
  <c r="H858" i="2"/>
  <c r="O857" i="2"/>
  <c r="A857" i="2"/>
  <c r="H856" i="2"/>
  <c r="O855" i="2"/>
  <c r="A855" i="2"/>
  <c r="H854" i="2"/>
  <c r="O853" i="2"/>
  <c r="A853" i="2"/>
  <c r="H852" i="2"/>
  <c r="O851" i="2"/>
  <c r="A851" i="2"/>
  <c r="H850" i="2"/>
  <c r="O849" i="2"/>
  <c r="A849" i="2"/>
  <c r="H848" i="2"/>
  <c r="O847" i="2"/>
  <c r="A847" i="2"/>
  <c r="H846" i="2"/>
  <c r="O845" i="2"/>
  <c r="A845" i="2"/>
  <c r="H844" i="2"/>
  <c r="O843" i="2"/>
  <c r="A843" i="2"/>
  <c r="H842" i="2"/>
  <c r="O841" i="2"/>
  <c r="A841" i="2"/>
  <c r="H840" i="2"/>
  <c r="O839" i="2"/>
  <c r="A839" i="2"/>
  <c r="H838" i="2"/>
  <c r="O837" i="2"/>
  <c r="A837" i="2"/>
  <c r="H836" i="2"/>
  <c r="O835" i="2"/>
  <c r="A835" i="2"/>
  <c r="H834" i="2"/>
  <c r="O833" i="2"/>
  <c r="A833" i="2"/>
  <c r="H832" i="2"/>
  <c r="O831" i="2"/>
  <c r="A831" i="2"/>
  <c r="H830" i="2"/>
  <c r="O829" i="2"/>
  <c r="A829" i="2"/>
  <c r="H828" i="2"/>
  <c r="O827" i="2"/>
  <c r="A827" i="2"/>
  <c r="H826" i="2"/>
  <c r="O825" i="2"/>
  <c r="A825" i="2"/>
  <c r="H824" i="2"/>
  <c r="O823" i="2"/>
  <c r="A823" i="2"/>
  <c r="H822" i="2"/>
  <c r="O821" i="2"/>
  <c r="A821" i="2"/>
  <c r="H820" i="2"/>
  <c r="O819" i="2"/>
  <c r="A819" i="2"/>
  <c r="H818" i="2"/>
  <c r="O817" i="2"/>
  <c r="A817" i="2"/>
  <c r="H816" i="2"/>
  <c r="O815" i="2"/>
  <c r="A815" i="2"/>
  <c r="H814" i="2"/>
  <c r="O813" i="2"/>
  <c r="A813" i="2"/>
  <c r="H812" i="2"/>
  <c r="O811" i="2"/>
  <c r="A811" i="2"/>
  <c r="H810" i="2"/>
  <c r="O809" i="2"/>
  <c r="A809" i="2"/>
  <c r="H808" i="2"/>
  <c r="O807" i="2"/>
  <c r="A807" i="2"/>
  <c r="H806" i="2"/>
  <c r="O805" i="2"/>
  <c r="A805" i="2"/>
  <c r="H804" i="2"/>
  <c r="O803" i="2"/>
  <c r="A803" i="2"/>
  <c r="H802" i="2"/>
  <c r="O801" i="2"/>
  <c r="A801" i="2"/>
  <c r="H800" i="2"/>
  <c r="O799" i="2"/>
  <c r="A799" i="2"/>
  <c r="H798" i="2"/>
  <c r="O797" i="2"/>
  <c r="A797" i="2"/>
  <c r="H796" i="2"/>
  <c r="O795" i="2"/>
  <c r="A795" i="2"/>
  <c r="H794" i="2"/>
  <c r="O793" i="2"/>
  <c r="A793" i="2"/>
  <c r="K1240" i="2"/>
  <c r="K1214" i="2"/>
  <c r="K1190" i="2"/>
  <c r="K1166" i="2"/>
  <c r="K1142" i="2"/>
  <c r="J1110" i="2"/>
  <c r="E1100" i="2"/>
  <c r="N1090" i="2"/>
  <c r="K1082" i="2"/>
  <c r="K1074" i="2"/>
  <c r="K1066" i="2"/>
  <c r="K1058" i="2"/>
  <c r="K1050" i="2"/>
  <c r="K1042" i="2"/>
  <c r="R1036" i="2"/>
  <c r="R1032" i="2"/>
  <c r="G1029" i="2"/>
  <c r="S1025" i="2"/>
  <c r="K1022" i="2"/>
  <c r="A1019" i="2"/>
  <c r="C1016" i="2"/>
  <c r="F1013" i="2"/>
  <c r="O1010" i="2"/>
  <c r="F1008" i="2"/>
  <c r="A1006" i="2"/>
  <c r="R1003" i="2"/>
  <c r="O1001" i="2"/>
  <c r="J999" i="2"/>
  <c r="G997" i="2"/>
  <c r="D995" i="2"/>
  <c r="S992" i="2"/>
  <c r="R990" i="2"/>
  <c r="R988" i="2"/>
  <c r="R986" i="2"/>
  <c r="R984" i="2"/>
  <c r="R982" i="2"/>
  <c r="R980" i="2"/>
  <c r="R978" i="2"/>
  <c r="R976" i="2"/>
  <c r="R974" i="2"/>
  <c r="R972" i="2"/>
  <c r="R970" i="2"/>
  <c r="R968" i="2"/>
  <c r="R966" i="2"/>
  <c r="R964" i="2"/>
  <c r="R962" i="2"/>
  <c r="R960" i="2"/>
  <c r="R958" i="2"/>
  <c r="R956" i="2"/>
  <c r="R954" i="2"/>
  <c r="R952" i="2"/>
  <c r="R950" i="2"/>
  <c r="R948" i="2"/>
  <c r="R946" i="2"/>
  <c r="R944" i="2"/>
  <c r="R942" i="2"/>
  <c r="R940" i="2"/>
  <c r="R938" i="2"/>
  <c r="R936" i="2"/>
  <c r="R934" i="2"/>
  <c r="R932" i="2"/>
  <c r="R930" i="2"/>
  <c r="R928" i="2"/>
  <c r="R926" i="2"/>
  <c r="R924" i="2"/>
  <c r="R922" i="2"/>
  <c r="R920" i="2"/>
  <c r="R918" i="2"/>
  <c r="R916" i="2"/>
  <c r="R914" i="2"/>
  <c r="J913" i="2"/>
  <c r="D912" i="2"/>
  <c r="S910" i="2"/>
  <c r="Q909" i="2"/>
  <c r="N908" i="2"/>
  <c r="M907" i="2"/>
  <c r="K906" i="2"/>
  <c r="M905" i="2"/>
  <c r="N904" i="2"/>
  <c r="Q903" i="2"/>
  <c r="S902" i="2"/>
  <c r="T901" i="2"/>
  <c r="D901" i="2"/>
  <c r="F900" i="2"/>
  <c r="G899" i="2"/>
  <c r="J898" i="2"/>
  <c r="M897" i="2"/>
  <c r="N896" i="2"/>
  <c r="Q895" i="2"/>
  <c r="S894" i="2"/>
  <c r="T893" i="2"/>
  <c r="D893" i="2"/>
  <c r="F892" i="2"/>
  <c r="M890" i="2"/>
  <c r="Q889" i="2"/>
  <c r="A889" i="2"/>
  <c r="G888" i="2"/>
  <c r="M887" i="2"/>
  <c r="R886" i="2"/>
  <c r="D886" i="2"/>
  <c r="J885" i="2"/>
  <c r="Q884" i="2"/>
  <c r="D884" i="2"/>
  <c r="J883" i="2"/>
  <c r="Q882" i="2"/>
  <c r="D882" i="2"/>
  <c r="J881" i="2"/>
  <c r="Q880" i="2"/>
  <c r="D880" i="2"/>
  <c r="J879" i="2"/>
  <c r="Q878" i="2"/>
  <c r="D878" i="2"/>
  <c r="J877" i="2"/>
  <c r="Q876" i="2"/>
  <c r="D876" i="2"/>
  <c r="J875" i="2"/>
  <c r="Q874" i="2"/>
  <c r="D874" i="2"/>
  <c r="J873" i="2"/>
  <c r="Q872" i="2"/>
  <c r="D872" i="2"/>
  <c r="J871" i="2"/>
  <c r="Q870" i="2"/>
  <c r="D870" i="2"/>
  <c r="J869" i="2"/>
  <c r="Q868" i="2"/>
  <c r="D868" i="2"/>
  <c r="J867" i="2"/>
  <c r="Q866" i="2"/>
  <c r="D866" i="2"/>
  <c r="J865" i="2"/>
  <c r="Q864" i="2"/>
  <c r="D864" i="2"/>
  <c r="J863" i="2"/>
  <c r="Q862" i="2"/>
  <c r="D862" i="2"/>
  <c r="J861" i="2"/>
  <c r="Q860" i="2"/>
  <c r="D860" i="2"/>
  <c r="J859" i="2"/>
  <c r="Q858" i="2"/>
  <c r="D858" i="2"/>
  <c r="J857" i="2"/>
  <c r="Q856" i="2"/>
  <c r="D856" i="2"/>
  <c r="J855" i="2"/>
  <c r="Q854" i="2"/>
  <c r="D854" i="2"/>
  <c r="J853" i="2"/>
  <c r="Q852" i="2"/>
  <c r="D852" i="2"/>
  <c r="J851" i="2"/>
  <c r="Q850" i="2"/>
  <c r="D850" i="2"/>
  <c r="J849" i="2"/>
  <c r="Q848" i="2"/>
  <c r="D848" i="2"/>
  <c r="J847" i="2"/>
  <c r="Q846" i="2"/>
  <c r="D846" i="2"/>
  <c r="J845" i="2"/>
  <c r="Q844" i="2"/>
  <c r="D844" i="2"/>
  <c r="J843" i="2"/>
  <c r="Q842" i="2"/>
  <c r="D842" i="2"/>
  <c r="J841" i="2"/>
  <c r="Q840" i="2"/>
  <c r="D840" i="2"/>
  <c r="J839" i="2"/>
  <c r="Q838" i="2"/>
  <c r="D838" i="2"/>
  <c r="J837" i="2"/>
  <c r="Q836" i="2"/>
  <c r="D836" i="2"/>
  <c r="J835" i="2"/>
  <c r="Q834" i="2"/>
  <c r="D834" i="2"/>
  <c r="J833" i="2"/>
  <c r="Q832" i="2"/>
  <c r="D832" i="2"/>
  <c r="J831" i="2"/>
  <c r="Q830" i="2"/>
  <c r="D830" i="2"/>
  <c r="J829" i="2"/>
  <c r="Q828" i="2"/>
  <c r="D828" i="2"/>
  <c r="J827" i="2"/>
  <c r="Q826" i="2"/>
  <c r="D826" i="2"/>
  <c r="J825" i="2"/>
  <c r="Q824" i="2"/>
  <c r="D824" i="2"/>
  <c r="J823" i="2"/>
  <c r="Q822" i="2"/>
  <c r="D822" i="2"/>
  <c r="J821" i="2"/>
  <c r="Q820" i="2"/>
  <c r="D820" i="2"/>
  <c r="J819" i="2"/>
  <c r="Q818" i="2"/>
  <c r="D818" i="2"/>
  <c r="J817" i="2"/>
  <c r="Q816" i="2"/>
  <c r="D816" i="2"/>
  <c r="J815" i="2"/>
  <c r="Q814" i="2"/>
  <c r="D814" i="2"/>
  <c r="K1238" i="2"/>
  <c r="C1213" i="2"/>
  <c r="C1189" i="2"/>
  <c r="C1165" i="2"/>
  <c r="C1141" i="2"/>
  <c r="P1109" i="2"/>
  <c r="K1099" i="2"/>
  <c r="T1089" i="2"/>
  <c r="T1081" i="2"/>
  <c r="T1073" i="2"/>
  <c r="T1065" i="2"/>
  <c r="T1057" i="2"/>
  <c r="T1049" i="2"/>
  <c r="T1041" i="2"/>
  <c r="Q1036" i="2"/>
  <c r="Q1032" i="2"/>
  <c r="F1029" i="2"/>
  <c r="R1025" i="2"/>
  <c r="H1022" i="2"/>
  <c r="S1018" i="2"/>
  <c r="T1015" i="2"/>
  <c r="E1013" i="2"/>
  <c r="N1010" i="2"/>
  <c r="E1008" i="2"/>
  <c r="T1005" i="2"/>
  <c r="Q1003" i="2"/>
  <c r="M1001" i="2"/>
  <c r="F997" i="2"/>
  <c r="C995" i="2"/>
  <c r="R992" i="2"/>
  <c r="Q990" i="2"/>
  <c r="Q988" i="2"/>
  <c r="Q986" i="2"/>
  <c r="Q984" i="2"/>
  <c r="Q982" i="2"/>
  <c r="Q980" i="2"/>
  <c r="Q978" i="2"/>
  <c r="Q976" i="2"/>
  <c r="Q974" i="2"/>
  <c r="Q972" i="2"/>
  <c r="Q970" i="2"/>
  <c r="Q968" i="2"/>
  <c r="Q966" i="2"/>
  <c r="Q964" i="2"/>
  <c r="Q962" i="2"/>
  <c r="Q960" i="2"/>
  <c r="Q958" i="2"/>
  <c r="Q956" i="2"/>
  <c r="Q954" i="2"/>
  <c r="Q952" i="2"/>
  <c r="Q950" i="2"/>
  <c r="Q948" i="2"/>
  <c r="Q946" i="2"/>
  <c r="Q944" i="2"/>
  <c r="Q942" i="2"/>
  <c r="Q940" i="2"/>
  <c r="Q938" i="2"/>
  <c r="Q936" i="2"/>
  <c r="Q934" i="2"/>
  <c r="Q932" i="2"/>
  <c r="Q930" i="2"/>
  <c r="Q928" i="2"/>
  <c r="Q926" i="2"/>
  <c r="Q924" i="2"/>
  <c r="Q922" i="2"/>
  <c r="Q920" i="2"/>
  <c r="Q918" i="2"/>
  <c r="Q916" i="2"/>
  <c r="Q914" i="2"/>
  <c r="G913" i="2"/>
  <c r="T911" i="2"/>
  <c r="R910" i="2"/>
  <c r="N909" i="2"/>
  <c r="K908" i="2"/>
  <c r="K907" i="2"/>
  <c r="J906" i="2"/>
  <c r="K905" i="2"/>
  <c r="M904" i="2"/>
  <c r="P903" i="2"/>
  <c r="R902" i="2"/>
  <c r="S901" i="2"/>
  <c r="C901" i="2"/>
  <c r="E900" i="2"/>
  <c r="F899" i="2"/>
  <c r="K897" i="2"/>
  <c r="M896" i="2"/>
  <c r="P895" i="2"/>
  <c r="R894" i="2"/>
  <c r="S893" i="2"/>
  <c r="C893" i="2"/>
  <c r="E892" i="2"/>
  <c r="G891" i="2"/>
  <c r="K890" i="2"/>
  <c r="P889" i="2"/>
  <c r="T888" i="2"/>
  <c r="F888" i="2"/>
  <c r="K887" i="2"/>
  <c r="Q886" i="2"/>
  <c r="C886" i="2"/>
  <c r="P884" i="2"/>
  <c r="C884" i="2"/>
  <c r="P882" i="2"/>
  <c r="C882" i="2"/>
  <c r="P880" i="2"/>
  <c r="C880" i="2"/>
  <c r="P878" i="2"/>
  <c r="C878" i="2"/>
  <c r="P876" i="2"/>
  <c r="C876" i="2"/>
  <c r="P874" i="2"/>
  <c r="C874" i="2"/>
  <c r="P872" i="2"/>
  <c r="C872" i="2"/>
  <c r="P870" i="2"/>
  <c r="C870" i="2"/>
  <c r="P868" i="2"/>
  <c r="C868" i="2"/>
  <c r="P866" i="2"/>
  <c r="C866" i="2"/>
  <c r="P864" i="2"/>
  <c r="C864" i="2"/>
  <c r="P862" i="2"/>
  <c r="C862" i="2"/>
  <c r="P860" i="2"/>
  <c r="C860" i="2"/>
  <c r="P858" i="2"/>
  <c r="C858" i="2"/>
  <c r="P856" i="2"/>
  <c r="C856" i="2"/>
  <c r="P854" i="2"/>
  <c r="C854" i="2"/>
  <c r="P852" i="2"/>
  <c r="C852" i="2"/>
  <c r="P850" i="2"/>
  <c r="C850" i="2"/>
  <c r="P848" i="2"/>
  <c r="C848" i="2"/>
  <c r="P846" i="2"/>
  <c r="C846" i="2"/>
  <c r="P844" i="2"/>
  <c r="C844" i="2"/>
  <c r="P842" i="2"/>
  <c r="C842" i="2"/>
  <c r="P840" i="2"/>
  <c r="C840" i="2"/>
  <c r="P838" i="2"/>
  <c r="C838" i="2"/>
  <c r="P836" i="2"/>
  <c r="C836" i="2"/>
  <c r="P834" i="2"/>
  <c r="C834" i="2"/>
  <c r="P832" i="2"/>
  <c r="C832" i="2"/>
  <c r="P830" i="2"/>
  <c r="C830" i="2"/>
  <c r="P828" i="2"/>
  <c r="C828" i="2"/>
  <c r="P826" i="2"/>
  <c r="C826" i="2"/>
  <c r="P824" i="2"/>
  <c r="C824" i="2"/>
  <c r="P822" i="2"/>
  <c r="C822" i="2"/>
  <c r="P820" i="2"/>
  <c r="C820" i="2"/>
  <c r="P818" i="2"/>
  <c r="C818" i="2"/>
  <c r="P816" i="2"/>
  <c r="C816" i="2"/>
  <c r="P814" i="2"/>
  <c r="C814" i="2"/>
  <c r="P812" i="2"/>
  <c r="C812" i="2"/>
  <c r="P810" i="2"/>
  <c r="C810" i="2"/>
  <c r="P808" i="2"/>
  <c r="C808" i="2"/>
  <c r="P806" i="2"/>
  <c r="C806" i="2"/>
  <c r="P804" i="2"/>
  <c r="C804" i="2"/>
  <c r="R1256" i="2"/>
  <c r="C1149" i="2"/>
  <c r="E1093" i="2"/>
  <c r="N1060" i="2"/>
  <c r="D1034" i="2"/>
  <c r="D1020" i="2"/>
  <c r="A1009" i="2"/>
  <c r="D1000" i="2"/>
  <c r="J991" i="2"/>
  <c r="J983" i="2"/>
  <c r="J975" i="2"/>
  <c r="J967" i="2"/>
  <c r="J959" i="2"/>
  <c r="J951" i="2"/>
  <c r="J943" i="2"/>
  <c r="J935" i="2"/>
  <c r="J927" i="2"/>
  <c r="J919" i="2"/>
  <c r="G912" i="2"/>
  <c r="Q907" i="2"/>
  <c r="T903" i="2"/>
  <c r="J900" i="2"/>
  <c r="S896" i="2"/>
  <c r="G893" i="2"/>
  <c r="T889" i="2"/>
  <c r="A887" i="2"/>
  <c r="G884" i="2"/>
  <c r="N881" i="2"/>
  <c r="T878" i="2"/>
  <c r="G876" i="2"/>
  <c r="N873" i="2"/>
  <c r="T870" i="2"/>
  <c r="G868" i="2"/>
  <c r="N865" i="2"/>
  <c r="T862" i="2"/>
  <c r="G860" i="2"/>
  <c r="N857" i="2"/>
  <c r="T854" i="2"/>
  <c r="G852" i="2"/>
  <c r="N849" i="2"/>
  <c r="T846" i="2"/>
  <c r="G844" i="2"/>
  <c r="N841" i="2"/>
  <c r="T838" i="2"/>
  <c r="G836" i="2"/>
  <c r="N833" i="2"/>
  <c r="T830" i="2"/>
  <c r="T828" i="2"/>
  <c r="T826" i="2"/>
  <c r="T824" i="2"/>
  <c r="T822" i="2"/>
  <c r="T820" i="2"/>
  <c r="F819" i="2"/>
  <c r="M817" i="2"/>
  <c r="T815" i="2"/>
  <c r="G814" i="2"/>
  <c r="S812" i="2"/>
  <c r="N811" i="2"/>
  <c r="M810" i="2"/>
  <c r="J809" i="2"/>
  <c r="G808" i="2"/>
  <c r="G807" i="2"/>
  <c r="G806" i="2"/>
  <c r="G805" i="2"/>
  <c r="G804" i="2"/>
  <c r="G803" i="2"/>
  <c r="K801" i="2"/>
  <c r="N800" i="2"/>
  <c r="P799" i="2"/>
  <c r="R798" i="2"/>
  <c r="T797" i="2"/>
  <c r="C797" i="2"/>
  <c r="E796" i="2"/>
  <c r="G795" i="2"/>
  <c r="K793" i="2"/>
  <c r="N792" i="2"/>
  <c r="Q791" i="2"/>
  <c r="A791" i="2"/>
  <c r="F790" i="2"/>
  <c r="J789" i="2"/>
  <c r="N788" i="2"/>
  <c r="R787" i="2"/>
  <c r="D787" i="2"/>
  <c r="O785" i="2"/>
  <c r="T784" i="2"/>
  <c r="F784" i="2"/>
  <c r="M783" i="2"/>
  <c r="S782" i="2"/>
  <c r="F782" i="2"/>
  <c r="M781" i="2"/>
  <c r="S780" i="2"/>
  <c r="F780" i="2"/>
  <c r="M779" i="2"/>
  <c r="S778" i="2"/>
  <c r="F778" i="2"/>
  <c r="M777" i="2"/>
  <c r="S776" i="2"/>
  <c r="F776" i="2"/>
  <c r="M775" i="2"/>
  <c r="S774" i="2"/>
  <c r="F774" i="2"/>
  <c r="M773" i="2"/>
  <c r="S772" i="2"/>
  <c r="F772" i="2"/>
  <c r="M771" i="2"/>
  <c r="S770" i="2"/>
  <c r="F770" i="2"/>
  <c r="M769" i="2"/>
  <c r="S768" i="2"/>
  <c r="F768" i="2"/>
  <c r="M767" i="2"/>
  <c r="S766" i="2"/>
  <c r="F766" i="2"/>
  <c r="M765" i="2"/>
  <c r="S764" i="2"/>
  <c r="F764" i="2"/>
  <c r="M763" i="2"/>
  <c r="S762" i="2"/>
  <c r="F762" i="2"/>
  <c r="M761" i="2"/>
  <c r="S760" i="2"/>
  <c r="F760" i="2"/>
  <c r="M759" i="2"/>
  <c r="S758" i="2"/>
  <c r="F758" i="2"/>
  <c r="M757" i="2"/>
  <c r="S756" i="2"/>
  <c r="F756" i="2"/>
  <c r="M755" i="2"/>
  <c r="S754" i="2"/>
  <c r="F754" i="2"/>
  <c r="M753" i="2"/>
  <c r="S752" i="2"/>
  <c r="F752" i="2"/>
  <c r="M751" i="2"/>
  <c r="S750" i="2"/>
  <c r="F750" i="2"/>
  <c r="M749" i="2"/>
  <c r="S748" i="2"/>
  <c r="F748" i="2"/>
  <c r="M747" i="2"/>
  <c r="S746" i="2"/>
  <c r="F746" i="2"/>
  <c r="M745" i="2"/>
  <c r="S744" i="2"/>
  <c r="F744" i="2"/>
  <c r="M743" i="2"/>
  <c r="S742" i="2"/>
  <c r="F742" i="2"/>
  <c r="M741" i="2"/>
  <c r="S740" i="2"/>
  <c r="F740" i="2"/>
  <c r="M739" i="2"/>
  <c r="S738" i="2"/>
  <c r="F738" i="2"/>
  <c r="M737" i="2"/>
  <c r="S736" i="2"/>
  <c r="F736" i="2"/>
  <c r="M735" i="2"/>
  <c r="S734" i="2"/>
  <c r="F734" i="2"/>
  <c r="M733" i="2"/>
  <c r="S732" i="2"/>
  <c r="F732" i="2"/>
  <c r="M731" i="2"/>
  <c r="S730" i="2"/>
  <c r="F730" i="2"/>
  <c r="M729" i="2"/>
  <c r="S728" i="2"/>
  <c r="F728" i="2"/>
  <c r="M727" i="2"/>
  <c r="S726" i="2"/>
  <c r="F726" i="2"/>
  <c r="M725" i="2"/>
  <c r="S724" i="2"/>
  <c r="F724" i="2"/>
  <c r="M723" i="2"/>
  <c r="S722" i="2"/>
  <c r="F722" i="2"/>
  <c r="M721" i="2"/>
  <c r="S720" i="2"/>
  <c r="F720" i="2"/>
  <c r="M719" i="2"/>
  <c r="S718" i="2"/>
  <c r="F718" i="2"/>
  <c r="M717" i="2"/>
  <c r="S716" i="2"/>
  <c r="F716" i="2"/>
  <c r="M715" i="2"/>
  <c r="S714" i="2"/>
  <c r="F714" i="2"/>
  <c r="M713" i="2"/>
  <c r="S712" i="2"/>
  <c r="F712" i="2"/>
  <c r="M711" i="2"/>
  <c r="S710" i="2"/>
  <c r="F710" i="2"/>
  <c r="M709" i="2"/>
  <c r="S708" i="2"/>
  <c r="F708" i="2"/>
  <c r="M707" i="2"/>
  <c r="S706" i="2"/>
  <c r="F706" i="2"/>
  <c r="M705" i="2"/>
  <c r="S704" i="2"/>
  <c r="F704" i="2"/>
  <c r="M703" i="2"/>
  <c r="S702" i="2"/>
  <c r="F702" i="2"/>
  <c r="M701" i="2"/>
  <c r="S700" i="2"/>
  <c r="F700" i="2"/>
  <c r="M699" i="2"/>
  <c r="S698" i="2"/>
  <c r="F698" i="2"/>
  <c r="M697" i="2"/>
  <c r="S696" i="2"/>
  <c r="F696" i="2"/>
  <c r="M695" i="2"/>
  <c r="S694" i="2"/>
  <c r="F694" i="2"/>
  <c r="M693" i="2"/>
  <c r="S692" i="2"/>
  <c r="F692" i="2"/>
  <c r="M691" i="2"/>
  <c r="S690" i="2"/>
  <c r="F690" i="2"/>
  <c r="M689" i="2"/>
  <c r="S688" i="2"/>
  <c r="F688" i="2"/>
  <c r="M687" i="2"/>
  <c r="S686" i="2"/>
  <c r="F686" i="2"/>
  <c r="M685" i="2"/>
  <c r="S684" i="2"/>
  <c r="F684" i="2"/>
  <c r="M683" i="2"/>
  <c r="S682" i="2"/>
  <c r="F682" i="2"/>
  <c r="M681" i="2"/>
  <c r="S680" i="2"/>
  <c r="F680" i="2"/>
  <c r="M679" i="2"/>
  <c r="S678" i="2"/>
  <c r="F678" i="2"/>
  <c r="M677" i="2"/>
  <c r="S676" i="2"/>
  <c r="F676" i="2"/>
  <c r="M675" i="2"/>
  <c r="S674" i="2"/>
  <c r="C1143" i="2"/>
  <c r="P1090" i="2"/>
  <c r="N1058" i="2"/>
  <c r="E1033" i="2"/>
  <c r="F1019" i="2"/>
  <c r="M999" i="2"/>
  <c r="T990" i="2"/>
  <c r="T982" i="2"/>
  <c r="T974" i="2"/>
  <c r="T966" i="2"/>
  <c r="T958" i="2"/>
  <c r="T950" i="2"/>
  <c r="T942" i="2"/>
  <c r="T934" i="2"/>
  <c r="T926" i="2"/>
  <c r="T918" i="2"/>
  <c r="F912" i="2"/>
  <c r="P907" i="2"/>
  <c r="S903" i="2"/>
  <c r="R896" i="2"/>
  <c r="F893" i="2"/>
  <c r="S889" i="2"/>
  <c r="T886" i="2"/>
  <c r="F884" i="2"/>
  <c r="M881" i="2"/>
  <c r="S878" i="2"/>
  <c r="F876" i="2"/>
  <c r="M873" i="2"/>
  <c r="S870" i="2"/>
  <c r="F868" i="2"/>
  <c r="M865" i="2"/>
  <c r="S862" i="2"/>
  <c r="F860" i="2"/>
  <c r="M857" i="2"/>
  <c r="S854" i="2"/>
  <c r="F852" i="2"/>
  <c r="M849" i="2"/>
  <c r="S846" i="2"/>
  <c r="F844" i="2"/>
  <c r="M841" i="2"/>
  <c r="S838" i="2"/>
  <c r="F836" i="2"/>
  <c r="M833" i="2"/>
  <c r="S830" i="2"/>
  <c r="S828" i="2"/>
  <c r="S826" i="2"/>
  <c r="S824" i="2"/>
  <c r="S822" i="2"/>
  <c r="S820" i="2"/>
  <c r="T818" i="2"/>
  <c r="K817" i="2"/>
  <c r="S815" i="2"/>
  <c r="F814" i="2"/>
  <c r="R812" i="2"/>
  <c r="M811" i="2"/>
  <c r="J810" i="2"/>
  <c r="G809" i="2"/>
  <c r="F808" i="2"/>
  <c r="F807" i="2"/>
  <c r="F806" i="2"/>
  <c r="F805" i="2"/>
  <c r="F804" i="2"/>
  <c r="F803" i="2"/>
  <c r="G802" i="2"/>
  <c r="J801" i="2"/>
  <c r="M800" i="2"/>
  <c r="N799" i="2"/>
  <c r="Q798" i="2"/>
  <c r="S797" i="2"/>
  <c r="T796" i="2"/>
  <c r="D796" i="2"/>
  <c r="F795" i="2"/>
  <c r="G794" i="2"/>
  <c r="J793" i="2"/>
  <c r="M792" i="2"/>
  <c r="P791" i="2"/>
  <c r="T790" i="2"/>
  <c r="E790" i="2"/>
  <c r="M788" i="2"/>
  <c r="Q787" i="2"/>
  <c r="C787" i="2"/>
  <c r="H786" i="2"/>
  <c r="N785" i="2"/>
  <c r="S784" i="2"/>
  <c r="E784" i="2"/>
  <c r="K783" i="2"/>
  <c r="R782" i="2"/>
  <c r="E782" i="2"/>
  <c r="K781" i="2"/>
  <c r="R780" i="2"/>
  <c r="E780" i="2"/>
  <c r="K779" i="2"/>
  <c r="R778" i="2"/>
  <c r="E778" i="2"/>
  <c r="K777" i="2"/>
  <c r="R776" i="2"/>
  <c r="E776" i="2"/>
  <c r="K775" i="2"/>
  <c r="R774" i="2"/>
  <c r="E774" i="2"/>
  <c r="K773" i="2"/>
  <c r="R772" i="2"/>
  <c r="E772" i="2"/>
  <c r="K771" i="2"/>
  <c r="R770" i="2"/>
  <c r="E770" i="2"/>
  <c r="K769" i="2"/>
  <c r="R768" i="2"/>
  <c r="E768" i="2"/>
  <c r="K767" i="2"/>
  <c r="R766" i="2"/>
  <c r="E766" i="2"/>
  <c r="K765" i="2"/>
  <c r="R764" i="2"/>
  <c r="E764" i="2"/>
  <c r="K763" i="2"/>
  <c r="R762" i="2"/>
  <c r="E762" i="2"/>
  <c r="K761" i="2"/>
  <c r="R760" i="2"/>
  <c r="E760" i="2"/>
  <c r="K759" i="2"/>
  <c r="R758" i="2"/>
  <c r="E758" i="2"/>
  <c r="K757" i="2"/>
  <c r="R756" i="2"/>
  <c r="E756" i="2"/>
  <c r="K755" i="2"/>
  <c r="R754" i="2"/>
  <c r="E754" i="2"/>
  <c r="K753" i="2"/>
  <c r="R752" i="2"/>
  <c r="E752" i="2"/>
  <c r="K751" i="2"/>
  <c r="R750" i="2"/>
  <c r="E750" i="2"/>
  <c r="K749" i="2"/>
  <c r="R748" i="2"/>
  <c r="E748" i="2"/>
  <c r="K747" i="2"/>
  <c r="R746" i="2"/>
  <c r="E746" i="2"/>
  <c r="K745" i="2"/>
  <c r="R744" i="2"/>
  <c r="E744" i="2"/>
  <c r="K743" i="2"/>
  <c r="R742" i="2"/>
  <c r="E742" i="2"/>
  <c r="K741" i="2"/>
  <c r="R740" i="2"/>
  <c r="E740" i="2"/>
  <c r="K739" i="2"/>
  <c r="R738" i="2"/>
  <c r="E738" i="2"/>
  <c r="K737" i="2"/>
  <c r="R736" i="2"/>
  <c r="E736" i="2"/>
  <c r="K735" i="2"/>
  <c r="R734" i="2"/>
  <c r="E734" i="2"/>
  <c r="K733" i="2"/>
  <c r="R732" i="2"/>
  <c r="E732" i="2"/>
  <c r="K731" i="2"/>
  <c r="R730" i="2"/>
  <c r="E730" i="2"/>
  <c r="K729" i="2"/>
  <c r="R728" i="2"/>
  <c r="E728" i="2"/>
  <c r="K727" i="2"/>
  <c r="R726" i="2"/>
  <c r="E726" i="2"/>
  <c r="K725" i="2"/>
  <c r="R724" i="2"/>
  <c r="E724" i="2"/>
  <c r="K723" i="2"/>
  <c r="R722" i="2"/>
  <c r="E722" i="2"/>
  <c r="K721" i="2"/>
  <c r="R720" i="2"/>
  <c r="E720" i="2"/>
  <c r="K719" i="2"/>
  <c r="R718" i="2"/>
  <c r="E718" i="2"/>
  <c r="K717" i="2"/>
  <c r="R716" i="2"/>
  <c r="E716" i="2"/>
  <c r="K715" i="2"/>
  <c r="R714" i="2"/>
  <c r="E714" i="2"/>
  <c r="K713" i="2"/>
  <c r="O1240" i="2"/>
  <c r="M1142" i="2"/>
  <c r="O1090" i="2"/>
  <c r="M1058" i="2"/>
  <c r="A1033" i="2"/>
  <c r="E1019" i="2"/>
  <c r="H1008" i="2"/>
  <c r="K999" i="2"/>
  <c r="S990" i="2"/>
  <c r="S982" i="2"/>
  <c r="S974" i="2"/>
  <c r="S966" i="2"/>
  <c r="S958" i="2"/>
  <c r="S950" i="2"/>
  <c r="S942" i="2"/>
  <c r="S934" i="2"/>
  <c r="S926" i="2"/>
  <c r="S918" i="2"/>
  <c r="E912" i="2"/>
  <c r="N907" i="2"/>
  <c r="R903" i="2"/>
  <c r="G900" i="2"/>
  <c r="Q896" i="2"/>
  <c r="E893" i="2"/>
  <c r="R889" i="2"/>
  <c r="S886" i="2"/>
  <c r="E884" i="2"/>
  <c r="K881" i="2"/>
  <c r="R878" i="2"/>
  <c r="E876" i="2"/>
  <c r="K873" i="2"/>
  <c r="R870" i="2"/>
  <c r="E868" i="2"/>
  <c r="K865" i="2"/>
  <c r="R862" i="2"/>
  <c r="E860" i="2"/>
  <c r="K857" i="2"/>
  <c r="R854" i="2"/>
  <c r="E852" i="2"/>
  <c r="K849" i="2"/>
  <c r="R846" i="2"/>
  <c r="E844" i="2"/>
  <c r="K841" i="2"/>
  <c r="R838" i="2"/>
  <c r="E836" i="2"/>
  <c r="K833" i="2"/>
  <c r="R830" i="2"/>
  <c r="R828" i="2"/>
  <c r="R826" i="2"/>
  <c r="R824" i="2"/>
  <c r="R822" i="2"/>
  <c r="R820" i="2"/>
  <c r="S818" i="2"/>
  <c r="G817" i="2"/>
  <c r="N815" i="2"/>
  <c r="E814" i="2"/>
  <c r="Q812" i="2"/>
  <c r="K811" i="2"/>
  <c r="G810" i="2"/>
  <c r="F809" i="2"/>
  <c r="E808" i="2"/>
  <c r="D807" i="2"/>
  <c r="E806" i="2"/>
  <c r="D805" i="2"/>
  <c r="E804" i="2"/>
  <c r="D803" i="2"/>
  <c r="F802" i="2"/>
  <c r="J800" i="2"/>
  <c r="M799" i="2"/>
  <c r="P798" i="2"/>
  <c r="Q797" i="2"/>
  <c r="S796" i="2"/>
  <c r="C796" i="2"/>
  <c r="D795" i="2"/>
  <c r="F794" i="2"/>
  <c r="J792" i="2"/>
  <c r="O791" i="2"/>
  <c r="S790" i="2"/>
  <c r="D790" i="2"/>
  <c r="G789" i="2"/>
  <c r="J788" i="2"/>
  <c r="P787" i="2"/>
  <c r="A787" i="2"/>
  <c r="G786" i="2"/>
  <c r="M785" i="2"/>
  <c r="R784" i="2"/>
  <c r="D784" i="2"/>
  <c r="J783" i="2"/>
  <c r="Q782" i="2"/>
  <c r="D782" i="2"/>
  <c r="J781" i="2"/>
  <c r="Q780" i="2"/>
  <c r="D780" i="2"/>
  <c r="J779" i="2"/>
  <c r="Q778" i="2"/>
  <c r="D778" i="2"/>
  <c r="J777" i="2"/>
  <c r="Q776" i="2"/>
  <c r="D776" i="2"/>
  <c r="J775" i="2"/>
  <c r="Q774" i="2"/>
  <c r="D774" i="2"/>
  <c r="J773" i="2"/>
  <c r="Q772" i="2"/>
  <c r="D772" i="2"/>
  <c r="J771" i="2"/>
  <c r="Q770" i="2"/>
  <c r="D770" i="2"/>
  <c r="J769" i="2"/>
  <c r="Q768" i="2"/>
  <c r="D768" i="2"/>
  <c r="J767" i="2"/>
  <c r="Q766" i="2"/>
  <c r="D766" i="2"/>
  <c r="J765" i="2"/>
  <c r="Q764" i="2"/>
  <c r="D764" i="2"/>
  <c r="J763" i="2"/>
  <c r="Q762" i="2"/>
  <c r="D762" i="2"/>
  <c r="J761" i="2"/>
  <c r="Q760" i="2"/>
  <c r="D760" i="2"/>
  <c r="J759" i="2"/>
  <c r="Q758" i="2"/>
  <c r="D758" i="2"/>
  <c r="J757" i="2"/>
  <c r="Q756" i="2"/>
  <c r="D756" i="2"/>
  <c r="J755" i="2"/>
  <c r="Q754" i="2"/>
  <c r="D754" i="2"/>
  <c r="J753" i="2"/>
  <c r="Q752" i="2"/>
  <c r="D752" i="2"/>
  <c r="J751" i="2"/>
  <c r="Q750" i="2"/>
  <c r="D750" i="2"/>
  <c r="J749" i="2"/>
  <c r="Q748" i="2"/>
  <c r="D748" i="2"/>
  <c r="J747" i="2"/>
  <c r="Q746" i="2"/>
  <c r="D746" i="2"/>
  <c r="J745" i="2"/>
  <c r="Q744" i="2"/>
  <c r="D744" i="2"/>
  <c r="J743" i="2"/>
  <c r="Q742" i="2"/>
  <c r="D742" i="2"/>
  <c r="J741" i="2"/>
  <c r="Q740" i="2"/>
  <c r="D740" i="2"/>
  <c r="J739" i="2"/>
  <c r="Q738" i="2"/>
  <c r="D738" i="2"/>
  <c r="J737" i="2"/>
  <c r="Q736" i="2"/>
  <c r="D736" i="2"/>
  <c r="J735" i="2"/>
  <c r="Q734" i="2"/>
  <c r="D734" i="2"/>
  <c r="J733" i="2"/>
  <c r="Q732" i="2"/>
  <c r="D732" i="2"/>
  <c r="J731" i="2"/>
  <c r="Q730" i="2"/>
  <c r="D730" i="2"/>
  <c r="J729" i="2"/>
  <c r="Q728" i="2"/>
  <c r="D728" i="2"/>
  <c r="J727" i="2"/>
  <c r="Q726" i="2"/>
  <c r="D726" i="2"/>
  <c r="J725" i="2"/>
  <c r="Q724" i="2"/>
  <c r="D724" i="2"/>
  <c r="J723" i="2"/>
  <c r="Q722" i="2"/>
  <c r="D722" i="2"/>
  <c r="J721" i="2"/>
  <c r="Q720" i="2"/>
  <c r="D720" i="2"/>
  <c r="J719" i="2"/>
  <c r="Q718" i="2"/>
  <c r="D718" i="2"/>
  <c r="J717" i="2"/>
  <c r="Q716" i="2"/>
  <c r="D716" i="2"/>
  <c r="J715" i="2"/>
  <c r="Q714" i="2"/>
  <c r="D714" i="2"/>
  <c r="J713" i="2"/>
  <c r="Q712" i="2"/>
  <c r="D712" i="2"/>
  <c r="J711" i="2"/>
  <c r="Q710" i="2"/>
  <c r="D710" i="2"/>
  <c r="C1221" i="2"/>
  <c r="F1126" i="2"/>
  <c r="N1084" i="2"/>
  <c r="N1052" i="2"/>
  <c r="H1030" i="2"/>
  <c r="S1016" i="2"/>
  <c r="O1006" i="2"/>
  <c r="T997" i="2"/>
  <c r="J989" i="2"/>
  <c r="J981" i="2"/>
  <c r="J973" i="2"/>
  <c r="J965" i="2"/>
  <c r="J957" i="2"/>
  <c r="J949" i="2"/>
  <c r="J941" i="2"/>
  <c r="J933" i="2"/>
  <c r="J925" i="2"/>
  <c r="J917" i="2"/>
  <c r="E911" i="2"/>
  <c r="R906" i="2"/>
  <c r="D903" i="2"/>
  <c r="M899" i="2"/>
  <c r="T895" i="2"/>
  <c r="J892" i="2"/>
  <c r="E889" i="2"/>
  <c r="G886" i="2"/>
  <c r="N883" i="2"/>
  <c r="T880" i="2"/>
  <c r="G878" i="2"/>
  <c r="N875" i="2"/>
  <c r="T872" i="2"/>
  <c r="G870" i="2"/>
  <c r="N867" i="2"/>
  <c r="T864" i="2"/>
  <c r="G862" i="2"/>
  <c r="N859" i="2"/>
  <c r="T856" i="2"/>
  <c r="G854" i="2"/>
  <c r="N851" i="2"/>
  <c r="T848" i="2"/>
  <c r="G846" i="2"/>
  <c r="N843" i="2"/>
  <c r="T840" i="2"/>
  <c r="G838" i="2"/>
  <c r="N835" i="2"/>
  <c r="T832" i="2"/>
  <c r="N830" i="2"/>
  <c r="N828" i="2"/>
  <c r="N826" i="2"/>
  <c r="N824" i="2"/>
  <c r="N822" i="2"/>
  <c r="N820" i="2"/>
  <c r="R818" i="2"/>
  <c r="F817" i="2"/>
  <c r="M815" i="2"/>
  <c r="T813" i="2"/>
  <c r="N812" i="2"/>
  <c r="J811" i="2"/>
  <c r="F810" i="2"/>
  <c r="D809" i="2"/>
  <c r="D808" i="2"/>
  <c r="C807" i="2"/>
  <c r="D806" i="2"/>
  <c r="C805" i="2"/>
  <c r="D804" i="2"/>
  <c r="C803" i="2"/>
  <c r="E802" i="2"/>
  <c r="G801" i="2"/>
  <c r="K799" i="2"/>
  <c r="N798" i="2"/>
  <c r="P797" i="2"/>
  <c r="R796" i="2"/>
  <c r="T795" i="2"/>
  <c r="C795" i="2"/>
  <c r="E794" i="2"/>
  <c r="G793" i="2"/>
  <c r="N791" i="2"/>
  <c r="R790" i="2"/>
  <c r="C790" i="2"/>
  <c r="F789" i="2"/>
  <c r="O787" i="2"/>
  <c r="T786" i="2"/>
  <c r="F786" i="2"/>
  <c r="K785" i="2"/>
  <c r="Q784" i="2"/>
  <c r="C784" i="2"/>
  <c r="P782" i="2"/>
  <c r="C782" i="2"/>
  <c r="P780" i="2"/>
  <c r="C780" i="2"/>
  <c r="P778" i="2"/>
  <c r="C778" i="2"/>
  <c r="P776" i="2"/>
  <c r="C776" i="2"/>
  <c r="P774" i="2"/>
  <c r="C774" i="2"/>
  <c r="P772" i="2"/>
  <c r="C772" i="2"/>
  <c r="P770" i="2"/>
  <c r="C770" i="2"/>
  <c r="P768" i="2"/>
  <c r="C768" i="2"/>
  <c r="P766" i="2"/>
  <c r="C766" i="2"/>
  <c r="P764" i="2"/>
  <c r="C764" i="2"/>
  <c r="P762" i="2"/>
  <c r="C762" i="2"/>
  <c r="P760" i="2"/>
  <c r="C760" i="2"/>
  <c r="P758" i="2"/>
  <c r="C758" i="2"/>
  <c r="P756" i="2"/>
  <c r="C756" i="2"/>
  <c r="P754" i="2"/>
  <c r="C754" i="2"/>
  <c r="P752" i="2"/>
  <c r="C752" i="2"/>
  <c r="P750" i="2"/>
  <c r="C750" i="2"/>
  <c r="P748" i="2"/>
  <c r="C748" i="2"/>
  <c r="P746" i="2"/>
  <c r="C746" i="2"/>
  <c r="P744" i="2"/>
  <c r="C744" i="2"/>
  <c r="P742" i="2"/>
  <c r="C742" i="2"/>
  <c r="P740" i="2"/>
  <c r="C740" i="2"/>
  <c r="P738" i="2"/>
  <c r="C738" i="2"/>
  <c r="P736" i="2"/>
  <c r="C736" i="2"/>
  <c r="P734" i="2"/>
  <c r="C734" i="2"/>
  <c r="P732" i="2"/>
  <c r="C732" i="2"/>
  <c r="P730" i="2"/>
  <c r="C730" i="2"/>
  <c r="P728" i="2"/>
  <c r="C728" i="2"/>
  <c r="P726" i="2"/>
  <c r="C726" i="2"/>
  <c r="P724" i="2"/>
  <c r="C724" i="2"/>
  <c r="P722" i="2"/>
  <c r="C722" i="2"/>
  <c r="P720" i="2"/>
  <c r="C720" i="2"/>
  <c r="P718" i="2"/>
  <c r="C718" i="2"/>
  <c r="P716" i="2"/>
  <c r="C716" i="2"/>
  <c r="P714" i="2"/>
  <c r="C714" i="2"/>
  <c r="P712" i="2"/>
  <c r="C712" i="2"/>
  <c r="P710" i="2"/>
  <c r="C710" i="2"/>
  <c r="P708" i="2"/>
  <c r="C708" i="2"/>
  <c r="P706" i="2"/>
  <c r="C706" i="2"/>
  <c r="P704" i="2"/>
  <c r="C704" i="2"/>
  <c r="P702" i="2"/>
  <c r="C702" i="2"/>
  <c r="P700" i="2"/>
  <c r="C700" i="2"/>
  <c r="C1215" i="2"/>
  <c r="K1122" i="2"/>
  <c r="N1082" i="2"/>
  <c r="N1050" i="2"/>
  <c r="K1029" i="2"/>
  <c r="E1016" i="2"/>
  <c r="D1006" i="2"/>
  <c r="T988" i="2"/>
  <c r="T980" i="2"/>
  <c r="T972" i="2"/>
  <c r="T964" i="2"/>
  <c r="T956" i="2"/>
  <c r="T948" i="2"/>
  <c r="T940" i="2"/>
  <c r="T932" i="2"/>
  <c r="T924" i="2"/>
  <c r="T916" i="2"/>
  <c r="D911" i="2"/>
  <c r="Q906" i="2"/>
  <c r="C903" i="2"/>
  <c r="K899" i="2"/>
  <c r="S895" i="2"/>
  <c r="D889" i="2"/>
  <c r="F886" i="2"/>
  <c r="M883" i="2"/>
  <c r="S880" i="2"/>
  <c r="F878" i="2"/>
  <c r="M875" i="2"/>
  <c r="S872" i="2"/>
  <c r="F870" i="2"/>
  <c r="M867" i="2"/>
  <c r="S864" i="2"/>
  <c r="F862" i="2"/>
  <c r="M859" i="2"/>
  <c r="S856" i="2"/>
  <c r="F854" i="2"/>
  <c r="M851" i="2"/>
  <c r="S848" i="2"/>
  <c r="F846" i="2"/>
  <c r="M843" i="2"/>
  <c r="S840" i="2"/>
  <c r="F838" i="2"/>
  <c r="M835" i="2"/>
  <c r="S832" i="2"/>
  <c r="G830" i="2"/>
  <c r="G828" i="2"/>
  <c r="G826" i="2"/>
  <c r="G824" i="2"/>
  <c r="G822" i="2"/>
  <c r="G820" i="2"/>
  <c r="N818" i="2"/>
  <c r="T816" i="2"/>
  <c r="K815" i="2"/>
  <c r="S813" i="2"/>
  <c r="M812" i="2"/>
  <c r="G811" i="2"/>
  <c r="E810" i="2"/>
  <c r="T808" i="2"/>
  <c r="T807" i="2"/>
  <c r="T806" i="2"/>
  <c r="T805" i="2"/>
  <c r="T804" i="2"/>
  <c r="T803" i="2"/>
  <c r="T802" i="2"/>
  <c r="D802" i="2"/>
  <c r="F801" i="2"/>
  <c r="G800" i="2"/>
  <c r="J799" i="2"/>
  <c r="M798" i="2"/>
  <c r="N797" i="2"/>
  <c r="Q796" i="2"/>
  <c r="S795" i="2"/>
  <c r="T794" i="2"/>
  <c r="D794" i="2"/>
  <c r="F793" i="2"/>
  <c r="H792" i="2"/>
  <c r="M791" i="2"/>
  <c r="Q790" i="2"/>
  <c r="T789" i="2"/>
  <c r="D789" i="2"/>
  <c r="H788" i="2"/>
  <c r="N787" i="2"/>
  <c r="S786" i="2"/>
  <c r="E786" i="2"/>
  <c r="J785" i="2"/>
  <c r="P784" i="2"/>
  <c r="A784" i="2"/>
  <c r="H783" i="2"/>
  <c r="O782" i="2"/>
  <c r="A782" i="2"/>
  <c r="H781" i="2"/>
  <c r="O780" i="2"/>
  <c r="A780" i="2"/>
  <c r="H779" i="2"/>
  <c r="O778" i="2"/>
  <c r="A778" i="2"/>
  <c r="H777" i="2"/>
  <c r="O776" i="2"/>
  <c r="A776" i="2"/>
  <c r="H775" i="2"/>
  <c r="O774" i="2"/>
  <c r="A774" i="2"/>
  <c r="H773" i="2"/>
  <c r="O772" i="2"/>
  <c r="A772" i="2"/>
  <c r="H771" i="2"/>
  <c r="O770" i="2"/>
  <c r="A770" i="2"/>
  <c r="H769" i="2"/>
  <c r="O768" i="2"/>
  <c r="A768" i="2"/>
  <c r="H767" i="2"/>
  <c r="O766" i="2"/>
  <c r="A766" i="2"/>
  <c r="H765" i="2"/>
  <c r="O764" i="2"/>
  <c r="A764" i="2"/>
  <c r="H763" i="2"/>
  <c r="O762" i="2"/>
  <c r="A762" i="2"/>
  <c r="H761" i="2"/>
  <c r="O760" i="2"/>
  <c r="A760" i="2"/>
  <c r="H759" i="2"/>
  <c r="O758" i="2"/>
  <c r="A758" i="2"/>
  <c r="H757" i="2"/>
  <c r="O756" i="2"/>
  <c r="A756" i="2"/>
  <c r="H755" i="2"/>
  <c r="O754" i="2"/>
  <c r="A754" i="2"/>
  <c r="H753" i="2"/>
  <c r="O752" i="2"/>
  <c r="A752" i="2"/>
  <c r="H751" i="2"/>
  <c r="O750" i="2"/>
  <c r="A750" i="2"/>
  <c r="H749" i="2"/>
  <c r="O748" i="2"/>
  <c r="A748" i="2"/>
  <c r="H747" i="2"/>
  <c r="O746" i="2"/>
  <c r="A746" i="2"/>
  <c r="H745" i="2"/>
  <c r="O744" i="2"/>
  <c r="A744" i="2"/>
  <c r="H743" i="2"/>
  <c r="O742" i="2"/>
  <c r="A742" i="2"/>
  <c r="H741" i="2"/>
  <c r="O740" i="2"/>
  <c r="A740" i="2"/>
  <c r="H739" i="2"/>
  <c r="O738" i="2"/>
  <c r="A738" i="2"/>
  <c r="H737" i="2"/>
  <c r="O736" i="2"/>
  <c r="A736" i="2"/>
  <c r="H735" i="2"/>
  <c r="O734" i="2"/>
  <c r="A734" i="2"/>
  <c r="H733" i="2"/>
  <c r="O732" i="2"/>
  <c r="A732" i="2"/>
  <c r="H731" i="2"/>
  <c r="O730" i="2"/>
  <c r="A730" i="2"/>
  <c r="H729" i="2"/>
  <c r="O728" i="2"/>
  <c r="A728" i="2"/>
  <c r="H727" i="2"/>
  <c r="O726" i="2"/>
  <c r="A726" i="2"/>
  <c r="H725" i="2"/>
  <c r="O724" i="2"/>
  <c r="A724" i="2"/>
  <c r="H723" i="2"/>
  <c r="O722" i="2"/>
  <c r="A722" i="2"/>
  <c r="H721" i="2"/>
  <c r="O720" i="2"/>
  <c r="A720" i="2"/>
  <c r="H719" i="2"/>
  <c r="O718" i="2"/>
  <c r="A718" i="2"/>
  <c r="H717" i="2"/>
  <c r="O716" i="2"/>
  <c r="A716" i="2"/>
  <c r="H715" i="2"/>
  <c r="O714" i="2"/>
  <c r="A714" i="2"/>
  <c r="H713" i="2"/>
  <c r="O712" i="2"/>
  <c r="A712" i="2"/>
  <c r="H711" i="2"/>
  <c r="O710" i="2"/>
  <c r="A710" i="2"/>
  <c r="H709" i="2"/>
  <c r="O708" i="2"/>
  <c r="A708" i="2"/>
  <c r="H707" i="2"/>
  <c r="O706" i="2"/>
  <c r="A706" i="2"/>
  <c r="H705" i="2"/>
  <c r="O704" i="2"/>
  <c r="A704" i="2"/>
  <c r="H703" i="2"/>
  <c r="O702" i="2"/>
  <c r="A702" i="2"/>
  <c r="H701" i="2"/>
  <c r="O700" i="2"/>
  <c r="A700" i="2"/>
  <c r="H699" i="2"/>
  <c r="O698" i="2"/>
  <c r="M1214" i="2"/>
  <c r="J1122" i="2"/>
  <c r="M1082" i="2"/>
  <c r="M1050" i="2"/>
  <c r="J1029" i="2"/>
  <c r="D1016" i="2"/>
  <c r="C1006" i="2"/>
  <c r="H997" i="2"/>
  <c r="S988" i="2"/>
  <c r="S980" i="2"/>
  <c r="S972" i="2"/>
  <c r="S964" i="2"/>
  <c r="S956" i="2"/>
  <c r="S948" i="2"/>
  <c r="S940" i="2"/>
  <c r="S932" i="2"/>
  <c r="S924" i="2"/>
  <c r="S916" i="2"/>
  <c r="T910" i="2"/>
  <c r="N906" i="2"/>
  <c r="T902" i="2"/>
  <c r="J899" i="2"/>
  <c r="R895" i="2"/>
  <c r="G892" i="2"/>
  <c r="C889" i="2"/>
  <c r="E886" i="2"/>
  <c r="K883" i="2"/>
  <c r="R880" i="2"/>
  <c r="E878" i="2"/>
  <c r="K875" i="2"/>
  <c r="R872" i="2"/>
  <c r="E870" i="2"/>
  <c r="K867" i="2"/>
  <c r="R864" i="2"/>
  <c r="E862" i="2"/>
  <c r="K859" i="2"/>
  <c r="R856" i="2"/>
  <c r="E854" i="2"/>
  <c r="K851" i="2"/>
  <c r="R848" i="2"/>
  <c r="E846" i="2"/>
  <c r="K843" i="2"/>
  <c r="R840" i="2"/>
  <c r="E838" i="2"/>
  <c r="K835" i="2"/>
  <c r="R832" i="2"/>
  <c r="F830" i="2"/>
  <c r="F828" i="2"/>
  <c r="F826" i="2"/>
  <c r="F824" i="2"/>
  <c r="F822" i="2"/>
  <c r="F820" i="2"/>
  <c r="M818" i="2"/>
  <c r="S816" i="2"/>
  <c r="G815" i="2"/>
  <c r="N813" i="2"/>
  <c r="G812" i="2"/>
  <c r="F811" i="2"/>
  <c r="D810" i="2"/>
  <c r="S808" i="2"/>
  <c r="S807" i="2"/>
  <c r="S806" i="2"/>
  <c r="S805" i="2"/>
  <c r="S804" i="2"/>
  <c r="S803" i="2"/>
  <c r="S802" i="2"/>
  <c r="C802" i="2"/>
  <c r="D801" i="2"/>
  <c r="F800" i="2"/>
  <c r="J798" i="2"/>
  <c r="M797" i="2"/>
  <c r="P796" i="2"/>
  <c r="Q795" i="2"/>
  <c r="S794" i="2"/>
  <c r="C794" i="2"/>
  <c r="D793" i="2"/>
  <c r="G792" i="2"/>
  <c r="K791" i="2"/>
  <c r="P790" i="2"/>
  <c r="S789" i="2"/>
  <c r="C789" i="2"/>
  <c r="G788" i="2"/>
  <c r="M787" i="2"/>
  <c r="R786" i="2"/>
  <c r="D786" i="2"/>
  <c r="N784" i="2"/>
  <c r="T783" i="2"/>
  <c r="G783" i="2"/>
  <c r="N782" i="2"/>
  <c r="T781" i="2"/>
  <c r="G781" i="2"/>
  <c r="N780" i="2"/>
  <c r="T779" i="2"/>
  <c r="G779" i="2"/>
  <c r="N778" i="2"/>
  <c r="T777" i="2"/>
  <c r="G777" i="2"/>
  <c r="N776" i="2"/>
  <c r="T775" i="2"/>
  <c r="G775" i="2"/>
  <c r="N774" i="2"/>
  <c r="T773" i="2"/>
  <c r="G773" i="2"/>
  <c r="N772" i="2"/>
  <c r="T771" i="2"/>
  <c r="G771" i="2"/>
  <c r="N770" i="2"/>
  <c r="T769" i="2"/>
  <c r="G769" i="2"/>
  <c r="N768" i="2"/>
  <c r="T767" i="2"/>
  <c r="G767" i="2"/>
  <c r="N766" i="2"/>
  <c r="T765" i="2"/>
  <c r="G765" i="2"/>
  <c r="N764" i="2"/>
  <c r="T763" i="2"/>
  <c r="G763" i="2"/>
  <c r="N762" i="2"/>
  <c r="T761" i="2"/>
  <c r="G761" i="2"/>
  <c r="N760" i="2"/>
  <c r="T759" i="2"/>
  <c r="G759" i="2"/>
  <c r="N758" i="2"/>
  <c r="T757" i="2"/>
  <c r="G757" i="2"/>
  <c r="N756" i="2"/>
  <c r="T755" i="2"/>
  <c r="G755" i="2"/>
  <c r="N754" i="2"/>
  <c r="T753" i="2"/>
  <c r="G753" i="2"/>
  <c r="N752" i="2"/>
  <c r="T751" i="2"/>
  <c r="G751" i="2"/>
  <c r="N750" i="2"/>
  <c r="T749" i="2"/>
  <c r="G749" i="2"/>
  <c r="N748" i="2"/>
  <c r="T747" i="2"/>
  <c r="G747" i="2"/>
  <c r="N746" i="2"/>
  <c r="T745" i="2"/>
  <c r="G745" i="2"/>
  <c r="N744" i="2"/>
  <c r="T743" i="2"/>
  <c r="G743" i="2"/>
  <c r="N742" i="2"/>
  <c r="T741" i="2"/>
  <c r="G741" i="2"/>
  <c r="N740" i="2"/>
  <c r="T739" i="2"/>
  <c r="G739" i="2"/>
  <c r="N738" i="2"/>
  <c r="T737" i="2"/>
  <c r="G737" i="2"/>
  <c r="N736" i="2"/>
  <c r="T735" i="2"/>
  <c r="G735" i="2"/>
  <c r="N734" i="2"/>
  <c r="T733" i="2"/>
  <c r="G733" i="2"/>
  <c r="N732" i="2"/>
  <c r="T731" i="2"/>
  <c r="G731" i="2"/>
  <c r="N730" i="2"/>
  <c r="T729" i="2"/>
  <c r="G729" i="2"/>
  <c r="N728" i="2"/>
  <c r="T727" i="2"/>
  <c r="G727" i="2"/>
  <c r="N726" i="2"/>
  <c r="T725" i="2"/>
  <c r="G725" i="2"/>
  <c r="N724" i="2"/>
  <c r="T723" i="2"/>
  <c r="G723" i="2"/>
  <c r="N722" i="2"/>
  <c r="T721" i="2"/>
  <c r="G721" i="2"/>
  <c r="N720" i="2"/>
  <c r="T719" i="2"/>
  <c r="G719" i="2"/>
  <c r="N718" i="2"/>
  <c r="T717" i="2"/>
  <c r="G717" i="2"/>
  <c r="N716" i="2"/>
  <c r="T715" i="2"/>
  <c r="G715" i="2"/>
  <c r="N714" i="2"/>
  <c r="T713" i="2"/>
  <c r="G713" i="2"/>
  <c r="N712" i="2"/>
  <c r="T711" i="2"/>
  <c r="G711" i="2"/>
  <c r="N710" i="2"/>
  <c r="T709" i="2"/>
  <c r="G709" i="2"/>
  <c r="N708" i="2"/>
  <c r="T707" i="2"/>
  <c r="G707" i="2"/>
  <c r="N706" i="2"/>
  <c r="T705" i="2"/>
  <c r="G705" i="2"/>
  <c r="N704" i="2"/>
  <c r="T703" i="2"/>
  <c r="G703" i="2"/>
  <c r="N702" i="2"/>
  <c r="T701" i="2"/>
  <c r="G701" i="2"/>
  <c r="N700" i="2"/>
  <c r="T699" i="2"/>
  <c r="G699" i="2"/>
  <c r="N698" i="2"/>
  <c r="T697" i="2"/>
  <c r="C1197" i="2"/>
  <c r="F1113" i="2"/>
  <c r="N1076" i="2"/>
  <c r="N1044" i="2"/>
  <c r="S1026" i="2"/>
  <c r="C1014" i="2"/>
  <c r="K1004" i="2"/>
  <c r="Q995" i="2"/>
  <c r="J987" i="2"/>
  <c r="J979" i="2"/>
  <c r="J971" i="2"/>
  <c r="J963" i="2"/>
  <c r="J955" i="2"/>
  <c r="J947" i="2"/>
  <c r="J939" i="2"/>
  <c r="J931" i="2"/>
  <c r="J923" i="2"/>
  <c r="J915" i="2"/>
  <c r="D910" i="2"/>
  <c r="Q905" i="2"/>
  <c r="F902" i="2"/>
  <c r="N898" i="2"/>
  <c r="D895" i="2"/>
  <c r="M891" i="2"/>
  <c r="J888" i="2"/>
  <c r="N885" i="2"/>
  <c r="T882" i="2"/>
  <c r="G880" i="2"/>
  <c r="N877" i="2"/>
  <c r="T874" i="2"/>
  <c r="G872" i="2"/>
  <c r="N869" i="2"/>
  <c r="T866" i="2"/>
  <c r="G864" i="2"/>
  <c r="N861" i="2"/>
  <c r="T858" i="2"/>
  <c r="G856" i="2"/>
  <c r="N853" i="2"/>
  <c r="T850" i="2"/>
  <c r="G848" i="2"/>
  <c r="N845" i="2"/>
  <c r="T842" i="2"/>
  <c r="G840" i="2"/>
  <c r="N837" i="2"/>
  <c r="T834" i="2"/>
  <c r="G832" i="2"/>
  <c r="E830" i="2"/>
  <c r="E828" i="2"/>
  <c r="E826" i="2"/>
  <c r="E824" i="2"/>
  <c r="E822" i="2"/>
  <c r="E820" i="2"/>
  <c r="G818" i="2"/>
  <c r="R816" i="2"/>
  <c r="F815" i="2"/>
  <c r="M813" i="2"/>
  <c r="F812" i="2"/>
  <c r="D811" i="2"/>
  <c r="T809" i="2"/>
  <c r="R808" i="2"/>
  <c r="Q807" i="2"/>
  <c r="R806" i="2"/>
  <c r="Q805" i="2"/>
  <c r="R804" i="2"/>
  <c r="Q803" i="2"/>
  <c r="R802" i="2"/>
  <c r="T801" i="2"/>
  <c r="C801" i="2"/>
  <c r="E800" i="2"/>
  <c r="G799" i="2"/>
  <c r="K797" i="2"/>
  <c r="N796" i="2"/>
  <c r="P795" i="2"/>
  <c r="R794" i="2"/>
  <c r="T793" i="2"/>
  <c r="C793" i="2"/>
  <c r="F792" i="2"/>
  <c r="J791" i="2"/>
  <c r="N790" i="2"/>
  <c r="Q789" i="2"/>
  <c r="A789" i="2"/>
  <c r="F788" i="2"/>
  <c r="K787" i="2"/>
  <c r="Q786" i="2"/>
  <c r="C786" i="2"/>
  <c r="G785" i="2"/>
  <c r="M784" i="2"/>
  <c r="S783" i="2"/>
  <c r="F783" i="2"/>
  <c r="M782" i="2"/>
  <c r="S781" i="2"/>
  <c r="F781" i="2"/>
  <c r="M780" i="2"/>
  <c r="S779" i="2"/>
  <c r="F779" i="2"/>
  <c r="M778" i="2"/>
  <c r="S777" i="2"/>
  <c r="F777" i="2"/>
  <c r="M776" i="2"/>
  <c r="S775" i="2"/>
  <c r="F775" i="2"/>
  <c r="M774" i="2"/>
  <c r="S773" i="2"/>
  <c r="F773" i="2"/>
  <c r="M772" i="2"/>
  <c r="S771" i="2"/>
  <c r="F771" i="2"/>
  <c r="M770" i="2"/>
  <c r="S769" i="2"/>
  <c r="F769" i="2"/>
  <c r="M768" i="2"/>
  <c r="S767" i="2"/>
  <c r="F767" i="2"/>
  <c r="M766" i="2"/>
  <c r="S765" i="2"/>
  <c r="F765" i="2"/>
  <c r="M764" i="2"/>
  <c r="S763" i="2"/>
  <c r="F763" i="2"/>
  <c r="M762" i="2"/>
  <c r="S761" i="2"/>
  <c r="F761" i="2"/>
  <c r="M760" i="2"/>
  <c r="S759" i="2"/>
  <c r="F759" i="2"/>
  <c r="M758" i="2"/>
  <c r="S757" i="2"/>
  <c r="F757" i="2"/>
  <c r="M756" i="2"/>
  <c r="S755" i="2"/>
  <c r="F755" i="2"/>
  <c r="M754" i="2"/>
  <c r="S753" i="2"/>
  <c r="F753" i="2"/>
  <c r="M752" i="2"/>
  <c r="S751" i="2"/>
  <c r="F751" i="2"/>
  <c r="M750" i="2"/>
  <c r="S749" i="2"/>
  <c r="F749" i="2"/>
  <c r="M748" i="2"/>
  <c r="S747" i="2"/>
  <c r="F747" i="2"/>
  <c r="M746" i="2"/>
  <c r="S745" i="2"/>
  <c r="F745" i="2"/>
  <c r="M744" i="2"/>
  <c r="S743" i="2"/>
  <c r="F743" i="2"/>
  <c r="M742" i="2"/>
  <c r="S741" i="2"/>
  <c r="F741" i="2"/>
  <c r="M740" i="2"/>
  <c r="S739" i="2"/>
  <c r="F739" i="2"/>
  <c r="M738" i="2"/>
  <c r="S737" i="2"/>
  <c r="F737" i="2"/>
  <c r="M736" i="2"/>
  <c r="S735" i="2"/>
  <c r="F735" i="2"/>
  <c r="M734" i="2"/>
  <c r="S733" i="2"/>
  <c r="F733" i="2"/>
  <c r="M732" i="2"/>
  <c r="S731" i="2"/>
  <c r="F731" i="2"/>
  <c r="M730" i="2"/>
  <c r="S729" i="2"/>
  <c r="F729" i="2"/>
  <c r="M728" i="2"/>
  <c r="S727" i="2"/>
  <c r="F727" i="2"/>
  <c r="M726" i="2"/>
  <c r="S725" i="2"/>
  <c r="F725" i="2"/>
  <c r="M724" i="2"/>
  <c r="S723" i="2"/>
  <c r="F723" i="2"/>
  <c r="M722" i="2"/>
  <c r="S721" i="2"/>
  <c r="F721" i="2"/>
  <c r="M720" i="2"/>
  <c r="S719" i="2"/>
  <c r="F719" i="2"/>
  <c r="M718" i="2"/>
  <c r="S717" i="2"/>
  <c r="F717" i="2"/>
  <c r="M716" i="2"/>
  <c r="S715" i="2"/>
  <c r="F715" i="2"/>
  <c r="M714" i="2"/>
  <c r="S713" i="2"/>
  <c r="F713" i="2"/>
  <c r="M712" i="2"/>
  <c r="S711" i="2"/>
  <c r="F711" i="2"/>
  <c r="M710" i="2"/>
  <c r="S709" i="2"/>
  <c r="F709" i="2"/>
  <c r="M708" i="2"/>
  <c r="S707" i="2"/>
  <c r="F707" i="2"/>
  <c r="M706" i="2"/>
  <c r="S705" i="2"/>
  <c r="F705" i="2"/>
  <c r="M704" i="2"/>
  <c r="S703" i="2"/>
  <c r="F703" i="2"/>
  <c r="M702" i="2"/>
  <c r="S701" i="2"/>
  <c r="F701" i="2"/>
  <c r="M700" i="2"/>
  <c r="S699" i="2"/>
  <c r="F699" i="2"/>
  <c r="M698" i="2"/>
  <c r="S697" i="2"/>
  <c r="F697" i="2"/>
  <c r="M696" i="2"/>
  <c r="S695" i="2"/>
  <c r="F695" i="2"/>
  <c r="M694" i="2"/>
  <c r="S693" i="2"/>
  <c r="F693" i="2"/>
  <c r="M692" i="2"/>
  <c r="S691" i="2"/>
  <c r="F691" i="2"/>
  <c r="M690" i="2"/>
  <c r="S689" i="2"/>
  <c r="F689" i="2"/>
  <c r="M688" i="2"/>
  <c r="S687" i="2"/>
  <c r="F687" i="2"/>
  <c r="M686" i="2"/>
  <c r="S685" i="2"/>
  <c r="F685" i="2"/>
  <c r="M684" i="2"/>
  <c r="S683" i="2"/>
  <c r="F683" i="2"/>
  <c r="M682" i="2"/>
  <c r="S681" i="2"/>
  <c r="F681" i="2"/>
  <c r="M680" i="2"/>
  <c r="S679" i="2"/>
  <c r="F679" i="2"/>
  <c r="M678" i="2"/>
  <c r="S677" i="2"/>
  <c r="F677" i="2"/>
  <c r="M676" i="2"/>
  <c r="S675" i="2"/>
  <c r="F675" i="2"/>
  <c r="M674" i="2"/>
  <c r="S673" i="2"/>
  <c r="F673" i="2"/>
  <c r="C1167" i="2"/>
  <c r="N1066" i="2"/>
  <c r="E1037" i="2"/>
  <c r="N1022" i="2"/>
  <c r="Q1010" i="2"/>
  <c r="Q1001" i="2"/>
  <c r="C993" i="2"/>
  <c r="T984" i="2"/>
  <c r="T976" i="2"/>
  <c r="T968" i="2"/>
  <c r="T960" i="2"/>
  <c r="T952" i="2"/>
  <c r="T944" i="2"/>
  <c r="T936" i="2"/>
  <c r="T928" i="2"/>
  <c r="T920" i="2"/>
  <c r="M913" i="2"/>
  <c r="R908" i="2"/>
  <c r="R904" i="2"/>
  <c r="F901" i="2"/>
  <c r="P897" i="2"/>
  <c r="E894" i="2"/>
  <c r="P890" i="2"/>
  <c r="O887" i="2"/>
  <c r="S884" i="2"/>
  <c r="F882" i="2"/>
  <c r="M879" i="2"/>
  <c r="S876" i="2"/>
  <c r="F874" i="2"/>
  <c r="M871" i="2"/>
  <c r="S868" i="2"/>
  <c r="F866" i="2"/>
  <c r="M863" i="2"/>
  <c r="S860" i="2"/>
  <c r="F858" i="2"/>
  <c r="M855" i="2"/>
  <c r="S852" i="2"/>
  <c r="F850" i="2"/>
  <c r="M847" i="2"/>
  <c r="S844" i="2"/>
  <c r="F842" i="2"/>
  <c r="M839" i="2"/>
  <c r="S836" i="2"/>
  <c r="F834" i="2"/>
  <c r="M831" i="2"/>
  <c r="K829" i="2"/>
  <c r="K827" i="2"/>
  <c r="K825" i="2"/>
  <c r="K823" i="2"/>
  <c r="K821" i="2"/>
  <c r="K819" i="2"/>
  <c r="S817" i="2"/>
  <c r="F816" i="2"/>
  <c r="N814" i="2"/>
  <c r="F813" i="2"/>
  <c r="S811" i="2"/>
  <c r="Q810" i="2"/>
  <c r="M809" i="2"/>
  <c r="J808" i="2"/>
  <c r="K807" i="2"/>
  <c r="J806" i="2"/>
  <c r="K805" i="2"/>
  <c r="J804" i="2"/>
  <c r="K803" i="2"/>
  <c r="M802" i="2"/>
  <c r="N801" i="2"/>
  <c r="Q800" i="2"/>
  <c r="S799" i="2"/>
  <c r="T798" i="2"/>
  <c r="D798" i="2"/>
  <c r="F797" i="2"/>
  <c r="G796" i="2"/>
  <c r="J795" i="2"/>
  <c r="M794" i="2"/>
  <c r="N793" i="2"/>
  <c r="Q792" i="2"/>
  <c r="T791" i="2"/>
  <c r="D791" i="2"/>
  <c r="H790" i="2"/>
  <c r="M789" i="2"/>
  <c r="Q788" i="2"/>
  <c r="T787" i="2"/>
  <c r="F787" i="2"/>
  <c r="K786" i="2"/>
  <c r="Q785" i="2"/>
  <c r="C785" i="2"/>
  <c r="H784" i="2"/>
  <c r="O783" i="2"/>
  <c r="A783" i="2"/>
  <c r="H782" i="2"/>
  <c r="O781" i="2"/>
  <c r="A781" i="2"/>
  <c r="H780" i="2"/>
  <c r="O779" i="2"/>
  <c r="A779" i="2"/>
  <c r="H778" i="2"/>
  <c r="O777" i="2"/>
  <c r="A777" i="2"/>
  <c r="H776" i="2"/>
  <c r="O775" i="2"/>
  <c r="A775" i="2"/>
  <c r="H774" i="2"/>
  <c r="O773" i="2"/>
  <c r="A773" i="2"/>
  <c r="H772" i="2"/>
  <c r="O771" i="2"/>
  <c r="A771" i="2"/>
  <c r="H770" i="2"/>
  <c r="O769" i="2"/>
  <c r="A769" i="2"/>
  <c r="H768" i="2"/>
  <c r="O767" i="2"/>
  <c r="A767" i="2"/>
  <c r="H766" i="2"/>
  <c r="O765" i="2"/>
  <c r="A765" i="2"/>
  <c r="H764" i="2"/>
  <c r="O763" i="2"/>
  <c r="A763" i="2"/>
  <c r="H762" i="2"/>
  <c r="O761" i="2"/>
  <c r="A761" i="2"/>
  <c r="H760" i="2"/>
  <c r="O759" i="2"/>
  <c r="A759" i="2"/>
  <c r="H758" i="2"/>
  <c r="O757" i="2"/>
  <c r="A757" i="2"/>
  <c r="H756" i="2"/>
  <c r="O755" i="2"/>
  <c r="A755" i="2"/>
  <c r="H754" i="2"/>
  <c r="O753" i="2"/>
  <c r="A753" i="2"/>
  <c r="H752" i="2"/>
  <c r="O751" i="2"/>
  <c r="A751" i="2"/>
  <c r="H750" i="2"/>
  <c r="O749" i="2"/>
  <c r="A749" i="2"/>
  <c r="H748" i="2"/>
  <c r="O747" i="2"/>
  <c r="A747" i="2"/>
  <c r="H746" i="2"/>
  <c r="O745" i="2"/>
  <c r="A745" i="2"/>
  <c r="H744" i="2"/>
  <c r="O743" i="2"/>
  <c r="A743" i="2"/>
  <c r="H742" i="2"/>
  <c r="O741" i="2"/>
  <c r="A741" i="2"/>
  <c r="H740" i="2"/>
  <c r="O739" i="2"/>
  <c r="A739" i="2"/>
  <c r="H738" i="2"/>
  <c r="O737" i="2"/>
  <c r="A737" i="2"/>
  <c r="H736" i="2"/>
  <c r="O735" i="2"/>
  <c r="A735" i="2"/>
  <c r="H734" i="2"/>
  <c r="O733" i="2"/>
  <c r="A733" i="2"/>
  <c r="H732" i="2"/>
  <c r="O731" i="2"/>
  <c r="A731" i="2"/>
  <c r="H730" i="2"/>
  <c r="O729" i="2"/>
  <c r="A729" i="2"/>
  <c r="H728" i="2"/>
  <c r="O727" i="2"/>
  <c r="A727" i="2"/>
  <c r="H726" i="2"/>
  <c r="O725" i="2"/>
  <c r="A725" i="2"/>
  <c r="H724" i="2"/>
  <c r="O723" i="2"/>
  <c r="A723" i="2"/>
  <c r="H722" i="2"/>
  <c r="O721" i="2"/>
  <c r="A721" i="2"/>
  <c r="H720" i="2"/>
  <c r="O719" i="2"/>
  <c r="A719" i="2"/>
  <c r="H718" i="2"/>
  <c r="O717" i="2"/>
  <c r="A717" i="2"/>
  <c r="H716" i="2"/>
  <c r="O715" i="2"/>
  <c r="A715" i="2"/>
  <c r="H714" i="2"/>
  <c r="O713" i="2"/>
  <c r="A713" i="2"/>
  <c r="H712" i="2"/>
  <c r="O711" i="2"/>
  <c r="A711" i="2"/>
  <c r="H710" i="2"/>
  <c r="O709" i="2"/>
  <c r="A709" i="2"/>
  <c r="H708" i="2"/>
  <c r="O707" i="2"/>
  <c r="A707" i="2"/>
  <c r="H706" i="2"/>
  <c r="O705" i="2"/>
  <c r="A705" i="2"/>
  <c r="H704" i="2"/>
  <c r="O703" i="2"/>
  <c r="A703" i="2"/>
  <c r="H702" i="2"/>
  <c r="O701" i="2"/>
  <c r="A701" i="2"/>
  <c r="H700" i="2"/>
  <c r="O699" i="2"/>
  <c r="A699" i="2"/>
  <c r="H698" i="2"/>
  <c r="O697" i="2"/>
  <c r="M1166" i="2"/>
  <c r="F1100" i="2"/>
  <c r="M1066" i="2"/>
  <c r="A1037" i="2"/>
  <c r="M1022" i="2"/>
  <c r="P1010" i="2"/>
  <c r="P1001" i="2"/>
  <c r="A993" i="2"/>
  <c r="S984" i="2"/>
  <c r="S976" i="2"/>
  <c r="S968" i="2"/>
  <c r="S960" i="2"/>
  <c r="S952" i="2"/>
  <c r="S944" i="2"/>
  <c r="S936" i="2"/>
  <c r="S928" i="2"/>
  <c r="S920" i="2"/>
  <c r="K913" i="2"/>
  <c r="Q908" i="2"/>
  <c r="Q904" i="2"/>
  <c r="E901" i="2"/>
  <c r="N897" i="2"/>
  <c r="D894" i="2"/>
  <c r="N890" i="2"/>
  <c r="N887" i="2"/>
  <c r="R884" i="2"/>
  <c r="E882" i="2"/>
  <c r="K879" i="2"/>
  <c r="R876" i="2"/>
  <c r="E874" i="2"/>
  <c r="K871" i="2"/>
  <c r="R868" i="2"/>
  <c r="E866" i="2"/>
  <c r="K863" i="2"/>
  <c r="R860" i="2"/>
  <c r="E858" i="2"/>
  <c r="K855" i="2"/>
  <c r="R852" i="2"/>
  <c r="E850" i="2"/>
  <c r="K847" i="2"/>
  <c r="R844" i="2"/>
  <c r="E842" i="2"/>
  <c r="K839" i="2"/>
  <c r="R836" i="2"/>
  <c r="E834" i="2"/>
  <c r="K831" i="2"/>
  <c r="G829" i="2"/>
  <c r="G827" i="2"/>
  <c r="G825" i="2"/>
  <c r="G823" i="2"/>
  <c r="G821" i="2"/>
  <c r="G819" i="2"/>
  <c r="N817" i="2"/>
  <c r="E816" i="2"/>
  <c r="M814" i="2"/>
  <c r="T812" i="2"/>
  <c r="Q811" i="2"/>
  <c r="N810" i="2"/>
  <c r="K809" i="2"/>
  <c r="J807" i="2"/>
  <c r="J805" i="2"/>
  <c r="J803" i="2"/>
  <c r="J802" i="2"/>
  <c r="M801" i="2"/>
  <c r="P800" i="2"/>
  <c r="Q799" i="2"/>
  <c r="S798" i="2"/>
  <c r="C798" i="2"/>
  <c r="D797" i="2"/>
  <c r="F796" i="2"/>
  <c r="J794" i="2"/>
  <c r="M793" i="2"/>
  <c r="P792" i="2"/>
  <c r="S791" i="2"/>
  <c r="C791" i="2"/>
  <c r="G790" i="2"/>
  <c r="K789" i="2"/>
  <c r="P788" i="2"/>
  <c r="S787" i="2"/>
  <c r="E787" i="2"/>
  <c r="J786" i="2"/>
  <c r="P785" i="2"/>
  <c r="A785" i="2"/>
  <c r="G784" i="2"/>
  <c r="N783" i="2"/>
  <c r="T782" i="2"/>
  <c r="G782" i="2"/>
  <c r="N781" i="2"/>
  <c r="T780" i="2"/>
  <c r="G780" i="2"/>
  <c r="N779" i="2"/>
  <c r="T778" i="2"/>
  <c r="G778" i="2"/>
  <c r="N777" i="2"/>
  <c r="T776" i="2"/>
  <c r="G776" i="2"/>
  <c r="N775" i="2"/>
  <c r="T774" i="2"/>
  <c r="G774" i="2"/>
  <c r="N773" i="2"/>
  <c r="T772" i="2"/>
  <c r="G772" i="2"/>
  <c r="N771" i="2"/>
  <c r="T770" i="2"/>
  <c r="G770" i="2"/>
  <c r="N769" i="2"/>
  <c r="T768" i="2"/>
  <c r="G768" i="2"/>
  <c r="N767" i="2"/>
  <c r="T766" i="2"/>
  <c r="G766" i="2"/>
  <c r="N765" i="2"/>
  <c r="T764" i="2"/>
  <c r="G764" i="2"/>
  <c r="N763" i="2"/>
  <c r="T762" i="2"/>
  <c r="G762" i="2"/>
  <c r="N761" i="2"/>
  <c r="T760" i="2"/>
  <c r="G760" i="2"/>
  <c r="N759" i="2"/>
  <c r="T758" i="2"/>
  <c r="G758" i="2"/>
  <c r="N757" i="2"/>
  <c r="T756" i="2"/>
  <c r="G756" i="2"/>
  <c r="N755" i="2"/>
  <c r="T754" i="2"/>
  <c r="G754" i="2"/>
  <c r="N753" i="2"/>
  <c r="T752" i="2"/>
  <c r="G752" i="2"/>
  <c r="N751" i="2"/>
  <c r="T750" i="2"/>
  <c r="G750" i="2"/>
  <c r="N749" i="2"/>
  <c r="T748" i="2"/>
  <c r="G748" i="2"/>
  <c r="N747" i="2"/>
  <c r="T746" i="2"/>
  <c r="G746" i="2"/>
  <c r="N745" i="2"/>
  <c r="T744" i="2"/>
  <c r="G744" i="2"/>
  <c r="N743" i="2"/>
  <c r="T742" i="2"/>
  <c r="G742" i="2"/>
  <c r="N741" i="2"/>
  <c r="T740" i="2"/>
  <c r="G740" i="2"/>
  <c r="N739" i="2"/>
  <c r="T738" i="2"/>
  <c r="G738" i="2"/>
  <c r="N737" i="2"/>
  <c r="T736" i="2"/>
  <c r="G736" i="2"/>
  <c r="N735" i="2"/>
  <c r="T734" i="2"/>
  <c r="G734" i="2"/>
  <c r="N733" i="2"/>
  <c r="T732" i="2"/>
  <c r="G732" i="2"/>
  <c r="N731" i="2"/>
  <c r="T730" i="2"/>
  <c r="G730" i="2"/>
  <c r="N729" i="2"/>
  <c r="T728" i="2"/>
  <c r="G728" i="2"/>
  <c r="N727" i="2"/>
  <c r="T726" i="2"/>
  <c r="G726" i="2"/>
  <c r="N725" i="2"/>
  <c r="T724" i="2"/>
  <c r="G724" i="2"/>
  <c r="N723" i="2"/>
  <c r="T722" i="2"/>
  <c r="G722" i="2"/>
  <c r="N721" i="2"/>
  <c r="T720" i="2"/>
  <c r="G720" i="2"/>
  <c r="N719" i="2"/>
  <c r="T718" i="2"/>
  <c r="G718" i="2"/>
  <c r="N717" i="2"/>
  <c r="T716" i="2"/>
  <c r="G716" i="2"/>
  <c r="N715" i="2"/>
  <c r="T714" i="2"/>
  <c r="G714" i="2"/>
  <c r="N713" i="2"/>
  <c r="T712" i="2"/>
  <c r="G712" i="2"/>
  <c r="N711" i="2"/>
  <c r="T710" i="2"/>
  <c r="G710" i="2"/>
  <c r="N709" i="2"/>
  <c r="T708" i="2"/>
  <c r="G708" i="2"/>
  <c r="N707" i="2"/>
  <c r="T706" i="2"/>
  <c r="G706" i="2"/>
  <c r="N705" i="2"/>
  <c r="T704" i="2"/>
  <c r="G704" i="2"/>
  <c r="N703" i="2"/>
  <c r="T702" i="2"/>
  <c r="G702" i="2"/>
  <c r="N701" i="2"/>
  <c r="T700" i="2"/>
  <c r="G700" i="2"/>
  <c r="N699" i="2"/>
  <c r="T698" i="2"/>
  <c r="G698" i="2"/>
  <c r="N697" i="2"/>
  <c r="T696" i="2"/>
  <c r="C1191" i="2"/>
  <c r="D1026" i="2"/>
  <c r="T986" i="2"/>
  <c r="T954" i="2"/>
  <c r="T922" i="2"/>
  <c r="E902" i="2"/>
  <c r="M877" i="2"/>
  <c r="S866" i="2"/>
  <c r="F856" i="2"/>
  <c r="M845" i="2"/>
  <c r="S834" i="2"/>
  <c r="T825" i="2"/>
  <c r="F818" i="2"/>
  <c r="E812" i="2"/>
  <c r="P807" i="2"/>
  <c r="P803" i="2"/>
  <c r="D800" i="2"/>
  <c r="M796" i="2"/>
  <c r="T792" i="2"/>
  <c r="P789" i="2"/>
  <c r="P786" i="2"/>
  <c r="R783" i="2"/>
  <c r="E781" i="2"/>
  <c r="K778" i="2"/>
  <c r="R775" i="2"/>
  <c r="E773" i="2"/>
  <c r="K770" i="2"/>
  <c r="R767" i="2"/>
  <c r="E765" i="2"/>
  <c r="K762" i="2"/>
  <c r="R759" i="2"/>
  <c r="E757" i="2"/>
  <c r="K754" i="2"/>
  <c r="R751" i="2"/>
  <c r="E749" i="2"/>
  <c r="K746" i="2"/>
  <c r="R743" i="2"/>
  <c r="E741" i="2"/>
  <c r="K738" i="2"/>
  <c r="R735" i="2"/>
  <c r="E733" i="2"/>
  <c r="K730" i="2"/>
  <c r="R727" i="2"/>
  <c r="E725" i="2"/>
  <c r="K722" i="2"/>
  <c r="R719" i="2"/>
  <c r="E717" i="2"/>
  <c r="K714" i="2"/>
  <c r="K708" i="2"/>
  <c r="C707" i="2"/>
  <c r="J705" i="2"/>
  <c r="Q703" i="2"/>
  <c r="E702" i="2"/>
  <c r="K700" i="2"/>
  <c r="D699" i="2"/>
  <c r="R697" i="2"/>
  <c r="R696" i="2"/>
  <c r="C696" i="2"/>
  <c r="G695" i="2"/>
  <c r="J694" i="2"/>
  <c r="O693" i="2"/>
  <c r="R692" i="2"/>
  <c r="C692" i="2"/>
  <c r="G691" i="2"/>
  <c r="J690" i="2"/>
  <c r="O689" i="2"/>
  <c r="R688" i="2"/>
  <c r="C688" i="2"/>
  <c r="G687" i="2"/>
  <c r="J686" i="2"/>
  <c r="O685" i="2"/>
  <c r="R684" i="2"/>
  <c r="C684" i="2"/>
  <c r="G683" i="2"/>
  <c r="J682" i="2"/>
  <c r="O681" i="2"/>
  <c r="R680" i="2"/>
  <c r="C680" i="2"/>
  <c r="G679" i="2"/>
  <c r="J678" i="2"/>
  <c r="O677" i="2"/>
  <c r="R676" i="2"/>
  <c r="C676" i="2"/>
  <c r="G675" i="2"/>
  <c r="J674" i="2"/>
  <c r="P673" i="2"/>
  <c r="A673" i="2"/>
  <c r="H672" i="2"/>
  <c r="O671" i="2"/>
  <c r="A671" i="2"/>
  <c r="H670" i="2"/>
  <c r="O669" i="2"/>
  <c r="A669" i="2"/>
  <c r="H668" i="2"/>
  <c r="O667" i="2"/>
  <c r="A667" i="2"/>
  <c r="H666" i="2"/>
  <c r="O665" i="2"/>
  <c r="A665" i="2"/>
  <c r="H664" i="2"/>
  <c r="O663" i="2"/>
  <c r="A663" i="2"/>
  <c r="H662" i="2"/>
  <c r="O661" i="2"/>
  <c r="A661" i="2"/>
  <c r="H660" i="2"/>
  <c r="O659" i="2"/>
  <c r="A659" i="2"/>
  <c r="M1190" i="2"/>
  <c r="T1025" i="2"/>
  <c r="S986" i="2"/>
  <c r="S954" i="2"/>
  <c r="S922" i="2"/>
  <c r="D902" i="2"/>
  <c r="H888" i="2"/>
  <c r="K877" i="2"/>
  <c r="R866" i="2"/>
  <c r="E856" i="2"/>
  <c r="K845" i="2"/>
  <c r="R834" i="2"/>
  <c r="N825" i="2"/>
  <c r="E818" i="2"/>
  <c r="D812" i="2"/>
  <c r="N807" i="2"/>
  <c r="N803" i="2"/>
  <c r="C800" i="2"/>
  <c r="J796" i="2"/>
  <c r="S792" i="2"/>
  <c r="O789" i="2"/>
  <c r="N786" i="2"/>
  <c r="Q783" i="2"/>
  <c r="D781" i="2"/>
  <c r="J778" i="2"/>
  <c r="Q775" i="2"/>
  <c r="D773" i="2"/>
  <c r="J770" i="2"/>
  <c r="Q767" i="2"/>
  <c r="D765" i="2"/>
  <c r="J762" i="2"/>
  <c r="Q759" i="2"/>
  <c r="D757" i="2"/>
  <c r="J754" i="2"/>
  <c r="Q751" i="2"/>
  <c r="D749" i="2"/>
  <c r="J746" i="2"/>
  <c r="Q743" i="2"/>
  <c r="D741" i="2"/>
  <c r="J738" i="2"/>
  <c r="Q735" i="2"/>
  <c r="D733" i="2"/>
  <c r="J730" i="2"/>
  <c r="Q727" i="2"/>
  <c r="D725" i="2"/>
  <c r="J722" i="2"/>
  <c r="Q719" i="2"/>
  <c r="D717" i="2"/>
  <c r="J714" i="2"/>
  <c r="E712" i="2"/>
  <c r="E710" i="2"/>
  <c r="J708" i="2"/>
  <c r="R706" i="2"/>
  <c r="E705" i="2"/>
  <c r="P703" i="2"/>
  <c r="D702" i="2"/>
  <c r="J700" i="2"/>
  <c r="C699" i="2"/>
  <c r="Q697" i="2"/>
  <c r="Q696" i="2"/>
  <c r="A696" i="2"/>
  <c r="E695" i="2"/>
  <c r="N693" i="2"/>
  <c r="Q692" i="2"/>
  <c r="C1173" i="2"/>
  <c r="K1023" i="2"/>
  <c r="J985" i="2"/>
  <c r="J953" i="2"/>
  <c r="J921" i="2"/>
  <c r="G901" i="2"/>
  <c r="P887" i="2"/>
  <c r="T876" i="2"/>
  <c r="G866" i="2"/>
  <c r="N855" i="2"/>
  <c r="T844" i="2"/>
  <c r="G834" i="2"/>
  <c r="M825" i="2"/>
  <c r="T817" i="2"/>
  <c r="T811" i="2"/>
  <c r="M807" i="2"/>
  <c r="M803" i="2"/>
  <c r="T799" i="2"/>
  <c r="R792" i="2"/>
  <c r="N789" i="2"/>
  <c r="M786" i="2"/>
  <c r="P783" i="2"/>
  <c r="C781" i="2"/>
  <c r="P775" i="2"/>
  <c r="C773" i="2"/>
  <c r="P767" i="2"/>
  <c r="C765" i="2"/>
  <c r="P759" i="2"/>
  <c r="C757" i="2"/>
  <c r="P751" i="2"/>
  <c r="C749" i="2"/>
  <c r="P743" i="2"/>
  <c r="C741" i="2"/>
  <c r="P735" i="2"/>
  <c r="C733" i="2"/>
  <c r="P727" i="2"/>
  <c r="C725" i="2"/>
  <c r="P719" i="2"/>
  <c r="C717" i="2"/>
  <c r="R711" i="2"/>
  <c r="R709" i="2"/>
  <c r="Q706" i="2"/>
  <c r="D705" i="2"/>
  <c r="K703" i="2"/>
  <c r="R701" i="2"/>
  <c r="R698" i="2"/>
  <c r="P697" i="2"/>
  <c r="P696" i="2"/>
  <c r="T695" i="2"/>
  <c r="D695" i="2"/>
  <c r="H694" i="2"/>
  <c r="K693" i="2"/>
  <c r="P692" i="2"/>
  <c r="T691" i="2"/>
  <c r="D691" i="2"/>
  <c r="H690" i="2"/>
  <c r="K689" i="2"/>
  <c r="P688" i="2"/>
  <c r="T687" i="2"/>
  <c r="D687" i="2"/>
  <c r="H686" i="2"/>
  <c r="K685" i="2"/>
  <c r="P684" i="2"/>
  <c r="T683" i="2"/>
  <c r="D683" i="2"/>
  <c r="H682" i="2"/>
  <c r="K681" i="2"/>
  <c r="P680" i="2"/>
  <c r="T679" i="2"/>
  <c r="D679" i="2"/>
  <c r="H678" i="2"/>
  <c r="K677" i="2"/>
  <c r="P676" i="2"/>
  <c r="T675" i="2"/>
  <c r="D675" i="2"/>
  <c r="H674" i="2"/>
  <c r="N673" i="2"/>
  <c r="S672" i="2"/>
  <c r="F672" i="2"/>
  <c r="M671" i="2"/>
  <c r="S670" i="2"/>
  <c r="F670" i="2"/>
  <c r="M669" i="2"/>
  <c r="S668" i="2"/>
  <c r="F668" i="2"/>
  <c r="M667" i="2"/>
  <c r="S666" i="2"/>
  <c r="F666" i="2"/>
  <c r="M665" i="2"/>
  <c r="S664" i="2"/>
  <c r="F664" i="2"/>
  <c r="M663" i="2"/>
  <c r="S662" i="2"/>
  <c r="F662" i="2"/>
  <c r="M661" i="2"/>
  <c r="S660" i="2"/>
  <c r="F660" i="2"/>
  <c r="M659" i="2"/>
  <c r="S658" i="2"/>
  <c r="F658" i="2"/>
  <c r="M657" i="2"/>
  <c r="S656" i="2"/>
  <c r="F656" i="2"/>
  <c r="M655" i="2"/>
  <c r="S654" i="2"/>
  <c r="F654" i="2"/>
  <c r="M653" i="2"/>
  <c r="S652" i="2"/>
  <c r="F652" i="2"/>
  <c r="M651" i="2"/>
  <c r="S650" i="2"/>
  <c r="F650" i="2"/>
  <c r="M649" i="2"/>
  <c r="S648" i="2"/>
  <c r="F648" i="2"/>
  <c r="M647" i="2"/>
  <c r="S646" i="2"/>
  <c r="F646" i="2"/>
  <c r="M645" i="2"/>
  <c r="S644" i="2"/>
  <c r="F644" i="2"/>
  <c r="M643" i="2"/>
  <c r="S642" i="2"/>
  <c r="F642" i="2"/>
  <c r="M641" i="2"/>
  <c r="S640" i="2"/>
  <c r="F640" i="2"/>
  <c r="M639" i="2"/>
  <c r="S638" i="2"/>
  <c r="F638" i="2"/>
  <c r="M637" i="2"/>
  <c r="S636" i="2"/>
  <c r="F636" i="2"/>
  <c r="M635" i="2"/>
  <c r="S634" i="2"/>
  <c r="F634" i="2"/>
  <c r="M633" i="2"/>
  <c r="S632" i="2"/>
  <c r="F632" i="2"/>
  <c r="M631" i="2"/>
  <c r="S630" i="2"/>
  <c r="F630" i="2"/>
  <c r="M629" i="2"/>
  <c r="S628" i="2"/>
  <c r="F628" i="2"/>
  <c r="M627" i="2"/>
  <c r="S626" i="2"/>
  <c r="F626" i="2"/>
  <c r="M625" i="2"/>
  <c r="S624" i="2"/>
  <c r="F624" i="2"/>
  <c r="M623" i="2"/>
  <c r="S622" i="2"/>
  <c r="F622" i="2"/>
  <c r="M621" i="2"/>
  <c r="S620" i="2"/>
  <c r="F620" i="2"/>
  <c r="M619" i="2"/>
  <c r="S618" i="2"/>
  <c r="F618" i="2"/>
  <c r="M617" i="2"/>
  <c r="S616" i="2"/>
  <c r="F616" i="2"/>
  <c r="M615" i="2"/>
  <c r="S614" i="2"/>
  <c r="F614" i="2"/>
  <c r="M613" i="2"/>
  <c r="S612" i="2"/>
  <c r="M1110" i="2"/>
  <c r="T978" i="2"/>
  <c r="T946" i="2"/>
  <c r="T914" i="2"/>
  <c r="M898" i="2"/>
  <c r="M885" i="2"/>
  <c r="S874" i="2"/>
  <c r="F864" i="2"/>
  <c r="M853" i="2"/>
  <c r="S842" i="2"/>
  <c r="F832" i="2"/>
  <c r="T823" i="2"/>
  <c r="N816" i="2"/>
  <c r="T810" i="2"/>
  <c r="Q806" i="2"/>
  <c r="Q802" i="2"/>
  <c r="F799" i="2"/>
  <c r="N795" i="2"/>
  <c r="E792" i="2"/>
  <c r="T788" i="2"/>
  <c r="T785" i="2"/>
  <c r="E783" i="2"/>
  <c r="K780" i="2"/>
  <c r="R777" i="2"/>
  <c r="E775" i="2"/>
  <c r="K772" i="2"/>
  <c r="R769" i="2"/>
  <c r="E767" i="2"/>
  <c r="K764" i="2"/>
  <c r="R761" i="2"/>
  <c r="E759" i="2"/>
  <c r="K756" i="2"/>
  <c r="R753" i="2"/>
  <c r="E751" i="2"/>
  <c r="K748" i="2"/>
  <c r="R745" i="2"/>
  <c r="E743" i="2"/>
  <c r="K740" i="2"/>
  <c r="R737" i="2"/>
  <c r="E735" i="2"/>
  <c r="K732" i="2"/>
  <c r="R729" i="2"/>
  <c r="E727" i="2"/>
  <c r="K724" i="2"/>
  <c r="R721" i="2"/>
  <c r="E719" i="2"/>
  <c r="K716" i="2"/>
  <c r="R713" i="2"/>
  <c r="Q711" i="2"/>
  <c r="Q709" i="2"/>
  <c r="E708" i="2"/>
  <c r="K706" i="2"/>
  <c r="C705" i="2"/>
  <c r="J703" i="2"/>
  <c r="Q701" i="2"/>
  <c r="E700" i="2"/>
  <c r="Q698" i="2"/>
  <c r="K697" i="2"/>
  <c r="O696" i="2"/>
  <c r="R695" i="2"/>
  <c r="C695" i="2"/>
  <c r="G694" i="2"/>
  <c r="J693" i="2"/>
  <c r="O692" i="2"/>
  <c r="R691" i="2"/>
  <c r="C691" i="2"/>
  <c r="G690" i="2"/>
  <c r="J689" i="2"/>
  <c r="O688" i="2"/>
  <c r="R687" i="2"/>
  <c r="C687" i="2"/>
  <c r="G686" i="2"/>
  <c r="J685" i="2"/>
  <c r="O684" i="2"/>
  <c r="R683" i="2"/>
  <c r="C683" i="2"/>
  <c r="G682" i="2"/>
  <c r="J681" i="2"/>
  <c r="O680" i="2"/>
  <c r="R679" i="2"/>
  <c r="C679" i="2"/>
  <c r="G678" i="2"/>
  <c r="J677" i="2"/>
  <c r="O676" i="2"/>
  <c r="R675" i="2"/>
  <c r="C675" i="2"/>
  <c r="G674" i="2"/>
  <c r="M673" i="2"/>
  <c r="R672" i="2"/>
  <c r="E672" i="2"/>
  <c r="K671" i="2"/>
  <c r="R670" i="2"/>
  <c r="E670" i="2"/>
  <c r="K669" i="2"/>
  <c r="R668" i="2"/>
  <c r="E668" i="2"/>
  <c r="K667" i="2"/>
  <c r="R666" i="2"/>
  <c r="E666" i="2"/>
  <c r="K665" i="2"/>
  <c r="R664" i="2"/>
  <c r="E664" i="2"/>
  <c r="K663" i="2"/>
  <c r="R662" i="2"/>
  <c r="E662" i="2"/>
  <c r="K661" i="2"/>
  <c r="R660" i="2"/>
  <c r="E660" i="2"/>
  <c r="K659" i="2"/>
  <c r="R658" i="2"/>
  <c r="E658" i="2"/>
  <c r="K657" i="2"/>
  <c r="R656" i="2"/>
  <c r="E656" i="2"/>
  <c r="K655" i="2"/>
  <c r="R654" i="2"/>
  <c r="E654" i="2"/>
  <c r="K653" i="2"/>
  <c r="R652" i="2"/>
  <c r="E652" i="2"/>
  <c r="K651" i="2"/>
  <c r="R650" i="2"/>
  <c r="E650" i="2"/>
  <c r="K649" i="2"/>
  <c r="R648" i="2"/>
  <c r="E648" i="2"/>
  <c r="K647" i="2"/>
  <c r="R646" i="2"/>
  <c r="E646" i="2"/>
  <c r="K645" i="2"/>
  <c r="R644" i="2"/>
  <c r="E644" i="2"/>
  <c r="K643" i="2"/>
  <c r="R642" i="2"/>
  <c r="E642" i="2"/>
  <c r="K641" i="2"/>
  <c r="K1110" i="2"/>
  <c r="G1013" i="2"/>
  <c r="S978" i="2"/>
  <c r="S946" i="2"/>
  <c r="S914" i="2"/>
  <c r="K898" i="2"/>
  <c r="K885" i="2"/>
  <c r="R874" i="2"/>
  <c r="E864" i="2"/>
  <c r="K853" i="2"/>
  <c r="R842" i="2"/>
  <c r="E832" i="2"/>
  <c r="N823" i="2"/>
  <c r="M816" i="2"/>
  <c r="S810" i="2"/>
  <c r="N806" i="2"/>
  <c r="P802" i="2"/>
  <c r="D799" i="2"/>
  <c r="M795" i="2"/>
  <c r="D792" i="2"/>
  <c r="S788" i="2"/>
  <c r="S785" i="2"/>
  <c r="D783" i="2"/>
  <c r="J780" i="2"/>
  <c r="Q777" i="2"/>
  <c r="D775" i="2"/>
  <c r="J772" i="2"/>
  <c r="Q769" i="2"/>
  <c r="D767" i="2"/>
  <c r="J764" i="2"/>
  <c r="Q761" i="2"/>
  <c r="D759" i="2"/>
  <c r="J756" i="2"/>
  <c r="Q753" i="2"/>
  <c r="D751" i="2"/>
  <c r="J748" i="2"/>
  <c r="Q745" i="2"/>
  <c r="D743" i="2"/>
  <c r="J740" i="2"/>
  <c r="Q737" i="2"/>
  <c r="D735" i="2"/>
  <c r="J732" i="2"/>
  <c r="Q729" i="2"/>
  <c r="D727" i="2"/>
  <c r="J724" i="2"/>
  <c r="Q721" i="2"/>
  <c r="D719" i="2"/>
  <c r="J716" i="2"/>
  <c r="Q713" i="2"/>
  <c r="P711" i="2"/>
  <c r="P709" i="2"/>
  <c r="D708" i="2"/>
  <c r="J706" i="2"/>
  <c r="R704" i="2"/>
  <c r="E703" i="2"/>
  <c r="P701" i="2"/>
  <c r="D700" i="2"/>
  <c r="P698" i="2"/>
  <c r="J697" i="2"/>
  <c r="N696" i="2"/>
  <c r="Q695" i="2"/>
  <c r="A695" i="2"/>
  <c r="E694" i="2"/>
  <c r="N692" i="2"/>
  <c r="Q691" i="2"/>
  <c r="A691" i="2"/>
  <c r="E690" i="2"/>
  <c r="N688" i="2"/>
  <c r="Q687" i="2"/>
  <c r="A687" i="2"/>
  <c r="E686" i="2"/>
  <c r="N684" i="2"/>
  <c r="Q683" i="2"/>
  <c r="A683" i="2"/>
  <c r="E682" i="2"/>
  <c r="N680" i="2"/>
  <c r="Q679" i="2"/>
  <c r="A679" i="2"/>
  <c r="E678" i="2"/>
  <c r="N676" i="2"/>
  <c r="Q675" i="2"/>
  <c r="A675" i="2"/>
  <c r="F674" i="2"/>
  <c r="K673" i="2"/>
  <c r="Q672" i="2"/>
  <c r="D672" i="2"/>
  <c r="J671" i="2"/>
  <c r="Q670" i="2"/>
  <c r="D670" i="2"/>
  <c r="J669" i="2"/>
  <c r="Q668" i="2"/>
  <c r="D668" i="2"/>
  <c r="J667" i="2"/>
  <c r="Q666" i="2"/>
  <c r="D666" i="2"/>
  <c r="J665" i="2"/>
  <c r="Q664" i="2"/>
  <c r="D664" i="2"/>
  <c r="J663" i="2"/>
  <c r="Q662" i="2"/>
  <c r="D662" i="2"/>
  <c r="J661" i="2"/>
  <c r="Q660" i="2"/>
  <c r="D660" i="2"/>
  <c r="J659" i="2"/>
  <c r="Q658" i="2"/>
  <c r="D658" i="2"/>
  <c r="J657" i="2"/>
  <c r="Q656" i="2"/>
  <c r="D656" i="2"/>
  <c r="J655" i="2"/>
  <c r="Q654" i="2"/>
  <c r="D654" i="2"/>
  <c r="J653" i="2"/>
  <c r="Q652" i="2"/>
  <c r="D652" i="2"/>
  <c r="J651" i="2"/>
  <c r="Q650" i="2"/>
  <c r="D650" i="2"/>
  <c r="J649" i="2"/>
  <c r="Q648" i="2"/>
  <c r="D648" i="2"/>
  <c r="J647" i="2"/>
  <c r="Q646" i="2"/>
  <c r="D646" i="2"/>
  <c r="J645" i="2"/>
  <c r="Q644" i="2"/>
  <c r="D644" i="2"/>
  <c r="J643" i="2"/>
  <c r="Q642" i="2"/>
  <c r="D642" i="2"/>
  <c r="J641" i="2"/>
  <c r="Q640" i="2"/>
  <c r="D640" i="2"/>
  <c r="J639" i="2"/>
  <c r="Q638" i="2"/>
  <c r="D638" i="2"/>
  <c r="J637" i="2"/>
  <c r="Q636" i="2"/>
  <c r="D636" i="2"/>
  <c r="J635" i="2"/>
  <c r="Q634" i="2"/>
  <c r="D634" i="2"/>
  <c r="J633" i="2"/>
  <c r="Q632" i="2"/>
  <c r="D632" i="2"/>
  <c r="P1102" i="2"/>
  <c r="J977" i="2"/>
  <c r="J945" i="2"/>
  <c r="N913" i="2"/>
  <c r="Q897" i="2"/>
  <c r="T884" i="2"/>
  <c r="G874" i="2"/>
  <c r="N863" i="2"/>
  <c r="T852" i="2"/>
  <c r="G842" i="2"/>
  <c r="N831" i="2"/>
  <c r="M823" i="2"/>
  <c r="G816" i="2"/>
  <c r="R810" i="2"/>
  <c r="M806" i="2"/>
  <c r="N802" i="2"/>
  <c r="C799" i="2"/>
  <c r="K795" i="2"/>
  <c r="C792" i="2"/>
  <c r="R788" i="2"/>
  <c r="R785" i="2"/>
  <c r="C783" i="2"/>
  <c r="P777" i="2"/>
  <c r="C775" i="2"/>
  <c r="P769" i="2"/>
  <c r="C767" i="2"/>
  <c r="P761" i="2"/>
  <c r="C759" i="2"/>
  <c r="P753" i="2"/>
  <c r="C751" i="2"/>
  <c r="P745" i="2"/>
  <c r="C743" i="2"/>
  <c r="P737" i="2"/>
  <c r="C735" i="2"/>
  <c r="P729" i="2"/>
  <c r="C727" i="2"/>
  <c r="P721" i="2"/>
  <c r="C719" i="2"/>
  <c r="P713" i="2"/>
  <c r="K711" i="2"/>
  <c r="K709" i="2"/>
  <c r="R707" i="2"/>
  <c r="Q704" i="2"/>
  <c r="D703" i="2"/>
  <c r="K701" i="2"/>
  <c r="R699" i="2"/>
  <c r="K698" i="2"/>
  <c r="K696" i="2"/>
  <c r="P695" i="2"/>
  <c r="T694" i="2"/>
  <c r="D694" i="2"/>
  <c r="H693" i="2"/>
  <c r="N1074" i="2"/>
  <c r="T1003" i="2"/>
  <c r="T970" i="2"/>
  <c r="T938" i="2"/>
  <c r="T909" i="2"/>
  <c r="C895" i="2"/>
  <c r="S882" i="2"/>
  <c r="F872" i="2"/>
  <c r="M861" i="2"/>
  <c r="S850" i="2"/>
  <c r="F840" i="2"/>
  <c r="T829" i="2"/>
  <c r="T821" i="2"/>
  <c r="T814" i="2"/>
  <c r="S809" i="2"/>
  <c r="P805" i="2"/>
  <c r="S801" i="2"/>
  <c r="G798" i="2"/>
  <c r="Q794" i="2"/>
  <c r="E788" i="2"/>
  <c r="F785" i="2"/>
  <c r="K782" i="2"/>
  <c r="R779" i="2"/>
  <c r="E777" i="2"/>
  <c r="K774" i="2"/>
  <c r="R771" i="2"/>
  <c r="E769" i="2"/>
  <c r="K766" i="2"/>
  <c r="R763" i="2"/>
  <c r="E761" i="2"/>
  <c r="K758" i="2"/>
  <c r="R755" i="2"/>
  <c r="E753" i="2"/>
  <c r="K750" i="2"/>
  <c r="R747" i="2"/>
  <c r="E745" i="2"/>
  <c r="K742" i="2"/>
  <c r="R739" i="2"/>
  <c r="E737" i="2"/>
  <c r="K734" i="2"/>
  <c r="R731" i="2"/>
  <c r="E729" i="2"/>
  <c r="K726" i="2"/>
  <c r="R723" i="2"/>
  <c r="E721" i="2"/>
  <c r="K718" i="2"/>
  <c r="R715" i="2"/>
  <c r="E713" i="2"/>
  <c r="E711" i="2"/>
  <c r="J709" i="2"/>
  <c r="Q707" i="2"/>
  <c r="E706" i="2"/>
  <c r="K704" i="2"/>
  <c r="C703" i="2"/>
  <c r="J701" i="2"/>
  <c r="Q699" i="2"/>
  <c r="J698" i="2"/>
  <c r="H697" i="2"/>
  <c r="J696" i="2"/>
  <c r="O695" i="2"/>
  <c r="R694" i="2"/>
  <c r="C694" i="2"/>
  <c r="G693" i="2"/>
  <c r="J692" i="2"/>
  <c r="O691" i="2"/>
  <c r="R690" i="2"/>
  <c r="C690" i="2"/>
  <c r="G689" i="2"/>
  <c r="J688" i="2"/>
  <c r="O687" i="2"/>
  <c r="R686" i="2"/>
  <c r="C686" i="2"/>
  <c r="G685" i="2"/>
  <c r="J684" i="2"/>
  <c r="O683" i="2"/>
  <c r="R682" i="2"/>
  <c r="C682" i="2"/>
  <c r="G681" i="2"/>
  <c r="J680" i="2"/>
  <c r="O679" i="2"/>
  <c r="R678" i="2"/>
  <c r="C678" i="2"/>
  <c r="G677" i="2"/>
  <c r="J676" i="2"/>
  <c r="O675" i="2"/>
  <c r="R674" i="2"/>
  <c r="D674" i="2"/>
  <c r="O672" i="2"/>
  <c r="A672" i="2"/>
  <c r="H671" i="2"/>
  <c r="O670" i="2"/>
  <c r="A670" i="2"/>
  <c r="H669" i="2"/>
  <c r="O668" i="2"/>
  <c r="A668" i="2"/>
  <c r="H667" i="2"/>
  <c r="O666" i="2"/>
  <c r="A666" i="2"/>
  <c r="H665" i="2"/>
  <c r="O664" i="2"/>
  <c r="A664" i="2"/>
  <c r="H663" i="2"/>
  <c r="O662" i="2"/>
  <c r="A662" i="2"/>
  <c r="H661" i="2"/>
  <c r="O660" i="2"/>
  <c r="A660" i="2"/>
  <c r="H659" i="2"/>
  <c r="O658" i="2"/>
  <c r="M1074" i="2"/>
  <c r="S1003" i="2"/>
  <c r="S970" i="2"/>
  <c r="S938" i="2"/>
  <c r="R909" i="2"/>
  <c r="T894" i="2"/>
  <c r="R882" i="2"/>
  <c r="E872" i="2"/>
  <c r="K861" i="2"/>
  <c r="R850" i="2"/>
  <c r="E840" i="2"/>
  <c r="N829" i="2"/>
  <c r="N821" i="2"/>
  <c r="S814" i="2"/>
  <c r="Q809" i="2"/>
  <c r="N805" i="2"/>
  <c r="Q801" i="2"/>
  <c r="F798" i="2"/>
  <c r="P794" i="2"/>
  <c r="G791" i="2"/>
  <c r="D788" i="2"/>
  <c r="E785" i="2"/>
  <c r="J782" i="2"/>
  <c r="Q779" i="2"/>
  <c r="D777" i="2"/>
  <c r="J774" i="2"/>
  <c r="Q771" i="2"/>
  <c r="D769" i="2"/>
  <c r="J766" i="2"/>
  <c r="Q763" i="2"/>
  <c r="D761" i="2"/>
  <c r="J758" i="2"/>
  <c r="Q755" i="2"/>
  <c r="D753" i="2"/>
  <c r="J750" i="2"/>
  <c r="Q747" i="2"/>
  <c r="D745" i="2"/>
  <c r="J742" i="2"/>
  <c r="Q739" i="2"/>
  <c r="D737" i="2"/>
  <c r="J734" i="2"/>
  <c r="Q731" i="2"/>
  <c r="D729" i="2"/>
  <c r="J726" i="2"/>
  <c r="Q723" i="2"/>
  <c r="D721" i="2"/>
  <c r="J718" i="2"/>
  <c r="Q715" i="2"/>
  <c r="D713" i="2"/>
  <c r="D711" i="2"/>
  <c r="E709" i="2"/>
  <c r="P707" i="2"/>
  <c r="D706" i="2"/>
  <c r="J704" i="2"/>
  <c r="R702" i="2"/>
  <c r="E701" i="2"/>
  <c r="P699" i="2"/>
  <c r="G697" i="2"/>
  <c r="N695" i="2"/>
  <c r="Q694" i="2"/>
  <c r="A694" i="2"/>
  <c r="E693" i="2"/>
  <c r="N691" i="2"/>
  <c r="Q690" i="2"/>
  <c r="A690" i="2"/>
  <c r="E689" i="2"/>
  <c r="N687" i="2"/>
  <c r="Q686" i="2"/>
  <c r="A686" i="2"/>
  <c r="E685" i="2"/>
  <c r="N683" i="2"/>
  <c r="Q682" i="2"/>
  <c r="A682" i="2"/>
  <c r="E681" i="2"/>
  <c r="N679" i="2"/>
  <c r="Q678" i="2"/>
  <c r="A678" i="2"/>
  <c r="E677" i="2"/>
  <c r="N675" i="2"/>
  <c r="Q674" i="2"/>
  <c r="C674" i="2"/>
  <c r="H673" i="2"/>
  <c r="N672" i="2"/>
  <c r="T671" i="2"/>
  <c r="G671" i="2"/>
  <c r="N670" i="2"/>
  <c r="T669" i="2"/>
  <c r="G669" i="2"/>
  <c r="N668" i="2"/>
  <c r="T667" i="2"/>
  <c r="G667" i="2"/>
  <c r="N666" i="2"/>
  <c r="T665" i="2"/>
  <c r="G665" i="2"/>
  <c r="N664" i="2"/>
  <c r="T663" i="2"/>
  <c r="G663" i="2"/>
  <c r="N662" i="2"/>
  <c r="T661" i="2"/>
  <c r="G661" i="2"/>
  <c r="N660" i="2"/>
  <c r="T659" i="2"/>
  <c r="G659" i="2"/>
  <c r="N658" i="2"/>
  <c r="T657" i="2"/>
  <c r="G657" i="2"/>
  <c r="N656" i="2"/>
  <c r="T655" i="2"/>
  <c r="G655" i="2"/>
  <c r="N654" i="2"/>
  <c r="T653" i="2"/>
  <c r="G653" i="2"/>
  <c r="N652" i="2"/>
  <c r="T651" i="2"/>
  <c r="G651" i="2"/>
  <c r="N650" i="2"/>
  <c r="T649" i="2"/>
  <c r="G649" i="2"/>
  <c r="N648" i="2"/>
  <c r="T647" i="2"/>
  <c r="M1042" i="2"/>
  <c r="E995" i="2"/>
  <c r="S962" i="2"/>
  <c r="S930" i="2"/>
  <c r="N905" i="2"/>
  <c r="J891" i="2"/>
  <c r="E880" i="2"/>
  <c r="K869" i="2"/>
  <c r="R858" i="2"/>
  <c r="E848" i="2"/>
  <c r="K837" i="2"/>
  <c r="N827" i="2"/>
  <c r="N819" i="2"/>
  <c r="J813" i="2"/>
  <c r="N808" i="2"/>
  <c r="N804" i="2"/>
  <c r="S800" i="2"/>
  <c r="Q793" i="2"/>
  <c r="J790" i="2"/>
  <c r="J784" i="2"/>
  <c r="Q781" i="2"/>
  <c r="D779" i="2"/>
  <c r="J776" i="2"/>
  <c r="Q773" i="2"/>
  <c r="D771" i="2"/>
  <c r="J768" i="2"/>
  <c r="Q765" i="2"/>
  <c r="D763" i="2"/>
  <c r="J760" i="2"/>
  <c r="Q757" i="2"/>
  <c r="D755" i="2"/>
  <c r="J752" i="2"/>
  <c r="Q749" i="2"/>
  <c r="D747" i="2"/>
  <c r="J744" i="2"/>
  <c r="Q741" i="2"/>
  <c r="D739" i="2"/>
  <c r="J736" i="2"/>
  <c r="Q733" i="2"/>
  <c r="D731" i="2"/>
  <c r="J728" i="2"/>
  <c r="Q725" i="2"/>
  <c r="D723" i="2"/>
  <c r="J720" i="2"/>
  <c r="Q717" i="2"/>
  <c r="D715" i="2"/>
  <c r="K712" i="2"/>
  <c r="K710" i="2"/>
  <c r="R708" i="2"/>
  <c r="E707" i="2"/>
  <c r="P705" i="2"/>
  <c r="D704" i="2"/>
  <c r="J702" i="2"/>
  <c r="R700" i="2"/>
  <c r="C698" i="2"/>
  <c r="C697" i="2"/>
  <c r="E696" i="2"/>
  <c r="N694" i="2"/>
  <c r="Q693" i="2"/>
  <c r="A693" i="2"/>
  <c r="E692" i="2"/>
  <c r="N690" i="2"/>
  <c r="Q689" i="2"/>
  <c r="A689" i="2"/>
  <c r="E688" i="2"/>
  <c r="N686" i="2"/>
  <c r="Q685" i="2"/>
  <c r="A685" i="2"/>
  <c r="E684" i="2"/>
  <c r="N682" i="2"/>
  <c r="Q681" i="2"/>
  <c r="A681" i="2"/>
  <c r="E680" i="2"/>
  <c r="N678" i="2"/>
  <c r="Q677" i="2"/>
  <c r="A677" i="2"/>
  <c r="E676" i="2"/>
  <c r="N674" i="2"/>
  <c r="R673" i="2"/>
  <c r="D673" i="2"/>
  <c r="J672" i="2"/>
  <c r="Q671" i="2"/>
  <c r="D671" i="2"/>
  <c r="J670" i="2"/>
  <c r="Q669" i="2"/>
  <c r="D669" i="2"/>
  <c r="J668" i="2"/>
  <c r="Q667" i="2"/>
  <c r="D667" i="2"/>
  <c r="J666" i="2"/>
  <c r="Q665" i="2"/>
  <c r="D665" i="2"/>
  <c r="J664" i="2"/>
  <c r="Q663" i="2"/>
  <c r="D663" i="2"/>
  <c r="J662" i="2"/>
  <c r="Q661" i="2"/>
  <c r="D661" i="2"/>
  <c r="J660" i="2"/>
  <c r="Q659" i="2"/>
  <c r="D659" i="2"/>
  <c r="J658" i="2"/>
  <c r="Q657" i="2"/>
  <c r="D657" i="2"/>
  <c r="J656" i="2"/>
  <c r="Q655" i="2"/>
  <c r="D655" i="2"/>
  <c r="J654" i="2"/>
  <c r="Q653" i="2"/>
  <c r="D653" i="2"/>
  <c r="J652" i="2"/>
  <c r="Q651" i="2"/>
  <c r="D651" i="2"/>
  <c r="J650" i="2"/>
  <c r="Q649" i="2"/>
  <c r="D649" i="2"/>
  <c r="J648" i="2"/>
  <c r="Q647" i="2"/>
  <c r="D647" i="2"/>
  <c r="J646" i="2"/>
  <c r="Q645" i="2"/>
  <c r="D645" i="2"/>
  <c r="J644" i="2"/>
  <c r="Q643" i="2"/>
  <c r="D643" i="2"/>
  <c r="J642" i="2"/>
  <c r="Q641" i="2"/>
  <c r="D641" i="2"/>
  <c r="J640" i="2"/>
  <c r="Q639" i="2"/>
  <c r="D639" i="2"/>
  <c r="J638" i="2"/>
  <c r="Q637" i="2"/>
  <c r="D637" i="2"/>
  <c r="J636" i="2"/>
  <c r="Q635" i="2"/>
  <c r="D635" i="2"/>
  <c r="J634" i="2"/>
  <c r="Q633" i="2"/>
  <c r="D633" i="2"/>
  <c r="J632" i="2"/>
  <c r="Q631" i="2"/>
  <c r="D1038" i="2"/>
  <c r="M993" i="2"/>
  <c r="J961" i="2"/>
  <c r="J929" i="2"/>
  <c r="S904" i="2"/>
  <c r="Q890" i="2"/>
  <c r="N879" i="2"/>
  <c r="T868" i="2"/>
  <c r="G858" i="2"/>
  <c r="N847" i="2"/>
  <c r="T836" i="2"/>
  <c r="M827" i="2"/>
  <c r="M819" i="2"/>
  <c r="G813" i="2"/>
  <c r="M808" i="2"/>
  <c r="M804" i="2"/>
  <c r="R800" i="2"/>
  <c r="G797" i="2"/>
  <c r="P793" i="2"/>
  <c r="G787" i="2"/>
  <c r="P781" i="2"/>
  <c r="C779" i="2"/>
  <c r="P773" i="2"/>
  <c r="C771" i="2"/>
  <c r="P765" i="2"/>
  <c r="C763" i="2"/>
  <c r="P757" i="2"/>
  <c r="C755" i="2"/>
  <c r="P749" i="2"/>
  <c r="C747" i="2"/>
  <c r="P741" i="2"/>
  <c r="C739" i="2"/>
  <c r="P733" i="2"/>
  <c r="C731" i="2"/>
  <c r="P725" i="2"/>
  <c r="C723" i="2"/>
  <c r="P717" i="2"/>
  <c r="C715" i="2"/>
  <c r="J712" i="2"/>
  <c r="J710" i="2"/>
  <c r="Q708" i="2"/>
  <c r="D707" i="2"/>
  <c r="K705" i="2"/>
  <c r="R703" i="2"/>
  <c r="Q700" i="2"/>
  <c r="E699" i="2"/>
  <c r="A698" i="2"/>
  <c r="A697" i="2"/>
  <c r="D696" i="2"/>
  <c r="H695" i="2"/>
  <c r="K694" i="2"/>
  <c r="P693" i="2"/>
  <c r="T692" i="2"/>
  <c r="D692" i="2"/>
  <c r="H691" i="2"/>
  <c r="K690" i="2"/>
  <c r="P689" i="2"/>
  <c r="T688" i="2"/>
  <c r="D688" i="2"/>
  <c r="H687" i="2"/>
  <c r="K686" i="2"/>
  <c r="P685" i="2"/>
  <c r="T684" i="2"/>
  <c r="D684" i="2"/>
  <c r="H683" i="2"/>
  <c r="K682" i="2"/>
  <c r="P681" i="2"/>
  <c r="T680" i="2"/>
  <c r="D680" i="2"/>
  <c r="H679" i="2"/>
  <c r="K678" i="2"/>
  <c r="P677" i="2"/>
  <c r="T676" i="2"/>
  <c r="D676" i="2"/>
  <c r="H675" i="2"/>
  <c r="K674" i="2"/>
  <c r="Q673" i="2"/>
  <c r="C673" i="2"/>
  <c r="P671" i="2"/>
  <c r="C671" i="2"/>
  <c r="P669" i="2"/>
  <c r="C669" i="2"/>
  <c r="P667" i="2"/>
  <c r="C667" i="2"/>
  <c r="P665" i="2"/>
  <c r="C665" i="2"/>
  <c r="P663" i="2"/>
  <c r="C663" i="2"/>
  <c r="P661" i="2"/>
  <c r="C661" i="2"/>
  <c r="P659" i="2"/>
  <c r="C659" i="2"/>
  <c r="P657" i="2"/>
  <c r="C657" i="2"/>
  <c r="P655" i="2"/>
  <c r="C655" i="2"/>
  <c r="P653" i="2"/>
  <c r="C653" i="2"/>
  <c r="P651" i="2"/>
  <c r="C651" i="2"/>
  <c r="P649" i="2"/>
  <c r="C649" i="2"/>
  <c r="P647" i="2"/>
  <c r="C647" i="2"/>
  <c r="P645" i="2"/>
  <c r="C645" i="2"/>
  <c r="P643" i="2"/>
  <c r="C643" i="2"/>
  <c r="P641" i="2"/>
  <c r="C641" i="2"/>
  <c r="P639" i="2"/>
  <c r="C639" i="2"/>
  <c r="P637" i="2"/>
  <c r="C637" i="2"/>
  <c r="P635" i="2"/>
  <c r="C635" i="2"/>
  <c r="P633" i="2"/>
  <c r="C633" i="2"/>
  <c r="P631" i="2"/>
  <c r="C631" i="2"/>
  <c r="P629" i="2"/>
  <c r="C629" i="2"/>
  <c r="P627" i="2"/>
  <c r="C627" i="2"/>
  <c r="P625" i="2"/>
  <c r="C625" i="2"/>
  <c r="P623" i="2"/>
  <c r="N1068" i="2"/>
  <c r="G882" i="2"/>
  <c r="M821" i="2"/>
  <c r="N794" i="2"/>
  <c r="C777" i="2"/>
  <c r="C761" i="2"/>
  <c r="C745" i="2"/>
  <c r="C729" i="2"/>
  <c r="C713" i="2"/>
  <c r="Q702" i="2"/>
  <c r="K695" i="2"/>
  <c r="P691" i="2"/>
  <c r="H689" i="2"/>
  <c r="T686" i="2"/>
  <c r="K684" i="2"/>
  <c r="D682" i="2"/>
  <c r="P679" i="2"/>
  <c r="H677" i="2"/>
  <c r="T674" i="2"/>
  <c r="P672" i="2"/>
  <c r="P670" i="2"/>
  <c r="P668" i="2"/>
  <c r="P666" i="2"/>
  <c r="P664" i="2"/>
  <c r="P662" i="2"/>
  <c r="P660" i="2"/>
  <c r="P658" i="2"/>
  <c r="H657" i="2"/>
  <c r="A656" i="2"/>
  <c r="O654" i="2"/>
  <c r="H653" i="2"/>
  <c r="A652" i="2"/>
  <c r="O650" i="2"/>
  <c r="H649" i="2"/>
  <c r="A648" i="2"/>
  <c r="P646" i="2"/>
  <c r="O645" i="2"/>
  <c r="M644" i="2"/>
  <c r="H643" i="2"/>
  <c r="G642" i="2"/>
  <c r="E641" i="2"/>
  <c r="C640" i="2"/>
  <c r="E639" i="2"/>
  <c r="C638" i="2"/>
  <c r="E637" i="2"/>
  <c r="C636" i="2"/>
  <c r="E635" i="2"/>
  <c r="C634" i="2"/>
  <c r="E633" i="2"/>
  <c r="C632" i="2"/>
  <c r="F631" i="2"/>
  <c r="J630" i="2"/>
  <c r="N629" i="2"/>
  <c r="Q628" i="2"/>
  <c r="A628" i="2"/>
  <c r="F627" i="2"/>
  <c r="J626" i="2"/>
  <c r="N625" i="2"/>
  <c r="Q624" i="2"/>
  <c r="A624" i="2"/>
  <c r="F623" i="2"/>
  <c r="K622" i="2"/>
  <c r="Q621" i="2"/>
  <c r="C621" i="2"/>
  <c r="H620" i="2"/>
  <c r="N619" i="2"/>
  <c r="R618" i="2"/>
  <c r="D618" i="2"/>
  <c r="O616" i="2"/>
  <c r="T615" i="2"/>
  <c r="F615" i="2"/>
  <c r="K614" i="2"/>
  <c r="Q613" i="2"/>
  <c r="C613" i="2"/>
  <c r="H612" i="2"/>
  <c r="O611" i="2"/>
  <c r="A611" i="2"/>
  <c r="H610" i="2"/>
  <c r="O609" i="2"/>
  <c r="A609" i="2"/>
  <c r="H608" i="2"/>
  <c r="O607" i="2"/>
  <c r="A607" i="2"/>
  <c r="H606" i="2"/>
  <c r="O605" i="2"/>
  <c r="A605" i="2"/>
  <c r="H604" i="2"/>
  <c r="O603" i="2"/>
  <c r="A603" i="2"/>
  <c r="H602" i="2"/>
  <c r="O601" i="2"/>
  <c r="A601" i="2"/>
  <c r="H600" i="2"/>
  <c r="O599" i="2"/>
  <c r="A599" i="2"/>
  <c r="H598" i="2"/>
  <c r="O597" i="2"/>
  <c r="A597" i="2"/>
  <c r="H596" i="2"/>
  <c r="O595" i="2"/>
  <c r="A595" i="2"/>
  <c r="H594" i="2"/>
  <c r="O593" i="2"/>
  <c r="A593" i="2"/>
  <c r="H592" i="2"/>
  <c r="O591" i="2"/>
  <c r="A591" i="2"/>
  <c r="H590" i="2"/>
  <c r="O589" i="2"/>
  <c r="A589" i="2"/>
  <c r="H588" i="2"/>
  <c r="O587" i="2"/>
  <c r="A587" i="2"/>
  <c r="H586" i="2"/>
  <c r="O585" i="2"/>
  <c r="A585" i="2"/>
  <c r="H584" i="2"/>
  <c r="O583" i="2"/>
  <c r="A583" i="2"/>
  <c r="H582" i="2"/>
  <c r="O581" i="2"/>
  <c r="A581" i="2"/>
  <c r="H580" i="2"/>
  <c r="O579" i="2"/>
  <c r="A579" i="2"/>
  <c r="H578" i="2"/>
  <c r="O577" i="2"/>
  <c r="A577" i="2"/>
  <c r="H576" i="2"/>
  <c r="O575" i="2"/>
  <c r="A575" i="2"/>
  <c r="H574" i="2"/>
  <c r="O573" i="2"/>
  <c r="A573" i="2"/>
  <c r="H572" i="2"/>
  <c r="O571" i="2"/>
  <c r="A571" i="2"/>
  <c r="H570" i="2"/>
  <c r="O569" i="2"/>
  <c r="A569" i="2"/>
  <c r="H568" i="2"/>
  <c r="O567" i="2"/>
  <c r="A567" i="2"/>
  <c r="H566" i="2"/>
  <c r="O565" i="2"/>
  <c r="A565" i="2"/>
  <c r="H564" i="2"/>
  <c r="O563" i="2"/>
  <c r="A563" i="2"/>
  <c r="H562" i="2"/>
  <c r="O561" i="2"/>
  <c r="A561" i="2"/>
  <c r="H560" i="2"/>
  <c r="O559" i="2"/>
  <c r="A559" i="2"/>
  <c r="H558" i="2"/>
  <c r="O557" i="2"/>
  <c r="A557" i="2"/>
  <c r="H556" i="2"/>
  <c r="O555" i="2"/>
  <c r="A555" i="2"/>
  <c r="H554" i="2"/>
  <c r="O553" i="2"/>
  <c r="A553" i="2"/>
  <c r="H552" i="2"/>
  <c r="O551" i="2"/>
  <c r="A551" i="2"/>
  <c r="H550" i="2"/>
  <c r="O549" i="2"/>
  <c r="A549" i="2"/>
  <c r="H548" i="2"/>
  <c r="O547" i="2"/>
  <c r="A547" i="2"/>
  <c r="H546" i="2"/>
  <c r="O545" i="2"/>
  <c r="A545" i="2"/>
  <c r="H544" i="2"/>
  <c r="O543" i="2"/>
  <c r="A543" i="2"/>
  <c r="H542" i="2"/>
  <c r="O541" i="2"/>
  <c r="A541" i="2"/>
  <c r="H540" i="2"/>
  <c r="O539" i="2"/>
  <c r="A539" i="2"/>
  <c r="H538" i="2"/>
  <c r="O537" i="2"/>
  <c r="A537" i="2"/>
  <c r="H536" i="2"/>
  <c r="O535" i="2"/>
  <c r="A535" i="2"/>
  <c r="H534" i="2"/>
  <c r="O533" i="2"/>
  <c r="A533" i="2"/>
  <c r="H532" i="2"/>
  <c r="O531" i="2"/>
  <c r="A531" i="2"/>
  <c r="H530" i="2"/>
  <c r="O529" i="2"/>
  <c r="A529" i="2"/>
  <c r="H528" i="2"/>
  <c r="O527" i="2"/>
  <c r="A527" i="2"/>
  <c r="H526" i="2"/>
  <c r="O525" i="2"/>
  <c r="A525" i="2"/>
  <c r="H524" i="2"/>
  <c r="O523" i="2"/>
  <c r="A523" i="2"/>
  <c r="H522" i="2"/>
  <c r="O521" i="2"/>
  <c r="A521" i="2"/>
  <c r="H520" i="2"/>
  <c r="O519" i="2"/>
  <c r="A519" i="2"/>
  <c r="N1042" i="2"/>
  <c r="F880" i="2"/>
  <c r="T819" i="2"/>
  <c r="S793" i="2"/>
  <c r="K776" i="2"/>
  <c r="K760" i="2"/>
  <c r="K744" i="2"/>
  <c r="K728" i="2"/>
  <c r="R712" i="2"/>
  <c r="K702" i="2"/>
  <c r="J695" i="2"/>
  <c r="K691" i="2"/>
  <c r="D689" i="2"/>
  <c r="P686" i="2"/>
  <c r="H684" i="2"/>
  <c r="T681" i="2"/>
  <c r="K679" i="2"/>
  <c r="D677" i="2"/>
  <c r="P674" i="2"/>
  <c r="M672" i="2"/>
  <c r="M670" i="2"/>
  <c r="M668" i="2"/>
  <c r="M666" i="2"/>
  <c r="M664" i="2"/>
  <c r="M662" i="2"/>
  <c r="M660" i="2"/>
  <c r="M658" i="2"/>
  <c r="F657" i="2"/>
  <c r="S655" i="2"/>
  <c r="M654" i="2"/>
  <c r="F653" i="2"/>
  <c r="S651" i="2"/>
  <c r="M650" i="2"/>
  <c r="F649" i="2"/>
  <c r="S647" i="2"/>
  <c r="O646" i="2"/>
  <c r="N645" i="2"/>
  <c r="K644" i="2"/>
  <c r="G643" i="2"/>
  <c r="C642" i="2"/>
  <c r="A641" i="2"/>
  <c r="A640" i="2"/>
  <c r="A639" i="2"/>
  <c r="A638" i="2"/>
  <c r="A637" i="2"/>
  <c r="A636" i="2"/>
  <c r="A635" i="2"/>
  <c r="A634" i="2"/>
  <c r="A633" i="2"/>
  <c r="A632" i="2"/>
  <c r="E631" i="2"/>
  <c r="H630" i="2"/>
  <c r="K629" i="2"/>
  <c r="P628" i="2"/>
  <c r="T627" i="2"/>
  <c r="E627" i="2"/>
  <c r="H626" i="2"/>
  <c r="K625" i="2"/>
  <c r="P624" i="2"/>
  <c r="T623" i="2"/>
  <c r="E623" i="2"/>
  <c r="J622" i="2"/>
  <c r="P621" i="2"/>
  <c r="A621" i="2"/>
  <c r="G620" i="2"/>
  <c r="K619" i="2"/>
  <c r="Q618" i="2"/>
  <c r="C618" i="2"/>
  <c r="H617" i="2"/>
  <c r="N616" i="2"/>
  <c r="S615" i="2"/>
  <c r="E615" i="2"/>
  <c r="J614" i="2"/>
  <c r="P613" i="2"/>
  <c r="A613" i="2"/>
  <c r="G612" i="2"/>
  <c r="N611" i="2"/>
  <c r="T610" i="2"/>
  <c r="G610" i="2"/>
  <c r="N609" i="2"/>
  <c r="T608" i="2"/>
  <c r="G608" i="2"/>
  <c r="N607" i="2"/>
  <c r="T606" i="2"/>
  <c r="G606" i="2"/>
  <c r="N605" i="2"/>
  <c r="T604" i="2"/>
  <c r="G604" i="2"/>
  <c r="N603" i="2"/>
  <c r="T602" i="2"/>
  <c r="G602" i="2"/>
  <c r="N601" i="2"/>
  <c r="T600" i="2"/>
  <c r="G600" i="2"/>
  <c r="N599" i="2"/>
  <c r="T598" i="2"/>
  <c r="G598" i="2"/>
  <c r="N597" i="2"/>
  <c r="T596" i="2"/>
  <c r="G596" i="2"/>
  <c r="N595" i="2"/>
  <c r="T594" i="2"/>
  <c r="G594" i="2"/>
  <c r="N593" i="2"/>
  <c r="T592" i="2"/>
  <c r="G592" i="2"/>
  <c r="N591" i="2"/>
  <c r="T590" i="2"/>
  <c r="G590" i="2"/>
  <c r="N589" i="2"/>
  <c r="T588" i="2"/>
  <c r="G588" i="2"/>
  <c r="N587" i="2"/>
  <c r="T586" i="2"/>
  <c r="G586" i="2"/>
  <c r="N585" i="2"/>
  <c r="T584" i="2"/>
  <c r="G584" i="2"/>
  <c r="N583" i="2"/>
  <c r="T582" i="2"/>
  <c r="G582" i="2"/>
  <c r="N581" i="2"/>
  <c r="T580" i="2"/>
  <c r="G580" i="2"/>
  <c r="N579" i="2"/>
  <c r="T578" i="2"/>
  <c r="G578" i="2"/>
  <c r="N577" i="2"/>
  <c r="T576" i="2"/>
  <c r="G576" i="2"/>
  <c r="N575" i="2"/>
  <c r="T574" i="2"/>
  <c r="G574" i="2"/>
  <c r="N573" i="2"/>
  <c r="T572" i="2"/>
  <c r="G572" i="2"/>
  <c r="N571" i="2"/>
  <c r="T570" i="2"/>
  <c r="G570" i="2"/>
  <c r="N569" i="2"/>
  <c r="T568" i="2"/>
  <c r="G568" i="2"/>
  <c r="N567" i="2"/>
  <c r="T566" i="2"/>
  <c r="G566" i="2"/>
  <c r="N565" i="2"/>
  <c r="T564" i="2"/>
  <c r="G564" i="2"/>
  <c r="N563" i="2"/>
  <c r="T562" i="2"/>
  <c r="G562" i="2"/>
  <c r="N561" i="2"/>
  <c r="T560" i="2"/>
  <c r="G560" i="2"/>
  <c r="N559" i="2"/>
  <c r="T558" i="2"/>
  <c r="G558" i="2"/>
  <c r="N557" i="2"/>
  <c r="T556" i="2"/>
  <c r="G556" i="2"/>
  <c r="N555" i="2"/>
  <c r="T554" i="2"/>
  <c r="G554" i="2"/>
  <c r="N553" i="2"/>
  <c r="T552" i="2"/>
  <c r="G552" i="2"/>
  <c r="N551" i="2"/>
  <c r="T550" i="2"/>
  <c r="G550" i="2"/>
  <c r="N549" i="2"/>
  <c r="T548" i="2"/>
  <c r="H1002" i="2"/>
  <c r="N871" i="2"/>
  <c r="R814" i="2"/>
  <c r="F791" i="2"/>
  <c r="C711" i="2"/>
  <c r="D701" i="2"/>
  <c r="P694" i="2"/>
  <c r="J691" i="2"/>
  <c r="C689" i="2"/>
  <c r="O686" i="2"/>
  <c r="G684" i="2"/>
  <c r="R681" i="2"/>
  <c r="J679" i="2"/>
  <c r="C677" i="2"/>
  <c r="O674" i="2"/>
  <c r="K672" i="2"/>
  <c r="K670" i="2"/>
  <c r="K668" i="2"/>
  <c r="K666" i="2"/>
  <c r="K664" i="2"/>
  <c r="K662" i="2"/>
  <c r="K660" i="2"/>
  <c r="K658" i="2"/>
  <c r="E657" i="2"/>
  <c r="R655" i="2"/>
  <c r="K654" i="2"/>
  <c r="E653" i="2"/>
  <c r="R651" i="2"/>
  <c r="K650" i="2"/>
  <c r="E649" i="2"/>
  <c r="R647" i="2"/>
  <c r="N646" i="2"/>
  <c r="H644" i="2"/>
  <c r="F643" i="2"/>
  <c r="A642" i="2"/>
  <c r="T640" i="2"/>
  <c r="T639" i="2"/>
  <c r="T638" i="2"/>
  <c r="T637" i="2"/>
  <c r="T636" i="2"/>
  <c r="T635" i="2"/>
  <c r="T634" i="2"/>
  <c r="T633" i="2"/>
  <c r="T632" i="2"/>
  <c r="T631" i="2"/>
  <c r="D631" i="2"/>
  <c r="G630" i="2"/>
  <c r="J629" i="2"/>
  <c r="O628" i="2"/>
  <c r="S627" i="2"/>
  <c r="D627" i="2"/>
  <c r="G626" i="2"/>
  <c r="J625" i="2"/>
  <c r="O624" i="2"/>
  <c r="S623" i="2"/>
  <c r="D623" i="2"/>
  <c r="O621" i="2"/>
  <c r="T620" i="2"/>
  <c r="E620" i="2"/>
  <c r="J619" i="2"/>
  <c r="P618" i="2"/>
  <c r="A618" i="2"/>
  <c r="G617" i="2"/>
  <c r="M616" i="2"/>
  <c r="R615" i="2"/>
  <c r="D615" i="2"/>
  <c r="O613" i="2"/>
  <c r="T612" i="2"/>
  <c r="F612" i="2"/>
  <c r="M611" i="2"/>
  <c r="S610" i="2"/>
  <c r="F610" i="2"/>
  <c r="M609" i="2"/>
  <c r="S608" i="2"/>
  <c r="F608" i="2"/>
  <c r="M607" i="2"/>
  <c r="S606" i="2"/>
  <c r="F606" i="2"/>
  <c r="M605" i="2"/>
  <c r="S604" i="2"/>
  <c r="F604" i="2"/>
  <c r="M603" i="2"/>
  <c r="S602" i="2"/>
  <c r="F602" i="2"/>
  <c r="M601" i="2"/>
  <c r="S600" i="2"/>
  <c r="F600" i="2"/>
  <c r="M599" i="2"/>
  <c r="S598" i="2"/>
  <c r="F598" i="2"/>
  <c r="M597" i="2"/>
  <c r="S596" i="2"/>
  <c r="F596" i="2"/>
  <c r="M595" i="2"/>
  <c r="S594" i="2"/>
  <c r="F594" i="2"/>
  <c r="M593" i="2"/>
  <c r="S592" i="2"/>
  <c r="F592" i="2"/>
  <c r="M591" i="2"/>
  <c r="S590" i="2"/>
  <c r="F590" i="2"/>
  <c r="M589" i="2"/>
  <c r="S588" i="2"/>
  <c r="F588" i="2"/>
  <c r="M587" i="2"/>
  <c r="S586" i="2"/>
  <c r="F586" i="2"/>
  <c r="M585" i="2"/>
  <c r="S584" i="2"/>
  <c r="F584" i="2"/>
  <c r="M583" i="2"/>
  <c r="S582" i="2"/>
  <c r="F582" i="2"/>
  <c r="M581" i="2"/>
  <c r="S580" i="2"/>
  <c r="F580" i="2"/>
  <c r="M579" i="2"/>
  <c r="S578" i="2"/>
  <c r="F578" i="2"/>
  <c r="M577" i="2"/>
  <c r="S576" i="2"/>
  <c r="F576" i="2"/>
  <c r="M575" i="2"/>
  <c r="S574" i="2"/>
  <c r="F574" i="2"/>
  <c r="M573" i="2"/>
  <c r="S572" i="2"/>
  <c r="F572" i="2"/>
  <c r="M571" i="2"/>
  <c r="S570" i="2"/>
  <c r="F570" i="2"/>
  <c r="M569" i="2"/>
  <c r="S568" i="2"/>
  <c r="F568" i="2"/>
  <c r="M567" i="2"/>
  <c r="S566" i="2"/>
  <c r="F566" i="2"/>
  <c r="M565" i="2"/>
  <c r="S564" i="2"/>
  <c r="F564" i="2"/>
  <c r="M563" i="2"/>
  <c r="S562" i="2"/>
  <c r="F562" i="2"/>
  <c r="M561" i="2"/>
  <c r="S560" i="2"/>
  <c r="F560" i="2"/>
  <c r="M559" i="2"/>
  <c r="S558" i="2"/>
  <c r="F558" i="2"/>
  <c r="M557" i="2"/>
  <c r="S556" i="2"/>
  <c r="F556" i="2"/>
  <c r="M555" i="2"/>
  <c r="S554" i="2"/>
  <c r="F554" i="2"/>
  <c r="M553" i="2"/>
  <c r="S552" i="2"/>
  <c r="F552" i="2"/>
  <c r="M551" i="2"/>
  <c r="S550" i="2"/>
  <c r="F550" i="2"/>
  <c r="M549" i="2"/>
  <c r="S548" i="2"/>
  <c r="F548" i="2"/>
  <c r="M547" i="2"/>
  <c r="S546" i="2"/>
  <c r="F546" i="2"/>
  <c r="M545" i="2"/>
  <c r="S544" i="2"/>
  <c r="F544" i="2"/>
  <c r="M543" i="2"/>
  <c r="S542" i="2"/>
  <c r="F542" i="2"/>
  <c r="M541" i="2"/>
  <c r="S540" i="2"/>
  <c r="F540" i="2"/>
  <c r="M539" i="2"/>
  <c r="S538" i="2"/>
  <c r="F538" i="2"/>
  <c r="M537" i="2"/>
  <c r="S536" i="2"/>
  <c r="F536" i="2"/>
  <c r="M535" i="2"/>
  <c r="S534" i="2"/>
  <c r="F534" i="2"/>
  <c r="M533" i="2"/>
  <c r="S532" i="2"/>
  <c r="F532" i="2"/>
  <c r="M531" i="2"/>
  <c r="S530" i="2"/>
  <c r="F530" i="2"/>
  <c r="M529" i="2"/>
  <c r="S528" i="2"/>
  <c r="F528" i="2"/>
  <c r="M527" i="2"/>
  <c r="S526" i="2"/>
  <c r="F526" i="2"/>
  <c r="M525" i="2"/>
  <c r="S524" i="2"/>
  <c r="F524" i="2"/>
  <c r="M523" i="2"/>
  <c r="S522" i="2"/>
  <c r="F522" i="2"/>
  <c r="M521" i="2"/>
  <c r="S520" i="2"/>
  <c r="F520" i="2"/>
  <c r="M519" i="2"/>
  <c r="S518" i="2"/>
  <c r="F518" i="2"/>
  <c r="M517" i="2"/>
  <c r="S516" i="2"/>
  <c r="F516" i="2"/>
  <c r="M515" i="2"/>
  <c r="S514" i="2"/>
  <c r="F514" i="2"/>
  <c r="M513" i="2"/>
  <c r="S512" i="2"/>
  <c r="F512" i="2"/>
  <c r="M511" i="2"/>
  <c r="S510" i="2"/>
  <c r="F510" i="2"/>
  <c r="M509" i="2"/>
  <c r="S508" i="2"/>
  <c r="F508" i="2"/>
  <c r="M507" i="2"/>
  <c r="S506" i="2"/>
  <c r="F506" i="2"/>
  <c r="M505" i="2"/>
  <c r="S504" i="2"/>
  <c r="F504" i="2"/>
  <c r="M503" i="2"/>
  <c r="S502" i="2"/>
  <c r="F502" i="2"/>
  <c r="M501" i="2"/>
  <c r="S500" i="2"/>
  <c r="F500" i="2"/>
  <c r="M499" i="2"/>
  <c r="S498" i="2"/>
  <c r="F498" i="2"/>
  <c r="M497" i="2"/>
  <c r="S496" i="2"/>
  <c r="F496" i="2"/>
  <c r="M495" i="2"/>
  <c r="S494" i="2"/>
  <c r="F494" i="2"/>
  <c r="M493" i="2"/>
  <c r="S492" i="2"/>
  <c r="F995" i="2"/>
  <c r="M869" i="2"/>
  <c r="K813" i="2"/>
  <c r="M790" i="2"/>
  <c r="R773" i="2"/>
  <c r="R757" i="2"/>
  <c r="R741" i="2"/>
  <c r="R725" i="2"/>
  <c r="R710" i="2"/>
  <c r="C701" i="2"/>
  <c r="O694" i="2"/>
  <c r="E691" i="2"/>
  <c r="Q688" i="2"/>
  <c r="A684" i="2"/>
  <c r="N681" i="2"/>
  <c r="E679" i="2"/>
  <c r="Q676" i="2"/>
  <c r="G672" i="2"/>
  <c r="G670" i="2"/>
  <c r="G668" i="2"/>
  <c r="G666" i="2"/>
  <c r="G664" i="2"/>
  <c r="G662" i="2"/>
  <c r="G660" i="2"/>
  <c r="H658" i="2"/>
  <c r="A657" i="2"/>
  <c r="O655" i="2"/>
  <c r="H654" i="2"/>
  <c r="A653" i="2"/>
  <c r="O651" i="2"/>
  <c r="H650" i="2"/>
  <c r="A649" i="2"/>
  <c r="O647" i="2"/>
  <c r="M646" i="2"/>
  <c r="H645" i="2"/>
  <c r="G644" i="2"/>
  <c r="E643" i="2"/>
  <c r="T641" i="2"/>
  <c r="R640" i="2"/>
  <c r="S639" i="2"/>
  <c r="R638" i="2"/>
  <c r="S637" i="2"/>
  <c r="R636" i="2"/>
  <c r="S635" i="2"/>
  <c r="R634" i="2"/>
  <c r="S633" i="2"/>
  <c r="R632" i="2"/>
  <c r="S631" i="2"/>
  <c r="A631" i="2"/>
  <c r="E630" i="2"/>
  <c r="N628" i="2"/>
  <c r="R627" i="2"/>
  <c r="A627" i="2"/>
  <c r="E626" i="2"/>
  <c r="N624" i="2"/>
  <c r="R623" i="2"/>
  <c r="C623" i="2"/>
  <c r="H622" i="2"/>
  <c r="N621" i="2"/>
  <c r="R620" i="2"/>
  <c r="D620" i="2"/>
  <c r="O618" i="2"/>
  <c r="T617" i="2"/>
  <c r="F617" i="2"/>
  <c r="K616" i="2"/>
  <c r="Q615" i="2"/>
  <c r="C615" i="2"/>
  <c r="H614" i="2"/>
  <c r="N613" i="2"/>
  <c r="R612" i="2"/>
  <c r="E612" i="2"/>
  <c r="K611" i="2"/>
  <c r="R610" i="2"/>
  <c r="E610" i="2"/>
  <c r="K609" i="2"/>
  <c r="R608" i="2"/>
  <c r="E608" i="2"/>
  <c r="K607" i="2"/>
  <c r="R606" i="2"/>
  <c r="E606" i="2"/>
  <c r="K605" i="2"/>
  <c r="R604" i="2"/>
  <c r="E604" i="2"/>
  <c r="K603" i="2"/>
  <c r="R602" i="2"/>
  <c r="E602" i="2"/>
  <c r="K601" i="2"/>
  <c r="R600" i="2"/>
  <c r="E600" i="2"/>
  <c r="K599" i="2"/>
  <c r="R598" i="2"/>
  <c r="E598" i="2"/>
  <c r="K597" i="2"/>
  <c r="R596" i="2"/>
  <c r="E596" i="2"/>
  <c r="K595" i="2"/>
  <c r="R594" i="2"/>
  <c r="E594" i="2"/>
  <c r="K593" i="2"/>
  <c r="R592" i="2"/>
  <c r="E592" i="2"/>
  <c r="K591" i="2"/>
  <c r="R590" i="2"/>
  <c r="E590" i="2"/>
  <c r="K589" i="2"/>
  <c r="R588" i="2"/>
  <c r="E588" i="2"/>
  <c r="K587" i="2"/>
  <c r="R586" i="2"/>
  <c r="E586" i="2"/>
  <c r="K585" i="2"/>
  <c r="R584" i="2"/>
  <c r="E584" i="2"/>
  <c r="K583" i="2"/>
  <c r="R582" i="2"/>
  <c r="E582" i="2"/>
  <c r="K581" i="2"/>
  <c r="R580" i="2"/>
  <c r="E580" i="2"/>
  <c r="K579" i="2"/>
  <c r="R578" i="2"/>
  <c r="E578" i="2"/>
  <c r="K577" i="2"/>
  <c r="R576" i="2"/>
  <c r="E576" i="2"/>
  <c r="K575" i="2"/>
  <c r="R574" i="2"/>
  <c r="E574" i="2"/>
  <c r="K573" i="2"/>
  <c r="R572" i="2"/>
  <c r="E572" i="2"/>
  <c r="K571" i="2"/>
  <c r="R570" i="2"/>
  <c r="E570" i="2"/>
  <c r="K569" i="2"/>
  <c r="R568" i="2"/>
  <c r="E568" i="2"/>
  <c r="K567" i="2"/>
  <c r="R566" i="2"/>
  <c r="E566" i="2"/>
  <c r="K565" i="2"/>
  <c r="R564" i="2"/>
  <c r="E564" i="2"/>
  <c r="K563" i="2"/>
  <c r="R562" i="2"/>
  <c r="E562" i="2"/>
  <c r="K561" i="2"/>
  <c r="R560" i="2"/>
  <c r="E560" i="2"/>
  <c r="K559" i="2"/>
  <c r="R558" i="2"/>
  <c r="E558" i="2"/>
  <c r="K557" i="2"/>
  <c r="R556" i="2"/>
  <c r="E556" i="2"/>
  <c r="K555" i="2"/>
  <c r="R554" i="2"/>
  <c r="E554" i="2"/>
  <c r="K553" i="2"/>
  <c r="R552" i="2"/>
  <c r="E552" i="2"/>
  <c r="K551" i="2"/>
  <c r="R550" i="2"/>
  <c r="E550" i="2"/>
  <c r="K549" i="2"/>
  <c r="R548" i="2"/>
  <c r="E548" i="2"/>
  <c r="K547" i="2"/>
  <c r="R546" i="2"/>
  <c r="E546" i="2"/>
  <c r="K545" i="2"/>
  <c r="R544" i="2"/>
  <c r="E544" i="2"/>
  <c r="K543" i="2"/>
  <c r="R542" i="2"/>
  <c r="E542" i="2"/>
  <c r="K541" i="2"/>
  <c r="R540" i="2"/>
  <c r="E540" i="2"/>
  <c r="K539" i="2"/>
  <c r="R538" i="2"/>
  <c r="E538" i="2"/>
  <c r="K537" i="2"/>
  <c r="R536" i="2"/>
  <c r="E536" i="2"/>
  <c r="K535" i="2"/>
  <c r="R534" i="2"/>
  <c r="E534" i="2"/>
  <c r="K533" i="2"/>
  <c r="R532" i="2"/>
  <c r="E532" i="2"/>
  <c r="K531" i="2"/>
  <c r="R530" i="2"/>
  <c r="E530" i="2"/>
  <c r="K529" i="2"/>
  <c r="R528" i="2"/>
  <c r="E528" i="2"/>
  <c r="K527" i="2"/>
  <c r="R526" i="2"/>
  <c r="E526" i="2"/>
  <c r="K525" i="2"/>
  <c r="R524" i="2"/>
  <c r="E524" i="2"/>
  <c r="K523" i="2"/>
  <c r="R522" i="2"/>
  <c r="E522" i="2"/>
  <c r="K521" i="2"/>
  <c r="R520" i="2"/>
  <c r="E520" i="2"/>
  <c r="K519" i="2"/>
  <c r="J969" i="2"/>
  <c r="T860" i="2"/>
  <c r="N809" i="2"/>
  <c r="C788" i="2"/>
  <c r="P771" i="2"/>
  <c r="P755" i="2"/>
  <c r="P739" i="2"/>
  <c r="P723" i="2"/>
  <c r="D709" i="2"/>
  <c r="K699" i="2"/>
  <c r="T693" i="2"/>
  <c r="T690" i="2"/>
  <c r="K688" i="2"/>
  <c r="D686" i="2"/>
  <c r="P683" i="2"/>
  <c r="H681" i="2"/>
  <c r="T678" i="2"/>
  <c r="K676" i="2"/>
  <c r="E674" i="2"/>
  <c r="C672" i="2"/>
  <c r="C670" i="2"/>
  <c r="C668" i="2"/>
  <c r="C666" i="2"/>
  <c r="C664" i="2"/>
  <c r="C662" i="2"/>
  <c r="C660" i="2"/>
  <c r="G658" i="2"/>
  <c r="T656" i="2"/>
  <c r="N655" i="2"/>
  <c r="G654" i="2"/>
  <c r="T652" i="2"/>
  <c r="N651" i="2"/>
  <c r="G650" i="2"/>
  <c r="T648" i="2"/>
  <c r="N647" i="2"/>
  <c r="K646" i="2"/>
  <c r="G645" i="2"/>
  <c r="C644" i="2"/>
  <c r="A643" i="2"/>
  <c r="S641" i="2"/>
  <c r="P640" i="2"/>
  <c r="R639" i="2"/>
  <c r="P638" i="2"/>
  <c r="R637" i="2"/>
  <c r="P636" i="2"/>
  <c r="R635" i="2"/>
  <c r="P634" i="2"/>
  <c r="R633" i="2"/>
  <c r="P632" i="2"/>
  <c r="R631" i="2"/>
  <c r="T630" i="2"/>
  <c r="D630" i="2"/>
  <c r="H629" i="2"/>
  <c r="M628" i="2"/>
  <c r="Q627" i="2"/>
  <c r="T626" i="2"/>
  <c r="D626" i="2"/>
  <c r="H625" i="2"/>
  <c r="M624" i="2"/>
  <c r="Q623" i="2"/>
  <c r="A623" i="2"/>
  <c r="G622" i="2"/>
  <c r="K621" i="2"/>
  <c r="Q620" i="2"/>
  <c r="C620" i="2"/>
  <c r="H619" i="2"/>
  <c r="N618" i="2"/>
  <c r="S617" i="2"/>
  <c r="E617" i="2"/>
  <c r="J616" i="2"/>
  <c r="P615" i="2"/>
  <c r="A615" i="2"/>
  <c r="G614" i="2"/>
  <c r="K613" i="2"/>
  <c r="Q612" i="2"/>
  <c r="D612" i="2"/>
  <c r="J611" i="2"/>
  <c r="Q610" i="2"/>
  <c r="D610" i="2"/>
  <c r="J609" i="2"/>
  <c r="Q608" i="2"/>
  <c r="D608" i="2"/>
  <c r="J607" i="2"/>
  <c r="Q606" i="2"/>
  <c r="D606" i="2"/>
  <c r="J605" i="2"/>
  <c r="Q604" i="2"/>
  <c r="D604" i="2"/>
  <c r="J603" i="2"/>
  <c r="Q602" i="2"/>
  <c r="D602" i="2"/>
  <c r="J601" i="2"/>
  <c r="Q600" i="2"/>
  <c r="D600" i="2"/>
  <c r="J599" i="2"/>
  <c r="Q598" i="2"/>
  <c r="D598" i="2"/>
  <c r="J597" i="2"/>
  <c r="Q596" i="2"/>
  <c r="D596" i="2"/>
  <c r="J595" i="2"/>
  <c r="Q594" i="2"/>
  <c r="D594" i="2"/>
  <c r="J593" i="2"/>
  <c r="Q592" i="2"/>
  <c r="D592" i="2"/>
  <c r="J591" i="2"/>
  <c r="Q590" i="2"/>
  <c r="D590" i="2"/>
  <c r="J589" i="2"/>
  <c r="Q588" i="2"/>
  <c r="D588" i="2"/>
  <c r="J587" i="2"/>
  <c r="Q586" i="2"/>
  <c r="D586" i="2"/>
  <c r="J585" i="2"/>
  <c r="Q584" i="2"/>
  <c r="D584" i="2"/>
  <c r="J583" i="2"/>
  <c r="Q582" i="2"/>
  <c r="D582" i="2"/>
  <c r="J581" i="2"/>
  <c r="Q580" i="2"/>
  <c r="D580" i="2"/>
  <c r="J579" i="2"/>
  <c r="Q578" i="2"/>
  <c r="D578" i="2"/>
  <c r="J577" i="2"/>
  <c r="Q576" i="2"/>
  <c r="D576" i="2"/>
  <c r="J575" i="2"/>
  <c r="Q574" i="2"/>
  <c r="D574" i="2"/>
  <c r="J573" i="2"/>
  <c r="Q572" i="2"/>
  <c r="D572" i="2"/>
  <c r="J571" i="2"/>
  <c r="Q570" i="2"/>
  <c r="D570" i="2"/>
  <c r="J569" i="2"/>
  <c r="Q568" i="2"/>
  <c r="D568" i="2"/>
  <c r="J567" i="2"/>
  <c r="Q566" i="2"/>
  <c r="D566" i="2"/>
  <c r="J565" i="2"/>
  <c r="Q564" i="2"/>
  <c r="D564" i="2"/>
  <c r="J563" i="2"/>
  <c r="Q562" i="2"/>
  <c r="D562" i="2"/>
  <c r="J561" i="2"/>
  <c r="Q560" i="2"/>
  <c r="D560" i="2"/>
  <c r="J559" i="2"/>
  <c r="Q558" i="2"/>
  <c r="D558" i="2"/>
  <c r="J557" i="2"/>
  <c r="Q556" i="2"/>
  <c r="D556" i="2"/>
  <c r="J555" i="2"/>
  <c r="Q554" i="2"/>
  <c r="D554" i="2"/>
  <c r="J553" i="2"/>
  <c r="Q552" i="2"/>
  <c r="D552" i="2"/>
  <c r="J551" i="2"/>
  <c r="Q550" i="2"/>
  <c r="D550" i="2"/>
  <c r="J549" i="2"/>
  <c r="Q548" i="2"/>
  <c r="D548" i="2"/>
  <c r="J547" i="2"/>
  <c r="Q546" i="2"/>
  <c r="D546" i="2"/>
  <c r="J545" i="2"/>
  <c r="Q544" i="2"/>
  <c r="D544" i="2"/>
  <c r="J543" i="2"/>
  <c r="Q542" i="2"/>
  <c r="D542" i="2"/>
  <c r="J541" i="2"/>
  <c r="Q540" i="2"/>
  <c r="D540" i="2"/>
  <c r="J539" i="2"/>
  <c r="Q538" i="2"/>
  <c r="D538" i="2"/>
  <c r="J537" i="2"/>
  <c r="Q536" i="2"/>
  <c r="D536" i="2"/>
  <c r="J535" i="2"/>
  <c r="Q534" i="2"/>
  <c r="D534" i="2"/>
  <c r="J533" i="2"/>
  <c r="Q532" i="2"/>
  <c r="D532" i="2"/>
  <c r="J531" i="2"/>
  <c r="Q530" i="2"/>
  <c r="D530" i="2"/>
  <c r="J529" i="2"/>
  <c r="Q528" i="2"/>
  <c r="D528" i="2"/>
  <c r="J527" i="2"/>
  <c r="Q526" i="2"/>
  <c r="D526" i="2"/>
  <c r="J525" i="2"/>
  <c r="Q524" i="2"/>
  <c r="D524" i="2"/>
  <c r="J523" i="2"/>
  <c r="Q522" i="2"/>
  <c r="D522" i="2"/>
  <c r="J521" i="2"/>
  <c r="Q520" i="2"/>
  <c r="D520" i="2"/>
  <c r="J519" i="2"/>
  <c r="Q518" i="2"/>
  <c r="D518" i="2"/>
  <c r="J517" i="2"/>
  <c r="Q516" i="2"/>
  <c r="D516" i="2"/>
  <c r="J515" i="2"/>
  <c r="Q514" i="2"/>
  <c r="D514" i="2"/>
  <c r="J513" i="2"/>
  <c r="Q512" i="2"/>
  <c r="D512" i="2"/>
  <c r="J511" i="2"/>
  <c r="Q510" i="2"/>
  <c r="D510" i="2"/>
  <c r="J509" i="2"/>
  <c r="Q508" i="2"/>
  <c r="D508" i="2"/>
  <c r="J507" i="2"/>
  <c r="Q506" i="2"/>
  <c r="D506" i="2"/>
  <c r="T962" i="2"/>
  <c r="S858" i="2"/>
  <c r="Q808" i="2"/>
  <c r="J787" i="2"/>
  <c r="E771" i="2"/>
  <c r="E755" i="2"/>
  <c r="E739" i="2"/>
  <c r="E723" i="2"/>
  <c r="C709" i="2"/>
  <c r="J699" i="2"/>
  <c r="R693" i="2"/>
  <c r="P690" i="2"/>
  <c r="H688" i="2"/>
  <c r="T685" i="2"/>
  <c r="K683" i="2"/>
  <c r="D681" i="2"/>
  <c r="P678" i="2"/>
  <c r="H676" i="2"/>
  <c r="A674" i="2"/>
  <c r="S671" i="2"/>
  <c r="S669" i="2"/>
  <c r="S667" i="2"/>
  <c r="S665" i="2"/>
  <c r="S663" i="2"/>
  <c r="S661" i="2"/>
  <c r="S659" i="2"/>
  <c r="C658" i="2"/>
  <c r="P656" i="2"/>
  <c r="C654" i="2"/>
  <c r="P652" i="2"/>
  <c r="C650" i="2"/>
  <c r="P648" i="2"/>
  <c r="H646" i="2"/>
  <c r="F645" i="2"/>
  <c r="A644" i="2"/>
  <c r="T642" i="2"/>
  <c r="R641" i="2"/>
  <c r="O640" i="2"/>
  <c r="O639" i="2"/>
  <c r="O638" i="2"/>
  <c r="O637" i="2"/>
  <c r="O636" i="2"/>
  <c r="O635" i="2"/>
  <c r="O634" i="2"/>
  <c r="O633" i="2"/>
  <c r="O632" i="2"/>
  <c r="O631" i="2"/>
  <c r="R630" i="2"/>
  <c r="C630" i="2"/>
  <c r="G629" i="2"/>
  <c r="K628" i="2"/>
  <c r="O627" i="2"/>
  <c r="R626" i="2"/>
  <c r="C626" i="2"/>
  <c r="G625" i="2"/>
  <c r="K624" i="2"/>
  <c r="O623" i="2"/>
  <c r="T622" i="2"/>
  <c r="E622" i="2"/>
  <c r="J621" i="2"/>
  <c r="P620" i="2"/>
  <c r="A620" i="2"/>
  <c r="G619" i="2"/>
  <c r="M618" i="2"/>
  <c r="R617" i="2"/>
  <c r="D617" i="2"/>
  <c r="O615" i="2"/>
  <c r="T614" i="2"/>
  <c r="E614" i="2"/>
  <c r="J613" i="2"/>
  <c r="P612" i="2"/>
  <c r="C612" i="2"/>
  <c r="P610" i="2"/>
  <c r="C610" i="2"/>
  <c r="P608" i="2"/>
  <c r="C608" i="2"/>
  <c r="P606" i="2"/>
  <c r="C606" i="2"/>
  <c r="P604" i="2"/>
  <c r="C604" i="2"/>
  <c r="P602" i="2"/>
  <c r="C602" i="2"/>
  <c r="P600" i="2"/>
  <c r="C600" i="2"/>
  <c r="P598" i="2"/>
  <c r="C598" i="2"/>
  <c r="P596" i="2"/>
  <c r="C596" i="2"/>
  <c r="P594" i="2"/>
  <c r="C594" i="2"/>
  <c r="P592" i="2"/>
  <c r="C592" i="2"/>
  <c r="P590" i="2"/>
  <c r="C590" i="2"/>
  <c r="P588" i="2"/>
  <c r="C588" i="2"/>
  <c r="P586" i="2"/>
  <c r="C586" i="2"/>
  <c r="P584" i="2"/>
  <c r="C584" i="2"/>
  <c r="P582" i="2"/>
  <c r="C582" i="2"/>
  <c r="P580" i="2"/>
  <c r="C580" i="2"/>
  <c r="P578" i="2"/>
  <c r="C578" i="2"/>
  <c r="P576" i="2"/>
  <c r="C576" i="2"/>
  <c r="P574" i="2"/>
  <c r="C574" i="2"/>
  <c r="P572" i="2"/>
  <c r="C572" i="2"/>
  <c r="P570" i="2"/>
  <c r="C570" i="2"/>
  <c r="P568" i="2"/>
  <c r="C568" i="2"/>
  <c r="P566" i="2"/>
  <c r="C566" i="2"/>
  <c r="P564" i="2"/>
  <c r="C564" i="2"/>
  <c r="P562" i="2"/>
  <c r="C562" i="2"/>
  <c r="P560" i="2"/>
  <c r="C560" i="2"/>
  <c r="P558" i="2"/>
  <c r="C558" i="2"/>
  <c r="P556" i="2"/>
  <c r="C556" i="2"/>
  <c r="P554" i="2"/>
  <c r="C554" i="2"/>
  <c r="P552" i="2"/>
  <c r="C552" i="2"/>
  <c r="P550" i="2"/>
  <c r="C550" i="2"/>
  <c r="J937" i="2"/>
  <c r="G850" i="2"/>
  <c r="M805" i="2"/>
  <c r="D785" i="2"/>
  <c r="C769" i="2"/>
  <c r="C753" i="2"/>
  <c r="C737" i="2"/>
  <c r="C721" i="2"/>
  <c r="K707" i="2"/>
  <c r="E698" i="2"/>
  <c r="D693" i="2"/>
  <c r="O690" i="2"/>
  <c r="G688" i="2"/>
  <c r="R685" i="2"/>
  <c r="J683" i="2"/>
  <c r="C681" i="2"/>
  <c r="O678" i="2"/>
  <c r="G676" i="2"/>
  <c r="T673" i="2"/>
  <c r="R671" i="2"/>
  <c r="R669" i="2"/>
  <c r="R667" i="2"/>
  <c r="R665" i="2"/>
  <c r="R663" i="2"/>
  <c r="R661" i="2"/>
  <c r="R659" i="2"/>
  <c r="A658" i="2"/>
  <c r="O656" i="2"/>
  <c r="H655" i="2"/>
  <c r="A654" i="2"/>
  <c r="O652" i="2"/>
  <c r="H651" i="2"/>
  <c r="A650" i="2"/>
  <c r="O648" i="2"/>
  <c r="H647" i="2"/>
  <c r="G646" i="2"/>
  <c r="E645" i="2"/>
  <c r="T643" i="2"/>
  <c r="P642" i="2"/>
  <c r="O641" i="2"/>
  <c r="N640" i="2"/>
  <c r="N639" i="2"/>
  <c r="N638" i="2"/>
  <c r="N637" i="2"/>
  <c r="N636" i="2"/>
  <c r="N635" i="2"/>
  <c r="N634" i="2"/>
  <c r="N633" i="2"/>
  <c r="N632" i="2"/>
  <c r="N631" i="2"/>
  <c r="Q630" i="2"/>
  <c r="A630" i="2"/>
  <c r="F629" i="2"/>
  <c r="J628" i="2"/>
  <c r="N627" i="2"/>
  <c r="Q626" i="2"/>
  <c r="A626" i="2"/>
  <c r="F625" i="2"/>
  <c r="J624" i="2"/>
  <c r="N623" i="2"/>
  <c r="R622" i="2"/>
  <c r="D622" i="2"/>
  <c r="O620" i="2"/>
  <c r="T619" i="2"/>
  <c r="F619" i="2"/>
  <c r="K618" i="2"/>
  <c r="Q617" i="2"/>
  <c r="C617" i="2"/>
  <c r="H616" i="2"/>
  <c r="N615" i="2"/>
  <c r="R614" i="2"/>
  <c r="D614" i="2"/>
  <c r="O612" i="2"/>
  <c r="A612" i="2"/>
  <c r="H611" i="2"/>
  <c r="O610" i="2"/>
  <c r="A610" i="2"/>
  <c r="H609" i="2"/>
  <c r="O608" i="2"/>
  <c r="A608" i="2"/>
  <c r="H607" i="2"/>
  <c r="O606" i="2"/>
  <c r="A606" i="2"/>
  <c r="H605" i="2"/>
  <c r="O604" i="2"/>
  <c r="A604" i="2"/>
  <c r="H603" i="2"/>
  <c r="O602" i="2"/>
  <c r="A602" i="2"/>
  <c r="H601" i="2"/>
  <c r="O600" i="2"/>
  <c r="A600" i="2"/>
  <c r="H599" i="2"/>
  <c r="O598" i="2"/>
  <c r="A598" i="2"/>
  <c r="H597" i="2"/>
  <c r="O596" i="2"/>
  <c r="A596" i="2"/>
  <c r="H595" i="2"/>
  <c r="O594" i="2"/>
  <c r="A594" i="2"/>
  <c r="H593" i="2"/>
  <c r="O592" i="2"/>
  <c r="A592" i="2"/>
  <c r="H591" i="2"/>
  <c r="O590" i="2"/>
  <c r="A590" i="2"/>
  <c r="H589" i="2"/>
  <c r="O588" i="2"/>
  <c r="A588" i="2"/>
  <c r="H587" i="2"/>
  <c r="O586" i="2"/>
  <c r="A586" i="2"/>
  <c r="H585" i="2"/>
  <c r="O584" i="2"/>
  <c r="A584" i="2"/>
  <c r="H583" i="2"/>
  <c r="O582" i="2"/>
  <c r="A582" i="2"/>
  <c r="H581" i="2"/>
  <c r="O580" i="2"/>
  <c r="A580" i="2"/>
  <c r="H579" i="2"/>
  <c r="O578" i="2"/>
  <c r="A578" i="2"/>
  <c r="H577" i="2"/>
  <c r="O576" i="2"/>
  <c r="A576" i="2"/>
  <c r="H575" i="2"/>
  <c r="O574" i="2"/>
  <c r="A574" i="2"/>
  <c r="H573" i="2"/>
  <c r="O572" i="2"/>
  <c r="A572" i="2"/>
  <c r="H571" i="2"/>
  <c r="O570" i="2"/>
  <c r="A570" i="2"/>
  <c r="H569" i="2"/>
  <c r="O568" i="2"/>
  <c r="A568" i="2"/>
  <c r="H567" i="2"/>
  <c r="O566" i="2"/>
  <c r="A566" i="2"/>
  <c r="H565" i="2"/>
  <c r="O564" i="2"/>
  <c r="A564" i="2"/>
  <c r="H563" i="2"/>
  <c r="O562" i="2"/>
  <c r="A562" i="2"/>
  <c r="H561" i="2"/>
  <c r="O560" i="2"/>
  <c r="A560" i="2"/>
  <c r="H559" i="2"/>
  <c r="O558" i="2"/>
  <c r="A558" i="2"/>
  <c r="H557" i="2"/>
  <c r="O556" i="2"/>
  <c r="A556" i="2"/>
  <c r="H555" i="2"/>
  <c r="O554" i="2"/>
  <c r="A554" i="2"/>
  <c r="H553" i="2"/>
  <c r="O552" i="2"/>
  <c r="A552" i="2"/>
  <c r="H551" i="2"/>
  <c r="O550" i="2"/>
  <c r="A550" i="2"/>
  <c r="H549" i="2"/>
  <c r="O548" i="2"/>
  <c r="A548" i="2"/>
  <c r="H547" i="2"/>
  <c r="O546" i="2"/>
  <c r="A546" i="2"/>
  <c r="H545" i="2"/>
  <c r="O544" i="2"/>
  <c r="A544" i="2"/>
  <c r="H543" i="2"/>
  <c r="O542" i="2"/>
  <c r="A542" i="2"/>
  <c r="H541" i="2"/>
  <c r="O540" i="2"/>
  <c r="A540" i="2"/>
  <c r="H539" i="2"/>
  <c r="O538" i="2"/>
  <c r="A538" i="2"/>
  <c r="H537" i="2"/>
  <c r="O536" i="2"/>
  <c r="A536" i="2"/>
  <c r="H535" i="2"/>
  <c r="O534" i="2"/>
  <c r="A534" i="2"/>
  <c r="H533" i="2"/>
  <c r="O532" i="2"/>
  <c r="A532" i="2"/>
  <c r="H531" i="2"/>
  <c r="O530" i="2"/>
  <c r="A530" i="2"/>
  <c r="H529" i="2"/>
  <c r="O528" i="2"/>
  <c r="A528" i="2"/>
  <c r="H527" i="2"/>
  <c r="O526" i="2"/>
  <c r="A526" i="2"/>
  <c r="H525" i="2"/>
  <c r="O524" i="2"/>
  <c r="A524" i="2"/>
  <c r="H523" i="2"/>
  <c r="O522" i="2"/>
  <c r="A522" i="2"/>
  <c r="H521" i="2"/>
  <c r="O520" i="2"/>
  <c r="A520" i="2"/>
  <c r="H519" i="2"/>
  <c r="O518" i="2"/>
  <c r="A518" i="2"/>
  <c r="H517" i="2"/>
  <c r="O516" i="2"/>
  <c r="T930" i="2"/>
  <c r="F848" i="2"/>
  <c r="Q804" i="2"/>
  <c r="K784" i="2"/>
  <c r="K768" i="2"/>
  <c r="K752" i="2"/>
  <c r="K736" i="2"/>
  <c r="K720" i="2"/>
  <c r="J707" i="2"/>
  <c r="D698" i="2"/>
  <c r="C693" i="2"/>
  <c r="A688" i="2"/>
  <c r="N685" i="2"/>
  <c r="E683" i="2"/>
  <c r="Q680" i="2"/>
  <c r="A676" i="2"/>
  <c r="O673" i="2"/>
  <c r="N671" i="2"/>
  <c r="N669" i="2"/>
  <c r="N667" i="2"/>
  <c r="N665" i="2"/>
  <c r="N663" i="2"/>
  <c r="N661" i="2"/>
  <c r="N659" i="2"/>
  <c r="S657" i="2"/>
  <c r="M656" i="2"/>
  <c r="F655" i="2"/>
  <c r="S653" i="2"/>
  <c r="M652" i="2"/>
  <c r="F651" i="2"/>
  <c r="S649" i="2"/>
  <c r="M648" i="2"/>
  <c r="G647" i="2"/>
  <c r="C646" i="2"/>
  <c r="A645" i="2"/>
  <c r="S643" i="2"/>
  <c r="O642" i="2"/>
  <c r="N641" i="2"/>
  <c r="M640" i="2"/>
  <c r="K639" i="2"/>
  <c r="M638" i="2"/>
  <c r="K637" i="2"/>
  <c r="M636" i="2"/>
  <c r="K635" i="2"/>
  <c r="M634" i="2"/>
  <c r="K633" i="2"/>
  <c r="M632" i="2"/>
  <c r="K631" i="2"/>
  <c r="P630" i="2"/>
  <c r="T629" i="2"/>
  <c r="E629" i="2"/>
  <c r="H628" i="2"/>
  <c r="K627" i="2"/>
  <c r="P626" i="2"/>
  <c r="T625" i="2"/>
  <c r="E625" i="2"/>
  <c r="H624" i="2"/>
  <c r="K623" i="2"/>
  <c r="Q622" i="2"/>
  <c r="C622" i="2"/>
  <c r="H621" i="2"/>
  <c r="N620" i="2"/>
  <c r="S619" i="2"/>
  <c r="E619" i="2"/>
  <c r="J618" i="2"/>
  <c r="P617" i="2"/>
  <c r="A617" i="2"/>
  <c r="G616" i="2"/>
  <c r="K615" i="2"/>
  <c r="Q614" i="2"/>
  <c r="C614" i="2"/>
  <c r="H613" i="2"/>
  <c r="N612" i="2"/>
  <c r="T611" i="2"/>
  <c r="G611" i="2"/>
  <c r="N610" i="2"/>
  <c r="T609" i="2"/>
  <c r="G609" i="2"/>
  <c r="N608" i="2"/>
  <c r="T607" i="2"/>
  <c r="G607" i="2"/>
  <c r="N606" i="2"/>
  <c r="T605" i="2"/>
  <c r="G605" i="2"/>
  <c r="N604" i="2"/>
  <c r="T603" i="2"/>
  <c r="G603" i="2"/>
  <c r="N602" i="2"/>
  <c r="T601" i="2"/>
  <c r="G601" i="2"/>
  <c r="N600" i="2"/>
  <c r="T599" i="2"/>
  <c r="G599" i="2"/>
  <c r="N598" i="2"/>
  <c r="T597" i="2"/>
  <c r="G597" i="2"/>
  <c r="N596" i="2"/>
  <c r="T595" i="2"/>
  <c r="G595" i="2"/>
  <c r="N594" i="2"/>
  <c r="T593" i="2"/>
  <c r="G593" i="2"/>
  <c r="N592" i="2"/>
  <c r="T591" i="2"/>
  <c r="G591" i="2"/>
  <c r="N590" i="2"/>
  <c r="T589" i="2"/>
  <c r="G589" i="2"/>
  <c r="N588" i="2"/>
  <c r="T587" i="2"/>
  <c r="G587" i="2"/>
  <c r="N586" i="2"/>
  <c r="T585" i="2"/>
  <c r="G585" i="2"/>
  <c r="N584" i="2"/>
  <c r="T583" i="2"/>
  <c r="G583" i="2"/>
  <c r="N582" i="2"/>
  <c r="T581" i="2"/>
  <c r="G581" i="2"/>
  <c r="N580" i="2"/>
  <c r="T579" i="2"/>
  <c r="G579" i="2"/>
  <c r="N578" i="2"/>
  <c r="T577" i="2"/>
  <c r="G577" i="2"/>
  <c r="N576" i="2"/>
  <c r="T575" i="2"/>
  <c r="G575" i="2"/>
  <c r="N574" i="2"/>
  <c r="T573" i="2"/>
  <c r="G573" i="2"/>
  <c r="N572" i="2"/>
  <c r="T571" i="2"/>
  <c r="G571" i="2"/>
  <c r="N570" i="2"/>
  <c r="T569" i="2"/>
  <c r="G569" i="2"/>
  <c r="N568" i="2"/>
  <c r="T567" i="2"/>
  <c r="G567" i="2"/>
  <c r="N566" i="2"/>
  <c r="T565" i="2"/>
  <c r="G565" i="2"/>
  <c r="N564" i="2"/>
  <c r="T563" i="2"/>
  <c r="G563" i="2"/>
  <c r="N562" i="2"/>
  <c r="T561" i="2"/>
  <c r="G561" i="2"/>
  <c r="N560" i="2"/>
  <c r="T559" i="2"/>
  <c r="G559" i="2"/>
  <c r="N558" i="2"/>
  <c r="T557" i="2"/>
  <c r="G557" i="2"/>
  <c r="N556" i="2"/>
  <c r="T555" i="2"/>
  <c r="G555" i="2"/>
  <c r="N554" i="2"/>
  <c r="T553" i="2"/>
  <c r="G553" i="2"/>
  <c r="N552" i="2"/>
  <c r="T551" i="2"/>
  <c r="G551" i="2"/>
  <c r="N550" i="2"/>
  <c r="T549" i="2"/>
  <c r="G549" i="2"/>
  <c r="N548" i="2"/>
  <c r="T547" i="2"/>
  <c r="G547" i="2"/>
  <c r="N546" i="2"/>
  <c r="T545" i="2"/>
  <c r="G545" i="2"/>
  <c r="N544" i="2"/>
  <c r="T543" i="2"/>
  <c r="G543" i="2"/>
  <c r="N542" i="2"/>
  <c r="T541" i="2"/>
  <c r="G541" i="2"/>
  <c r="N540" i="2"/>
  <c r="T539" i="2"/>
  <c r="G539" i="2"/>
  <c r="N538" i="2"/>
  <c r="T537" i="2"/>
  <c r="G537" i="2"/>
  <c r="N536" i="2"/>
  <c r="T535" i="2"/>
  <c r="G535" i="2"/>
  <c r="N534" i="2"/>
  <c r="T533" i="2"/>
  <c r="G533" i="2"/>
  <c r="N532" i="2"/>
  <c r="F894" i="2"/>
  <c r="M829" i="2"/>
  <c r="E798" i="2"/>
  <c r="P779" i="2"/>
  <c r="P763" i="2"/>
  <c r="P747" i="2"/>
  <c r="P731" i="2"/>
  <c r="P715" i="2"/>
  <c r="H696" i="2"/>
  <c r="G692" i="2"/>
  <c r="R689" i="2"/>
  <c r="J687" i="2"/>
  <c r="C685" i="2"/>
  <c r="O682" i="2"/>
  <c r="G680" i="2"/>
  <c r="R677" i="2"/>
  <c r="J675" i="2"/>
  <c r="E673" i="2"/>
  <c r="E671" i="2"/>
  <c r="E669" i="2"/>
  <c r="E667" i="2"/>
  <c r="E665" i="2"/>
  <c r="E663" i="2"/>
  <c r="E661" i="2"/>
  <c r="E659" i="2"/>
  <c r="N657" i="2"/>
  <c r="G656" i="2"/>
  <c r="T654" i="2"/>
  <c r="N653" i="2"/>
  <c r="G652" i="2"/>
  <c r="T650" i="2"/>
  <c r="N649" i="2"/>
  <c r="G648" i="2"/>
  <c r="A647" i="2"/>
  <c r="S645" i="2"/>
  <c r="O644" i="2"/>
  <c r="N643" i="2"/>
  <c r="K642" i="2"/>
  <c r="G641" i="2"/>
  <c r="G640" i="2"/>
  <c r="G639" i="2"/>
  <c r="G638" i="2"/>
  <c r="G637" i="2"/>
  <c r="G636" i="2"/>
  <c r="G635" i="2"/>
  <c r="G634" i="2"/>
  <c r="G633" i="2"/>
  <c r="G632" i="2"/>
  <c r="H631" i="2"/>
  <c r="M630" i="2"/>
  <c r="Q629" i="2"/>
  <c r="T628" i="2"/>
  <c r="D628" i="2"/>
  <c r="H627" i="2"/>
  <c r="M626" i="2"/>
  <c r="Q625" i="2"/>
  <c r="T624" i="2"/>
  <c r="D624" i="2"/>
  <c r="H623" i="2"/>
  <c r="N622" i="2"/>
  <c r="S621" i="2"/>
  <c r="E621" i="2"/>
  <c r="J620" i="2"/>
  <c r="P619" i="2"/>
  <c r="A619" i="2"/>
  <c r="G618" i="2"/>
  <c r="K617" i="2"/>
  <c r="Q616" i="2"/>
  <c r="C616" i="2"/>
  <c r="H615" i="2"/>
  <c r="N614" i="2"/>
  <c r="S613" i="2"/>
  <c r="E613" i="2"/>
  <c r="J612" i="2"/>
  <c r="Q611" i="2"/>
  <c r="D611" i="2"/>
  <c r="J610" i="2"/>
  <c r="Q609" i="2"/>
  <c r="D609" i="2"/>
  <c r="J608" i="2"/>
  <c r="Q607" i="2"/>
  <c r="D607" i="2"/>
  <c r="J606" i="2"/>
  <c r="Q605" i="2"/>
  <c r="D605" i="2"/>
  <c r="J604" i="2"/>
  <c r="Q603" i="2"/>
  <c r="D603" i="2"/>
  <c r="J602" i="2"/>
  <c r="Q601" i="2"/>
  <c r="D601" i="2"/>
  <c r="J600" i="2"/>
  <c r="Q599" i="2"/>
  <c r="D599" i="2"/>
  <c r="J598" i="2"/>
  <c r="Q597" i="2"/>
  <c r="D597" i="2"/>
  <c r="J596" i="2"/>
  <c r="Q595" i="2"/>
  <c r="D595" i="2"/>
  <c r="J594" i="2"/>
  <c r="Q593" i="2"/>
  <c r="D593" i="2"/>
  <c r="J592" i="2"/>
  <c r="Q591" i="2"/>
  <c r="D591" i="2"/>
  <c r="J590" i="2"/>
  <c r="Q589" i="2"/>
  <c r="D589" i="2"/>
  <c r="J588" i="2"/>
  <c r="Q587" i="2"/>
  <c r="D587" i="2"/>
  <c r="J586" i="2"/>
  <c r="Q585" i="2"/>
  <c r="D585" i="2"/>
  <c r="J584" i="2"/>
  <c r="Q583" i="2"/>
  <c r="D583" i="2"/>
  <c r="J582" i="2"/>
  <c r="Q581" i="2"/>
  <c r="D581" i="2"/>
  <c r="J580" i="2"/>
  <c r="Q579" i="2"/>
  <c r="D579" i="2"/>
  <c r="J578" i="2"/>
  <c r="Q577" i="2"/>
  <c r="D577" i="2"/>
  <c r="J576" i="2"/>
  <c r="Q575" i="2"/>
  <c r="D575" i="2"/>
  <c r="J574" i="2"/>
  <c r="Q573" i="2"/>
  <c r="D573" i="2"/>
  <c r="J572" i="2"/>
  <c r="Q571" i="2"/>
  <c r="D571" i="2"/>
  <c r="J570" i="2"/>
  <c r="Q569" i="2"/>
  <c r="D569" i="2"/>
  <c r="J568" i="2"/>
  <c r="Q567" i="2"/>
  <c r="D567" i="2"/>
  <c r="J566" i="2"/>
  <c r="Q565" i="2"/>
  <c r="D565" i="2"/>
  <c r="J564" i="2"/>
  <c r="Q563" i="2"/>
  <c r="D563" i="2"/>
  <c r="J562" i="2"/>
  <c r="Q561" i="2"/>
  <c r="D561" i="2"/>
  <c r="J560" i="2"/>
  <c r="Q559" i="2"/>
  <c r="D559" i="2"/>
  <c r="J558" i="2"/>
  <c r="Q557" i="2"/>
  <c r="D557" i="2"/>
  <c r="J556" i="2"/>
  <c r="Q555" i="2"/>
  <c r="D555" i="2"/>
  <c r="J554" i="2"/>
  <c r="Q553" i="2"/>
  <c r="D553" i="2"/>
  <c r="J552" i="2"/>
  <c r="Q551" i="2"/>
  <c r="D551" i="2"/>
  <c r="J550" i="2"/>
  <c r="Q549" i="2"/>
  <c r="D549" i="2"/>
  <c r="J548" i="2"/>
  <c r="Q547" i="2"/>
  <c r="D547" i="2"/>
  <c r="J546" i="2"/>
  <c r="Q545" i="2"/>
  <c r="D545" i="2"/>
  <c r="J544" i="2"/>
  <c r="Q543" i="2"/>
  <c r="D543" i="2"/>
  <c r="J542" i="2"/>
  <c r="Q541" i="2"/>
  <c r="D541" i="2"/>
  <c r="J540" i="2"/>
  <c r="Q539" i="2"/>
  <c r="D539" i="2"/>
  <c r="J538" i="2"/>
  <c r="Q537" i="2"/>
  <c r="D537" i="2"/>
  <c r="J536" i="2"/>
  <c r="Q535" i="2"/>
  <c r="D535" i="2"/>
  <c r="J534" i="2"/>
  <c r="Q533" i="2"/>
  <c r="D533" i="2"/>
  <c r="J532" i="2"/>
  <c r="Q531" i="2"/>
  <c r="D531" i="2"/>
  <c r="J530" i="2"/>
  <c r="Q529" i="2"/>
  <c r="D529" i="2"/>
  <c r="J528" i="2"/>
  <c r="Q527" i="2"/>
  <c r="D527" i="2"/>
  <c r="J526" i="2"/>
  <c r="Q525" i="2"/>
  <c r="D525" i="2"/>
  <c r="J524" i="2"/>
  <c r="Q523" i="2"/>
  <c r="D523" i="2"/>
  <c r="J522" i="2"/>
  <c r="Q521" i="2"/>
  <c r="D521" i="2"/>
  <c r="J520" i="2"/>
  <c r="Q519" i="2"/>
  <c r="D519" i="2"/>
  <c r="J518" i="2"/>
  <c r="Q517" i="2"/>
  <c r="D517" i="2"/>
  <c r="J516" i="2"/>
  <c r="Q515" i="2"/>
  <c r="D515" i="2"/>
  <c r="J514" i="2"/>
  <c r="Q513" i="2"/>
  <c r="D513" i="2"/>
  <c r="J512" i="2"/>
  <c r="Q511" i="2"/>
  <c r="D511" i="2"/>
  <c r="J510" i="2"/>
  <c r="Q509" i="2"/>
  <c r="D509" i="2"/>
  <c r="J508" i="2"/>
  <c r="Q507" i="2"/>
  <c r="D507" i="2"/>
  <c r="J506" i="2"/>
  <c r="K891" i="2"/>
  <c r="T827" i="2"/>
  <c r="J797" i="2"/>
  <c r="E779" i="2"/>
  <c r="E763" i="2"/>
  <c r="E747" i="2"/>
  <c r="E731" i="2"/>
  <c r="E715" i="2"/>
  <c r="E704" i="2"/>
  <c r="G696" i="2"/>
  <c r="A692" i="2"/>
  <c r="N689" i="2"/>
  <c r="E687" i="2"/>
  <c r="Q684" i="2"/>
  <c r="A680" i="2"/>
  <c r="N677" i="2"/>
  <c r="E675" i="2"/>
  <c r="T672" i="2"/>
  <c r="T670" i="2"/>
  <c r="T668" i="2"/>
  <c r="T666" i="2"/>
  <c r="T664" i="2"/>
  <c r="T662" i="2"/>
  <c r="T660" i="2"/>
  <c r="T658" i="2"/>
  <c r="C656" i="2"/>
  <c r="P654" i="2"/>
  <c r="C652" i="2"/>
  <c r="P650" i="2"/>
  <c r="C648" i="2"/>
  <c r="T646" i="2"/>
  <c r="R645" i="2"/>
  <c r="N644" i="2"/>
  <c r="H642" i="2"/>
  <c r="F641" i="2"/>
  <c r="E640" i="2"/>
  <c r="F639" i="2"/>
  <c r="E638" i="2"/>
  <c r="F637" i="2"/>
  <c r="E636" i="2"/>
  <c r="F635" i="2"/>
  <c r="E634" i="2"/>
  <c r="F633" i="2"/>
  <c r="E632" i="2"/>
  <c r="G631" i="2"/>
  <c r="K630" i="2"/>
  <c r="O629" i="2"/>
  <c r="R628" i="2"/>
  <c r="C628" i="2"/>
  <c r="G627" i="2"/>
  <c r="K626" i="2"/>
  <c r="O625" i="2"/>
  <c r="R624" i="2"/>
  <c r="C624" i="2"/>
  <c r="G623" i="2"/>
  <c r="M622" i="2"/>
  <c r="R621" i="2"/>
  <c r="D621" i="2"/>
  <c r="O619" i="2"/>
  <c r="T618" i="2"/>
  <c r="E618" i="2"/>
  <c r="J617" i="2"/>
  <c r="P616" i="2"/>
  <c r="A616" i="2"/>
  <c r="G615" i="2"/>
  <c r="M614" i="2"/>
  <c r="R613" i="2"/>
  <c r="D613" i="2"/>
  <c r="P611" i="2"/>
  <c r="C611" i="2"/>
  <c r="P609" i="2"/>
  <c r="C609" i="2"/>
  <c r="P607" i="2"/>
  <c r="C607" i="2"/>
  <c r="P605" i="2"/>
  <c r="C605" i="2"/>
  <c r="P603" i="2"/>
  <c r="C603" i="2"/>
  <c r="P601" i="2"/>
  <c r="C601" i="2"/>
  <c r="P599" i="2"/>
  <c r="C599" i="2"/>
  <c r="P597" i="2"/>
  <c r="C597" i="2"/>
  <c r="P595" i="2"/>
  <c r="C595" i="2"/>
  <c r="P593" i="2"/>
  <c r="C593" i="2"/>
  <c r="P591" i="2"/>
  <c r="C591" i="2"/>
  <c r="P589" i="2"/>
  <c r="C589" i="2"/>
  <c r="P587" i="2"/>
  <c r="C587" i="2"/>
  <c r="P585" i="2"/>
  <c r="C585" i="2"/>
  <c r="P583" i="2"/>
  <c r="C583" i="2"/>
  <c r="P581" i="2"/>
  <c r="C581" i="2"/>
  <c r="P579" i="2"/>
  <c r="C579" i="2"/>
  <c r="P577" i="2"/>
  <c r="C577" i="2"/>
  <c r="P575" i="2"/>
  <c r="C575" i="2"/>
  <c r="P573" i="2"/>
  <c r="C573" i="2"/>
  <c r="P571" i="2"/>
  <c r="C571" i="2"/>
  <c r="P569" i="2"/>
  <c r="C569" i="2"/>
  <c r="P567" i="2"/>
  <c r="C567" i="2"/>
  <c r="P565" i="2"/>
  <c r="C565" i="2"/>
  <c r="P563" i="2"/>
  <c r="C563" i="2"/>
  <c r="P561" i="2"/>
  <c r="C561" i="2"/>
  <c r="P559" i="2"/>
  <c r="C559" i="2"/>
  <c r="P557" i="2"/>
  <c r="C557" i="2"/>
  <c r="P555" i="2"/>
  <c r="C555" i="2"/>
  <c r="P553" i="2"/>
  <c r="C553" i="2"/>
  <c r="P551" i="2"/>
  <c r="C551" i="2"/>
  <c r="P549" i="2"/>
  <c r="C549" i="2"/>
  <c r="P547" i="2"/>
  <c r="C547" i="2"/>
  <c r="P545" i="2"/>
  <c r="C545" i="2"/>
  <c r="P543" i="2"/>
  <c r="C543" i="2"/>
  <c r="P541" i="2"/>
  <c r="C541" i="2"/>
  <c r="P539" i="2"/>
  <c r="C539" i="2"/>
  <c r="P537" i="2"/>
  <c r="C537" i="2"/>
  <c r="P535" i="2"/>
  <c r="C535" i="2"/>
  <c r="P533" i="2"/>
  <c r="C533" i="2"/>
  <c r="P531" i="2"/>
  <c r="C531" i="2"/>
  <c r="P529" i="2"/>
  <c r="C529" i="2"/>
  <c r="P527" i="2"/>
  <c r="C527" i="2"/>
  <c r="P525" i="2"/>
  <c r="C525" i="2"/>
  <c r="P523" i="2"/>
  <c r="C523" i="2"/>
  <c r="P521" i="2"/>
  <c r="C521" i="2"/>
  <c r="P519" i="2"/>
  <c r="C519" i="2"/>
  <c r="P517" i="2"/>
  <c r="C517" i="2"/>
  <c r="P515" i="2"/>
  <c r="C515" i="2"/>
  <c r="P513" i="2"/>
  <c r="C513" i="2"/>
  <c r="P511" i="2"/>
  <c r="C511" i="2"/>
  <c r="P509" i="2"/>
  <c r="C509" i="2"/>
  <c r="P507" i="2"/>
  <c r="C507" i="2"/>
  <c r="P505" i="2"/>
  <c r="C505" i="2"/>
  <c r="P503" i="2"/>
  <c r="C503" i="2"/>
  <c r="P501" i="2"/>
  <c r="C501" i="2"/>
  <c r="P499" i="2"/>
  <c r="C499" i="2"/>
  <c r="P497" i="2"/>
  <c r="C497" i="2"/>
  <c r="P495" i="2"/>
  <c r="C495" i="2"/>
  <c r="P493" i="2"/>
  <c r="C493" i="2"/>
  <c r="P905" i="2"/>
  <c r="R733" i="2"/>
  <c r="K687" i="2"/>
  <c r="G673" i="2"/>
  <c r="F661" i="2"/>
  <c r="H652" i="2"/>
  <c r="P644" i="2"/>
  <c r="H638" i="2"/>
  <c r="H632" i="2"/>
  <c r="O622" i="2"/>
  <c r="H618" i="2"/>
  <c r="T613" i="2"/>
  <c r="R609" i="2"/>
  <c r="R605" i="2"/>
  <c r="R601" i="2"/>
  <c r="R597" i="2"/>
  <c r="R593" i="2"/>
  <c r="R589" i="2"/>
  <c r="R585" i="2"/>
  <c r="R581" i="2"/>
  <c r="R577" i="2"/>
  <c r="R573" i="2"/>
  <c r="R569" i="2"/>
  <c r="R565" i="2"/>
  <c r="R561" i="2"/>
  <c r="R557" i="2"/>
  <c r="R553" i="2"/>
  <c r="R549" i="2"/>
  <c r="N531" i="2"/>
  <c r="T529" i="2"/>
  <c r="K528" i="2"/>
  <c r="P526" i="2"/>
  <c r="F525" i="2"/>
  <c r="N523" i="2"/>
  <c r="T521" i="2"/>
  <c r="K520" i="2"/>
  <c r="R518" i="2"/>
  <c r="O517" i="2"/>
  <c r="M516" i="2"/>
  <c r="K515" i="2"/>
  <c r="M514" i="2"/>
  <c r="K513" i="2"/>
  <c r="M512" i="2"/>
  <c r="K511" i="2"/>
  <c r="M510" i="2"/>
  <c r="K509" i="2"/>
  <c r="M508" i="2"/>
  <c r="K507" i="2"/>
  <c r="M506" i="2"/>
  <c r="N505" i="2"/>
  <c r="Q504" i="2"/>
  <c r="A504" i="2"/>
  <c r="F503" i="2"/>
  <c r="J502" i="2"/>
  <c r="N501" i="2"/>
  <c r="Q500" i="2"/>
  <c r="A500" i="2"/>
  <c r="F499" i="2"/>
  <c r="J498" i="2"/>
  <c r="N497" i="2"/>
  <c r="Q496" i="2"/>
  <c r="A496" i="2"/>
  <c r="F495" i="2"/>
  <c r="J494" i="2"/>
  <c r="N493" i="2"/>
  <c r="Q492" i="2"/>
  <c r="C492" i="2"/>
  <c r="P490" i="2"/>
  <c r="C490" i="2"/>
  <c r="P488" i="2"/>
  <c r="C488" i="2"/>
  <c r="P486" i="2"/>
  <c r="C486" i="2"/>
  <c r="P484" i="2"/>
  <c r="C484" i="2"/>
  <c r="P482" i="2"/>
  <c r="C482" i="2"/>
  <c r="P480" i="2"/>
  <c r="C480" i="2"/>
  <c r="P478" i="2"/>
  <c r="C478" i="2"/>
  <c r="P476" i="2"/>
  <c r="C476" i="2"/>
  <c r="P474" i="2"/>
  <c r="C474" i="2"/>
  <c r="P472" i="2"/>
  <c r="C472" i="2"/>
  <c r="P470" i="2"/>
  <c r="C470" i="2"/>
  <c r="P468" i="2"/>
  <c r="C468" i="2"/>
  <c r="P466" i="2"/>
  <c r="C466" i="2"/>
  <c r="P464" i="2"/>
  <c r="C464" i="2"/>
  <c r="P462" i="2"/>
  <c r="C462" i="2"/>
  <c r="P460" i="2"/>
  <c r="C460" i="2"/>
  <c r="P458" i="2"/>
  <c r="C458" i="2"/>
  <c r="P456" i="2"/>
  <c r="C456" i="2"/>
  <c r="P454" i="2"/>
  <c r="C454" i="2"/>
  <c r="P452" i="2"/>
  <c r="C452" i="2"/>
  <c r="P450" i="2"/>
  <c r="C450" i="2"/>
  <c r="P448" i="2"/>
  <c r="C448" i="2"/>
  <c r="P446" i="2"/>
  <c r="C446" i="2"/>
  <c r="P444" i="2"/>
  <c r="C444" i="2"/>
  <c r="P442" i="2"/>
  <c r="C442" i="2"/>
  <c r="P440" i="2"/>
  <c r="C440" i="2"/>
  <c r="P438" i="2"/>
  <c r="C438" i="2"/>
  <c r="P436" i="2"/>
  <c r="C436" i="2"/>
  <c r="P434" i="2"/>
  <c r="C434" i="2"/>
  <c r="P432" i="2"/>
  <c r="C432" i="2"/>
  <c r="P430" i="2"/>
  <c r="C430" i="2"/>
  <c r="P428" i="2"/>
  <c r="C428" i="2"/>
  <c r="P426" i="2"/>
  <c r="C426" i="2"/>
  <c r="P424" i="2"/>
  <c r="C424" i="2"/>
  <c r="P422" i="2"/>
  <c r="C422" i="2"/>
  <c r="P420" i="2"/>
  <c r="C420" i="2"/>
  <c r="P418" i="2"/>
  <c r="C418" i="2"/>
  <c r="P416" i="2"/>
  <c r="C416" i="2"/>
  <c r="P414" i="2"/>
  <c r="C414" i="2"/>
  <c r="P412" i="2"/>
  <c r="C412" i="2"/>
  <c r="P410" i="2"/>
  <c r="C410" i="2"/>
  <c r="P408" i="2"/>
  <c r="C408" i="2"/>
  <c r="P406" i="2"/>
  <c r="C406" i="2"/>
  <c r="P404" i="2"/>
  <c r="C404" i="2"/>
  <c r="P402" i="2"/>
  <c r="C402" i="2"/>
  <c r="P400" i="2"/>
  <c r="C400" i="2"/>
  <c r="P398" i="2"/>
  <c r="C398" i="2"/>
  <c r="P396" i="2"/>
  <c r="C396" i="2"/>
  <c r="P394" i="2"/>
  <c r="C394" i="2"/>
  <c r="P392" i="2"/>
  <c r="C392" i="2"/>
  <c r="P390" i="2"/>
  <c r="C390" i="2"/>
  <c r="P388" i="2"/>
  <c r="C388" i="2"/>
  <c r="P386" i="2"/>
  <c r="C386" i="2"/>
  <c r="P384" i="2"/>
  <c r="C384" i="2"/>
  <c r="P382" i="2"/>
  <c r="C382" i="2"/>
  <c r="P380" i="2"/>
  <c r="C380" i="2"/>
  <c r="P378" i="2"/>
  <c r="C378" i="2"/>
  <c r="P376" i="2"/>
  <c r="C376" i="2"/>
  <c r="P374" i="2"/>
  <c r="C374" i="2"/>
  <c r="P372" i="2"/>
  <c r="N839" i="2"/>
  <c r="H685" i="2"/>
  <c r="E651" i="2"/>
  <c r="R643" i="2"/>
  <c r="J631" i="2"/>
  <c r="O626" i="2"/>
  <c r="A622" i="2"/>
  <c r="O617" i="2"/>
  <c r="G613" i="2"/>
  <c r="F609" i="2"/>
  <c r="F605" i="2"/>
  <c r="F601" i="2"/>
  <c r="F597" i="2"/>
  <c r="F593" i="2"/>
  <c r="F589" i="2"/>
  <c r="F585" i="2"/>
  <c r="F581" i="2"/>
  <c r="F577" i="2"/>
  <c r="F573" i="2"/>
  <c r="F569" i="2"/>
  <c r="F565" i="2"/>
  <c r="F561" i="2"/>
  <c r="F557" i="2"/>
  <c r="F553" i="2"/>
  <c r="F547" i="2"/>
  <c r="F545" i="2"/>
  <c r="F543" i="2"/>
  <c r="F541" i="2"/>
  <c r="F539" i="2"/>
  <c r="F537" i="2"/>
  <c r="F535" i="2"/>
  <c r="F533" i="2"/>
  <c r="S529" i="2"/>
  <c r="G528" i="2"/>
  <c r="N526" i="2"/>
  <c r="E525" i="2"/>
  <c r="S521" i="2"/>
  <c r="G520" i="2"/>
  <c r="P518" i="2"/>
  <c r="N517" i="2"/>
  <c r="K516" i="2"/>
  <c r="K514" i="2"/>
  <c r="K512" i="2"/>
  <c r="K510" i="2"/>
  <c r="K508" i="2"/>
  <c r="K506" i="2"/>
  <c r="K505" i="2"/>
  <c r="P504" i="2"/>
  <c r="T503" i="2"/>
  <c r="E503" i="2"/>
  <c r="H502" i="2"/>
  <c r="K501" i="2"/>
  <c r="P500" i="2"/>
  <c r="T499" i="2"/>
  <c r="E499" i="2"/>
  <c r="H498" i="2"/>
  <c r="K497" i="2"/>
  <c r="P496" i="2"/>
  <c r="T495" i="2"/>
  <c r="E495" i="2"/>
  <c r="H494" i="2"/>
  <c r="K493" i="2"/>
  <c r="P492" i="2"/>
  <c r="A492" i="2"/>
  <c r="H491" i="2"/>
  <c r="O490" i="2"/>
  <c r="A490" i="2"/>
  <c r="H489" i="2"/>
  <c r="O488" i="2"/>
  <c r="A488" i="2"/>
  <c r="H487" i="2"/>
  <c r="O486" i="2"/>
  <c r="A486" i="2"/>
  <c r="H485" i="2"/>
  <c r="O484" i="2"/>
  <c r="A484" i="2"/>
  <c r="H483" i="2"/>
  <c r="O482" i="2"/>
  <c r="A482" i="2"/>
  <c r="H481" i="2"/>
  <c r="O480" i="2"/>
  <c r="A480" i="2"/>
  <c r="H479" i="2"/>
  <c r="O478" i="2"/>
  <c r="A478" i="2"/>
  <c r="H477" i="2"/>
  <c r="O476" i="2"/>
  <c r="A476" i="2"/>
  <c r="H475" i="2"/>
  <c r="O474" i="2"/>
  <c r="A474" i="2"/>
  <c r="H473" i="2"/>
  <c r="O472" i="2"/>
  <c r="A472" i="2"/>
  <c r="H471" i="2"/>
  <c r="O470" i="2"/>
  <c r="A470" i="2"/>
  <c r="H469" i="2"/>
  <c r="O468" i="2"/>
  <c r="A468" i="2"/>
  <c r="H467" i="2"/>
  <c r="O466" i="2"/>
  <c r="A466" i="2"/>
  <c r="H465" i="2"/>
  <c r="O464" i="2"/>
  <c r="A464" i="2"/>
  <c r="H463" i="2"/>
  <c r="O462" i="2"/>
  <c r="A462" i="2"/>
  <c r="H461" i="2"/>
  <c r="O460" i="2"/>
  <c r="A460" i="2"/>
  <c r="H459" i="2"/>
  <c r="O458" i="2"/>
  <c r="A458" i="2"/>
  <c r="H457" i="2"/>
  <c r="O456" i="2"/>
  <c r="A456" i="2"/>
  <c r="H455" i="2"/>
  <c r="O454" i="2"/>
  <c r="A454" i="2"/>
  <c r="H453" i="2"/>
  <c r="O452" i="2"/>
  <c r="A452" i="2"/>
  <c r="H451" i="2"/>
  <c r="O450" i="2"/>
  <c r="A450" i="2"/>
  <c r="H449" i="2"/>
  <c r="O448" i="2"/>
  <c r="A448" i="2"/>
  <c r="H447" i="2"/>
  <c r="O446" i="2"/>
  <c r="A446" i="2"/>
  <c r="H445" i="2"/>
  <c r="O444" i="2"/>
  <c r="A444" i="2"/>
  <c r="H443" i="2"/>
  <c r="O442" i="2"/>
  <c r="A442" i="2"/>
  <c r="H441" i="2"/>
  <c r="O440" i="2"/>
  <c r="A440" i="2"/>
  <c r="H439" i="2"/>
  <c r="O438" i="2"/>
  <c r="A438" i="2"/>
  <c r="H437" i="2"/>
  <c r="O436" i="2"/>
  <c r="A436" i="2"/>
  <c r="H435" i="2"/>
  <c r="O434" i="2"/>
  <c r="A434" i="2"/>
  <c r="H433" i="2"/>
  <c r="O432" i="2"/>
  <c r="A432" i="2"/>
  <c r="H431" i="2"/>
  <c r="O430" i="2"/>
  <c r="A430" i="2"/>
  <c r="H429" i="2"/>
  <c r="O428" i="2"/>
  <c r="A428" i="2"/>
  <c r="H427" i="2"/>
  <c r="O426" i="2"/>
  <c r="A426" i="2"/>
  <c r="H425" i="2"/>
  <c r="O424" i="2"/>
  <c r="A424" i="2"/>
  <c r="H423" i="2"/>
  <c r="O422" i="2"/>
  <c r="A422" i="2"/>
  <c r="H421" i="2"/>
  <c r="O420" i="2"/>
  <c r="A420" i="2"/>
  <c r="H419" i="2"/>
  <c r="O418" i="2"/>
  <c r="A418" i="2"/>
  <c r="H417" i="2"/>
  <c r="O416" i="2"/>
  <c r="A416" i="2"/>
  <c r="H415" i="2"/>
  <c r="O414" i="2"/>
  <c r="A414" i="2"/>
  <c r="H413" i="2"/>
  <c r="O412" i="2"/>
  <c r="A412" i="2"/>
  <c r="H411" i="2"/>
  <c r="O410" i="2"/>
  <c r="A410" i="2"/>
  <c r="H409" i="2"/>
  <c r="O408" i="2"/>
  <c r="A408" i="2"/>
  <c r="H407" i="2"/>
  <c r="O406" i="2"/>
  <c r="A406" i="2"/>
  <c r="H405" i="2"/>
  <c r="O404" i="2"/>
  <c r="A404" i="2"/>
  <c r="H403" i="2"/>
  <c r="O402" i="2"/>
  <c r="A402" i="2"/>
  <c r="H401" i="2"/>
  <c r="O400" i="2"/>
  <c r="A400" i="2"/>
  <c r="H399" i="2"/>
  <c r="O398" i="2"/>
  <c r="A398" i="2"/>
  <c r="H397" i="2"/>
  <c r="O396" i="2"/>
  <c r="A396" i="2"/>
  <c r="H395" i="2"/>
  <c r="O394" i="2"/>
  <c r="A394" i="2"/>
  <c r="H393" i="2"/>
  <c r="O392" i="2"/>
  <c r="A392" i="2"/>
  <c r="H391" i="2"/>
  <c r="M837" i="2"/>
  <c r="R717" i="2"/>
  <c r="D685" i="2"/>
  <c r="F671" i="2"/>
  <c r="F659" i="2"/>
  <c r="A651" i="2"/>
  <c r="O643" i="2"/>
  <c r="H637" i="2"/>
  <c r="N626" i="2"/>
  <c r="T621" i="2"/>
  <c r="N617" i="2"/>
  <c r="F613" i="2"/>
  <c r="E609" i="2"/>
  <c r="E605" i="2"/>
  <c r="E601" i="2"/>
  <c r="E597" i="2"/>
  <c r="E593" i="2"/>
  <c r="E589" i="2"/>
  <c r="E585" i="2"/>
  <c r="E581" i="2"/>
  <c r="E577" i="2"/>
  <c r="E573" i="2"/>
  <c r="E569" i="2"/>
  <c r="E565" i="2"/>
  <c r="E561" i="2"/>
  <c r="E557" i="2"/>
  <c r="E553" i="2"/>
  <c r="F549" i="2"/>
  <c r="E547" i="2"/>
  <c r="E545" i="2"/>
  <c r="E543" i="2"/>
  <c r="E541" i="2"/>
  <c r="E539" i="2"/>
  <c r="E537" i="2"/>
  <c r="E535" i="2"/>
  <c r="E533" i="2"/>
  <c r="G531" i="2"/>
  <c r="R529" i="2"/>
  <c r="C528" i="2"/>
  <c r="M526" i="2"/>
  <c r="T524" i="2"/>
  <c r="G523" i="2"/>
  <c r="R521" i="2"/>
  <c r="C520" i="2"/>
  <c r="N518" i="2"/>
  <c r="K517" i="2"/>
  <c r="H516" i="2"/>
  <c r="H515" i="2"/>
  <c r="H514" i="2"/>
  <c r="H513" i="2"/>
  <c r="H512" i="2"/>
  <c r="H511" i="2"/>
  <c r="H510" i="2"/>
  <c r="H509" i="2"/>
  <c r="H508" i="2"/>
  <c r="H507" i="2"/>
  <c r="H506" i="2"/>
  <c r="J505" i="2"/>
  <c r="O504" i="2"/>
  <c r="S503" i="2"/>
  <c r="D503" i="2"/>
  <c r="G502" i="2"/>
  <c r="J501" i="2"/>
  <c r="O500" i="2"/>
  <c r="S499" i="2"/>
  <c r="D499" i="2"/>
  <c r="G498" i="2"/>
  <c r="J497" i="2"/>
  <c r="O496" i="2"/>
  <c r="S495" i="2"/>
  <c r="D495" i="2"/>
  <c r="G494" i="2"/>
  <c r="J493" i="2"/>
  <c r="O492" i="2"/>
  <c r="T491" i="2"/>
  <c r="G491" i="2"/>
  <c r="N490" i="2"/>
  <c r="T489" i="2"/>
  <c r="G489" i="2"/>
  <c r="N488" i="2"/>
  <c r="T487" i="2"/>
  <c r="G487" i="2"/>
  <c r="N486" i="2"/>
  <c r="T485" i="2"/>
  <c r="G485" i="2"/>
  <c r="N484" i="2"/>
  <c r="T483" i="2"/>
  <c r="G483" i="2"/>
  <c r="N482" i="2"/>
  <c r="T481" i="2"/>
  <c r="G481" i="2"/>
  <c r="N480" i="2"/>
  <c r="T479" i="2"/>
  <c r="G479" i="2"/>
  <c r="N478" i="2"/>
  <c r="T477" i="2"/>
  <c r="G477" i="2"/>
  <c r="N476" i="2"/>
  <c r="T475" i="2"/>
  <c r="G475" i="2"/>
  <c r="N474" i="2"/>
  <c r="T473" i="2"/>
  <c r="G473" i="2"/>
  <c r="N472" i="2"/>
  <c r="T471" i="2"/>
  <c r="G471" i="2"/>
  <c r="N470" i="2"/>
  <c r="T469" i="2"/>
  <c r="G469" i="2"/>
  <c r="N468" i="2"/>
  <c r="T467" i="2"/>
  <c r="G467" i="2"/>
  <c r="N466" i="2"/>
  <c r="T465" i="2"/>
  <c r="G465" i="2"/>
  <c r="N464" i="2"/>
  <c r="T463" i="2"/>
  <c r="G463" i="2"/>
  <c r="N462" i="2"/>
  <c r="T461" i="2"/>
  <c r="G461" i="2"/>
  <c r="N460" i="2"/>
  <c r="T459" i="2"/>
  <c r="G459" i="2"/>
  <c r="N458" i="2"/>
  <c r="T457" i="2"/>
  <c r="G457" i="2"/>
  <c r="N456" i="2"/>
  <c r="T455" i="2"/>
  <c r="G455" i="2"/>
  <c r="N454" i="2"/>
  <c r="T453" i="2"/>
  <c r="G453" i="2"/>
  <c r="N452" i="2"/>
  <c r="T451" i="2"/>
  <c r="G451" i="2"/>
  <c r="N450" i="2"/>
  <c r="T449" i="2"/>
  <c r="G449" i="2"/>
  <c r="N448" i="2"/>
  <c r="T447" i="2"/>
  <c r="G447" i="2"/>
  <c r="N446" i="2"/>
  <c r="T445" i="2"/>
  <c r="G445" i="2"/>
  <c r="N444" i="2"/>
  <c r="T443" i="2"/>
  <c r="G443" i="2"/>
  <c r="N442" i="2"/>
  <c r="T441" i="2"/>
  <c r="G441" i="2"/>
  <c r="N440" i="2"/>
  <c r="T439" i="2"/>
  <c r="G439" i="2"/>
  <c r="N438" i="2"/>
  <c r="T437" i="2"/>
  <c r="G437" i="2"/>
  <c r="N436" i="2"/>
  <c r="T435" i="2"/>
  <c r="G435" i="2"/>
  <c r="N434" i="2"/>
  <c r="T433" i="2"/>
  <c r="G433" i="2"/>
  <c r="N432" i="2"/>
  <c r="T431" i="2"/>
  <c r="G431" i="2"/>
  <c r="N430" i="2"/>
  <c r="T429" i="2"/>
  <c r="G429" i="2"/>
  <c r="N428" i="2"/>
  <c r="T427" i="2"/>
  <c r="G427" i="2"/>
  <c r="N426" i="2"/>
  <c r="T425" i="2"/>
  <c r="G425" i="2"/>
  <c r="N424" i="2"/>
  <c r="T423" i="2"/>
  <c r="G423" i="2"/>
  <c r="N422" i="2"/>
  <c r="T421" i="2"/>
  <c r="G421" i="2"/>
  <c r="N420" i="2"/>
  <c r="T419" i="2"/>
  <c r="G419" i="2"/>
  <c r="N418" i="2"/>
  <c r="T417" i="2"/>
  <c r="G417" i="2"/>
  <c r="N416" i="2"/>
  <c r="T415" i="2"/>
  <c r="G415" i="2"/>
  <c r="N414" i="2"/>
  <c r="T413" i="2"/>
  <c r="G413" i="2"/>
  <c r="N412" i="2"/>
  <c r="T411" i="2"/>
  <c r="G411" i="2"/>
  <c r="N410" i="2"/>
  <c r="T409" i="2"/>
  <c r="G409" i="2"/>
  <c r="N408" i="2"/>
  <c r="T407" i="2"/>
  <c r="G407" i="2"/>
  <c r="N406" i="2"/>
  <c r="T405" i="2"/>
  <c r="G405" i="2"/>
  <c r="N404" i="2"/>
  <c r="T403" i="2"/>
  <c r="G403" i="2"/>
  <c r="N402" i="2"/>
  <c r="T401" i="2"/>
  <c r="G401" i="2"/>
  <c r="N400" i="2"/>
  <c r="P801" i="2"/>
  <c r="R705" i="2"/>
  <c r="T682" i="2"/>
  <c r="R657" i="2"/>
  <c r="R649" i="2"/>
  <c r="N642" i="2"/>
  <c r="K636" i="2"/>
  <c r="O630" i="2"/>
  <c r="S625" i="2"/>
  <c r="G621" i="2"/>
  <c r="T616" i="2"/>
  <c r="M612" i="2"/>
  <c r="M608" i="2"/>
  <c r="M604" i="2"/>
  <c r="M600" i="2"/>
  <c r="M596" i="2"/>
  <c r="M592" i="2"/>
  <c r="M588" i="2"/>
  <c r="M584" i="2"/>
  <c r="M580" i="2"/>
  <c r="M576" i="2"/>
  <c r="M572" i="2"/>
  <c r="M568" i="2"/>
  <c r="M564" i="2"/>
  <c r="M560" i="2"/>
  <c r="M556" i="2"/>
  <c r="M552" i="2"/>
  <c r="E549" i="2"/>
  <c r="T546" i="2"/>
  <c r="T544" i="2"/>
  <c r="T542" i="2"/>
  <c r="T540" i="2"/>
  <c r="T538" i="2"/>
  <c r="T536" i="2"/>
  <c r="T534" i="2"/>
  <c r="T532" i="2"/>
  <c r="F531" i="2"/>
  <c r="N529" i="2"/>
  <c r="T527" i="2"/>
  <c r="K526" i="2"/>
  <c r="P524" i="2"/>
  <c r="F523" i="2"/>
  <c r="N521" i="2"/>
  <c r="T519" i="2"/>
  <c r="M518" i="2"/>
  <c r="G516" i="2"/>
  <c r="G515" i="2"/>
  <c r="G514" i="2"/>
  <c r="G513" i="2"/>
  <c r="G512" i="2"/>
  <c r="G511" i="2"/>
  <c r="G510" i="2"/>
  <c r="G509" i="2"/>
  <c r="G508" i="2"/>
  <c r="G507" i="2"/>
  <c r="G506" i="2"/>
  <c r="N504" i="2"/>
  <c r="R503" i="2"/>
  <c r="A503" i="2"/>
  <c r="E502" i="2"/>
  <c r="N500" i="2"/>
  <c r="R499" i="2"/>
  <c r="A499" i="2"/>
  <c r="E498" i="2"/>
  <c r="N496" i="2"/>
  <c r="R495" i="2"/>
  <c r="A495" i="2"/>
  <c r="E494" i="2"/>
  <c r="N492" i="2"/>
  <c r="S491" i="2"/>
  <c r="F491" i="2"/>
  <c r="M490" i="2"/>
  <c r="S489" i="2"/>
  <c r="F489" i="2"/>
  <c r="M488" i="2"/>
  <c r="S487" i="2"/>
  <c r="F487" i="2"/>
  <c r="M486" i="2"/>
  <c r="S485" i="2"/>
  <c r="F485" i="2"/>
  <c r="M484" i="2"/>
  <c r="S483" i="2"/>
  <c r="F483" i="2"/>
  <c r="M482" i="2"/>
  <c r="S481" i="2"/>
  <c r="F481" i="2"/>
  <c r="M480" i="2"/>
  <c r="S479" i="2"/>
  <c r="F479" i="2"/>
  <c r="M478" i="2"/>
  <c r="S477" i="2"/>
  <c r="F477" i="2"/>
  <c r="M476" i="2"/>
  <c r="S475" i="2"/>
  <c r="F475" i="2"/>
  <c r="M474" i="2"/>
  <c r="S473" i="2"/>
  <c r="F473" i="2"/>
  <c r="M472" i="2"/>
  <c r="S471" i="2"/>
  <c r="F471" i="2"/>
  <c r="M470" i="2"/>
  <c r="S469" i="2"/>
  <c r="F469" i="2"/>
  <c r="M468" i="2"/>
  <c r="S467" i="2"/>
  <c r="F467" i="2"/>
  <c r="M466" i="2"/>
  <c r="S465" i="2"/>
  <c r="F465" i="2"/>
  <c r="M464" i="2"/>
  <c r="S463" i="2"/>
  <c r="F463" i="2"/>
  <c r="M462" i="2"/>
  <c r="S461" i="2"/>
  <c r="F461" i="2"/>
  <c r="M460" i="2"/>
  <c r="S459" i="2"/>
  <c r="F459" i="2"/>
  <c r="M458" i="2"/>
  <c r="S457" i="2"/>
  <c r="F457" i="2"/>
  <c r="M456" i="2"/>
  <c r="S455" i="2"/>
  <c r="F455" i="2"/>
  <c r="M454" i="2"/>
  <c r="S453" i="2"/>
  <c r="F453" i="2"/>
  <c r="M452" i="2"/>
  <c r="S451" i="2"/>
  <c r="F451" i="2"/>
  <c r="M450" i="2"/>
  <c r="S449" i="2"/>
  <c r="F449" i="2"/>
  <c r="M448" i="2"/>
  <c r="S447" i="2"/>
  <c r="F447" i="2"/>
  <c r="M446" i="2"/>
  <c r="S445" i="2"/>
  <c r="F445" i="2"/>
  <c r="M444" i="2"/>
  <c r="S443" i="2"/>
  <c r="F443" i="2"/>
  <c r="M442" i="2"/>
  <c r="S441" i="2"/>
  <c r="F441" i="2"/>
  <c r="M440" i="2"/>
  <c r="S439" i="2"/>
  <c r="F439" i="2"/>
  <c r="M438" i="2"/>
  <c r="S437" i="2"/>
  <c r="F437" i="2"/>
  <c r="M436" i="2"/>
  <c r="S435" i="2"/>
  <c r="F435" i="2"/>
  <c r="M434" i="2"/>
  <c r="S433" i="2"/>
  <c r="F433" i="2"/>
  <c r="M432" i="2"/>
  <c r="S431" i="2"/>
  <c r="F431" i="2"/>
  <c r="M430" i="2"/>
  <c r="S429" i="2"/>
  <c r="F429" i="2"/>
  <c r="M428" i="2"/>
  <c r="S427" i="2"/>
  <c r="F427" i="2"/>
  <c r="M426" i="2"/>
  <c r="S425" i="2"/>
  <c r="F425" i="2"/>
  <c r="M424" i="2"/>
  <c r="S423" i="2"/>
  <c r="F423" i="2"/>
  <c r="M422" i="2"/>
  <c r="S421" i="2"/>
  <c r="F421" i="2"/>
  <c r="M420" i="2"/>
  <c r="S419" i="2"/>
  <c r="F419" i="2"/>
  <c r="M418" i="2"/>
  <c r="S417" i="2"/>
  <c r="F417" i="2"/>
  <c r="M416" i="2"/>
  <c r="S415" i="2"/>
  <c r="F415" i="2"/>
  <c r="M414" i="2"/>
  <c r="S413" i="2"/>
  <c r="F413" i="2"/>
  <c r="M412" i="2"/>
  <c r="S411" i="2"/>
  <c r="F411" i="2"/>
  <c r="M410" i="2"/>
  <c r="S409" i="2"/>
  <c r="F409" i="2"/>
  <c r="M408" i="2"/>
  <c r="S407" i="2"/>
  <c r="F407" i="2"/>
  <c r="M406" i="2"/>
  <c r="S405" i="2"/>
  <c r="F405" i="2"/>
  <c r="M404" i="2"/>
  <c r="S403" i="2"/>
  <c r="F403" i="2"/>
  <c r="M402" i="2"/>
  <c r="S401" i="2"/>
  <c r="F401" i="2"/>
  <c r="M400" i="2"/>
  <c r="S399" i="2"/>
  <c r="F399" i="2"/>
  <c r="M398" i="2"/>
  <c r="S397" i="2"/>
  <c r="F397" i="2"/>
  <c r="M396" i="2"/>
  <c r="S395" i="2"/>
  <c r="F395" i="2"/>
  <c r="M394" i="2"/>
  <c r="S393" i="2"/>
  <c r="F393" i="2"/>
  <c r="M392" i="2"/>
  <c r="S391" i="2"/>
  <c r="F391" i="2"/>
  <c r="M390" i="2"/>
  <c r="S389" i="2"/>
  <c r="F389" i="2"/>
  <c r="M388" i="2"/>
  <c r="S387" i="2"/>
  <c r="F387" i="2"/>
  <c r="M386" i="2"/>
  <c r="S385" i="2"/>
  <c r="F385" i="2"/>
  <c r="M384" i="2"/>
  <c r="S383" i="2"/>
  <c r="F383" i="2"/>
  <c r="M382" i="2"/>
  <c r="S381" i="2"/>
  <c r="F381" i="2"/>
  <c r="M380" i="2"/>
  <c r="S379" i="2"/>
  <c r="F379" i="2"/>
  <c r="M378" i="2"/>
  <c r="S377" i="2"/>
  <c r="F377" i="2"/>
  <c r="M376" i="2"/>
  <c r="S375" i="2"/>
  <c r="F375" i="2"/>
  <c r="M374" i="2"/>
  <c r="S373" i="2"/>
  <c r="F373" i="2"/>
  <c r="M372" i="2"/>
  <c r="T800" i="2"/>
  <c r="Q705" i="2"/>
  <c r="P682" i="2"/>
  <c r="F669" i="2"/>
  <c r="O657" i="2"/>
  <c r="O649" i="2"/>
  <c r="M642" i="2"/>
  <c r="H636" i="2"/>
  <c r="N630" i="2"/>
  <c r="R625" i="2"/>
  <c r="F621" i="2"/>
  <c r="R616" i="2"/>
  <c r="K612" i="2"/>
  <c r="K608" i="2"/>
  <c r="K604" i="2"/>
  <c r="K600" i="2"/>
  <c r="K596" i="2"/>
  <c r="K592" i="2"/>
  <c r="K588" i="2"/>
  <c r="K584" i="2"/>
  <c r="K580" i="2"/>
  <c r="K576" i="2"/>
  <c r="K572" i="2"/>
  <c r="K568" i="2"/>
  <c r="K564" i="2"/>
  <c r="K560" i="2"/>
  <c r="K556" i="2"/>
  <c r="K552" i="2"/>
  <c r="P548" i="2"/>
  <c r="P546" i="2"/>
  <c r="P544" i="2"/>
  <c r="P542" i="2"/>
  <c r="P540" i="2"/>
  <c r="P538" i="2"/>
  <c r="P536" i="2"/>
  <c r="P534" i="2"/>
  <c r="P532" i="2"/>
  <c r="E531" i="2"/>
  <c r="S527" i="2"/>
  <c r="G526" i="2"/>
  <c r="N524" i="2"/>
  <c r="E523" i="2"/>
  <c r="S519" i="2"/>
  <c r="K518" i="2"/>
  <c r="G517" i="2"/>
  <c r="E516" i="2"/>
  <c r="F515" i="2"/>
  <c r="E514" i="2"/>
  <c r="F513" i="2"/>
  <c r="E512" i="2"/>
  <c r="F511" i="2"/>
  <c r="E510" i="2"/>
  <c r="F509" i="2"/>
  <c r="E508" i="2"/>
  <c r="F507" i="2"/>
  <c r="E506" i="2"/>
  <c r="H505" i="2"/>
  <c r="M504" i="2"/>
  <c r="Q503" i="2"/>
  <c r="T502" i="2"/>
  <c r="D502" i="2"/>
  <c r="H501" i="2"/>
  <c r="M500" i="2"/>
  <c r="Q499" i="2"/>
  <c r="T498" i="2"/>
  <c r="D498" i="2"/>
  <c r="H497" i="2"/>
  <c r="M496" i="2"/>
  <c r="Q495" i="2"/>
  <c r="T494" i="2"/>
  <c r="D494" i="2"/>
  <c r="H493" i="2"/>
  <c r="M492" i="2"/>
  <c r="R491" i="2"/>
  <c r="E491" i="2"/>
  <c r="K490" i="2"/>
  <c r="R489" i="2"/>
  <c r="E489" i="2"/>
  <c r="K488" i="2"/>
  <c r="R487" i="2"/>
  <c r="E487" i="2"/>
  <c r="K486" i="2"/>
  <c r="R485" i="2"/>
  <c r="E485" i="2"/>
  <c r="K484" i="2"/>
  <c r="R483" i="2"/>
  <c r="E483" i="2"/>
  <c r="K482" i="2"/>
  <c r="R481" i="2"/>
  <c r="E481" i="2"/>
  <c r="K480" i="2"/>
  <c r="R479" i="2"/>
  <c r="E479" i="2"/>
  <c r="K478" i="2"/>
  <c r="R477" i="2"/>
  <c r="E477" i="2"/>
  <c r="K476" i="2"/>
  <c r="R475" i="2"/>
  <c r="E475" i="2"/>
  <c r="K474" i="2"/>
  <c r="R473" i="2"/>
  <c r="E473" i="2"/>
  <c r="K472" i="2"/>
  <c r="R471" i="2"/>
  <c r="E471" i="2"/>
  <c r="K470" i="2"/>
  <c r="R469" i="2"/>
  <c r="E469" i="2"/>
  <c r="K468" i="2"/>
  <c r="R467" i="2"/>
  <c r="E467" i="2"/>
  <c r="K466" i="2"/>
  <c r="R465" i="2"/>
  <c r="E465" i="2"/>
  <c r="K464" i="2"/>
  <c r="R463" i="2"/>
  <c r="E463" i="2"/>
  <c r="K462" i="2"/>
  <c r="R461" i="2"/>
  <c r="E461" i="2"/>
  <c r="K460" i="2"/>
  <c r="R459" i="2"/>
  <c r="E459" i="2"/>
  <c r="K458" i="2"/>
  <c r="R457" i="2"/>
  <c r="E457" i="2"/>
  <c r="K456" i="2"/>
  <c r="R455" i="2"/>
  <c r="E455" i="2"/>
  <c r="K454" i="2"/>
  <c r="R453" i="2"/>
  <c r="E453" i="2"/>
  <c r="K452" i="2"/>
  <c r="R451" i="2"/>
  <c r="E451" i="2"/>
  <c r="K450" i="2"/>
  <c r="R449" i="2"/>
  <c r="E449" i="2"/>
  <c r="K448" i="2"/>
  <c r="R447" i="2"/>
  <c r="E447" i="2"/>
  <c r="K446" i="2"/>
  <c r="R445" i="2"/>
  <c r="E445" i="2"/>
  <c r="K444" i="2"/>
  <c r="R443" i="2"/>
  <c r="E443" i="2"/>
  <c r="K442" i="2"/>
  <c r="R441" i="2"/>
  <c r="E441" i="2"/>
  <c r="K440" i="2"/>
  <c r="R439" i="2"/>
  <c r="E439" i="2"/>
  <c r="K438" i="2"/>
  <c r="R437" i="2"/>
  <c r="E437" i="2"/>
  <c r="K436" i="2"/>
  <c r="R435" i="2"/>
  <c r="E435" i="2"/>
  <c r="K434" i="2"/>
  <c r="R433" i="2"/>
  <c r="E433" i="2"/>
  <c r="K432" i="2"/>
  <c r="R431" i="2"/>
  <c r="E431" i="2"/>
  <c r="K430" i="2"/>
  <c r="R429" i="2"/>
  <c r="E429" i="2"/>
  <c r="K428" i="2"/>
  <c r="R427" i="2"/>
  <c r="E427" i="2"/>
  <c r="K426" i="2"/>
  <c r="R425" i="2"/>
  <c r="E425" i="2"/>
  <c r="K424" i="2"/>
  <c r="R423" i="2"/>
  <c r="E423" i="2"/>
  <c r="K422" i="2"/>
  <c r="R421" i="2"/>
  <c r="E421" i="2"/>
  <c r="K420" i="2"/>
  <c r="R419" i="2"/>
  <c r="E419" i="2"/>
  <c r="K418" i="2"/>
  <c r="R417" i="2"/>
  <c r="E417" i="2"/>
  <c r="K416" i="2"/>
  <c r="R415" i="2"/>
  <c r="E415" i="2"/>
  <c r="K414" i="2"/>
  <c r="R413" i="2"/>
  <c r="E413" i="2"/>
  <c r="K412" i="2"/>
  <c r="R411" i="2"/>
  <c r="E411" i="2"/>
  <c r="K410" i="2"/>
  <c r="R409" i="2"/>
  <c r="E409" i="2"/>
  <c r="K408" i="2"/>
  <c r="R407" i="2"/>
  <c r="E407" i="2"/>
  <c r="K406" i="2"/>
  <c r="E697" i="2"/>
  <c r="K680" i="2"/>
  <c r="K656" i="2"/>
  <c r="K648" i="2"/>
  <c r="S629" i="2"/>
  <c r="D625" i="2"/>
  <c r="M620" i="2"/>
  <c r="E616" i="2"/>
  <c r="S611" i="2"/>
  <c r="S607" i="2"/>
  <c r="S603" i="2"/>
  <c r="S599" i="2"/>
  <c r="S595" i="2"/>
  <c r="S591" i="2"/>
  <c r="S587" i="2"/>
  <c r="S583" i="2"/>
  <c r="S579" i="2"/>
  <c r="S575" i="2"/>
  <c r="S571" i="2"/>
  <c r="S567" i="2"/>
  <c r="S563" i="2"/>
  <c r="S559" i="2"/>
  <c r="S555" i="2"/>
  <c r="S551" i="2"/>
  <c r="M548" i="2"/>
  <c r="M546" i="2"/>
  <c r="M544" i="2"/>
  <c r="M542" i="2"/>
  <c r="M540" i="2"/>
  <c r="M538" i="2"/>
  <c r="M536" i="2"/>
  <c r="M534" i="2"/>
  <c r="M532" i="2"/>
  <c r="T530" i="2"/>
  <c r="G529" i="2"/>
  <c r="R527" i="2"/>
  <c r="C526" i="2"/>
  <c r="M524" i="2"/>
  <c r="T522" i="2"/>
  <c r="G521" i="2"/>
  <c r="R519" i="2"/>
  <c r="H518" i="2"/>
  <c r="F517" i="2"/>
  <c r="C516" i="2"/>
  <c r="E515" i="2"/>
  <c r="C514" i="2"/>
  <c r="E513" i="2"/>
  <c r="C512" i="2"/>
  <c r="E511" i="2"/>
  <c r="C510" i="2"/>
  <c r="E509" i="2"/>
  <c r="C508" i="2"/>
  <c r="E507" i="2"/>
  <c r="C506" i="2"/>
  <c r="G505" i="2"/>
  <c r="K504" i="2"/>
  <c r="O503" i="2"/>
  <c r="R502" i="2"/>
  <c r="C502" i="2"/>
  <c r="G501" i="2"/>
  <c r="K500" i="2"/>
  <c r="O499" i="2"/>
  <c r="R498" i="2"/>
  <c r="C498" i="2"/>
  <c r="G497" i="2"/>
  <c r="K496" i="2"/>
  <c r="O495" i="2"/>
  <c r="R494" i="2"/>
  <c r="C494" i="2"/>
  <c r="G493" i="2"/>
  <c r="K492" i="2"/>
  <c r="Q491" i="2"/>
  <c r="D491" i="2"/>
  <c r="J490" i="2"/>
  <c r="Q489" i="2"/>
  <c r="D489" i="2"/>
  <c r="J488" i="2"/>
  <c r="Q487" i="2"/>
  <c r="D487" i="2"/>
  <c r="J486" i="2"/>
  <c r="Q485" i="2"/>
  <c r="D485" i="2"/>
  <c r="J484" i="2"/>
  <c r="Q483" i="2"/>
  <c r="D483" i="2"/>
  <c r="J482" i="2"/>
  <c r="Q481" i="2"/>
  <c r="D481" i="2"/>
  <c r="J480" i="2"/>
  <c r="Q479" i="2"/>
  <c r="D479" i="2"/>
  <c r="J478" i="2"/>
  <c r="Q477" i="2"/>
  <c r="D477" i="2"/>
  <c r="J476" i="2"/>
  <c r="Q475" i="2"/>
  <c r="D475" i="2"/>
  <c r="J474" i="2"/>
  <c r="Q473" i="2"/>
  <c r="D473" i="2"/>
  <c r="J472" i="2"/>
  <c r="Q471" i="2"/>
  <c r="D471" i="2"/>
  <c r="J470" i="2"/>
  <c r="Q469" i="2"/>
  <c r="D469" i="2"/>
  <c r="J468" i="2"/>
  <c r="Q467" i="2"/>
  <c r="D467" i="2"/>
  <c r="J466" i="2"/>
  <c r="Q465" i="2"/>
  <c r="D465" i="2"/>
  <c r="J464" i="2"/>
  <c r="Q463" i="2"/>
  <c r="D463" i="2"/>
  <c r="J462" i="2"/>
  <c r="Q461" i="2"/>
  <c r="D461" i="2"/>
  <c r="J460" i="2"/>
  <c r="Q459" i="2"/>
  <c r="D459" i="2"/>
  <c r="J458" i="2"/>
  <c r="Q457" i="2"/>
  <c r="D457" i="2"/>
  <c r="J456" i="2"/>
  <c r="Q455" i="2"/>
  <c r="D455" i="2"/>
  <c r="J454" i="2"/>
  <c r="Q453" i="2"/>
  <c r="D453" i="2"/>
  <c r="J452" i="2"/>
  <c r="Q451" i="2"/>
  <c r="D451" i="2"/>
  <c r="J450" i="2"/>
  <c r="Q449" i="2"/>
  <c r="D449" i="2"/>
  <c r="J448" i="2"/>
  <c r="Q447" i="2"/>
  <c r="D447" i="2"/>
  <c r="J446" i="2"/>
  <c r="Q445" i="2"/>
  <c r="D445" i="2"/>
  <c r="J444" i="2"/>
  <c r="Q443" i="2"/>
  <c r="D443" i="2"/>
  <c r="J442" i="2"/>
  <c r="Q441" i="2"/>
  <c r="D441" i="2"/>
  <c r="J440" i="2"/>
  <c r="Q439" i="2"/>
  <c r="D439" i="2"/>
  <c r="J438" i="2"/>
  <c r="Q437" i="2"/>
  <c r="D437" i="2"/>
  <c r="J436" i="2"/>
  <c r="Q435" i="2"/>
  <c r="D435" i="2"/>
  <c r="J434" i="2"/>
  <c r="Q433" i="2"/>
  <c r="D433" i="2"/>
  <c r="J432" i="2"/>
  <c r="Q431" i="2"/>
  <c r="D431" i="2"/>
  <c r="J430" i="2"/>
  <c r="Q429" i="2"/>
  <c r="D429" i="2"/>
  <c r="J428" i="2"/>
  <c r="Q427" i="2"/>
  <c r="D427" i="2"/>
  <c r="J426" i="2"/>
  <c r="Q425" i="2"/>
  <c r="D425" i="2"/>
  <c r="J424" i="2"/>
  <c r="Q423" i="2"/>
  <c r="D423" i="2"/>
  <c r="J422" i="2"/>
  <c r="Q421" i="2"/>
  <c r="D421" i="2"/>
  <c r="J420" i="2"/>
  <c r="Q419" i="2"/>
  <c r="D419" i="2"/>
  <c r="J418" i="2"/>
  <c r="Q417" i="2"/>
  <c r="D417" i="2"/>
  <c r="J416" i="2"/>
  <c r="Q415" i="2"/>
  <c r="D415" i="2"/>
  <c r="J414" i="2"/>
  <c r="Q413" i="2"/>
  <c r="D413" i="2"/>
  <c r="J412" i="2"/>
  <c r="Q411" i="2"/>
  <c r="D411" i="2"/>
  <c r="J410" i="2"/>
  <c r="Q409" i="2"/>
  <c r="D409" i="2"/>
  <c r="J408" i="2"/>
  <c r="Q407" i="2"/>
  <c r="D407" i="2"/>
  <c r="J406" i="2"/>
  <c r="Q405" i="2"/>
  <c r="D405" i="2"/>
  <c r="J404" i="2"/>
  <c r="Q403" i="2"/>
  <c r="D403" i="2"/>
  <c r="R781" i="2"/>
  <c r="D697" i="2"/>
  <c r="H680" i="2"/>
  <c r="F667" i="2"/>
  <c r="H656" i="2"/>
  <c r="H648" i="2"/>
  <c r="H641" i="2"/>
  <c r="H635" i="2"/>
  <c r="R629" i="2"/>
  <c r="A625" i="2"/>
  <c r="K620" i="2"/>
  <c r="D616" i="2"/>
  <c r="R611" i="2"/>
  <c r="R607" i="2"/>
  <c r="R603" i="2"/>
  <c r="R599" i="2"/>
  <c r="R595" i="2"/>
  <c r="R591" i="2"/>
  <c r="R587" i="2"/>
  <c r="R583" i="2"/>
  <c r="R579" i="2"/>
  <c r="R575" i="2"/>
  <c r="R571" i="2"/>
  <c r="R567" i="2"/>
  <c r="R563" i="2"/>
  <c r="R559" i="2"/>
  <c r="R555" i="2"/>
  <c r="R551" i="2"/>
  <c r="K548" i="2"/>
  <c r="K546" i="2"/>
  <c r="K544" i="2"/>
  <c r="K542" i="2"/>
  <c r="K540" i="2"/>
  <c r="K538" i="2"/>
  <c r="K536" i="2"/>
  <c r="K534" i="2"/>
  <c r="K532" i="2"/>
  <c r="P530" i="2"/>
  <c r="F529" i="2"/>
  <c r="N527" i="2"/>
  <c r="T525" i="2"/>
  <c r="K524" i="2"/>
  <c r="P522" i="2"/>
  <c r="F521" i="2"/>
  <c r="N519" i="2"/>
  <c r="G518" i="2"/>
  <c r="E517" i="2"/>
  <c r="A516" i="2"/>
  <c r="A515" i="2"/>
  <c r="A514" i="2"/>
  <c r="A513" i="2"/>
  <c r="A512" i="2"/>
  <c r="A511" i="2"/>
  <c r="A510" i="2"/>
  <c r="A509" i="2"/>
  <c r="A508" i="2"/>
  <c r="A507" i="2"/>
  <c r="A506" i="2"/>
  <c r="F505" i="2"/>
  <c r="J504" i="2"/>
  <c r="N503" i="2"/>
  <c r="Q502" i="2"/>
  <c r="A502" i="2"/>
  <c r="F501" i="2"/>
  <c r="J500" i="2"/>
  <c r="N499" i="2"/>
  <c r="Q498" i="2"/>
  <c r="A498" i="2"/>
  <c r="F497" i="2"/>
  <c r="J496" i="2"/>
  <c r="N495" i="2"/>
  <c r="Q494" i="2"/>
  <c r="A494" i="2"/>
  <c r="F493" i="2"/>
  <c r="J492" i="2"/>
  <c r="P491" i="2"/>
  <c r="C491" i="2"/>
  <c r="P489" i="2"/>
  <c r="C489" i="2"/>
  <c r="P487" i="2"/>
  <c r="C487" i="2"/>
  <c r="P485" i="2"/>
  <c r="C485" i="2"/>
  <c r="P483" i="2"/>
  <c r="C483" i="2"/>
  <c r="P481" i="2"/>
  <c r="C481" i="2"/>
  <c r="P479" i="2"/>
  <c r="C479" i="2"/>
  <c r="P477" i="2"/>
  <c r="C477" i="2"/>
  <c r="P475" i="2"/>
  <c r="C475" i="2"/>
  <c r="P473" i="2"/>
  <c r="C473" i="2"/>
  <c r="P471" i="2"/>
  <c r="C471" i="2"/>
  <c r="P469" i="2"/>
  <c r="C469" i="2"/>
  <c r="P467" i="2"/>
  <c r="C467" i="2"/>
  <c r="P465" i="2"/>
  <c r="C465" i="2"/>
  <c r="P463" i="2"/>
  <c r="C463" i="2"/>
  <c r="P461" i="2"/>
  <c r="C461" i="2"/>
  <c r="P459" i="2"/>
  <c r="C459" i="2"/>
  <c r="P457" i="2"/>
  <c r="C457" i="2"/>
  <c r="P455" i="2"/>
  <c r="C455" i="2"/>
  <c r="P453" i="2"/>
  <c r="C453" i="2"/>
  <c r="P451" i="2"/>
  <c r="C451" i="2"/>
  <c r="P449" i="2"/>
  <c r="C449" i="2"/>
  <c r="P447" i="2"/>
  <c r="C447" i="2"/>
  <c r="P445" i="2"/>
  <c r="C445" i="2"/>
  <c r="P443" i="2"/>
  <c r="C443" i="2"/>
  <c r="P441" i="2"/>
  <c r="C441" i="2"/>
  <c r="P439" i="2"/>
  <c r="C439" i="2"/>
  <c r="P437" i="2"/>
  <c r="C437" i="2"/>
  <c r="P435" i="2"/>
  <c r="C435" i="2"/>
  <c r="P433" i="2"/>
  <c r="C433" i="2"/>
  <c r="P431" i="2"/>
  <c r="C431" i="2"/>
  <c r="P429" i="2"/>
  <c r="C429" i="2"/>
  <c r="P427" i="2"/>
  <c r="C427" i="2"/>
  <c r="P425" i="2"/>
  <c r="C425" i="2"/>
  <c r="P423" i="2"/>
  <c r="C423" i="2"/>
  <c r="P421" i="2"/>
  <c r="C421" i="2"/>
  <c r="P419" i="2"/>
  <c r="C419" i="2"/>
  <c r="P417" i="2"/>
  <c r="C417" i="2"/>
  <c r="P415" i="2"/>
  <c r="C415" i="2"/>
  <c r="P413" i="2"/>
  <c r="C413" i="2"/>
  <c r="P411" i="2"/>
  <c r="C411" i="2"/>
  <c r="P409" i="2"/>
  <c r="C409" i="2"/>
  <c r="P407" i="2"/>
  <c r="C407" i="2"/>
  <c r="P405" i="2"/>
  <c r="C405" i="2"/>
  <c r="P403" i="2"/>
  <c r="C403" i="2"/>
  <c r="P401" i="2"/>
  <c r="C401" i="2"/>
  <c r="P399" i="2"/>
  <c r="C399" i="2"/>
  <c r="P397" i="2"/>
  <c r="C397" i="2"/>
  <c r="P395" i="2"/>
  <c r="C395" i="2"/>
  <c r="P393" i="2"/>
  <c r="C393" i="2"/>
  <c r="P391" i="2"/>
  <c r="C391" i="2"/>
  <c r="P389" i="2"/>
  <c r="C389" i="2"/>
  <c r="P387" i="2"/>
  <c r="C387" i="2"/>
  <c r="P385" i="2"/>
  <c r="C385" i="2"/>
  <c r="P383" i="2"/>
  <c r="C383" i="2"/>
  <c r="P381" i="2"/>
  <c r="C381" i="2"/>
  <c r="P379" i="2"/>
  <c r="C379" i="2"/>
  <c r="P377" i="2"/>
  <c r="C377" i="2"/>
  <c r="P375" i="2"/>
  <c r="C375" i="2"/>
  <c r="P373" i="2"/>
  <c r="C373" i="2"/>
  <c r="D690" i="2"/>
  <c r="P675" i="2"/>
  <c r="R653" i="2"/>
  <c r="A646" i="2"/>
  <c r="G628" i="2"/>
  <c r="J623" i="2"/>
  <c r="D619" i="2"/>
  <c r="P614" i="2"/>
  <c r="M610" i="2"/>
  <c r="M606" i="2"/>
  <c r="M602" i="2"/>
  <c r="M598" i="2"/>
  <c r="M594" i="2"/>
  <c r="M590" i="2"/>
  <c r="M586" i="2"/>
  <c r="M582" i="2"/>
  <c r="M578" i="2"/>
  <c r="M574" i="2"/>
  <c r="M570" i="2"/>
  <c r="M566" i="2"/>
  <c r="M562" i="2"/>
  <c r="M558" i="2"/>
  <c r="M554" i="2"/>
  <c r="M550" i="2"/>
  <c r="S547" i="2"/>
  <c r="S545" i="2"/>
  <c r="S543" i="2"/>
  <c r="S541" i="2"/>
  <c r="S539" i="2"/>
  <c r="S537" i="2"/>
  <c r="S535" i="2"/>
  <c r="S533" i="2"/>
  <c r="T531" i="2"/>
  <c r="K530" i="2"/>
  <c r="P528" i="2"/>
  <c r="F527" i="2"/>
  <c r="N525" i="2"/>
  <c r="T523" i="2"/>
  <c r="K522" i="2"/>
  <c r="P520" i="2"/>
  <c r="F519" i="2"/>
  <c r="T517" i="2"/>
  <c r="R516" i="2"/>
  <c r="R515" i="2"/>
  <c r="P514" i="2"/>
  <c r="R513" i="2"/>
  <c r="P512" i="2"/>
  <c r="R511" i="2"/>
  <c r="P510" i="2"/>
  <c r="R509" i="2"/>
  <c r="P508" i="2"/>
  <c r="R507" i="2"/>
  <c r="P506" i="2"/>
  <c r="R505" i="2"/>
  <c r="A505" i="2"/>
  <c r="E504" i="2"/>
  <c r="N502" i="2"/>
  <c r="R501" i="2"/>
  <c r="A501" i="2"/>
  <c r="E500" i="2"/>
  <c r="N498" i="2"/>
  <c r="R497" i="2"/>
  <c r="A497" i="2"/>
  <c r="E496" i="2"/>
  <c r="N494" i="2"/>
  <c r="R493" i="2"/>
  <c r="A493" i="2"/>
  <c r="F492" i="2"/>
  <c r="M491" i="2"/>
  <c r="S490" i="2"/>
  <c r="F490" i="2"/>
  <c r="M489" i="2"/>
  <c r="S488" i="2"/>
  <c r="F488" i="2"/>
  <c r="M487" i="2"/>
  <c r="S486" i="2"/>
  <c r="F486" i="2"/>
  <c r="M485" i="2"/>
  <c r="S484" i="2"/>
  <c r="F484" i="2"/>
  <c r="M483" i="2"/>
  <c r="S482" i="2"/>
  <c r="F482" i="2"/>
  <c r="M481" i="2"/>
  <c r="S480" i="2"/>
  <c r="F480" i="2"/>
  <c r="M479" i="2"/>
  <c r="S478" i="2"/>
  <c r="F478" i="2"/>
  <c r="M477" i="2"/>
  <c r="S476" i="2"/>
  <c r="F476" i="2"/>
  <c r="M475" i="2"/>
  <c r="S474" i="2"/>
  <c r="F474" i="2"/>
  <c r="M473" i="2"/>
  <c r="S472" i="2"/>
  <c r="F472" i="2"/>
  <c r="M471" i="2"/>
  <c r="S470" i="2"/>
  <c r="F470" i="2"/>
  <c r="M469" i="2"/>
  <c r="S468" i="2"/>
  <c r="F468" i="2"/>
  <c r="M467" i="2"/>
  <c r="S466" i="2"/>
  <c r="F466" i="2"/>
  <c r="M465" i="2"/>
  <c r="S464" i="2"/>
  <c r="F464" i="2"/>
  <c r="M463" i="2"/>
  <c r="S462" i="2"/>
  <c r="F462" i="2"/>
  <c r="M461" i="2"/>
  <c r="S460" i="2"/>
  <c r="F460" i="2"/>
  <c r="M459" i="2"/>
  <c r="S458" i="2"/>
  <c r="F458" i="2"/>
  <c r="M457" i="2"/>
  <c r="S456" i="2"/>
  <c r="F456" i="2"/>
  <c r="M455" i="2"/>
  <c r="S454" i="2"/>
  <c r="F454" i="2"/>
  <c r="M453" i="2"/>
  <c r="S452" i="2"/>
  <c r="F452" i="2"/>
  <c r="M451" i="2"/>
  <c r="S450" i="2"/>
  <c r="F450" i="2"/>
  <c r="M449" i="2"/>
  <c r="S448" i="2"/>
  <c r="F448" i="2"/>
  <c r="M447" i="2"/>
  <c r="S446" i="2"/>
  <c r="F446" i="2"/>
  <c r="M445" i="2"/>
  <c r="S444" i="2"/>
  <c r="F444" i="2"/>
  <c r="M443" i="2"/>
  <c r="S442" i="2"/>
  <c r="F442" i="2"/>
  <c r="M441" i="2"/>
  <c r="S440" i="2"/>
  <c r="F440" i="2"/>
  <c r="M439" i="2"/>
  <c r="S438" i="2"/>
  <c r="F438" i="2"/>
  <c r="M437" i="2"/>
  <c r="S436" i="2"/>
  <c r="F436" i="2"/>
  <c r="M435" i="2"/>
  <c r="S434" i="2"/>
  <c r="F434" i="2"/>
  <c r="M433" i="2"/>
  <c r="S432" i="2"/>
  <c r="F432" i="2"/>
  <c r="M431" i="2"/>
  <c r="S430" i="2"/>
  <c r="F430" i="2"/>
  <c r="M429" i="2"/>
  <c r="S428" i="2"/>
  <c r="F428" i="2"/>
  <c r="M427" i="2"/>
  <c r="S426" i="2"/>
  <c r="F426" i="2"/>
  <c r="M425" i="2"/>
  <c r="S424" i="2"/>
  <c r="F424" i="2"/>
  <c r="M423" i="2"/>
  <c r="S422" i="2"/>
  <c r="F422" i="2"/>
  <c r="M421" i="2"/>
  <c r="S420" i="2"/>
  <c r="F420" i="2"/>
  <c r="M419" i="2"/>
  <c r="S418" i="2"/>
  <c r="F418" i="2"/>
  <c r="M417" i="2"/>
  <c r="S416" i="2"/>
  <c r="F416" i="2"/>
  <c r="M415" i="2"/>
  <c r="S414" i="2"/>
  <c r="F414" i="2"/>
  <c r="M413" i="2"/>
  <c r="S412" i="2"/>
  <c r="F412" i="2"/>
  <c r="M411" i="2"/>
  <c r="S410" i="2"/>
  <c r="F410" i="2"/>
  <c r="M409" i="2"/>
  <c r="S408" i="2"/>
  <c r="F408" i="2"/>
  <c r="M407" i="2"/>
  <c r="S406" i="2"/>
  <c r="F406" i="2"/>
  <c r="M405" i="2"/>
  <c r="S404" i="2"/>
  <c r="F404" i="2"/>
  <c r="M403" i="2"/>
  <c r="S402" i="2"/>
  <c r="F402" i="2"/>
  <c r="M401" i="2"/>
  <c r="S400" i="2"/>
  <c r="F400" i="2"/>
  <c r="M399" i="2"/>
  <c r="S398" i="2"/>
  <c r="F398" i="2"/>
  <c r="M397" i="2"/>
  <c r="S396" i="2"/>
  <c r="F396" i="2"/>
  <c r="M395" i="2"/>
  <c r="S394" i="2"/>
  <c r="F394" i="2"/>
  <c r="M393" i="2"/>
  <c r="S392" i="2"/>
  <c r="F392" i="2"/>
  <c r="R749" i="2"/>
  <c r="T689" i="2"/>
  <c r="K675" i="2"/>
  <c r="F663" i="2"/>
  <c r="O653" i="2"/>
  <c r="T645" i="2"/>
  <c r="H639" i="2"/>
  <c r="H633" i="2"/>
  <c r="E628" i="2"/>
  <c r="C619" i="2"/>
  <c r="O614" i="2"/>
  <c r="K610" i="2"/>
  <c r="K606" i="2"/>
  <c r="K602" i="2"/>
  <c r="K598" i="2"/>
  <c r="K594" i="2"/>
  <c r="K590" i="2"/>
  <c r="K586" i="2"/>
  <c r="K582" i="2"/>
  <c r="K578" i="2"/>
  <c r="K574" i="2"/>
  <c r="K570" i="2"/>
  <c r="K566" i="2"/>
  <c r="K562" i="2"/>
  <c r="K558" i="2"/>
  <c r="K554" i="2"/>
  <c r="K550" i="2"/>
  <c r="R547" i="2"/>
  <c r="R545" i="2"/>
  <c r="R543" i="2"/>
  <c r="R541" i="2"/>
  <c r="R539" i="2"/>
  <c r="R537" i="2"/>
  <c r="R535" i="2"/>
  <c r="R533" i="2"/>
  <c r="S531" i="2"/>
  <c r="G530" i="2"/>
  <c r="N528" i="2"/>
  <c r="E527" i="2"/>
  <c r="S523" i="2"/>
  <c r="G522" i="2"/>
  <c r="N520" i="2"/>
  <c r="E519" i="2"/>
  <c r="S517" i="2"/>
  <c r="P516" i="2"/>
  <c r="O515" i="2"/>
  <c r="O514" i="2"/>
  <c r="O513" i="2"/>
  <c r="O512" i="2"/>
  <c r="O511" i="2"/>
  <c r="O510" i="2"/>
  <c r="O509" i="2"/>
  <c r="O508" i="2"/>
  <c r="O507" i="2"/>
  <c r="O506" i="2"/>
  <c r="Q505" i="2"/>
  <c r="T504" i="2"/>
  <c r="D504" i="2"/>
  <c r="H503" i="2"/>
  <c r="M502" i="2"/>
  <c r="Q501" i="2"/>
  <c r="T500" i="2"/>
  <c r="D500" i="2"/>
  <c r="H499" i="2"/>
  <c r="M498" i="2"/>
  <c r="Q497" i="2"/>
  <c r="T496" i="2"/>
  <c r="D496" i="2"/>
  <c r="H495" i="2"/>
  <c r="M494" i="2"/>
  <c r="Q493" i="2"/>
  <c r="T492" i="2"/>
  <c r="E492" i="2"/>
  <c r="K491" i="2"/>
  <c r="R490" i="2"/>
  <c r="E490" i="2"/>
  <c r="K489" i="2"/>
  <c r="R488" i="2"/>
  <c r="E488" i="2"/>
  <c r="K487" i="2"/>
  <c r="R486" i="2"/>
  <c r="E486" i="2"/>
  <c r="K485" i="2"/>
  <c r="R484" i="2"/>
  <c r="E484" i="2"/>
  <c r="K483" i="2"/>
  <c r="R482" i="2"/>
  <c r="E482" i="2"/>
  <c r="K481" i="2"/>
  <c r="R480" i="2"/>
  <c r="E480" i="2"/>
  <c r="K479" i="2"/>
  <c r="R478" i="2"/>
  <c r="E478" i="2"/>
  <c r="K477" i="2"/>
  <c r="R476" i="2"/>
  <c r="E476" i="2"/>
  <c r="K475" i="2"/>
  <c r="R474" i="2"/>
  <c r="E474" i="2"/>
  <c r="K473" i="2"/>
  <c r="R472" i="2"/>
  <c r="E472" i="2"/>
  <c r="K471" i="2"/>
  <c r="R470" i="2"/>
  <c r="E470" i="2"/>
  <c r="K469" i="2"/>
  <c r="R468" i="2"/>
  <c r="E468" i="2"/>
  <c r="K467" i="2"/>
  <c r="R466" i="2"/>
  <c r="E466" i="2"/>
  <c r="K465" i="2"/>
  <c r="R464" i="2"/>
  <c r="E464" i="2"/>
  <c r="K463" i="2"/>
  <c r="R462" i="2"/>
  <c r="E462" i="2"/>
  <c r="K461" i="2"/>
  <c r="R460" i="2"/>
  <c r="E460" i="2"/>
  <c r="K459" i="2"/>
  <c r="R458" i="2"/>
  <c r="E458" i="2"/>
  <c r="K457" i="2"/>
  <c r="R456" i="2"/>
  <c r="E456" i="2"/>
  <c r="K455" i="2"/>
  <c r="R454" i="2"/>
  <c r="E454" i="2"/>
  <c r="K453" i="2"/>
  <c r="R452" i="2"/>
  <c r="E452" i="2"/>
  <c r="K451" i="2"/>
  <c r="R450" i="2"/>
  <c r="E450" i="2"/>
  <c r="K449" i="2"/>
  <c r="R448" i="2"/>
  <c r="E448" i="2"/>
  <c r="K447" i="2"/>
  <c r="R446" i="2"/>
  <c r="E446" i="2"/>
  <c r="K445" i="2"/>
  <c r="R444" i="2"/>
  <c r="E444" i="2"/>
  <c r="K443" i="2"/>
  <c r="R442" i="2"/>
  <c r="E442" i="2"/>
  <c r="K441" i="2"/>
  <c r="R440" i="2"/>
  <c r="E440" i="2"/>
  <c r="K439" i="2"/>
  <c r="R438" i="2"/>
  <c r="E438" i="2"/>
  <c r="K437" i="2"/>
  <c r="R436" i="2"/>
  <c r="E436" i="2"/>
  <c r="K435" i="2"/>
  <c r="R434" i="2"/>
  <c r="E434" i="2"/>
  <c r="K433" i="2"/>
  <c r="R432" i="2"/>
  <c r="E432" i="2"/>
  <c r="K431" i="2"/>
  <c r="R430" i="2"/>
  <c r="E430" i="2"/>
  <c r="K429" i="2"/>
  <c r="R428" i="2"/>
  <c r="E428" i="2"/>
  <c r="K427" i="2"/>
  <c r="R426" i="2"/>
  <c r="E426" i="2"/>
  <c r="K425" i="2"/>
  <c r="R424" i="2"/>
  <c r="E424" i="2"/>
  <c r="K423" i="2"/>
  <c r="R422" i="2"/>
  <c r="E422" i="2"/>
  <c r="K421" i="2"/>
  <c r="R420" i="2"/>
  <c r="E420" i="2"/>
  <c r="K419" i="2"/>
  <c r="R418" i="2"/>
  <c r="E418" i="2"/>
  <c r="K417" i="2"/>
  <c r="R416" i="2"/>
  <c r="E416" i="2"/>
  <c r="K415" i="2"/>
  <c r="R414" i="2"/>
  <c r="E414" i="2"/>
  <c r="K413" i="2"/>
  <c r="R412" i="2"/>
  <c r="E412" i="2"/>
  <c r="K411" i="2"/>
  <c r="R410" i="2"/>
  <c r="E410" i="2"/>
  <c r="K409" i="2"/>
  <c r="R408" i="2"/>
  <c r="E408" i="2"/>
  <c r="K407" i="2"/>
  <c r="R406" i="2"/>
  <c r="E406" i="2"/>
  <c r="K405" i="2"/>
  <c r="R404" i="2"/>
  <c r="E404" i="2"/>
  <c r="K403" i="2"/>
  <c r="R402" i="2"/>
  <c r="E402" i="2"/>
  <c r="K401" i="2"/>
  <c r="R400" i="2"/>
  <c r="E400" i="2"/>
  <c r="K399" i="2"/>
  <c r="R398" i="2"/>
  <c r="E398" i="2"/>
  <c r="K397" i="2"/>
  <c r="R396" i="2"/>
  <c r="E396" i="2"/>
  <c r="K395" i="2"/>
  <c r="R394" i="2"/>
  <c r="E394" i="2"/>
  <c r="K393" i="2"/>
  <c r="R392" i="2"/>
  <c r="E392" i="2"/>
  <c r="K391" i="2"/>
  <c r="R390" i="2"/>
  <c r="E390" i="2"/>
  <c r="K389" i="2"/>
  <c r="R388" i="2"/>
  <c r="E388" i="2"/>
  <c r="K387" i="2"/>
  <c r="R386" i="2"/>
  <c r="E386" i="2"/>
  <c r="K385" i="2"/>
  <c r="R384" i="2"/>
  <c r="E384" i="2"/>
  <c r="K383" i="2"/>
  <c r="R382" i="2"/>
  <c r="E382" i="2"/>
  <c r="K381" i="2"/>
  <c r="R380" i="2"/>
  <c r="E380" i="2"/>
  <c r="K379" i="2"/>
  <c r="R378" i="2"/>
  <c r="E378" i="2"/>
  <c r="K377" i="2"/>
  <c r="R376" i="2"/>
  <c r="E376" i="2"/>
  <c r="K375" i="2"/>
  <c r="R374" i="2"/>
  <c r="E374" i="2"/>
  <c r="K373" i="2"/>
  <c r="S908" i="2"/>
  <c r="K632" i="2"/>
  <c r="A614" i="2"/>
  <c r="S597" i="2"/>
  <c r="S581" i="2"/>
  <c r="S565" i="2"/>
  <c r="S549" i="2"/>
  <c r="N541" i="2"/>
  <c r="N533" i="2"/>
  <c r="T526" i="2"/>
  <c r="M520" i="2"/>
  <c r="N515" i="2"/>
  <c r="N511" i="2"/>
  <c r="N507" i="2"/>
  <c r="C504" i="2"/>
  <c r="R500" i="2"/>
  <c r="O497" i="2"/>
  <c r="K494" i="2"/>
  <c r="J491" i="2"/>
  <c r="Q488" i="2"/>
  <c r="D486" i="2"/>
  <c r="J483" i="2"/>
  <c r="Q480" i="2"/>
  <c r="D478" i="2"/>
  <c r="J475" i="2"/>
  <c r="Q472" i="2"/>
  <c r="D470" i="2"/>
  <c r="J467" i="2"/>
  <c r="Q464" i="2"/>
  <c r="D462" i="2"/>
  <c r="J459" i="2"/>
  <c r="Q456" i="2"/>
  <c r="D454" i="2"/>
  <c r="J451" i="2"/>
  <c r="Q448" i="2"/>
  <c r="D446" i="2"/>
  <c r="J443" i="2"/>
  <c r="Q440" i="2"/>
  <c r="D438" i="2"/>
  <c r="J435" i="2"/>
  <c r="Q432" i="2"/>
  <c r="D430" i="2"/>
  <c r="J427" i="2"/>
  <c r="Q424" i="2"/>
  <c r="D422" i="2"/>
  <c r="J419" i="2"/>
  <c r="Q416" i="2"/>
  <c r="D414" i="2"/>
  <c r="J411" i="2"/>
  <c r="Q408" i="2"/>
  <c r="D406" i="2"/>
  <c r="D404" i="2"/>
  <c r="G402" i="2"/>
  <c r="K400" i="2"/>
  <c r="E399" i="2"/>
  <c r="R397" i="2"/>
  <c r="K396" i="2"/>
  <c r="E395" i="2"/>
  <c r="R393" i="2"/>
  <c r="K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H372" i="2"/>
  <c r="O371" i="2"/>
  <c r="A371" i="2"/>
  <c r="H370" i="2"/>
  <c r="O369" i="2"/>
  <c r="A369" i="2"/>
  <c r="H368" i="2"/>
  <c r="O367" i="2"/>
  <c r="A367" i="2"/>
  <c r="H366" i="2"/>
  <c r="O365" i="2"/>
  <c r="A365" i="2"/>
  <c r="H364" i="2"/>
  <c r="O363" i="2"/>
  <c r="A363" i="2"/>
  <c r="H362" i="2"/>
  <c r="O361" i="2"/>
  <c r="A361" i="2"/>
  <c r="H360" i="2"/>
  <c r="O359" i="2"/>
  <c r="A359" i="2"/>
  <c r="H358" i="2"/>
  <c r="O357" i="2"/>
  <c r="A357" i="2"/>
  <c r="H356" i="2"/>
  <c r="O355" i="2"/>
  <c r="A355" i="2"/>
  <c r="H354" i="2"/>
  <c r="O353" i="2"/>
  <c r="A353" i="2"/>
  <c r="H352" i="2"/>
  <c r="O351" i="2"/>
  <c r="A351" i="2"/>
  <c r="H350" i="2"/>
  <c r="O349" i="2"/>
  <c r="A349" i="2"/>
  <c r="H348" i="2"/>
  <c r="O347" i="2"/>
  <c r="A347" i="2"/>
  <c r="H346" i="2"/>
  <c r="O345" i="2"/>
  <c r="A345" i="2"/>
  <c r="H344" i="2"/>
  <c r="O343" i="2"/>
  <c r="A343" i="2"/>
  <c r="H342" i="2"/>
  <c r="O341" i="2"/>
  <c r="A341" i="2"/>
  <c r="H340" i="2"/>
  <c r="O339" i="2"/>
  <c r="A339" i="2"/>
  <c r="H338" i="2"/>
  <c r="O337" i="2"/>
  <c r="A337" i="2"/>
  <c r="H336" i="2"/>
  <c r="O335" i="2"/>
  <c r="A335" i="2"/>
  <c r="H334" i="2"/>
  <c r="O333" i="2"/>
  <c r="A333" i="2"/>
  <c r="H332" i="2"/>
  <c r="O331" i="2"/>
  <c r="A331" i="2"/>
  <c r="H330" i="2"/>
  <c r="O329" i="2"/>
  <c r="A329" i="2"/>
  <c r="H328" i="2"/>
  <c r="O327" i="2"/>
  <c r="A327" i="2"/>
  <c r="H326" i="2"/>
  <c r="E655" i="2"/>
  <c r="D629" i="2"/>
  <c r="F611" i="2"/>
  <c r="F595" i="2"/>
  <c r="F579" i="2"/>
  <c r="F563" i="2"/>
  <c r="G548" i="2"/>
  <c r="G540" i="2"/>
  <c r="G532" i="2"/>
  <c r="S525" i="2"/>
  <c r="T514" i="2"/>
  <c r="T510" i="2"/>
  <c r="T506" i="2"/>
  <c r="K503" i="2"/>
  <c r="H500" i="2"/>
  <c r="E497" i="2"/>
  <c r="T493" i="2"/>
  <c r="A491" i="2"/>
  <c r="H488" i="2"/>
  <c r="O485" i="2"/>
  <c r="A483" i="2"/>
  <c r="H480" i="2"/>
  <c r="O477" i="2"/>
  <c r="A475" i="2"/>
  <c r="H472" i="2"/>
  <c r="O469" i="2"/>
  <c r="A467" i="2"/>
  <c r="H464" i="2"/>
  <c r="O461" i="2"/>
  <c r="A459" i="2"/>
  <c r="H456" i="2"/>
  <c r="O453" i="2"/>
  <c r="A451" i="2"/>
  <c r="H448" i="2"/>
  <c r="O445" i="2"/>
  <c r="A443" i="2"/>
  <c r="H440" i="2"/>
  <c r="O437" i="2"/>
  <c r="A435" i="2"/>
  <c r="H432" i="2"/>
  <c r="O429" i="2"/>
  <c r="A427" i="2"/>
  <c r="H424" i="2"/>
  <c r="O421" i="2"/>
  <c r="A419" i="2"/>
  <c r="H416" i="2"/>
  <c r="O413" i="2"/>
  <c r="A411" i="2"/>
  <c r="H408" i="2"/>
  <c r="R405" i="2"/>
  <c r="R403" i="2"/>
  <c r="D402" i="2"/>
  <c r="J400" i="2"/>
  <c r="D399" i="2"/>
  <c r="Q397" i="2"/>
  <c r="J396" i="2"/>
  <c r="D395" i="2"/>
  <c r="Q393" i="2"/>
  <c r="J392" i="2"/>
  <c r="E391" i="2"/>
  <c r="F390" i="2"/>
  <c r="E389" i="2"/>
  <c r="F388" i="2"/>
  <c r="E387" i="2"/>
  <c r="F386" i="2"/>
  <c r="E385" i="2"/>
  <c r="F384" i="2"/>
  <c r="E383" i="2"/>
  <c r="F382" i="2"/>
  <c r="E381" i="2"/>
  <c r="F380" i="2"/>
  <c r="E379" i="2"/>
  <c r="F378" i="2"/>
  <c r="E377" i="2"/>
  <c r="F376" i="2"/>
  <c r="E375" i="2"/>
  <c r="F374" i="2"/>
  <c r="E373" i="2"/>
  <c r="G372" i="2"/>
  <c r="N371" i="2"/>
  <c r="T370" i="2"/>
  <c r="G370" i="2"/>
  <c r="N369" i="2"/>
  <c r="T368" i="2"/>
  <c r="G368" i="2"/>
  <c r="N367" i="2"/>
  <c r="T366" i="2"/>
  <c r="G366" i="2"/>
  <c r="N365" i="2"/>
  <c r="T364" i="2"/>
  <c r="G364" i="2"/>
  <c r="N363" i="2"/>
  <c r="T362" i="2"/>
  <c r="G362" i="2"/>
  <c r="N361" i="2"/>
  <c r="T360" i="2"/>
  <c r="G360" i="2"/>
  <c r="N359" i="2"/>
  <c r="T358" i="2"/>
  <c r="G358" i="2"/>
  <c r="N357" i="2"/>
  <c r="T356" i="2"/>
  <c r="G356" i="2"/>
  <c r="N355" i="2"/>
  <c r="T354" i="2"/>
  <c r="G354" i="2"/>
  <c r="N353" i="2"/>
  <c r="T352" i="2"/>
  <c r="G352" i="2"/>
  <c r="N351" i="2"/>
  <c r="T350" i="2"/>
  <c r="G350" i="2"/>
  <c r="N349" i="2"/>
  <c r="T348" i="2"/>
  <c r="G348" i="2"/>
  <c r="N347" i="2"/>
  <c r="T346" i="2"/>
  <c r="G346" i="2"/>
  <c r="N345" i="2"/>
  <c r="T344" i="2"/>
  <c r="G344" i="2"/>
  <c r="N343" i="2"/>
  <c r="T342" i="2"/>
  <c r="G342" i="2"/>
  <c r="N341" i="2"/>
  <c r="T340" i="2"/>
  <c r="G340" i="2"/>
  <c r="N339" i="2"/>
  <c r="T338" i="2"/>
  <c r="G338" i="2"/>
  <c r="N337" i="2"/>
  <c r="T336" i="2"/>
  <c r="G336" i="2"/>
  <c r="N335" i="2"/>
  <c r="T334" i="2"/>
  <c r="G334" i="2"/>
  <c r="N333" i="2"/>
  <c r="T332" i="2"/>
  <c r="G332" i="2"/>
  <c r="N331" i="2"/>
  <c r="T330" i="2"/>
  <c r="G330" i="2"/>
  <c r="N329" i="2"/>
  <c r="T328" i="2"/>
  <c r="G328" i="2"/>
  <c r="N327" i="2"/>
  <c r="T326" i="2"/>
  <c r="G326" i="2"/>
  <c r="N325" i="2"/>
  <c r="T324" i="2"/>
  <c r="G324" i="2"/>
  <c r="N323" i="2"/>
  <c r="T322" i="2"/>
  <c r="G322" i="2"/>
  <c r="N321" i="2"/>
  <c r="T320" i="2"/>
  <c r="G320" i="2"/>
  <c r="N319" i="2"/>
  <c r="T318" i="2"/>
  <c r="G318" i="2"/>
  <c r="N317" i="2"/>
  <c r="T316" i="2"/>
  <c r="G316" i="2"/>
  <c r="N315" i="2"/>
  <c r="T314" i="2"/>
  <c r="G314" i="2"/>
  <c r="N313" i="2"/>
  <c r="T312" i="2"/>
  <c r="G312" i="2"/>
  <c r="N311" i="2"/>
  <c r="T310" i="2"/>
  <c r="G310" i="2"/>
  <c r="N309" i="2"/>
  <c r="T308" i="2"/>
  <c r="G308" i="2"/>
  <c r="N307" i="2"/>
  <c r="T306" i="2"/>
  <c r="G306" i="2"/>
  <c r="N305" i="2"/>
  <c r="T304" i="2"/>
  <c r="G304" i="2"/>
  <c r="N303" i="2"/>
  <c r="T302" i="2"/>
  <c r="G302" i="2"/>
  <c r="N301" i="2"/>
  <c r="T300" i="2"/>
  <c r="G300" i="2"/>
  <c r="N299" i="2"/>
  <c r="T298" i="2"/>
  <c r="G298" i="2"/>
  <c r="N297" i="2"/>
  <c r="T296" i="2"/>
  <c r="G296" i="2"/>
  <c r="N295" i="2"/>
  <c r="T294" i="2"/>
  <c r="G294" i="2"/>
  <c r="N293" i="2"/>
  <c r="T292" i="2"/>
  <c r="G292" i="2"/>
  <c r="N291" i="2"/>
  <c r="T290" i="2"/>
  <c r="G290" i="2"/>
  <c r="N289" i="2"/>
  <c r="T288" i="2"/>
  <c r="G288" i="2"/>
  <c r="N287" i="2"/>
  <c r="T286" i="2"/>
  <c r="G286" i="2"/>
  <c r="N285" i="2"/>
  <c r="T284" i="2"/>
  <c r="G284" i="2"/>
  <c r="N283" i="2"/>
  <c r="R765" i="2"/>
  <c r="A655" i="2"/>
  <c r="A629" i="2"/>
  <c r="E611" i="2"/>
  <c r="E595" i="2"/>
  <c r="E579" i="2"/>
  <c r="E563" i="2"/>
  <c r="C548" i="2"/>
  <c r="C540" i="2"/>
  <c r="C532" i="2"/>
  <c r="R525" i="2"/>
  <c r="G519" i="2"/>
  <c r="R514" i="2"/>
  <c r="R510" i="2"/>
  <c r="R506" i="2"/>
  <c r="J503" i="2"/>
  <c r="G500" i="2"/>
  <c r="D497" i="2"/>
  <c r="S493" i="2"/>
  <c r="T490" i="2"/>
  <c r="G488" i="2"/>
  <c r="N485" i="2"/>
  <c r="T482" i="2"/>
  <c r="G480" i="2"/>
  <c r="N477" i="2"/>
  <c r="T474" i="2"/>
  <c r="G472" i="2"/>
  <c r="N469" i="2"/>
  <c r="T466" i="2"/>
  <c r="G464" i="2"/>
  <c r="N461" i="2"/>
  <c r="T458" i="2"/>
  <c r="G456" i="2"/>
  <c r="N453" i="2"/>
  <c r="T450" i="2"/>
  <c r="G448" i="2"/>
  <c r="N445" i="2"/>
  <c r="T442" i="2"/>
  <c r="G440" i="2"/>
  <c r="N437" i="2"/>
  <c r="T434" i="2"/>
  <c r="G432" i="2"/>
  <c r="N429" i="2"/>
  <c r="T426" i="2"/>
  <c r="G424" i="2"/>
  <c r="N421" i="2"/>
  <c r="T418" i="2"/>
  <c r="G416" i="2"/>
  <c r="N413" i="2"/>
  <c r="T410" i="2"/>
  <c r="G408" i="2"/>
  <c r="O405" i="2"/>
  <c r="O403" i="2"/>
  <c r="R401" i="2"/>
  <c r="H400" i="2"/>
  <c r="A399" i="2"/>
  <c r="O397" i="2"/>
  <c r="H396" i="2"/>
  <c r="A395" i="2"/>
  <c r="O393" i="2"/>
  <c r="H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F372" i="2"/>
  <c r="M371" i="2"/>
  <c r="S370" i="2"/>
  <c r="F370" i="2"/>
  <c r="M369" i="2"/>
  <c r="S368" i="2"/>
  <c r="F368" i="2"/>
  <c r="M367" i="2"/>
  <c r="S366" i="2"/>
  <c r="F366" i="2"/>
  <c r="M365" i="2"/>
  <c r="S364" i="2"/>
  <c r="F364" i="2"/>
  <c r="M363" i="2"/>
  <c r="S362" i="2"/>
  <c r="F362" i="2"/>
  <c r="M361" i="2"/>
  <c r="S360" i="2"/>
  <c r="F360" i="2"/>
  <c r="M359" i="2"/>
  <c r="S358" i="2"/>
  <c r="F358" i="2"/>
  <c r="M357" i="2"/>
  <c r="S356" i="2"/>
  <c r="F356" i="2"/>
  <c r="M355" i="2"/>
  <c r="S354" i="2"/>
  <c r="F354" i="2"/>
  <c r="M353" i="2"/>
  <c r="S352" i="2"/>
  <c r="F352" i="2"/>
  <c r="M351" i="2"/>
  <c r="S350" i="2"/>
  <c r="F350" i="2"/>
  <c r="M349" i="2"/>
  <c r="S348" i="2"/>
  <c r="F348" i="2"/>
  <c r="M347" i="2"/>
  <c r="S346" i="2"/>
  <c r="F346" i="2"/>
  <c r="M345" i="2"/>
  <c r="S344" i="2"/>
  <c r="F344" i="2"/>
  <c r="M343" i="2"/>
  <c r="S342" i="2"/>
  <c r="F342" i="2"/>
  <c r="M341" i="2"/>
  <c r="S340" i="2"/>
  <c r="F340" i="2"/>
  <c r="M339" i="2"/>
  <c r="S338" i="2"/>
  <c r="F338" i="2"/>
  <c r="M337" i="2"/>
  <c r="S336" i="2"/>
  <c r="F336" i="2"/>
  <c r="M335" i="2"/>
  <c r="S334" i="2"/>
  <c r="F334" i="2"/>
  <c r="M333" i="2"/>
  <c r="S332" i="2"/>
  <c r="F332" i="2"/>
  <c r="M331" i="2"/>
  <c r="S330" i="2"/>
  <c r="F330" i="2"/>
  <c r="M329" i="2"/>
  <c r="S328" i="2"/>
  <c r="F328" i="2"/>
  <c r="M327" i="2"/>
  <c r="S326" i="2"/>
  <c r="F326" i="2"/>
  <c r="M325" i="2"/>
  <c r="S324" i="2"/>
  <c r="F324" i="2"/>
  <c r="M323" i="2"/>
  <c r="S322" i="2"/>
  <c r="F322" i="2"/>
  <c r="M321" i="2"/>
  <c r="S320" i="2"/>
  <c r="F320" i="2"/>
  <c r="M319" i="2"/>
  <c r="S318" i="2"/>
  <c r="F318" i="2"/>
  <c r="M317" i="2"/>
  <c r="S316" i="2"/>
  <c r="F316" i="2"/>
  <c r="M315" i="2"/>
  <c r="S314" i="2"/>
  <c r="F314" i="2"/>
  <c r="M313" i="2"/>
  <c r="S312" i="2"/>
  <c r="F312" i="2"/>
  <c r="M311" i="2"/>
  <c r="S310" i="2"/>
  <c r="F310" i="2"/>
  <c r="M309" i="2"/>
  <c r="S308" i="2"/>
  <c r="F308" i="2"/>
  <c r="M307" i="2"/>
  <c r="S306" i="2"/>
  <c r="F306" i="2"/>
  <c r="M305" i="2"/>
  <c r="S304" i="2"/>
  <c r="F304" i="2"/>
  <c r="M303" i="2"/>
  <c r="S302" i="2"/>
  <c r="F302" i="2"/>
  <c r="M301" i="2"/>
  <c r="S300" i="2"/>
  <c r="F300" i="2"/>
  <c r="M299" i="2"/>
  <c r="S298" i="2"/>
  <c r="F298" i="2"/>
  <c r="M297" i="2"/>
  <c r="S296" i="2"/>
  <c r="F296" i="2"/>
  <c r="M295" i="2"/>
  <c r="S294" i="2"/>
  <c r="F294" i="2"/>
  <c r="M293" i="2"/>
  <c r="S292" i="2"/>
  <c r="F292" i="2"/>
  <c r="M291" i="2"/>
  <c r="S290" i="2"/>
  <c r="F290" i="2"/>
  <c r="M289" i="2"/>
  <c r="S288" i="2"/>
  <c r="F288" i="2"/>
  <c r="M287" i="2"/>
  <c r="S286" i="2"/>
  <c r="F286" i="2"/>
  <c r="M285" i="2"/>
  <c r="S284" i="2"/>
  <c r="F284" i="2"/>
  <c r="M283" i="2"/>
  <c r="K652" i="2"/>
  <c r="J627" i="2"/>
  <c r="S609" i="2"/>
  <c r="S593" i="2"/>
  <c r="S577" i="2"/>
  <c r="S561" i="2"/>
  <c r="N547" i="2"/>
  <c r="N539" i="2"/>
  <c r="R531" i="2"/>
  <c r="G525" i="2"/>
  <c r="T518" i="2"/>
  <c r="N514" i="2"/>
  <c r="N510" i="2"/>
  <c r="N506" i="2"/>
  <c r="G503" i="2"/>
  <c r="C500" i="2"/>
  <c r="R496" i="2"/>
  <c r="O493" i="2"/>
  <c r="Q490" i="2"/>
  <c r="D488" i="2"/>
  <c r="J485" i="2"/>
  <c r="Q482" i="2"/>
  <c r="D480" i="2"/>
  <c r="J477" i="2"/>
  <c r="Q474" i="2"/>
  <c r="D472" i="2"/>
  <c r="J469" i="2"/>
  <c r="Q466" i="2"/>
  <c r="D464" i="2"/>
  <c r="J461" i="2"/>
  <c r="Q458" i="2"/>
  <c r="D456" i="2"/>
  <c r="J453" i="2"/>
  <c r="Q450" i="2"/>
  <c r="D448" i="2"/>
  <c r="J445" i="2"/>
  <c r="Q442" i="2"/>
  <c r="D440" i="2"/>
  <c r="J437" i="2"/>
  <c r="Q434" i="2"/>
  <c r="D432" i="2"/>
  <c r="J429" i="2"/>
  <c r="Q426" i="2"/>
  <c r="D424" i="2"/>
  <c r="J421" i="2"/>
  <c r="Q418" i="2"/>
  <c r="D416" i="2"/>
  <c r="J413" i="2"/>
  <c r="Q410" i="2"/>
  <c r="D408" i="2"/>
  <c r="N405" i="2"/>
  <c r="N403" i="2"/>
  <c r="Q401" i="2"/>
  <c r="G400" i="2"/>
  <c r="T398" i="2"/>
  <c r="N397" i="2"/>
  <c r="G396" i="2"/>
  <c r="T394" i="2"/>
  <c r="N393" i="2"/>
  <c r="G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E372" i="2"/>
  <c r="K371" i="2"/>
  <c r="R370" i="2"/>
  <c r="E370" i="2"/>
  <c r="K369" i="2"/>
  <c r="R368" i="2"/>
  <c r="E368" i="2"/>
  <c r="K367" i="2"/>
  <c r="R366" i="2"/>
  <c r="E366" i="2"/>
  <c r="K365" i="2"/>
  <c r="R364" i="2"/>
  <c r="E364" i="2"/>
  <c r="K363" i="2"/>
  <c r="R362" i="2"/>
  <c r="E362" i="2"/>
  <c r="K361" i="2"/>
  <c r="R360" i="2"/>
  <c r="E360" i="2"/>
  <c r="K359" i="2"/>
  <c r="R358" i="2"/>
  <c r="E358" i="2"/>
  <c r="K357" i="2"/>
  <c r="R356" i="2"/>
  <c r="E356" i="2"/>
  <c r="K355" i="2"/>
  <c r="R354" i="2"/>
  <c r="E354" i="2"/>
  <c r="K353" i="2"/>
  <c r="R352" i="2"/>
  <c r="E352" i="2"/>
  <c r="K351" i="2"/>
  <c r="R350" i="2"/>
  <c r="E350" i="2"/>
  <c r="K349" i="2"/>
  <c r="R348" i="2"/>
  <c r="E348" i="2"/>
  <c r="K347" i="2"/>
  <c r="R346" i="2"/>
  <c r="E346" i="2"/>
  <c r="K345" i="2"/>
  <c r="R344" i="2"/>
  <c r="E344" i="2"/>
  <c r="K343" i="2"/>
  <c r="R342" i="2"/>
  <c r="E342" i="2"/>
  <c r="K341" i="2"/>
  <c r="R340" i="2"/>
  <c r="E340" i="2"/>
  <c r="K339" i="2"/>
  <c r="R338" i="2"/>
  <c r="E338" i="2"/>
  <c r="K337" i="2"/>
  <c r="R336" i="2"/>
  <c r="E336" i="2"/>
  <c r="K335" i="2"/>
  <c r="R334" i="2"/>
  <c r="E334" i="2"/>
  <c r="K333" i="2"/>
  <c r="R332" i="2"/>
  <c r="E332" i="2"/>
  <c r="K331" i="2"/>
  <c r="R330" i="2"/>
  <c r="E330" i="2"/>
  <c r="K329" i="2"/>
  <c r="R328" i="2"/>
  <c r="E328" i="2"/>
  <c r="K327" i="2"/>
  <c r="R326" i="2"/>
  <c r="E326" i="2"/>
  <c r="K325" i="2"/>
  <c r="R324" i="2"/>
  <c r="E324" i="2"/>
  <c r="K323" i="2"/>
  <c r="R322" i="2"/>
  <c r="E322" i="2"/>
  <c r="K321" i="2"/>
  <c r="R320" i="2"/>
  <c r="E320" i="2"/>
  <c r="K319" i="2"/>
  <c r="R318" i="2"/>
  <c r="E318" i="2"/>
  <c r="K317" i="2"/>
  <c r="R316" i="2"/>
  <c r="E316" i="2"/>
  <c r="K315" i="2"/>
  <c r="K692" i="2"/>
  <c r="F647" i="2"/>
  <c r="G624" i="2"/>
  <c r="F607" i="2"/>
  <c r="F591" i="2"/>
  <c r="F575" i="2"/>
  <c r="F559" i="2"/>
  <c r="G546" i="2"/>
  <c r="G538" i="2"/>
  <c r="N530" i="2"/>
  <c r="G524" i="2"/>
  <c r="E518" i="2"/>
  <c r="T513" i="2"/>
  <c r="T509" i="2"/>
  <c r="T505" i="2"/>
  <c r="P502" i="2"/>
  <c r="K499" i="2"/>
  <c r="H496" i="2"/>
  <c r="E493" i="2"/>
  <c r="H490" i="2"/>
  <c r="O487" i="2"/>
  <c r="A485" i="2"/>
  <c r="H482" i="2"/>
  <c r="O479" i="2"/>
  <c r="A477" i="2"/>
  <c r="H474" i="2"/>
  <c r="O471" i="2"/>
  <c r="A469" i="2"/>
  <c r="H466" i="2"/>
  <c r="O463" i="2"/>
  <c r="A461" i="2"/>
  <c r="H458" i="2"/>
  <c r="O455" i="2"/>
  <c r="A453" i="2"/>
  <c r="H450" i="2"/>
  <c r="O447" i="2"/>
  <c r="A445" i="2"/>
  <c r="H442" i="2"/>
  <c r="O439" i="2"/>
  <c r="A437" i="2"/>
  <c r="H434" i="2"/>
  <c r="O431" i="2"/>
  <c r="A429" i="2"/>
  <c r="H426" i="2"/>
  <c r="O423" i="2"/>
  <c r="A421" i="2"/>
  <c r="H418" i="2"/>
  <c r="O415" i="2"/>
  <c r="A413" i="2"/>
  <c r="H410" i="2"/>
  <c r="O407" i="2"/>
  <c r="J405" i="2"/>
  <c r="J403" i="2"/>
  <c r="O401" i="2"/>
  <c r="D400" i="2"/>
  <c r="Q398" i="2"/>
  <c r="J397" i="2"/>
  <c r="D396" i="2"/>
  <c r="Q394" i="2"/>
  <c r="J393" i="2"/>
  <c r="D392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D372" i="2"/>
  <c r="J371" i="2"/>
  <c r="Q370" i="2"/>
  <c r="D370" i="2"/>
  <c r="J369" i="2"/>
  <c r="Q368" i="2"/>
  <c r="D368" i="2"/>
  <c r="J367" i="2"/>
  <c r="Q366" i="2"/>
  <c r="D366" i="2"/>
  <c r="J365" i="2"/>
  <c r="Q364" i="2"/>
  <c r="D364" i="2"/>
  <c r="J363" i="2"/>
  <c r="Q362" i="2"/>
  <c r="D362" i="2"/>
  <c r="J361" i="2"/>
  <c r="Q360" i="2"/>
  <c r="D360" i="2"/>
  <c r="J359" i="2"/>
  <c r="Q358" i="2"/>
  <c r="D358" i="2"/>
  <c r="J357" i="2"/>
  <c r="Q356" i="2"/>
  <c r="D356" i="2"/>
  <c r="J355" i="2"/>
  <c r="Q354" i="2"/>
  <c r="D354" i="2"/>
  <c r="J353" i="2"/>
  <c r="Q352" i="2"/>
  <c r="D352" i="2"/>
  <c r="J351" i="2"/>
  <c r="Q350" i="2"/>
  <c r="D350" i="2"/>
  <c r="J349" i="2"/>
  <c r="Q348" i="2"/>
  <c r="D348" i="2"/>
  <c r="J347" i="2"/>
  <c r="Q346" i="2"/>
  <c r="D346" i="2"/>
  <c r="J345" i="2"/>
  <c r="Q344" i="2"/>
  <c r="D344" i="2"/>
  <c r="J343" i="2"/>
  <c r="Q342" i="2"/>
  <c r="D342" i="2"/>
  <c r="J341" i="2"/>
  <c r="Q340" i="2"/>
  <c r="D340" i="2"/>
  <c r="J339" i="2"/>
  <c r="Q338" i="2"/>
  <c r="D338" i="2"/>
  <c r="J337" i="2"/>
  <c r="Q336" i="2"/>
  <c r="D336" i="2"/>
  <c r="J335" i="2"/>
  <c r="Q334" i="2"/>
  <c r="D334" i="2"/>
  <c r="J333" i="2"/>
  <c r="Q332" i="2"/>
  <c r="D332" i="2"/>
  <c r="J331" i="2"/>
  <c r="Q330" i="2"/>
  <c r="D330" i="2"/>
  <c r="J329" i="2"/>
  <c r="Q328" i="2"/>
  <c r="D328" i="2"/>
  <c r="J327" i="2"/>
  <c r="Q326" i="2"/>
  <c r="D326" i="2"/>
  <c r="J325" i="2"/>
  <c r="Q324" i="2"/>
  <c r="D324" i="2"/>
  <c r="J323" i="2"/>
  <c r="Q322" i="2"/>
  <c r="D322" i="2"/>
  <c r="J321" i="2"/>
  <c r="Q320" i="2"/>
  <c r="D320" i="2"/>
  <c r="J319" i="2"/>
  <c r="Q318" i="2"/>
  <c r="D318" i="2"/>
  <c r="H692" i="2"/>
  <c r="E647" i="2"/>
  <c r="E624" i="2"/>
  <c r="E607" i="2"/>
  <c r="E591" i="2"/>
  <c r="E575" i="2"/>
  <c r="E559" i="2"/>
  <c r="C546" i="2"/>
  <c r="C538" i="2"/>
  <c r="M530" i="2"/>
  <c r="C524" i="2"/>
  <c r="C518" i="2"/>
  <c r="S513" i="2"/>
  <c r="S509" i="2"/>
  <c r="S505" i="2"/>
  <c r="O502" i="2"/>
  <c r="J499" i="2"/>
  <c r="G496" i="2"/>
  <c r="D493" i="2"/>
  <c r="G490" i="2"/>
  <c r="N487" i="2"/>
  <c r="T484" i="2"/>
  <c r="G482" i="2"/>
  <c r="N479" i="2"/>
  <c r="T476" i="2"/>
  <c r="G474" i="2"/>
  <c r="N471" i="2"/>
  <c r="T468" i="2"/>
  <c r="G466" i="2"/>
  <c r="N463" i="2"/>
  <c r="T460" i="2"/>
  <c r="G458" i="2"/>
  <c r="N455" i="2"/>
  <c r="T452" i="2"/>
  <c r="G450" i="2"/>
  <c r="N447" i="2"/>
  <c r="T444" i="2"/>
  <c r="G442" i="2"/>
  <c r="N439" i="2"/>
  <c r="T436" i="2"/>
  <c r="G434" i="2"/>
  <c r="N431" i="2"/>
  <c r="T428" i="2"/>
  <c r="G426" i="2"/>
  <c r="N423" i="2"/>
  <c r="T420" i="2"/>
  <c r="G418" i="2"/>
  <c r="N415" i="2"/>
  <c r="T412" i="2"/>
  <c r="G410" i="2"/>
  <c r="N407" i="2"/>
  <c r="E405" i="2"/>
  <c r="E403" i="2"/>
  <c r="N401" i="2"/>
  <c r="T399" i="2"/>
  <c r="N398" i="2"/>
  <c r="G397" i="2"/>
  <c r="T395" i="2"/>
  <c r="N394" i="2"/>
  <c r="G393" i="2"/>
  <c r="T391" i="2"/>
  <c r="S390" i="2"/>
  <c r="R389" i="2"/>
  <c r="S388" i="2"/>
  <c r="R387" i="2"/>
  <c r="S386" i="2"/>
  <c r="R385" i="2"/>
  <c r="S384" i="2"/>
  <c r="R383" i="2"/>
  <c r="S382" i="2"/>
  <c r="R381" i="2"/>
  <c r="S380" i="2"/>
  <c r="R379" i="2"/>
  <c r="S378" i="2"/>
  <c r="R377" i="2"/>
  <c r="S376" i="2"/>
  <c r="R375" i="2"/>
  <c r="S374" i="2"/>
  <c r="R373" i="2"/>
  <c r="S372" i="2"/>
  <c r="C372" i="2"/>
  <c r="P370" i="2"/>
  <c r="C370" i="2"/>
  <c r="P368" i="2"/>
  <c r="C368" i="2"/>
  <c r="P366" i="2"/>
  <c r="C366" i="2"/>
  <c r="P364" i="2"/>
  <c r="C364" i="2"/>
  <c r="P362" i="2"/>
  <c r="C362" i="2"/>
  <c r="P360" i="2"/>
  <c r="C360" i="2"/>
  <c r="P358" i="2"/>
  <c r="C358" i="2"/>
  <c r="P356" i="2"/>
  <c r="C356" i="2"/>
  <c r="P354" i="2"/>
  <c r="C354" i="2"/>
  <c r="P352" i="2"/>
  <c r="C352" i="2"/>
  <c r="P350" i="2"/>
  <c r="C350" i="2"/>
  <c r="P348" i="2"/>
  <c r="C348" i="2"/>
  <c r="P346" i="2"/>
  <c r="C346" i="2"/>
  <c r="P344" i="2"/>
  <c r="C344" i="2"/>
  <c r="P342" i="2"/>
  <c r="C342" i="2"/>
  <c r="P340" i="2"/>
  <c r="C340" i="2"/>
  <c r="P338" i="2"/>
  <c r="C338" i="2"/>
  <c r="P336" i="2"/>
  <c r="C336" i="2"/>
  <c r="P334" i="2"/>
  <c r="C334" i="2"/>
  <c r="P332" i="2"/>
  <c r="C332" i="2"/>
  <c r="P330" i="2"/>
  <c r="C330" i="2"/>
  <c r="P328" i="2"/>
  <c r="C328" i="2"/>
  <c r="P326" i="2"/>
  <c r="C326" i="2"/>
  <c r="P324" i="2"/>
  <c r="C324" i="2"/>
  <c r="P322" i="2"/>
  <c r="C322" i="2"/>
  <c r="P320" i="2"/>
  <c r="C320" i="2"/>
  <c r="P318" i="2"/>
  <c r="C318" i="2"/>
  <c r="P316" i="2"/>
  <c r="C316" i="2"/>
  <c r="P314" i="2"/>
  <c r="C314" i="2"/>
  <c r="P312" i="2"/>
  <c r="C312" i="2"/>
  <c r="P310" i="2"/>
  <c r="C310" i="2"/>
  <c r="P308" i="2"/>
  <c r="C308" i="2"/>
  <c r="P306" i="2"/>
  <c r="C306" i="2"/>
  <c r="P304" i="2"/>
  <c r="C304" i="2"/>
  <c r="P302" i="2"/>
  <c r="C302" i="2"/>
  <c r="P300" i="2"/>
  <c r="C300" i="2"/>
  <c r="P298" i="2"/>
  <c r="C298" i="2"/>
  <c r="P296" i="2"/>
  <c r="C296" i="2"/>
  <c r="P294" i="2"/>
  <c r="C294" i="2"/>
  <c r="P292" i="2"/>
  <c r="C292" i="2"/>
  <c r="P290" i="2"/>
  <c r="C290" i="2"/>
  <c r="P288" i="2"/>
  <c r="C288" i="2"/>
  <c r="P286" i="2"/>
  <c r="C286" i="2"/>
  <c r="P284" i="2"/>
  <c r="C284" i="2"/>
  <c r="P282" i="2"/>
  <c r="C282" i="2"/>
  <c r="P280" i="2"/>
  <c r="C280" i="2"/>
  <c r="P278" i="2"/>
  <c r="C278" i="2"/>
  <c r="P276" i="2"/>
  <c r="C276" i="2"/>
  <c r="P274" i="2"/>
  <c r="C274" i="2"/>
  <c r="P272" i="2"/>
  <c r="C272" i="2"/>
  <c r="P270" i="2"/>
  <c r="C270" i="2"/>
  <c r="P268" i="2"/>
  <c r="C268" i="2"/>
  <c r="P266" i="2"/>
  <c r="C266" i="2"/>
  <c r="P264" i="2"/>
  <c r="C264" i="2"/>
  <c r="P262" i="2"/>
  <c r="C262" i="2"/>
  <c r="P260" i="2"/>
  <c r="C260" i="2"/>
  <c r="P258" i="2"/>
  <c r="C258" i="2"/>
  <c r="P256" i="2"/>
  <c r="C256" i="2"/>
  <c r="P687" i="2"/>
  <c r="T644" i="2"/>
  <c r="P622" i="2"/>
  <c r="S605" i="2"/>
  <c r="S589" i="2"/>
  <c r="S573" i="2"/>
  <c r="S557" i="2"/>
  <c r="N545" i="2"/>
  <c r="N537" i="2"/>
  <c r="C530" i="2"/>
  <c r="R523" i="2"/>
  <c r="R517" i="2"/>
  <c r="N513" i="2"/>
  <c r="N509" i="2"/>
  <c r="O505" i="2"/>
  <c r="K502" i="2"/>
  <c r="G499" i="2"/>
  <c r="C496" i="2"/>
  <c r="R492" i="2"/>
  <c r="D490" i="2"/>
  <c r="J487" i="2"/>
  <c r="Q484" i="2"/>
  <c r="D482" i="2"/>
  <c r="J479" i="2"/>
  <c r="Q476" i="2"/>
  <c r="D474" i="2"/>
  <c r="J471" i="2"/>
  <c r="Q468" i="2"/>
  <c r="D466" i="2"/>
  <c r="J463" i="2"/>
  <c r="Q460" i="2"/>
  <c r="D458" i="2"/>
  <c r="J455" i="2"/>
  <c r="Q452" i="2"/>
  <c r="D450" i="2"/>
  <c r="J447" i="2"/>
  <c r="Q444" i="2"/>
  <c r="D442" i="2"/>
  <c r="J439" i="2"/>
  <c r="Q436" i="2"/>
  <c r="D434" i="2"/>
  <c r="J431" i="2"/>
  <c r="Q428" i="2"/>
  <c r="D426" i="2"/>
  <c r="J423" i="2"/>
  <c r="Q420" i="2"/>
  <c r="D418" i="2"/>
  <c r="J415" i="2"/>
  <c r="Q412" i="2"/>
  <c r="D410" i="2"/>
  <c r="J407" i="2"/>
  <c r="A405" i="2"/>
  <c r="A403" i="2"/>
  <c r="J401" i="2"/>
  <c r="R399" i="2"/>
  <c r="K398" i="2"/>
  <c r="E397" i="2"/>
  <c r="R395" i="2"/>
  <c r="K394" i="2"/>
  <c r="E393" i="2"/>
  <c r="R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R372" i="2"/>
  <c r="A372" i="2"/>
  <c r="H371" i="2"/>
  <c r="O370" i="2"/>
  <c r="A370" i="2"/>
  <c r="H369" i="2"/>
  <c r="O368" i="2"/>
  <c r="A368" i="2"/>
  <c r="H367" i="2"/>
  <c r="O366" i="2"/>
  <c r="A366" i="2"/>
  <c r="H365" i="2"/>
  <c r="O364" i="2"/>
  <c r="A364" i="2"/>
  <c r="H363" i="2"/>
  <c r="O362" i="2"/>
  <c r="A362" i="2"/>
  <c r="H361" i="2"/>
  <c r="O360" i="2"/>
  <c r="A360" i="2"/>
  <c r="H359" i="2"/>
  <c r="O358" i="2"/>
  <c r="A358" i="2"/>
  <c r="H357" i="2"/>
  <c r="O356" i="2"/>
  <c r="A356" i="2"/>
  <c r="H355" i="2"/>
  <c r="O354" i="2"/>
  <c r="A354" i="2"/>
  <c r="H353" i="2"/>
  <c r="O352" i="2"/>
  <c r="A352" i="2"/>
  <c r="H351" i="2"/>
  <c r="O350" i="2"/>
  <c r="A350" i="2"/>
  <c r="H349" i="2"/>
  <c r="O348" i="2"/>
  <c r="A348" i="2"/>
  <c r="H347" i="2"/>
  <c r="O346" i="2"/>
  <c r="A346" i="2"/>
  <c r="H345" i="2"/>
  <c r="O344" i="2"/>
  <c r="A344" i="2"/>
  <c r="H343" i="2"/>
  <c r="O342" i="2"/>
  <c r="A342" i="2"/>
  <c r="H341" i="2"/>
  <c r="O340" i="2"/>
  <c r="A340" i="2"/>
  <c r="H339" i="2"/>
  <c r="O338" i="2"/>
  <c r="A338" i="2"/>
  <c r="H337" i="2"/>
  <c r="O336" i="2"/>
  <c r="A336" i="2"/>
  <c r="H335" i="2"/>
  <c r="O334" i="2"/>
  <c r="A334" i="2"/>
  <c r="H333" i="2"/>
  <c r="O332" i="2"/>
  <c r="A332" i="2"/>
  <c r="H331" i="2"/>
  <c r="O330" i="2"/>
  <c r="A330" i="2"/>
  <c r="H329" i="2"/>
  <c r="O328" i="2"/>
  <c r="A328" i="2"/>
  <c r="H327" i="2"/>
  <c r="O326" i="2"/>
  <c r="A326" i="2"/>
  <c r="H325" i="2"/>
  <c r="O324" i="2"/>
  <c r="A324" i="2"/>
  <c r="H323" i="2"/>
  <c r="O322" i="2"/>
  <c r="A322" i="2"/>
  <c r="H321" i="2"/>
  <c r="O320" i="2"/>
  <c r="A320" i="2"/>
  <c r="H319" i="2"/>
  <c r="O318" i="2"/>
  <c r="A318" i="2"/>
  <c r="H317" i="2"/>
  <c r="O316" i="2"/>
  <c r="A316" i="2"/>
  <c r="H315" i="2"/>
  <c r="O314" i="2"/>
  <c r="A314" i="2"/>
  <c r="H313" i="2"/>
  <c r="O312" i="2"/>
  <c r="A312" i="2"/>
  <c r="H311" i="2"/>
  <c r="O310" i="2"/>
  <c r="A310" i="2"/>
  <c r="H309" i="2"/>
  <c r="O308" i="2"/>
  <c r="A308" i="2"/>
  <c r="H307" i="2"/>
  <c r="O306" i="2"/>
  <c r="A306" i="2"/>
  <c r="H305" i="2"/>
  <c r="O304" i="2"/>
  <c r="A304" i="2"/>
  <c r="H303" i="2"/>
  <c r="O302" i="2"/>
  <c r="A302" i="2"/>
  <c r="H301" i="2"/>
  <c r="O300" i="2"/>
  <c r="A300" i="2"/>
  <c r="H299" i="2"/>
  <c r="O298" i="2"/>
  <c r="A298" i="2"/>
  <c r="H297" i="2"/>
  <c r="O296" i="2"/>
  <c r="A296" i="2"/>
  <c r="H295" i="2"/>
  <c r="O294" i="2"/>
  <c r="A294" i="2"/>
  <c r="H293" i="2"/>
  <c r="O292" i="2"/>
  <c r="A292" i="2"/>
  <c r="H291" i="2"/>
  <c r="O290" i="2"/>
  <c r="A290" i="2"/>
  <c r="H289" i="2"/>
  <c r="O288" i="2"/>
  <c r="A288" i="2"/>
  <c r="H287" i="2"/>
  <c r="O286" i="2"/>
  <c r="A286" i="2"/>
  <c r="H285" i="2"/>
  <c r="O284" i="2"/>
  <c r="A284" i="2"/>
  <c r="H283" i="2"/>
  <c r="O282" i="2"/>
  <c r="A282" i="2"/>
  <c r="H281" i="2"/>
  <c r="O280" i="2"/>
  <c r="A280" i="2"/>
  <c r="H279" i="2"/>
  <c r="O278" i="2"/>
  <c r="A278" i="2"/>
  <c r="H277" i="2"/>
  <c r="O276" i="2"/>
  <c r="A276" i="2"/>
  <c r="H275" i="2"/>
  <c r="O274" i="2"/>
  <c r="A274" i="2"/>
  <c r="H273" i="2"/>
  <c r="O272" i="2"/>
  <c r="A272" i="2"/>
  <c r="H271" i="2"/>
  <c r="O270" i="2"/>
  <c r="A270" i="2"/>
  <c r="H269" i="2"/>
  <c r="O268" i="2"/>
  <c r="A268" i="2"/>
  <c r="H267" i="2"/>
  <c r="O266" i="2"/>
  <c r="A266" i="2"/>
  <c r="H265" i="2"/>
  <c r="O264" i="2"/>
  <c r="A264" i="2"/>
  <c r="H263" i="2"/>
  <c r="O262" i="2"/>
  <c r="A262" i="2"/>
  <c r="H261" i="2"/>
  <c r="K634" i="2"/>
  <c r="J615" i="2"/>
  <c r="F599" i="2"/>
  <c r="F583" i="2"/>
  <c r="F567" i="2"/>
  <c r="F551" i="2"/>
  <c r="G542" i="2"/>
  <c r="G534" i="2"/>
  <c r="E521" i="2"/>
  <c r="T515" i="2"/>
  <c r="T511" i="2"/>
  <c r="T507" i="2"/>
  <c r="H504" i="2"/>
  <c r="E501" i="2"/>
  <c r="T497" i="2"/>
  <c r="P494" i="2"/>
  <c r="O491" i="2"/>
  <c r="A489" i="2"/>
  <c r="H486" i="2"/>
  <c r="O483" i="2"/>
  <c r="A481" i="2"/>
  <c r="H478" i="2"/>
  <c r="O475" i="2"/>
  <c r="A473" i="2"/>
  <c r="H470" i="2"/>
  <c r="O467" i="2"/>
  <c r="A465" i="2"/>
  <c r="H462" i="2"/>
  <c r="O459" i="2"/>
  <c r="A457" i="2"/>
  <c r="H454" i="2"/>
  <c r="O451" i="2"/>
  <c r="A449" i="2"/>
  <c r="H446" i="2"/>
  <c r="O443" i="2"/>
  <c r="A441" i="2"/>
  <c r="H438" i="2"/>
  <c r="O435" i="2"/>
  <c r="A433" i="2"/>
  <c r="H430" i="2"/>
  <c r="O427" i="2"/>
  <c r="A425" i="2"/>
  <c r="H422" i="2"/>
  <c r="O419" i="2"/>
  <c r="A417" i="2"/>
  <c r="H414" i="2"/>
  <c r="O411" i="2"/>
  <c r="A409" i="2"/>
  <c r="H406" i="2"/>
  <c r="H404" i="2"/>
  <c r="J402" i="2"/>
  <c r="T400" i="2"/>
  <c r="J399" i="2"/>
  <c r="D398" i="2"/>
  <c r="Q396" i="2"/>
  <c r="J395" i="2"/>
  <c r="D394" i="2"/>
  <c r="Q392" i="2"/>
  <c r="M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K372" i="2"/>
  <c r="Q371" i="2"/>
  <c r="D371" i="2"/>
  <c r="J370" i="2"/>
  <c r="Q369" i="2"/>
  <c r="D369" i="2"/>
  <c r="J368" i="2"/>
  <c r="Q367" i="2"/>
  <c r="D367" i="2"/>
  <c r="J366" i="2"/>
  <c r="Q365" i="2"/>
  <c r="D365" i="2"/>
  <c r="J364" i="2"/>
  <c r="Q363" i="2"/>
  <c r="D363" i="2"/>
  <c r="J362" i="2"/>
  <c r="Q361" i="2"/>
  <c r="D361" i="2"/>
  <c r="J360" i="2"/>
  <c r="Q359" i="2"/>
  <c r="D359" i="2"/>
  <c r="J358" i="2"/>
  <c r="Q357" i="2"/>
  <c r="D357" i="2"/>
  <c r="J356" i="2"/>
  <c r="Q355" i="2"/>
  <c r="D355" i="2"/>
  <c r="J354" i="2"/>
  <c r="Q353" i="2"/>
  <c r="D353" i="2"/>
  <c r="J352" i="2"/>
  <c r="Q351" i="2"/>
  <c r="D351" i="2"/>
  <c r="J350" i="2"/>
  <c r="Q349" i="2"/>
  <c r="D349" i="2"/>
  <c r="J348" i="2"/>
  <c r="Q347" i="2"/>
  <c r="D347" i="2"/>
  <c r="J346" i="2"/>
  <c r="Q345" i="2"/>
  <c r="D345" i="2"/>
  <c r="J344" i="2"/>
  <c r="Q343" i="2"/>
  <c r="D343" i="2"/>
  <c r="J342" i="2"/>
  <c r="Q341" i="2"/>
  <c r="D341" i="2"/>
  <c r="J340" i="2"/>
  <c r="Q339" i="2"/>
  <c r="D339" i="2"/>
  <c r="J338" i="2"/>
  <c r="Q337" i="2"/>
  <c r="D337" i="2"/>
  <c r="J336" i="2"/>
  <c r="Q335" i="2"/>
  <c r="D335" i="2"/>
  <c r="J334" i="2"/>
  <c r="Q333" i="2"/>
  <c r="D333" i="2"/>
  <c r="J332" i="2"/>
  <c r="Q331" i="2"/>
  <c r="D331" i="2"/>
  <c r="J330" i="2"/>
  <c r="Q329" i="2"/>
  <c r="D329" i="2"/>
  <c r="J328" i="2"/>
  <c r="Q327" i="2"/>
  <c r="D327" i="2"/>
  <c r="J326" i="2"/>
  <c r="Q325" i="2"/>
  <c r="D325" i="2"/>
  <c r="J324" i="2"/>
  <c r="Q323" i="2"/>
  <c r="D323" i="2"/>
  <c r="J322" i="2"/>
  <c r="Q321" i="2"/>
  <c r="D321" i="2"/>
  <c r="J320" i="2"/>
  <c r="Q319" i="2"/>
  <c r="D319" i="2"/>
  <c r="J318" i="2"/>
  <c r="Q317" i="2"/>
  <c r="D317" i="2"/>
  <c r="J316" i="2"/>
  <c r="Q315" i="2"/>
  <c r="D315" i="2"/>
  <c r="J314" i="2"/>
  <c r="Q313" i="2"/>
  <c r="D313" i="2"/>
  <c r="J312" i="2"/>
  <c r="Q311" i="2"/>
  <c r="D311" i="2"/>
  <c r="J310" i="2"/>
  <c r="Q309" i="2"/>
  <c r="D309" i="2"/>
  <c r="J308" i="2"/>
  <c r="Q307" i="2"/>
  <c r="D307" i="2"/>
  <c r="J306" i="2"/>
  <c r="Q305" i="2"/>
  <c r="D305" i="2"/>
  <c r="J304" i="2"/>
  <c r="Q303" i="2"/>
  <c r="D303" i="2"/>
  <c r="J302" i="2"/>
  <c r="Q301" i="2"/>
  <c r="D301" i="2"/>
  <c r="J300" i="2"/>
  <c r="Q299" i="2"/>
  <c r="D299" i="2"/>
  <c r="J298" i="2"/>
  <c r="Q297" i="2"/>
  <c r="D297" i="2"/>
  <c r="J296" i="2"/>
  <c r="Q295" i="2"/>
  <c r="D295" i="2"/>
  <c r="J294" i="2"/>
  <c r="Q293" i="2"/>
  <c r="D293" i="2"/>
  <c r="J292" i="2"/>
  <c r="Q291" i="2"/>
  <c r="D291" i="2"/>
  <c r="J290" i="2"/>
  <c r="Q289" i="2"/>
  <c r="D289" i="2"/>
  <c r="J288" i="2"/>
  <c r="Q287" i="2"/>
  <c r="D287" i="2"/>
  <c r="J286" i="2"/>
  <c r="Q285" i="2"/>
  <c r="D285" i="2"/>
  <c r="J284" i="2"/>
  <c r="Q283" i="2"/>
  <c r="D283" i="2"/>
  <c r="J282" i="2"/>
  <c r="Q281" i="2"/>
  <c r="D281" i="2"/>
  <c r="J280" i="2"/>
  <c r="Q279" i="2"/>
  <c r="D279" i="2"/>
  <c r="J278" i="2"/>
  <c r="Q277" i="2"/>
  <c r="D277" i="2"/>
  <c r="J276" i="2"/>
  <c r="Q275" i="2"/>
  <c r="D275" i="2"/>
  <c r="J274" i="2"/>
  <c r="Q273" i="2"/>
  <c r="D273" i="2"/>
  <c r="J272" i="2"/>
  <c r="Q271" i="2"/>
  <c r="D271" i="2"/>
  <c r="J270" i="2"/>
  <c r="Q269" i="2"/>
  <c r="D269" i="2"/>
  <c r="J268" i="2"/>
  <c r="Q267" i="2"/>
  <c r="D267" i="2"/>
  <c r="J266" i="2"/>
  <c r="Q265" i="2"/>
  <c r="D265" i="2"/>
  <c r="J264" i="2"/>
  <c r="Q263" i="2"/>
  <c r="D263" i="2"/>
  <c r="J262" i="2"/>
  <c r="Q261" i="2"/>
  <c r="D261" i="2"/>
  <c r="J260" i="2"/>
  <c r="Q259" i="2"/>
  <c r="D259" i="2"/>
  <c r="J258" i="2"/>
  <c r="Q257" i="2"/>
  <c r="D257" i="2"/>
  <c r="J256" i="2"/>
  <c r="Q255" i="2"/>
  <c r="D255" i="2"/>
  <c r="J254" i="2"/>
  <c r="F665" i="2"/>
  <c r="H634" i="2"/>
  <c r="E599" i="2"/>
  <c r="E583" i="2"/>
  <c r="E567" i="2"/>
  <c r="E551" i="2"/>
  <c r="C542" i="2"/>
  <c r="C534" i="2"/>
  <c r="G527" i="2"/>
  <c r="T520" i="2"/>
  <c r="S515" i="2"/>
  <c r="S511" i="2"/>
  <c r="S507" i="2"/>
  <c r="G504" i="2"/>
  <c r="D501" i="2"/>
  <c r="S497" i="2"/>
  <c r="O494" i="2"/>
  <c r="N491" i="2"/>
  <c r="T488" i="2"/>
  <c r="G486" i="2"/>
  <c r="N483" i="2"/>
  <c r="T480" i="2"/>
  <c r="G478" i="2"/>
  <c r="N475" i="2"/>
  <c r="T472" i="2"/>
  <c r="G470" i="2"/>
  <c r="N467" i="2"/>
  <c r="T464" i="2"/>
  <c r="G462" i="2"/>
  <c r="N459" i="2"/>
  <c r="T456" i="2"/>
  <c r="G454" i="2"/>
  <c r="N451" i="2"/>
  <c r="T448" i="2"/>
  <c r="G446" i="2"/>
  <c r="N443" i="2"/>
  <c r="T440" i="2"/>
  <c r="G438" i="2"/>
  <c r="N435" i="2"/>
  <c r="T432" i="2"/>
  <c r="G430" i="2"/>
  <c r="N427" i="2"/>
  <c r="T424" i="2"/>
  <c r="G422" i="2"/>
  <c r="N419" i="2"/>
  <c r="T416" i="2"/>
  <c r="G414" i="2"/>
  <c r="N411" i="2"/>
  <c r="T408" i="2"/>
  <c r="G406" i="2"/>
  <c r="G404" i="2"/>
  <c r="H402" i="2"/>
  <c r="Q400" i="2"/>
  <c r="G399" i="2"/>
  <c r="T397" i="2"/>
  <c r="N396" i="2"/>
  <c r="G395" i="2"/>
  <c r="T393" i="2"/>
  <c r="N392" i="2"/>
  <c r="J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J372" i="2"/>
  <c r="P371" i="2"/>
  <c r="C371" i="2"/>
  <c r="P369" i="2"/>
  <c r="C369" i="2"/>
  <c r="P367" i="2"/>
  <c r="C367" i="2"/>
  <c r="P365" i="2"/>
  <c r="C365" i="2"/>
  <c r="P363" i="2"/>
  <c r="C363" i="2"/>
  <c r="P361" i="2"/>
  <c r="C361" i="2"/>
  <c r="P359" i="2"/>
  <c r="C359" i="2"/>
  <c r="P357" i="2"/>
  <c r="C357" i="2"/>
  <c r="P355" i="2"/>
  <c r="C355" i="2"/>
  <c r="P353" i="2"/>
  <c r="C353" i="2"/>
  <c r="P351" i="2"/>
  <c r="C351" i="2"/>
  <c r="P349" i="2"/>
  <c r="C349" i="2"/>
  <c r="P347" i="2"/>
  <c r="C347" i="2"/>
  <c r="P345" i="2"/>
  <c r="C345" i="2"/>
  <c r="P343" i="2"/>
  <c r="C343" i="2"/>
  <c r="P341" i="2"/>
  <c r="C341" i="2"/>
  <c r="P339" i="2"/>
  <c r="C339" i="2"/>
  <c r="P337" i="2"/>
  <c r="C337" i="2"/>
  <c r="P335" i="2"/>
  <c r="C335" i="2"/>
  <c r="D678" i="2"/>
  <c r="F587" i="2"/>
  <c r="G536" i="2"/>
  <c r="T512" i="2"/>
  <c r="P498" i="2"/>
  <c r="A487" i="2"/>
  <c r="H476" i="2"/>
  <c r="O465" i="2"/>
  <c r="A455" i="2"/>
  <c r="H444" i="2"/>
  <c r="O433" i="2"/>
  <c r="A423" i="2"/>
  <c r="H412" i="2"/>
  <c r="T402" i="2"/>
  <c r="D397" i="2"/>
  <c r="Q391" i="2"/>
  <c r="O387" i="2"/>
  <c r="O383" i="2"/>
  <c r="O379" i="2"/>
  <c r="O375" i="2"/>
  <c r="T371" i="2"/>
  <c r="G369" i="2"/>
  <c r="N366" i="2"/>
  <c r="T363" i="2"/>
  <c r="G361" i="2"/>
  <c r="N358" i="2"/>
  <c r="T355" i="2"/>
  <c r="G353" i="2"/>
  <c r="N350" i="2"/>
  <c r="T347" i="2"/>
  <c r="G345" i="2"/>
  <c r="N342" i="2"/>
  <c r="T339" i="2"/>
  <c r="G337" i="2"/>
  <c r="N334" i="2"/>
  <c r="M332" i="2"/>
  <c r="M330" i="2"/>
  <c r="M328" i="2"/>
  <c r="M326" i="2"/>
  <c r="A325" i="2"/>
  <c r="F323" i="2"/>
  <c r="P321" i="2"/>
  <c r="T319" i="2"/>
  <c r="K318" i="2"/>
  <c r="C317" i="2"/>
  <c r="P315" i="2"/>
  <c r="K314" i="2"/>
  <c r="G313" i="2"/>
  <c r="E312" i="2"/>
  <c r="C311" i="2"/>
  <c r="S309" i="2"/>
  <c r="Q308" i="2"/>
  <c r="O307" i="2"/>
  <c r="K306" i="2"/>
  <c r="G305" i="2"/>
  <c r="E304" i="2"/>
  <c r="C303" i="2"/>
  <c r="S301" i="2"/>
  <c r="Q300" i="2"/>
  <c r="O299" i="2"/>
  <c r="K298" i="2"/>
  <c r="G297" i="2"/>
  <c r="E296" i="2"/>
  <c r="C295" i="2"/>
  <c r="S293" i="2"/>
  <c r="Q292" i="2"/>
  <c r="O291" i="2"/>
  <c r="K290" i="2"/>
  <c r="G289" i="2"/>
  <c r="E288" i="2"/>
  <c r="C287" i="2"/>
  <c r="S285" i="2"/>
  <c r="Q284" i="2"/>
  <c r="O283" i="2"/>
  <c r="N282" i="2"/>
  <c r="P281" i="2"/>
  <c r="S280" i="2"/>
  <c r="T279" i="2"/>
  <c r="C279" i="2"/>
  <c r="F278" i="2"/>
  <c r="G277" i="2"/>
  <c r="M275" i="2"/>
  <c r="N274" i="2"/>
  <c r="P273" i="2"/>
  <c r="S272" i="2"/>
  <c r="T271" i="2"/>
  <c r="C271" i="2"/>
  <c r="F270" i="2"/>
  <c r="G269" i="2"/>
  <c r="M267" i="2"/>
  <c r="N266" i="2"/>
  <c r="P265" i="2"/>
  <c r="S264" i="2"/>
  <c r="T263" i="2"/>
  <c r="C263" i="2"/>
  <c r="F262" i="2"/>
  <c r="G261" i="2"/>
  <c r="K260" i="2"/>
  <c r="O259" i="2"/>
  <c r="S258" i="2"/>
  <c r="D258" i="2"/>
  <c r="G257" i="2"/>
  <c r="K256" i="2"/>
  <c r="O255" i="2"/>
  <c r="T254" i="2"/>
  <c r="F254" i="2"/>
  <c r="M253" i="2"/>
  <c r="S252" i="2"/>
  <c r="F252" i="2"/>
  <c r="M251" i="2"/>
  <c r="S250" i="2"/>
  <c r="F250" i="2"/>
  <c r="M249" i="2"/>
  <c r="S248" i="2"/>
  <c r="F248" i="2"/>
  <c r="M247" i="2"/>
  <c r="S246" i="2"/>
  <c r="F246" i="2"/>
  <c r="M245" i="2"/>
  <c r="S244" i="2"/>
  <c r="F244" i="2"/>
  <c r="M243" i="2"/>
  <c r="S242" i="2"/>
  <c r="F242" i="2"/>
  <c r="M241" i="2"/>
  <c r="S240" i="2"/>
  <c r="F240" i="2"/>
  <c r="M239" i="2"/>
  <c r="S238" i="2"/>
  <c r="F238" i="2"/>
  <c r="M237" i="2"/>
  <c r="S236" i="2"/>
  <c r="F236" i="2"/>
  <c r="M235" i="2"/>
  <c r="S234" i="2"/>
  <c r="F234" i="2"/>
  <c r="M233" i="2"/>
  <c r="S232" i="2"/>
  <c r="F232" i="2"/>
  <c r="M231" i="2"/>
  <c r="S230" i="2"/>
  <c r="F230" i="2"/>
  <c r="M229" i="2"/>
  <c r="S228" i="2"/>
  <c r="F228" i="2"/>
  <c r="M227" i="2"/>
  <c r="S226" i="2"/>
  <c r="F226" i="2"/>
  <c r="T677" i="2"/>
  <c r="E587" i="2"/>
  <c r="C536" i="2"/>
  <c r="R512" i="2"/>
  <c r="O498" i="2"/>
  <c r="T486" i="2"/>
  <c r="G476" i="2"/>
  <c r="N465" i="2"/>
  <c r="T454" i="2"/>
  <c r="G444" i="2"/>
  <c r="N433" i="2"/>
  <c r="T422" i="2"/>
  <c r="G412" i="2"/>
  <c r="Q402" i="2"/>
  <c r="A397" i="2"/>
  <c r="O391" i="2"/>
  <c r="N387" i="2"/>
  <c r="N383" i="2"/>
  <c r="N379" i="2"/>
  <c r="N375" i="2"/>
  <c r="S371" i="2"/>
  <c r="F369" i="2"/>
  <c r="M366" i="2"/>
  <c r="S363" i="2"/>
  <c r="F361" i="2"/>
  <c r="M358" i="2"/>
  <c r="S355" i="2"/>
  <c r="F353" i="2"/>
  <c r="M350" i="2"/>
  <c r="S347" i="2"/>
  <c r="F345" i="2"/>
  <c r="M342" i="2"/>
  <c r="S339" i="2"/>
  <c r="F337" i="2"/>
  <c r="M334" i="2"/>
  <c r="K332" i="2"/>
  <c r="K330" i="2"/>
  <c r="K328" i="2"/>
  <c r="K326" i="2"/>
  <c r="N324" i="2"/>
  <c r="E323" i="2"/>
  <c r="O321" i="2"/>
  <c r="S319" i="2"/>
  <c r="A317" i="2"/>
  <c r="O315" i="2"/>
  <c r="F313" i="2"/>
  <c r="D312" i="2"/>
  <c r="A311" i="2"/>
  <c r="R309" i="2"/>
  <c r="N308" i="2"/>
  <c r="K307" i="2"/>
  <c r="F305" i="2"/>
  <c r="D304" i="2"/>
  <c r="A303" i="2"/>
  <c r="R301" i="2"/>
  <c r="N300" i="2"/>
  <c r="K299" i="2"/>
  <c r="F297" i="2"/>
  <c r="D296" i="2"/>
  <c r="A295" i="2"/>
  <c r="R293" i="2"/>
  <c r="N292" i="2"/>
  <c r="K291" i="2"/>
  <c r="F289" i="2"/>
  <c r="D288" i="2"/>
  <c r="A287" i="2"/>
  <c r="R285" i="2"/>
  <c r="N284" i="2"/>
  <c r="K283" i="2"/>
  <c r="M282" i="2"/>
  <c r="O281" i="2"/>
  <c r="R280" i="2"/>
  <c r="S279" i="2"/>
  <c r="A279" i="2"/>
  <c r="E278" i="2"/>
  <c r="F277" i="2"/>
  <c r="H276" i="2"/>
  <c r="K275" i="2"/>
  <c r="M274" i="2"/>
  <c r="O273" i="2"/>
  <c r="R272" i="2"/>
  <c r="S271" i="2"/>
  <c r="A271" i="2"/>
  <c r="E270" i="2"/>
  <c r="F269" i="2"/>
  <c r="H268" i="2"/>
  <c r="K267" i="2"/>
  <c r="M266" i="2"/>
  <c r="O265" i="2"/>
  <c r="R264" i="2"/>
  <c r="S263" i="2"/>
  <c r="A263" i="2"/>
  <c r="E262" i="2"/>
  <c r="F261" i="2"/>
  <c r="N259" i="2"/>
  <c r="R258" i="2"/>
  <c r="A258" i="2"/>
  <c r="F257" i="2"/>
  <c r="N255" i="2"/>
  <c r="S254" i="2"/>
  <c r="E254" i="2"/>
  <c r="K253" i="2"/>
  <c r="R252" i="2"/>
  <c r="E252" i="2"/>
  <c r="K251" i="2"/>
  <c r="R250" i="2"/>
  <c r="E250" i="2"/>
  <c r="K249" i="2"/>
  <c r="R248" i="2"/>
  <c r="E248" i="2"/>
  <c r="K247" i="2"/>
  <c r="R246" i="2"/>
  <c r="E246" i="2"/>
  <c r="J673" i="2"/>
  <c r="S585" i="2"/>
  <c r="N535" i="2"/>
  <c r="N512" i="2"/>
  <c r="K498" i="2"/>
  <c r="Q486" i="2"/>
  <c r="D476" i="2"/>
  <c r="J465" i="2"/>
  <c r="Q454" i="2"/>
  <c r="D444" i="2"/>
  <c r="J433" i="2"/>
  <c r="Q422" i="2"/>
  <c r="D412" i="2"/>
  <c r="K402" i="2"/>
  <c r="T396" i="2"/>
  <c r="N391" i="2"/>
  <c r="M387" i="2"/>
  <c r="M383" i="2"/>
  <c r="M379" i="2"/>
  <c r="M375" i="2"/>
  <c r="R371" i="2"/>
  <c r="E369" i="2"/>
  <c r="K366" i="2"/>
  <c r="R363" i="2"/>
  <c r="E361" i="2"/>
  <c r="K358" i="2"/>
  <c r="R355" i="2"/>
  <c r="E353" i="2"/>
  <c r="K350" i="2"/>
  <c r="R347" i="2"/>
  <c r="E345" i="2"/>
  <c r="K342" i="2"/>
  <c r="R339" i="2"/>
  <c r="E337" i="2"/>
  <c r="K334" i="2"/>
  <c r="M324" i="2"/>
  <c r="C323" i="2"/>
  <c r="G321" i="2"/>
  <c r="R319" i="2"/>
  <c r="H318" i="2"/>
  <c r="Q316" i="2"/>
  <c r="J315" i="2"/>
  <c r="H314" i="2"/>
  <c r="E313" i="2"/>
  <c r="T311" i="2"/>
  <c r="R310" i="2"/>
  <c r="P309" i="2"/>
  <c r="M308" i="2"/>
  <c r="J307" i="2"/>
  <c r="H306" i="2"/>
  <c r="E305" i="2"/>
  <c r="T303" i="2"/>
  <c r="R302" i="2"/>
  <c r="P301" i="2"/>
  <c r="M300" i="2"/>
  <c r="J299" i="2"/>
  <c r="H298" i="2"/>
  <c r="E297" i="2"/>
  <c r="T295" i="2"/>
  <c r="R294" i="2"/>
  <c r="P293" i="2"/>
  <c r="M292" i="2"/>
  <c r="J291" i="2"/>
  <c r="H290" i="2"/>
  <c r="E289" i="2"/>
  <c r="T287" i="2"/>
  <c r="R286" i="2"/>
  <c r="P285" i="2"/>
  <c r="M284" i="2"/>
  <c r="J283" i="2"/>
  <c r="K282" i="2"/>
  <c r="N281" i="2"/>
  <c r="Q280" i="2"/>
  <c r="R279" i="2"/>
  <c r="T278" i="2"/>
  <c r="D278" i="2"/>
  <c r="E277" i="2"/>
  <c r="G276" i="2"/>
  <c r="J275" i="2"/>
  <c r="K274" i="2"/>
  <c r="N273" i="2"/>
  <c r="Q272" i="2"/>
  <c r="R271" i="2"/>
  <c r="T270" i="2"/>
  <c r="D270" i="2"/>
  <c r="E269" i="2"/>
  <c r="G268" i="2"/>
  <c r="J267" i="2"/>
  <c r="K266" i="2"/>
  <c r="N265" i="2"/>
  <c r="Q264" i="2"/>
  <c r="R263" i="2"/>
  <c r="T262" i="2"/>
  <c r="D262" i="2"/>
  <c r="E261" i="2"/>
  <c r="H260" i="2"/>
  <c r="M259" i="2"/>
  <c r="Q258" i="2"/>
  <c r="T257" i="2"/>
  <c r="E257" i="2"/>
  <c r="H256" i="2"/>
  <c r="M255" i="2"/>
  <c r="R254" i="2"/>
  <c r="D254" i="2"/>
  <c r="J253" i="2"/>
  <c r="Q252" i="2"/>
  <c r="D252" i="2"/>
  <c r="J251" i="2"/>
  <c r="Q250" i="2"/>
  <c r="D250" i="2"/>
  <c r="J249" i="2"/>
  <c r="Q248" i="2"/>
  <c r="D248" i="2"/>
  <c r="J247" i="2"/>
  <c r="Q246" i="2"/>
  <c r="K640" i="2"/>
  <c r="F571" i="2"/>
  <c r="E529" i="2"/>
  <c r="T508" i="2"/>
  <c r="K495" i="2"/>
  <c r="H484" i="2"/>
  <c r="O473" i="2"/>
  <c r="A463" i="2"/>
  <c r="H452" i="2"/>
  <c r="O441" i="2"/>
  <c r="A431" i="2"/>
  <c r="H420" i="2"/>
  <c r="O409" i="2"/>
  <c r="E401" i="2"/>
  <c r="Q395" i="2"/>
  <c r="O390" i="2"/>
  <c r="O386" i="2"/>
  <c r="O382" i="2"/>
  <c r="O378" i="2"/>
  <c r="O374" i="2"/>
  <c r="G371" i="2"/>
  <c r="N368" i="2"/>
  <c r="T365" i="2"/>
  <c r="G363" i="2"/>
  <c r="N360" i="2"/>
  <c r="T357" i="2"/>
  <c r="G355" i="2"/>
  <c r="N352" i="2"/>
  <c r="T349" i="2"/>
  <c r="G347" i="2"/>
  <c r="N344" i="2"/>
  <c r="T341" i="2"/>
  <c r="G339" i="2"/>
  <c r="N336" i="2"/>
  <c r="T333" i="2"/>
  <c r="T331" i="2"/>
  <c r="T329" i="2"/>
  <c r="T327" i="2"/>
  <c r="T325" i="2"/>
  <c r="K324" i="2"/>
  <c r="A323" i="2"/>
  <c r="F321" i="2"/>
  <c r="P319" i="2"/>
  <c r="T317" i="2"/>
  <c r="N316" i="2"/>
  <c r="G315" i="2"/>
  <c r="E314" i="2"/>
  <c r="C313" i="2"/>
  <c r="S311" i="2"/>
  <c r="Q310" i="2"/>
  <c r="O309" i="2"/>
  <c r="K308" i="2"/>
  <c r="G307" i="2"/>
  <c r="E306" i="2"/>
  <c r="C305" i="2"/>
  <c r="S303" i="2"/>
  <c r="Q302" i="2"/>
  <c r="O301" i="2"/>
  <c r="K300" i="2"/>
  <c r="G299" i="2"/>
  <c r="E298" i="2"/>
  <c r="C297" i="2"/>
  <c r="S295" i="2"/>
  <c r="Q294" i="2"/>
  <c r="O293" i="2"/>
  <c r="K292" i="2"/>
  <c r="G291" i="2"/>
  <c r="E290" i="2"/>
  <c r="C289" i="2"/>
  <c r="S287" i="2"/>
  <c r="Q286" i="2"/>
  <c r="O285" i="2"/>
  <c r="K284" i="2"/>
  <c r="G283" i="2"/>
  <c r="M281" i="2"/>
  <c r="N280" i="2"/>
  <c r="P279" i="2"/>
  <c r="S278" i="2"/>
  <c r="T277" i="2"/>
  <c r="C277" i="2"/>
  <c r="F276" i="2"/>
  <c r="G275" i="2"/>
  <c r="M273" i="2"/>
  <c r="N272" i="2"/>
  <c r="P271" i="2"/>
  <c r="S270" i="2"/>
  <c r="T269" i="2"/>
  <c r="C269" i="2"/>
  <c r="F268" i="2"/>
  <c r="G267" i="2"/>
  <c r="M265" i="2"/>
  <c r="N264" i="2"/>
  <c r="P263" i="2"/>
  <c r="S262" i="2"/>
  <c r="T261" i="2"/>
  <c r="C261" i="2"/>
  <c r="G260" i="2"/>
  <c r="K259" i="2"/>
  <c r="O258" i="2"/>
  <c r="S257" i="2"/>
  <c r="C257" i="2"/>
  <c r="G256" i="2"/>
  <c r="K255" i="2"/>
  <c r="Q254" i="2"/>
  <c r="C254" i="2"/>
  <c r="P252" i="2"/>
  <c r="C252" i="2"/>
  <c r="P250" i="2"/>
  <c r="C250" i="2"/>
  <c r="P248" i="2"/>
  <c r="C248" i="2"/>
  <c r="P246" i="2"/>
  <c r="C246" i="2"/>
  <c r="P244" i="2"/>
  <c r="C244" i="2"/>
  <c r="P242" i="2"/>
  <c r="H640" i="2"/>
  <c r="E571" i="2"/>
  <c r="T528" i="2"/>
  <c r="R508" i="2"/>
  <c r="J495" i="2"/>
  <c r="G484" i="2"/>
  <c r="N473" i="2"/>
  <c r="T462" i="2"/>
  <c r="G452" i="2"/>
  <c r="N441" i="2"/>
  <c r="T430" i="2"/>
  <c r="G420" i="2"/>
  <c r="N409" i="2"/>
  <c r="D401" i="2"/>
  <c r="O395" i="2"/>
  <c r="N390" i="2"/>
  <c r="N386" i="2"/>
  <c r="N382" i="2"/>
  <c r="N378" i="2"/>
  <c r="N374" i="2"/>
  <c r="F371" i="2"/>
  <c r="M368" i="2"/>
  <c r="S365" i="2"/>
  <c r="F363" i="2"/>
  <c r="M360" i="2"/>
  <c r="S357" i="2"/>
  <c r="F355" i="2"/>
  <c r="M352" i="2"/>
  <c r="S349" i="2"/>
  <c r="F347" i="2"/>
  <c r="M344" i="2"/>
  <c r="S341" i="2"/>
  <c r="F339" i="2"/>
  <c r="M336" i="2"/>
  <c r="S333" i="2"/>
  <c r="S331" i="2"/>
  <c r="S329" i="2"/>
  <c r="S327" i="2"/>
  <c r="S325" i="2"/>
  <c r="N322" i="2"/>
  <c r="E321" i="2"/>
  <c r="O319" i="2"/>
  <c r="S317" i="2"/>
  <c r="M316" i="2"/>
  <c r="F315" i="2"/>
  <c r="D314" i="2"/>
  <c r="A313" i="2"/>
  <c r="R311" i="2"/>
  <c r="N310" i="2"/>
  <c r="K309" i="2"/>
  <c r="F307" i="2"/>
  <c r="D306" i="2"/>
  <c r="A305" i="2"/>
  <c r="R303" i="2"/>
  <c r="N302" i="2"/>
  <c r="K301" i="2"/>
  <c r="F299" i="2"/>
  <c r="D298" i="2"/>
  <c r="A297" i="2"/>
  <c r="R295" i="2"/>
  <c r="N294" i="2"/>
  <c r="K293" i="2"/>
  <c r="F291" i="2"/>
  <c r="D290" i="2"/>
  <c r="A289" i="2"/>
  <c r="R287" i="2"/>
  <c r="N286" i="2"/>
  <c r="K285" i="2"/>
  <c r="F283" i="2"/>
  <c r="H282" i="2"/>
  <c r="K281" i="2"/>
  <c r="M280" i="2"/>
  <c r="O279" i="2"/>
  <c r="R278" i="2"/>
  <c r="S277" i="2"/>
  <c r="A277" i="2"/>
  <c r="E276" i="2"/>
  <c r="F275" i="2"/>
  <c r="H274" i="2"/>
  <c r="K273" i="2"/>
  <c r="M272" i="2"/>
  <c r="O271" i="2"/>
  <c r="R270" i="2"/>
  <c r="S269" i="2"/>
  <c r="A269" i="2"/>
  <c r="E268" i="2"/>
  <c r="F267" i="2"/>
  <c r="H266" i="2"/>
  <c r="K265" i="2"/>
  <c r="M264" i="2"/>
  <c r="O263" i="2"/>
  <c r="R262" i="2"/>
  <c r="S261" i="2"/>
  <c r="A261" i="2"/>
  <c r="F260" i="2"/>
  <c r="J259" i="2"/>
  <c r="N258" i="2"/>
  <c r="R257" i="2"/>
  <c r="A257" i="2"/>
  <c r="F256" i="2"/>
  <c r="J255" i="2"/>
  <c r="P254" i="2"/>
  <c r="A254" i="2"/>
  <c r="H253" i="2"/>
  <c r="O252" i="2"/>
  <c r="A252" i="2"/>
  <c r="H251" i="2"/>
  <c r="O250" i="2"/>
  <c r="A250" i="2"/>
  <c r="H249" i="2"/>
  <c r="O248" i="2"/>
  <c r="A248" i="2"/>
  <c r="H247" i="2"/>
  <c r="O246" i="2"/>
  <c r="K638" i="2"/>
  <c r="S569" i="2"/>
  <c r="M528" i="2"/>
  <c r="N508" i="2"/>
  <c r="G495" i="2"/>
  <c r="D484" i="2"/>
  <c r="J473" i="2"/>
  <c r="Q462" i="2"/>
  <c r="D452" i="2"/>
  <c r="J441" i="2"/>
  <c r="Q430" i="2"/>
  <c r="D420" i="2"/>
  <c r="J409" i="2"/>
  <c r="A401" i="2"/>
  <c r="N395" i="2"/>
  <c r="K390" i="2"/>
  <c r="K386" i="2"/>
  <c r="K382" i="2"/>
  <c r="K378" i="2"/>
  <c r="K374" i="2"/>
  <c r="E371" i="2"/>
  <c r="K368" i="2"/>
  <c r="R365" i="2"/>
  <c r="E363" i="2"/>
  <c r="K360" i="2"/>
  <c r="R357" i="2"/>
  <c r="E355" i="2"/>
  <c r="K352" i="2"/>
  <c r="R349" i="2"/>
  <c r="E347" i="2"/>
  <c r="K344" i="2"/>
  <c r="R341" i="2"/>
  <c r="E339" i="2"/>
  <c r="K336" i="2"/>
  <c r="R333" i="2"/>
  <c r="R331" i="2"/>
  <c r="R329" i="2"/>
  <c r="R327" i="2"/>
  <c r="R325" i="2"/>
  <c r="H324" i="2"/>
  <c r="M322" i="2"/>
  <c r="C321" i="2"/>
  <c r="G319" i="2"/>
  <c r="R317" i="2"/>
  <c r="K316" i="2"/>
  <c r="E315" i="2"/>
  <c r="T313" i="2"/>
  <c r="R312" i="2"/>
  <c r="P311" i="2"/>
  <c r="M310" i="2"/>
  <c r="J309" i="2"/>
  <c r="H308" i="2"/>
  <c r="E307" i="2"/>
  <c r="T305" i="2"/>
  <c r="R304" i="2"/>
  <c r="P303" i="2"/>
  <c r="M302" i="2"/>
  <c r="J301" i="2"/>
  <c r="H300" i="2"/>
  <c r="E299" i="2"/>
  <c r="T297" i="2"/>
  <c r="R296" i="2"/>
  <c r="P295" i="2"/>
  <c r="M294" i="2"/>
  <c r="J293" i="2"/>
  <c r="H292" i="2"/>
  <c r="E291" i="2"/>
  <c r="T289" i="2"/>
  <c r="R288" i="2"/>
  <c r="P287" i="2"/>
  <c r="M286" i="2"/>
  <c r="J285" i="2"/>
  <c r="H284" i="2"/>
  <c r="E283" i="2"/>
  <c r="G282" i="2"/>
  <c r="J281" i="2"/>
  <c r="K280" i="2"/>
  <c r="N279" i="2"/>
  <c r="Q278" i="2"/>
  <c r="R277" i="2"/>
  <c r="T276" i="2"/>
  <c r="D276" i="2"/>
  <c r="E275" i="2"/>
  <c r="G274" i="2"/>
  <c r="J273" i="2"/>
  <c r="K272" i="2"/>
  <c r="N271" i="2"/>
  <c r="Q270" i="2"/>
  <c r="R269" i="2"/>
  <c r="T268" i="2"/>
  <c r="D268" i="2"/>
  <c r="E267" i="2"/>
  <c r="G266" i="2"/>
  <c r="J265" i="2"/>
  <c r="K264" i="2"/>
  <c r="N263" i="2"/>
  <c r="Q262" i="2"/>
  <c r="R261" i="2"/>
  <c r="T260" i="2"/>
  <c r="E260" i="2"/>
  <c r="H259" i="2"/>
  <c r="M258" i="2"/>
  <c r="P257" i="2"/>
  <c r="T256" i="2"/>
  <c r="E256" i="2"/>
  <c r="O254" i="2"/>
  <c r="T253" i="2"/>
  <c r="G253" i="2"/>
  <c r="N252" i="2"/>
  <c r="T251" i="2"/>
  <c r="G251" i="2"/>
  <c r="N250" i="2"/>
  <c r="T249" i="2"/>
  <c r="G249" i="2"/>
  <c r="N248" i="2"/>
  <c r="T247" i="2"/>
  <c r="G247" i="2"/>
  <c r="N246" i="2"/>
  <c r="R619" i="2"/>
  <c r="F555" i="2"/>
  <c r="N522" i="2"/>
  <c r="E505" i="2"/>
  <c r="H492" i="2"/>
  <c r="O481" i="2"/>
  <c r="A471" i="2"/>
  <c r="H460" i="2"/>
  <c r="O449" i="2"/>
  <c r="A439" i="2"/>
  <c r="H428" i="2"/>
  <c r="O417" i="2"/>
  <c r="A407" i="2"/>
  <c r="Q399" i="2"/>
  <c r="J394" i="2"/>
  <c r="O389" i="2"/>
  <c r="O385" i="2"/>
  <c r="O381" i="2"/>
  <c r="O377" i="2"/>
  <c r="O373" i="2"/>
  <c r="N370" i="2"/>
  <c r="T367" i="2"/>
  <c r="G365" i="2"/>
  <c r="N362" i="2"/>
  <c r="T359" i="2"/>
  <c r="G357" i="2"/>
  <c r="N354" i="2"/>
  <c r="T351" i="2"/>
  <c r="G349" i="2"/>
  <c r="N346" i="2"/>
  <c r="T343" i="2"/>
  <c r="G341" i="2"/>
  <c r="N338" i="2"/>
  <c r="T335" i="2"/>
  <c r="P333" i="2"/>
  <c r="P331" i="2"/>
  <c r="P329" i="2"/>
  <c r="P327" i="2"/>
  <c r="P325" i="2"/>
  <c r="T323" i="2"/>
  <c r="K322" i="2"/>
  <c r="A321" i="2"/>
  <c r="F319" i="2"/>
  <c r="P317" i="2"/>
  <c r="C315" i="2"/>
  <c r="S313" i="2"/>
  <c r="Q312" i="2"/>
  <c r="O311" i="2"/>
  <c r="K310" i="2"/>
  <c r="G309" i="2"/>
  <c r="E308" i="2"/>
  <c r="C307" i="2"/>
  <c r="S305" i="2"/>
  <c r="Q304" i="2"/>
  <c r="O303" i="2"/>
  <c r="K302" i="2"/>
  <c r="G301" i="2"/>
  <c r="E300" i="2"/>
  <c r="C299" i="2"/>
  <c r="S297" i="2"/>
  <c r="Q296" i="2"/>
  <c r="O295" i="2"/>
  <c r="K294" i="2"/>
  <c r="G293" i="2"/>
  <c r="E292" i="2"/>
  <c r="C291" i="2"/>
  <c r="S289" i="2"/>
  <c r="Q288" i="2"/>
  <c r="O287" i="2"/>
  <c r="K286" i="2"/>
  <c r="G285" i="2"/>
  <c r="E284" i="2"/>
  <c r="C283" i="2"/>
  <c r="F282" i="2"/>
  <c r="G281" i="2"/>
  <c r="M279" i="2"/>
  <c r="N278" i="2"/>
  <c r="P277" i="2"/>
  <c r="S276" i="2"/>
  <c r="T275" i="2"/>
  <c r="C275" i="2"/>
  <c r="F274" i="2"/>
  <c r="G273" i="2"/>
  <c r="M271" i="2"/>
  <c r="N270" i="2"/>
  <c r="P269" i="2"/>
  <c r="S268" i="2"/>
  <c r="T267" i="2"/>
  <c r="C267" i="2"/>
  <c r="F266" i="2"/>
  <c r="G265" i="2"/>
  <c r="M263" i="2"/>
  <c r="N262" i="2"/>
  <c r="P261" i="2"/>
  <c r="S260" i="2"/>
  <c r="D260" i="2"/>
  <c r="G259" i="2"/>
  <c r="K258" i="2"/>
  <c r="O257" i="2"/>
  <c r="S256" i="2"/>
  <c r="D256" i="2"/>
  <c r="H255" i="2"/>
  <c r="N254" i="2"/>
  <c r="S253" i="2"/>
  <c r="F253" i="2"/>
  <c r="M252" i="2"/>
  <c r="S251" i="2"/>
  <c r="F251" i="2"/>
  <c r="M250" i="2"/>
  <c r="S249" i="2"/>
  <c r="F249" i="2"/>
  <c r="M248" i="2"/>
  <c r="S247" i="2"/>
  <c r="F247" i="2"/>
  <c r="M246" i="2"/>
  <c r="S245" i="2"/>
  <c r="F245" i="2"/>
  <c r="M244" i="2"/>
  <c r="S243" i="2"/>
  <c r="F243" i="2"/>
  <c r="M242" i="2"/>
  <c r="S241" i="2"/>
  <c r="S553" i="2"/>
  <c r="C522" i="2"/>
  <c r="R504" i="2"/>
  <c r="D492" i="2"/>
  <c r="J481" i="2"/>
  <c r="Q470" i="2"/>
  <c r="D460" i="2"/>
  <c r="J449" i="2"/>
  <c r="Q438" i="2"/>
  <c r="D428" i="2"/>
  <c r="J417" i="2"/>
  <c r="Q406" i="2"/>
  <c r="N399" i="2"/>
  <c r="G394" i="2"/>
  <c r="M389" i="2"/>
  <c r="M385" i="2"/>
  <c r="M381" i="2"/>
  <c r="M377" i="2"/>
  <c r="M373" i="2"/>
  <c r="K370" i="2"/>
  <c r="R367" i="2"/>
  <c r="E365" i="2"/>
  <c r="K362" i="2"/>
  <c r="R359" i="2"/>
  <c r="E357" i="2"/>
  <c r="K354" i="2"/>
  <c r="R351" i="2"/>
  <c r="E349" i="2"/>
  <c r="K346" i="2"/>
  <c r="R343" i="2"/>
  <c r="E341" i="2"/>
  <c r="K338" i="2"/>
  <c r="R335" i="2"/>
  <c r="F333" i="2"/>
  <c r="F331" i="2"/>
  <c r="F329" i="2"/>
  <c r="F327" i="2"/>
  <c r="G325" i="2"/>
  <c r="R323" i="2"/>
  <c r="H322" i="2"/>
  <c r="M320" i="2"/>
  <c r="C319" i="2"/>
  <c r="J317" i="2"/>
  <c r="D316" i="2"/>
  <c r="R314" i="2"/>
  <c r="P313" i="2"/>
  <c r="M312" i="2"/>
  <c r="J311" i="2"/>
  <c r="H310" i="2"/>
  <c r="E309" i="2"/>
  <c r="T307" i="2"/>
  <c r="R306" i="2"/>
  <c r="P305" i="2"/>
  <c r="M304" i="2"/>
  <c r="J303" i="2"/>
  <c r="H302" i="2"/>
  <c r="E301" i="2"/>
  <c r="T299" i="2"/>
  <c r="R298" i="2"/>
  <c r="P297" i="2"/>
  <c r="M296" i="2"/>
  <c r="J295" i="2"/>
  <c r="H294" i="2"/>
  <c r="E293" i="2"/>
  <c r="T291" i="2"/>
  <c r="R290" i="2"/>
  <c r="P289" i="2"/>
  <c r="M288" i="2"/>
  <c r="J287" i="2"/>
  <c r="H286" i="2"/>
  <c r="E285" i="2"/>
  <c r="T283" i="2"/>
  <c r="T282" i="2"/>
  <c r="D282" i="2"/>
  <c r="E281" i="2"/>
  <c r="G280" i="2"/>
  <c r="J279" i="2"/>
  <c r="K278" i="2"/>
  <c r="N277" i="2"/>
  <c r="Q276" i="2"/>
  <c r="R275" i="2"/>
  <c r="T274" i="2"/>
  <c r="D274" i="2"/>
  <c r="E273" i="2"/>
  <c r="G272" i="2"/>
  <c r="J271" i="2"/>
  <c r="K270" i="2"/>
  <c r="N269" i="2"/>
  <c r="Q268" i="2"/>
  <c r="R267" i="2"/>
  <c r="T266" i="2"/>
  <c r="D266" i="2"/>
  <c r="E265" i="2"/>
  <c r="G264" i="2"/>
  <c r="J263" i="2"/>
  <c r="K262" i="2"/>
  <c r="N261" i="2"/>
  <c r="Q260" i="2"/>
  <c r="T259" i="2"/>
  <c r="E259" i="2"/>
  <c r="H258" i="2"/>
  <c r="M257" i="2"/>
  <c r="Q256" i="2"/>
  <c r="T255" i="2"/>
  <c r="F255" i="2"/>
  <c r="K254" i="2"/>
  <c r="Q253" i="2"/>
  <c r="D253" i="2"/>
  <c r="J252" i="2"/>
  <c r="Q251" i="2"/>
  <c r="D251" i="2"/>
  <c r="J250" i="2"/>
  <c r="Q249" i="2"/>
  <c r="D249" i="2"/>
  <c r="J248" i="2"/>
  <c r="Q247" i="2"/>
  <c r="D247" i="2"/>
  <c r="J246" i="2"/>
  <c r="Q245" i="2"/>
  <c r="D245" i="2"/>
  <c r="J244" i="2"/>
  <c r="Q243" i="2"/>
  <c r="D243" i="2"/>
  <c r="J242" i="2"/>
  <c r="Q241" i="2"/>
  <c r="D241" i="2"/>
  <c r="E603" i="2"/>
  <c r="C544" i="2"/>
  <c r="T516" i="2"/>
  <c r="S501" i="2"/>
  <c r="N489" i="2"/>
  <c r="T478" i="2"/>
  <c r="G468" i="2"/>
  <c r="N457" i="2"/>
  <c r="T446" i="2"/>
  <c r="G436" i="2"/>
  <c r="N425" i="2"/>
  <c r="T414" i="2"/>
  <c r="Q404" i="2"/>
  <c r="H398" i="2"/>
  <c r="A393" i="2"/>
  <c r="N388" i="2"/>
  <c r="N384" i="2"/>
  <c r="N380" i="2"/>
  <c r="N376" i="2"/>
  <c r="O372" i="2"/>
  <c r="S369" i="2"/>
  <c r="F367" i="2"/>
  <c r="M364" i="2"/>
  <c r="S361" i="2"/>
  <c r="F359" i="2"/>
  <c r="M356" i="2"/>
  <c r="S353" i="2"/>
  <c r="F351" i="2"/>
  <c r="M348" i="2"/>
  <c r="S345" i="2"/>
  <c r="F343" i="2"/>
  <c r="M340" i="2"/>
  <c r="S337" i="2"/>
  <c r="F335" i="2"/>
  <c r="C333" i="2"/>
  <c r="C331" i="2"/>
  <c r="C329" i="2"/>
  <c r="C327" i="2"/>
  <c r="E325" i="2"/>
  <c r="O323" i="2"/>
  <c r="S321" i="2"/>
  <c r="N318" i="2"/>
  <c r="F317" i="2"/>
  <c r="S315" i="2"/>
  <c r="N314" i="2"/>
  <c r="K313" i="2"/>
  <c r="F311" i="2"/>
  <c r="D310" i="2"/>
  <c r="A309" i="2"/>
  <c r="R307" i="2"/>
  <c r="N306" i="2"/>
  <c r="K305" i="2"/>
  <c r="F303" i="2"/>
  <c r="D302" i="2"/>
  <c r="A301" i="2"/>
  <c r="R299" i="2"/>
  <c r="N298" i="2"/>
  <c r="K297" i="2"/>
  <c r="F295" i="2"/>
  <c r="D294" i="2"/>
  <c r="A293" i="2"/>
  <c r="R291" i="2"/>
  <c r="N290" i="2"/>
  <c r="K289" i="2"/>
  <c r="F287" i="2"/>
  <c r="D286" i="2"/>
  <c r="A285" i="2"/>
  <c r="R283" i="2"/>
  <c r="R282" i="2"/>
  <c r="S281" i="2"/>
  <c r="A281" i="2"/>
  <c r="E280" i="2"/>
  <c r="F279" i="2"/>
  <c r="H278" i="2"/>
  <c r="K277" i="2"/>
  <c r="M276" i="2"/>
  <c r="O275" i="2"/>
  <c r="R274" i="2"/>
  <c r="S273" i="2"/>
  <c r="A273" i="2"/>
  <c r="E272" i="2"/>
  <c r="F271" i="2"/>
  <c r="H270" i="2"/>
  <c r="K269" i="2"/>
  <c r="M268" i="2"/>
  <c r="O267" i="2"/>
  <c r="R266" i="2"/>
  <c r="S265" i="2"/>
  <c r="A265" i="2"/>
  <c r="E264" i="2"/>
  <c r="F263" i="2"/>
  <c r="H262" i="2"/>
  <c r="K261" i="2"/>
  <c r="N260" i="2"/>
  <c r="R259" i="2"/>
  <c r="A259" i="2"/>
  <c r="F258" i="2"/>
  <c r="J257" i="2"/>
  <c r="N256" i="2"/>
  <c r="R255" i="2"/>
  <c r="C255" i="2"/>
  <c r="H254" i="2"/>
  <c r="O253" i="2"/>
  <c r="A253" i="2"/>
  <c r="H252" i="2"/>
  <c r="O251" i="2"/>
  <c r="A251" i="2"/>
  <c r="H250" i="2"/>
  <c r="O249" i="2"/>
  <c r="A249" i="2"/>
  <c r="H248" i="2"/>
  <c r="Q619" i="2"/>
  <c r="F603" i="2"/>
  <c r="O489" i="2"/>
  <c r="A447" i="2"/>
  <c r="T404" i="2"/>
  <c r="O384" i="2"/>
  <c r="T369" i="2"/>
  <c r="G359" i="2"/>
  <c r="N348" i="2"/>
  <c r="T337" i="2"/>
  <c r="E329" i="2"/>
  <c r="T321" i="2"/>
  <c r="T315" i="2"/>
  <c r="G311" i="2"/>
  <c r="Q306" i="2"/>
  <c r="E302" i="2"/>
  <c r="O297" i="2"/>
  <c r="C293" i="2"/>
  <c r="K288" i="2"/>
  <c r="S283" i="2"/>
  <c r="F280" i="2"/>
  <c r="N276" i="2"/>
  <c r="C273" i="2"/>
  <c r="M269" i="2"/>
  <c r="T265" i="2"/>
  <c r="C259" i="2"/>
  <c r="S255" i="2"/>
  <c r="C253" i="2"/>
  <c r="P247" i="2"/>
  <c r="A246" i="2"/>
  <c r="A245" i="2"/>
  <c r="A244" i="2"/>
  <c r="A243" i="2"/>
  <c r="C242" i="2"/>
  <c r="F241" i="2"/>
  <c r="J240" i="2"/>
  <c r="P239" i="2"/>
  <c r="A239" i="2"/>
  <c r="G238" i="2"/>
  <c r="K237" i="2"/>
  <c r="Q236" i="2"/>
  <c r="C236" i="2"/>
  <c r="H235" i="2"/>
  <c r="N234" i="2"/>
  <c r="S233" i="2"/>
  <c r="E233" i="2"/>
  <c r="J232" i="2"/>
  <c r="P231" i="2"/>
  <c r="A231" i="2"/>
  <c r="G230" i="2"/>
  <c r="K229" i="2"/>
  <c r="Q228" i="2"/>
  <c r="C228" i="2"/>
  <c r="H227" i="2"/>
  <c r="N226" i="2"/>
  <c r="S225" i="2"/>
  <c r="F225" i="2"/>
  <c r="M224" i="2"/>
  <c r="S223" i="2"/>
  <c r="F223" i="2"/>
  <c r="M222" i="2"/>
  <c r="S221" i="2"/>
  <c r="F221" i="2"/>
  <c r="M220" i="2"/>
  <c r="S219" i="2"/>
  <c r="F219" i="2"/>
  <c r="M218" i="2"/>
  <c r="S217" i="2"/>
  <c r="F217" i="2"/>
  <c r="M216" i="2"/>
  <c r="S215" i="2"/>
  <c r="F215" i="2"/>
  <c r="M214" i="2"/>
  <c r="S213" i="2"/>
  <c r="F213" i="2"/>
  <c r="M212" i="2"/>
  <c r="S211" i="2"/>
  <c r="F211" i="2"/>
  <c r="M210" i="2"/>
  <c r="S209" i="2"/>
  <c r="F209" i="2"/>
  <c r="M208" i="2"/>
  <c r="S207" i="2"/>
  <c r="F207" i="2"/>
  <c r="M206" i="2"/>
  <c r="S205" i="2"/>
  <c r="F205" i="2"/>
  <c r="M204" i="2"/>
  <c r="S203" i="2"/>
  <c r="F203" i="2"/>
  <c r="M202" i="2"/>
  <c r="S201" i="2"/>
  <c r="F201" i="2"/>
  <c r="M200" i="2"/>
  <c r="S199" i="2"/>
  <c r="F199" i="2"/>
  <c r="M198" i="2"/>
  <c r="S197" i="2"/>
  <c r="F197" i="2"/>
  <c r="M196" i="2"/>
  <c r="S195" i="2"/>
  <c r="F195" i="2"/>
  <c r="M194" i="2"/>
  <c r="S193" i="2"/>
  <c r="F193" i="2"/>
  <c r="M192" i="2"/>
  <c r="S191" i="2"/>
  <c r="F191" i="2"/>
  <c r="M190" i="2"/>
  <c r="S189" i="2"/>
  <c r="F189" i="2"/>
  <c r="M188" i="2"/>
  <c r="S187" i="2"/>
  <c r="F187" i="2"/>
  <c r="M186" i="2"/>
  <c r="S185" i="2"/>
  <c r="F185" i="2"/>
  <c r="M184" i="2"/>
  <c r="S183" i="2"/>
  <c r="F183" i="2"/>
  <c r="M182" i="2"/>
  <c r="S181" i="2"/>
  <c r="F181" i="2"/>
  <c r="M180" i="2"/>
  <c r="S179" i="2"/>
  <c r="F179" i="2"/>
  <c r="M178" i="2"/>
  <c r="S177" i="2"/>
  <c r="F177" i="2"/>
  <c r="M176" i="2"/>
  <c r="S175" i="2"/>
  <c r="F175" i="2"/>
  <c r="M174" i="2"/>
  <c r="S173" i="2"/>
  <c r="F173" i="2"/>
  <c r="M172" i="2"/>
  <c r="S171" i="2"/>
  <c r="F171" i="2"/>
  <c r="M170" i="2"/>
  <c r="S169" i="2"/>
  <c r="F169" i="2"/>
  <c r="M168" i="2"/>
  <c r="S167" i="2"/>
  <c r="F167" i="2"/>
  <c r="M166" i="2"/>
  <c r="S165" i="2"/>
  <c r="F165" i="2"/>
  <c r="M164" i="2"/>
  <c r="S163" i="2"/>
  <c r="F163" i="2"/>
  <c r="M162" i="2"/>
  <c r="S161" i="2"/>
  <c r="F161" i="2"/>
  <c r="M160" i="2"/>
  <c r="S159" i="2"/>
  <c r="F159" i="2"/>
  <c r="M158" i="2"/>
  <c r="S157" i="2"/>
  <c r="F157" i="2"/>
  <c r="M156" i="2"/>
  <c r="S155" i="2"/>
  <c r="F155" i="2"/>
  <c r="M154" i="2"/>
  <c r="S153" i="2"/>
  <c r="F153" i="2"/>
  <c r="M152" i="2"/>
  <c r="S151" i="2"/>
  <c r="F151" i="2"/>
  <c r="M150" i="2"/>
  <c r="S149" i="2"/>
  <c r="F149" i="2"/>
  <c r="M148" i="2"/>
  <c r="S147" i="2"/>
  <c r="F147" i="2"/>
  <c r="M146" i="2"/>
  <c r="S145" i="2"/>
  <c r="F145" i="2"/>
  <c r="M144" i="2"/>
  <c r="S143" i="2"/>
  <c r="F143" i="2"/>
  <c r="M142" i="2"/>
  <c r="S141" i="2"/>
  <c r="F141" i="2"/>
  <c r="M140" i="2"/>
  <c r="S139" i="2"/>
  <c r="F139" i="2"/>
  <c r="M138" i="2"/>
  <c r="S137" i="2"/>
  <c r="F137" i="2"/>
  <c r="M136" i="2"/>
  <c r="S135" i="2"/>
  <c r="F135" i="2"/>
  <c r="M134" i="2"/>
  <c r="S133" i="2"/>
  <c r="F133" i="2"/>
  <c r="M132" i="2"/>
  <c r="S131" i="2"/>
  <c r="F131" i="2"/>
  <c r="M130" i="2"/>
  <c r="S129" i="2"/>
  <c r="F129" i="2"/>
  <c r="M128" i="2"/>
  <c r="S127" i="2"/>
  <c r="F127" i="2"/>
  <c r="M126" i="2"/>
  <c r="S125" i="2"/>
  <c r="F125" i="2"/>
  <c r="M124" i="2"/>
  <c r="S123" i="2"/>
  <c r="F123" i="2"/>
  <c r="M122" i="2"/>
  <c r="S121" i="2"/>
  <c r="F121" i="2"/>
  <c r="M120" i="2"/>
  <c r="S119" i="2"/>
  <c r="F119" i="2"/>
  <c r="M118" i="2"/>
  <c r="S117" i="2"/>
  <c r="F117" i="2"/>
  <c r="M116" i="2"/>
  <c r="S115" i="2"/>
  <c r="F115" i="2"/>
  <c r="M114" i="2"/>
  <c r="S113" i="2"/>
  <c r="F113" i="2"/>
  <c r="M112" i="2"/>
  <c r="S111" i="2"/>
  <c r="F111" i="2"/>
  <c r="M110" i="2"/>
  <c r="S109" i="2"/>
  <c r="F109" i="2"/>
  <c r="M108" i="2"/>
  <c r="S107" i="2"/>
  <c r="F107" i="2"/>
  <c r="M106" i="2"/>
  <c r="S105" i="2"/>
  <c r="F105" i="2"/>
  <c r="M104" i="2"/>
  <c r="S103" i="2"/>
  <c r="F103" i="2"/>
  <c r="M102" i="2"/>
  <c r="S101" i="2"/>
  <c r="F101" i="2"/>
  <c r="M100" i="2"/>
  <c r="S99" i="2"/>
  <c r="F99" i="2"/>
  <c r="M98" i="2"/>
  <c r="S97" i="2"/>
  <c r="F97" i="2"/>
  <c r="M96" i="2"/>
  <c r="S95" i="2"/>
  <c r="F95" i="2"/>
  <c r="M94" i="2"/>
  <c r="S93" i="2"/>
  <c r="F93" i="2"/>
  <c r="S601" i="2"/>
  <c r="J489" i="2"/>
  <c r="Q446" i="2"/>
  <c r="K404" i="2"/>
  <c r="K384" i="2"/>
  <c r="R369" i="2"/>
  <c r="E359" i="2"/>
  <c r="K348" i="2"/>
  <c r="R337" i="2"/>
  <c r="N328" i="2"/>
  <c r="R321" i="2"/>
  <c r="R315" i="2"/>
  <c r="E311" i="2"/>
  <c r="M306" i="2"/>
  <c r="T301" i="2"/>
  <c r="J297" i="2"/>
  <c r="R292" i="2"/>
  <c r="H288" i="2"/>
  <c r="P283" i="2"/>
  <c r="D280" i="2"/>
  <c r="K276" i="2"/>
  <c r="T272" i="2"/>
  <c r="J269" i="2"/>
  <c r="R265" i="2"/>
  <c r="G262" i="2"/>
  <c r="T258" i="2"/>
  <c r="P255" i="2"/>
  <c r="T252" i="2"/>
  <c r="G250" i="2"/>
  <c r="O247" i="2"/>
  <c r="T245" i="2"/>
  <c r="T244" i="2"/>
  <c r="T243" i="2"/>
  <c r="E555" i="2"/>
  <c r="N481" i="2"/>
  <c r="T438" i="2"/>
  <c r="O399" i="2"/>
  <c r="N381" i="2"/>
  <c r="S367" i="2"/>
  <c r="F357" i="2"/>
  <c r="M346" i="2"/>
  <c r="S335" i="2"/>
  <c r="G327" i="2"/>
  <c r="N320" i="2"/>
  <c r="A315" i="2"/>
  <c r="R305" i="2"/>
  <c r="F301" i="2"/>
  <c r="N296" i="2"/>
  <c r="D292" i="2"/>
  <c r="K287" i="2"/>
  <c r="A283" i="2"/>
  <c r="K279" i="2"/>
  <c r="S275" i="2"/>
  <c r="H272" i="2"/>
  <c r="R268" i="2"/>
  <c r="F265" i="2"/>
  <c r="O261" i="2"/>
  <c r="G255" i="2"/>
  <c r="K252" i="2"/>
  <c r="R249" i="2"/>
  <c r="N247" i="2"/>
  <c r="R245" i="2"/>
  <c r="R244" i="2"/>
  <c r="R243" i="2"/>
  <c r="R242" i="2"/>
  <c r="T241" i="2"/>
  <c r="C241" i="2"/>
  <c r="H240" i="2"/>
  <c r="N239" i="2"/>
  <c r="R238" i="2"/>
  <c r="D238" i="2"/>
  <c r="O236" i="2"/>
  <c r="T235" i="2"/>
  <c r="F235" i="2"/>
  <c r="K234" i="2"/>
  <c r="Q233" i="2"/>
  <c r="C233" i="2"/>
  <c r="H232" i="2"/>
  <c r="N231" i="2"/>
  <c r="R230" i="2"/>
  <c r="D230" i="2"/>
  <c r="O228" i="2"/>
  <c r="T227" i="2"/>
  <c r="F227" i="2"/>
  <c r="K226" i="2"/>
  <c r="Q225" i="2"/>
  <c r="D225" i="2"/>
  <c r="J224" i="2"/>
  <c r="Q223" i="2"/>
  <c r="D223" i="2"/>
  <c r="J222" i="2"/>
  <c r="Q221" i="2"/>
  <c r="D221" i="2"/>
  <c r="J220" i="2"/>
  <c r="Q219" i="2"/>
  <c r="D219" i="2"/>
  <c r="J218" i="2"/>
  <c r="Q217" i="2"/>
  <c r="D217" i="2"/>
  <c r="J216" i="2"/>
  <c r="Q215" i="2"/>
  <c r="D215" i="2"/>
  <c r="J214" i="2"/>
  <c r="Q213" i="2"/>
  <c r="D213" i="2"/>
  <c r="J212" i="2"/>
  <c r="Q211" i="2"/>
  <c r="D211" i="2"/>
  <c r="J210" i="2"/>
  <c r="Q209" i="2"/>
  <c r="D209" i="2"/>
  <c r="J208" i="2"/>
  <c r="Q207" i="2"/>
  <c r="D207" i="2"/>
  <c r="J206" i="2"/>
  <c r="Q205" i="2"/>
  <c r="D205" i="2"/>
  <c r="J204" i="2"/>
  <c r="Q203" i="2"/>
  <c r="D203" i="2"/>
  <c r="J202" i="2"/>
  <c r="Q201" i="2"/>
  <c r="D201" i="2"/>
  <c r="J200" i="2"/>
  <c r="Q199" i="2"/>
  <c r="D199" i="2"/>
  <c r="J198" i="2"/>
  <c r="Q197" i="2"/>
  <c r="D197" i="2"/>
  <c r="J196" i="2"/>
  <c r="Q195" i="2"/>
  <c r="D195" i="2"/>
  <c r="J194" i="2"/>
  <c r="Q193" i="2"/>
  <c r="D193" i="2"/>
  <c r="J192" i="2"/>
  <c r="Q191" i="2"/>
  <c r="D191" i="2"/>
  <c r="J190" i="2"/>
  <c r="Q189" i="2"/>
  <c r="D189" i="2"/>
  <c r="J188" i="2"/>
  <c r="Q187" i="2"/>
  <c r="D187" i="2"/>
  <c r="J186" i="2"/>
  <c r="Q185" i="2"/>
  <c r="D185" i="2"/>
  <c r="J184" i="2"/>
  <c r="Q183" i="2"/>
  <c r="D183" i="2"/>
  <c r="J182" i="2"/>
  <c r="Q181" i="2"/>
  <c r="D181" i="2"/>
  <c r="J180" i="2"/>
  <c r="Q179" i="2"/>
  <c r="D179" i="2"/>
  <c r="J178" i="2"/>
  <c r="Q177" i="2"/>
  <c r="D177" i="2"/>
  <c r="J176" i="2"/>
  <c r="Q175" i="2"/>
  <c r="D175" i="2"/>
  <c r="J174" i="2"/>
  <c r="Q173" i="2"/>
  <c r="D173" i="2"/>
  <c r="J172" i="2"/>
  <c r="Q171" i="2"/>
  <c r="D171" i="2"/>
  <c r="J170" i="2"/>
  <c r="Q169" i="2"/>
  <c r="D169" i="2"/>
  <c r="J168" i="2"/>
  <c r="Q167" i="2"/>
  <c r="D167" i="2"/>
  <c r="J166" i="2"/>
  <c r="Q165" i="2"/>
  <c r="D165" i="2"/>
  <c r="J164" i="2"/>
  <c r="Q163" i="2"/>
  <c r="D163" i="2"/>
  <c r="J162" i="2"/>
  <c r="Q161" i="2"/>
  <c r="D161" i="2"/>
  <c r="J160" i="2"/>
  <c r="Q159" i="2"/>
  <c r="D159" i="2"/>
  <c r="J158" i="2"/>
  <c r="Q157" i="2"/>
  <c r="D157" i="2"/>
  <c r="J156" i="2"/>
  <c r="Q155" i="2"/>
  <c r="D155" i="2"/>
  <c r="J154" i="2"/>
  <c r="Q153" i="2"/>
  <c r="D153" i="2"/>
  <c r="J152" i="2"/>
  <c r="Q151" i="2"/>
  <c r="D151" i="2"/>
  <c r="J150" i="2"/>
  <c r="Q149" i="2"/>
  <c r="D149" i="2"/>
  <c r="J148" i="2"/>
  <c r="Q147" i="2"/>
  <c r="D147" i="2"/>
  <c r="J146" i="2"/>
  <c r="Q145" i="2"/>
  <c r="D145" i="2"/>
  <c r="J144" i="2"/>
  <c r="Q143" i="2"/>
  <c r="D143" i="2"/>
  <c r="J142" i="2"/>
  <c r="Q141" i="2"/>
  <c r="D141" i="2"/>
  <c r="J140" i="2"/>
  <c r="Q139" i="2"/>
  <c r="D139" i="2"/>
  <c r="J138" i="2"/>
  <c r="Q137" i="2"/>
  <c r="D137" i="2"/>
  <c r="J136" i="2"/>
  <c r="Q135" i="2"/>
  <c r="D135" i="2"/>
  <c r="J134" i="2"/>
  <c r="Q133" i="2"/>
  <c r="D133" i="2"/>
  <c r="J132" i="2"/>
  <c r="Q131" i="2"/>
  <c r="D131" i="2"/>
  <c r="J130" i="2"/>
  <c r="Q129" i="2"/>
  <c r="D129" i="2"/>
  <c r="J128" i="2"/>
  <c r="Q127" i="2"/>
  <c r="D127" i="2"/>
  <c r="J126" i="2"/>
  <c r="Q125" i="2"/>
  <c r="D125" i="2"/>
  <c r="J124" i="2"/>
  <c r="Q123" i="2"/>
  <c r="D123" i="2"/>
  <c r="J122" i="2"/>
  <c r="Q121" i="2"/>
  <c r="D121" i="2"/>
  <c r="J120" i="2"/>
  <c r="Q119" i="2"/>
  <c r="D119" i="2"/>
  <c r="J118" i="2"/>
  <c r="Q117" i="2"/>
  <c r="D117" i="2"/>
  <c r="J116" i="2"/>
  <c r="Q115" i="2"/>
  <c r="D115" i="2"/>
  <c r="J114" i="2"/>
  <c r="Q113" i="2"/>
  <c r="D113" i="2"/>
  <c r="J112" i="2"/>
  <c r="Q111" i="2"/>
  <c r="D111" i="2"/>
  <c r="J110" i="2"/>
  <c r="Q109" i="2"/>
  <c r="D109" i="2"/>
  <c r="J108" i="2"/>
  <c r="Q107" i="2"/>
  <c r="D107" i="2"/>
  <c r="J106" i="2"/>
  <c r="Q105" i="2"/>
  <c r="D105" i="2"/>
  <c r="J104" i="2"/>
  <c r="Q103" i="2"/>
  <c r="D103" i="2"/>
  <c r="J102" i="2"/>
  <c r="Q101" i="2"/>
  <c r="D101" i="2"/>
  <c r="J100" i="2"/>
  <c r="Q99" i="2"/>
  <c r="D99" i="2"/>
  <c r="J98" i="2"/>
  <c r="Q97" i="2"/>
  <c r="D97" i="2"/>
  <c r="J96" i="2"/>
  <c r="Q95" i="2"/>
  <c r="D95" i="2"/>
  <c r="J94" i="2"/>
  <c r="Q93" i="2"/>
  <c r="G544" i="2"/>
  <c r="A479" i="2"/>
  <c r="H436" i="2"/>
  <c r="J398" i="2"/>
  <c r="O380" i="2"/>
  <c r="G367" i="2"/>
  <c r="N356" i="2"/>
  <c r="T345" i="2"/>
  <c r="G335" i="2"/>
  <c r="E327" i="2"/>
  <c r="K320" i="2"/>
  <c r="Q314" i="2"/>
  <c r="E310" i="2"/>
  <c r="O305" i="2"/>
  <c r="C301" i="2"/>
  <c r="K296" i="2"/>
  <c r="S291" i="2"/>
  <c r="G287" i="2"/>
  <c r="S282" i="2"/>
  <c r="G279" i="2"/>
  <c r="P275" i="2"/>
  <c r="F272" i="2"/>
  <c r="N268" i="2"/>
  <c r="C265" i="2"/>
  <c r="M261" i="2"/>
  <c r="G258" i="2"/>
  <c r="E255" i="2"/>
  <c r="P249" i="2"/>
  <c r="E247" i="2"/>
  <c r="P245" i="2"/>
  <c r="Q244" i="2"/>
  <c r="P243" i="2"/>
  <c r="Q242" i="2"/>
  <c r="R241" i="2"/>
  <c r="A241" i="2"/>
  <c r="G240" i="2"/>
  <c r="K239" i="2"/>
  <c r="Q238" i="2"/>
  <c r="C238" i="2"/>
  <c r="H237" i="2"/>
  <c r="N236" i="2"/>
  <c r="S235" i="2"/>
  <c r="E235" i="2"/>
  <c r="J234" i="2"/>
  <c r="P233" i="2"/>
  <c r="A233" i="2"/>
  <c r="G232" i="2"/>
  <c r="K231" i="2"/>
  <c r="Q230" i="2"/>
  <c r="C230" i="2"/>
  <c r="H229" i="2"/>
  <c r="N228" i="2"/>
  <c r="S227" i="2"/>
  <c r="E227" i="2"/>
  <c r="J226" i="2"/>
  <c r="P225" i="2"/>
  <c r="C225" i="2"/>
  <c r="P223" i="2"/>
  <c r="C223" i="2"/>
  <c r="P221" i="2"/>
  <c r="C221" i="2"/>
  <c r="P219" i="2"/>
  <c r="C219" i="2"/>
  <c r="P217" i="2"/>
  <c r="C217" i="2"/>
  <c r="P215" i="2"/>
  <c r="C215" i="2"/>
  <c r="P213" i="2"/>
  <c r="C213" i="2"/>
  <c r="P211" i="2"/>
  <c r="C211" i="2"/>
  <c r="P209" i="2"/>
  <c r="C209" i="2"/>
  <c r="P207" i="2"/>
  <c r="C207" i="2"/>
  <c r="P205" i="2"/>
  <c r="C205" i="2"/>
  <c r="P203" i="2"/>
  <c r="C203" i="2"/>
  <c r="P201" i="2"/>
  <c r="C201" i="2"/>
  <c r="P199" i="2"/>
  <c r="C199" i="2"/>
  <c r="P197" i="2"/>
  <c r="C197" i="2"/>
  <c r="P195" i="2"/>
  <c r="C195" i="2"/>
  <c r="P193" i="2"/>
  <c r="C193" i="2"/>
  <c r="P191" i="2"/>
  <c r="C191" i="2"/>
  <c r="P189" i="2"/>
  <c r="C189" i="2"/>
  <c r="P187" i="2"/>
  <c r="C187" i="2"/>
  <c r="P185" i="2"/>
  <c r="C185" i="2"/>
  <c r="P183" i="2"/>
  <c r="C183" i="2"/>
  <c r="P181" i="2"/>
  <c r="C181" i="2"/>
  <c r="P179" i="2"/>
  <c r="C179" i="2"/>
  <c r="P177" i="2"/>
  <c r="C177" i="2"/>
  <c r="P175" i="2"/>
  <c r="C175" i="2"/>
  <c r="P173" i="2"/>
  <c r="C173" i="2"/>
  <c r="P171" i="2"/>
  <c r="C171" i="2"/>
  <c r="P169" i="2"/>
  <c r="C169" i="2"/>
  <c r="P167" i="2"/>
  <c r="C167" i="2"/>
  <c r="P165" i="2"/>
  <c r="C165" i="2"/>
  <c r="P163" i="2"/>
  <c r="C163" i="2"/>
  <c r="P161" i="2"/>
  <c r="C161" i="2"/>
  <c r="P159" i="2"/>
  <c r="C159" i="2"/>
  <c r="P157" i="2"/>
  <c r="C157" i="2"/>
  <c r="P155" i="2"/>
  <c r="C155" i="2"/>
  <c r="P153" i="2"/>
  <c r="C153" i="2"/>
  <c r="P151" i="2"/>
  <c r="C151" i="2"/>
  <c r="P149" i="2"/>
  <c r="C149" i="2"/>
  <c r="P147" i="2"/>
  <c r="C147" i="2"/>
  <c r="P145" i="2"/>
  <c r="C145" i="2"/>
  <c r="P143" i="2"/>
  <c r="C143" i="2"/>
  <c r="P141" i="2"/>
  <c r="C141" i="2"/>
  <c r="P139" i="2"/>
  <c r="C139" i="2"/>
  <c r="P137" i="2"/>
  <c r="C137" i="2"/>
  <c r="P135" i="2"/>
  <c r="C135" i="2"/>
  <c r="P133" i="2"/>
  <c r="C133" i="2"/>
  <c r="P131" i="2"/>
  <c r="C131" i="2"/>
  <c r="P129" i="2"/>
  <c r="C129" i="2"/>
  <c r="P127" i="2"/>
  <c r="C127" i="2"/>
  <c r="P125" i="2"/>
  <c r="C125" i="2"/>
  <c r="P123" i="2"/>
  <c r="C123" i="2"/>
  <c r="P121" i="2"/>
  <c r="C121" i="2"/>
  <c r="P119" i="2"/>
  <c r="C119" i="2"/>
  <c r="P117" i="2"/>
  <c r="C117" i="2"/>
  <c r="P115" i="2"/>
  <c r="C115" i="2"/>
  <c r="P113" i="2"/>
  <c r="C113" i="2"/>
  <c r="P111" i="2"/>
  <c r="C111" i="2"/>
  <c r="P109" i="2"/>
  <c r="C109" i="2"/>
  <c r="P107" i="2"/>
  <c r="C107" i="2"/>
  <c r="P105" i="2"/>
  <c r="C105" i="2"/>
  <c r="P103" i="2"/>
  <c r="C103" i="2"/>
  <c r="P101" i="2"/>
  <c r="C101" i="2"/>
  <c r="P99" i="2"/>
  <c r="C99" i="2"/>
  <c r="P97" i="2"/>
  <c r="C97" i="2"/>
  <c r="P95" i="2"/>
  <c r="N543" i="2"/>
  <c r="Q478" i="2"/>
  <c r="D436" i="2"/>
  <c r="G398" i="2"/>
  <c r="K380" i="2"/>
  <c r="E367" i="2"/>
  <c r="K356" i="2"/>
  <c r="R345" i="2"/>
  <c r="E335" i="2"/>
  <c r="N326" i="2"/>
  <c r="H320" i="2"/>
  <c r="M314" i="2"/>
  <c r="T309" i="2"/>
  <c r="J305" i="2"/>
  <c r="R300" i="2"/>
  <c r="H296" i="2"/>
  <c r="P291" i="2"/>
  <c r="E287" i="2"/>
  <c r="Q282" i="2"/>
  <c r="E279" i="2"/>
  <c r="N275" i="2"/>
  <c r="D272" i="2"/>
  <c r="K268" i="2"/>
  <c r="T264" i="2"/>
  <c r="J261" i="2"/>
  <c r="E258" i="2"/>
  <c r="A255" i="2"/>
  <c r="G252" i="2"/>
  <c r="N249" i="2"/>
  <c r="C247" i="2"/>
  <c r="O245" i="2"/>
  <c r="O244" i="2"/>
  <c r="O243" i="2"/>
  <c r="O242" i="2"/>
  <c r="P241" i="2"/>
  <c r="T240" i="2"/>
  <c r="E240" i="2"/>
  <c r="J239" i="2"/>
  <c r="P238" i="2"/>
  <c r="A238" i="2"/>
  <c r="G237" i="2"/>
  <c r="M236" i="2"/>
  <c r="R235" i="2"/>
  <c r="D235" i="2"/>
  <c r="O233" i="2"/>
  <c r="T232" i="2"/>
  <c r="E232" i="2"/>
  <c r="J231" i="2"/>
  <c r="P230" i="2"/>
  <c r="A230" i="2"/>
  <c r="G229" i="2"/>
  <c r="M228" i="2"/>
  <c r="R227" i="2"/>
  <c r="D227" i="2"/>
  <c r="O225" i="2"/>
  <c r="A225" i="2"/>
  <c r="H224" i="2"/>
  <c r="O223" i="2"/>
  <c r="A223" i="2"/>
  <c r="H222" i="2"/>
  <c r="O221" i="2"/>
  <c r="A221" i="2"/>
  <c r="H220" i="2"/>
  <c r="O219" i="2"/>
  <c r="A219" i="2"/>
  <c r="H218" i="2"/>
  <c r="O217" i="2"/>
  <c r="A217" i="2"/>
  <c r="H216" i="2"/>
  <c r="O215" i="2"/>
  <c r="A215" i="2"/>
  <c r="H214" i="2"/>
  <c r="O213" i="2"/>
  <c r="A213" i="2"/>
  <c r="H212" i="2"/>
  <c r="O211" i="2"/>
  <c r="A211" i="2"/>
  <c r="H210" i="2"/>
  <c r="O209" i="2"/>
  <c r="A209" i="2"/>
  <c r="H208" i="2"/>
  <c r="O207" i="2"/>
  <c r="A207" i="2"/>
  <c r="H206" i="2"/>
  <c r="O205" i="2"/>
  <c r="A205" i="2"/>
  <c r="H204" i="2"/>
  <c r="O203" i="2"/>
  <c r="A203" i="2"/>
  <c r="H202" i="2"/>
  <c r="O201" i="2"/>
  <c r="A201" i="2"/>
  <c r="H200" i="2"/>
  <c r="O199" i="2"/>
  <c r="A199" i="2"/>
  <c r="H198" i="2"/>
  <c r="O197" i="2"/>
  <c r="A197" i="2"/>
  <c r="H196" i="2"/>
  <c r="O195" i="2"/>
  <c r="A195" i="2"/>
  <c r="H194" i="2"/>
  <c r="O193" i="2"/>
  <c r="A193" i="2"/>
  <c r="H192" i="2"/>
  <c r="O191" i="2"/>
  <c r="A191" i="2"/>
  <c r="H190" i="2"/>
  <c r="O189" i="2"/>
  <c r="A189" i="2"/>
  <c r="H188" i="2"/>
  <c r="O187" i="2"/>
  <c r="A187" i="2"/>
  <c r="H186" i="2"/>
  <c r="O185" i="2"/>
  <c r="A185" i="2"/>
  <c r="H184" i="2"/>
  <c r="O183" i="2"/>
  <c r="A183" i="2"/>
  <c r="H182" i="2"/>
  <c r="O181" i="2"/>
  <c r="A181" i="2"/>
  <c r="H180" i="2"/>
  <c r="O179" i="2"/>
  <c r="A179" i="2"/>
  <c r="H178" i="2"/>
  <c r="O177" i="2"/>
  <c r="A177" i="2"/>
  <c r="H176" i="2"/>
  <c r="O175" i="2"/>
  <c r="A175" i="2"/>
  <c r="H174" i="2"/>
  <c r="O173" i="2"/>
  <c r="A173" i="2"/>
  <c r="H172" i="2"/>
  <c r="O171" i="2"/>
  <c r="A171" i="2"/>
  <c r="H170" i="2"/>
  <c r="O169" i="2"/>
  <c r="A169" i="2"/>
  <c r="H168" i="2"/>
  <c r="O167" i="2"/>
  <c r="A167" i="2"/>
  <c r="H166" i="2"/>
  <c r="O165" i="2"/>
  <c r="A165" i="2"/>
  <c r="H164" i="2"/>
  <c r="O163" i="2"/>
  <c r="A163" i="2"/>
  <c r="H162" i="2"/>
  <c r="O161" i="2"/>
  <c r="A161" i="2"/>
  <c r="H160" i="2"/>
  <c r="O159" i="2"/>
  <c r="A159" i="2"/>
  <c r="H158" i="2"/>
  <c r="O157" i="2"/>
  <c r="A157" i="2"/>
  <c r="H156" i="2"/>
  <c r="O155" i="2"/>
  <c r="A155" i="2"/>
  <c r="H154" i="2"/>
  <c r="O153" i="2"/>
  <c r="A153" i="2"/>
  <c r="H152" i="2"/>
  <c r="O151" i="2"/>
  <c r="A151" i="2"/>
  <c r="H150" i="2"/>
  <c r="O149" i="2"/>
  <c r="A149" i="2"/>
  <c r="H148" i="2"/>
  <c r="O147" i="2"/>
  <c r="A147" i="2"/>
  <c r="H146" i="2"/>
  <c r="O145" i="2"/>
  <c r="A145" i="2"/>
  <c r="H144" i="2"/>
  <c r="O143" i="2"/>
  <c r="A143" i="2"/>
  <c r="H142" i="2"/>
  <c r="O141" i="2"/>
  <c r="A141" i="2"/>
  <c r="H140" i="2"/>
  <c r="O139" i="2"/>
  <c r="A139" i="2"/>
  <c r="H138" i="2"/>
  <c r="O137" i="2"/>
  <c r="A137" i="2"/>
  <c r="H136" i="2"/>
  <c r="O135" i="2"/>
  <c r="A135" i="2"/>
  <c r="H134" i="2"/>
  <c r="O133" i="2"/>
  <c r="A133" i="2"/>
  <c r="H132" i="2"/>
  <c r="O131" i="2"/>
  <c r="A131" i="2"/>
  <c r="H130" i="2"/>
  <c r="O129" i="2"/>
  <c r="A129" i="2"/>
  <c r="H128" i="2"/>
  <c r="O127" i="2"/>
  <c r="A127" i="2"/>
  <c r="H126" i="2"/>
  <c r="O125" i="2"/>
  <c r="A125" i="2"/>
  <c r="H124" i="2"/>
  <c r="O123" i="2"/>
  <c r="A123" i="2"/>
  <c r="H122" i="2"/>
  <c r="O121" i="2"/>
  <c r="M522" i="2"/>
  <c r="T470" i="2"/>
  <c r="G428" i="2"/>
  <c r="H394" i="2"/>
  <c r="N377" i="2"/>
  <c r="F365" i="2"/>
  <c r="M354" i="2"/>
  <c r="S343" i="2"/>
  <c r="G333" i="2"/>
  <c r="O325" i="2"/>
  <c r="E319" i="2"/>
  <c r="R313" i="2"/>
  <c r="F309" i="2"/>
  <c r="N304" i="2"/>
  <c r="D300" i="2"/>
  <c r="K295" i="2"/>
  <c r="A291" i="2"/>
  <c r="E282" i="2"/>
  <c r="M278" i="2"/>
  <c r="A275" i="2"/>
  <c r="K271" i="2"/>
  <c r="S267" i="2"/>
  <c r="H264" i="2"/>
  <c r="R260" i="2"/>
  <c r="N257" i="2"/>
  <c r="M254" i="2"/>
  <c r="R251" i="2"/>
  <c r="E249" i="2"/>
  <c r="A247" i="2"/>
  <c r="N245" i="2"/>
  <c r="N244" i="2"/>
  <c r="N243" i="2"/>
  <c r="N242" i="2"/>
  <c r="O241" i="2"/>
  <c r="R240" i="2"/>
  <c r="D240" i="2"/>
  <c r="O238" i="2"/>
  <c r="T237" i="2"/>
  <c r="F237" i="2"/>
  <c r="K236" i="2"/>
  <c r="Q235" i="2"/>
  <c r="C235" i="2"/>
  <c r="H234" i="2"/>
  <c r="N233" i="2"/>
  <c r="R232" i="2"/>
  <c r="D232" i="2"/>
  <c r="O230" i="2"/>
  <c r="T229" i="2"/>
  <c r="F229" i="2"/>
  <c r="K228" i="2"/>
  <c r="Q227" i="2"/>
  <c r="C227" i="2"/>
  <c r="H226" i="2"/>
  <c r="N225" i="2"/>
  <c r="T224" i="2"/>
  <c r="G224" i="2"/>
  <c r="N223" i="2"/>
  <c r="T222" i="2"/>
  <c r="G222" i="2"/>
  <c r="N221" i="2"/>
  <c r="T220" i="2"/>
  <c r="G220" i="2"/>
  <c r="N219" i="2"/>
  <c r="T218" i="2"/>
  <c r="G218" i="2"/>
  <c r="N217" i="2"/>
  <c r="T216" i="2"/>
  <c r="G216" i="2"/>
  <c r="N215" i="2"/>
  <c r="T214" i="2"/>
  <c r="G214" i="2"/>
  <c r="N213" i="2"/>
  <c r="T212" i="2"/>
  <c r="G212" i="2"/>
  <c r="N211" i="2"/>
  <c r="T210" i="2"/>
  <c r="G210" i="2"/>
  <c r="N209" i="2"/>
  <c r="T208" i="2"/>
  <c r="G208" i="2"/>
  <c r="N207" i="2"/>
  <c r="T206" i="2"/>
  <c r="G206" i="2"/>
  <c r="N205" i="2"/>
  <c r="T204" i="2"/>
  <c r="G204" i="2"/>
  <c r="N203" i="2"/>
  <c r="T202" i="2"/>
  <c r="G202" i="2"/>
  <c r="N201" i="2"/>
  <c r="T200" i="2"/>
  <c r="G200" i="2"/>
  <c r="N199" i="2"/>
  <c r="T198" i="2"/>
  <c r="G198" i="2"/>
  <c r="N197" i="2"/>
  <c r="T196" i="2"/>
  <c r="G196" i="2"/>
  <c r="N195" i="2"/>
  <c r="T194" i="2"/>
  <c r="G194" i="2"/>
  <c r="N193" i="2"/>
  <c r="T192" i="2"/>
  <c r="G192" i="2"/>
  <c r="N191" i="2"/>
  <c r="T190" i="2"/>
  <c r="G190" i="2"/>
  <c r="N189" i="2"/>
  <c r="T188" i="2"/>
  <c r="G188" i="2"/>
  <c r="N187" i="2"/>
  <c r="T186" i="2"/>
  <c r="G186" i="2"/>
  <c r="N185" i="2"/>
  <c r="T184" i="2"/>
  <c r="G184" i="2"/>
  <c r="N183" i="2"/>
  <c r="T182" i="2"/>
  <c r="G182" i="2"/>
  <c r="N181" i="2"/>
  <c r="T180" i="2"/>
  <c r="G180" i="2"/>
  <c r="N179" i="2"/>
  <c r="T178" i="2"/>
  <c r="G178" i="2"/>
  <c r="N177" i="2"/>
  <c r="T176" i="2"/>
  <c r="G176" i="2"/>
  <c r="N175" i="2"/>
  <c r="T174" i="2"/>
  <c r="G174" i="2"/>
  <c r="N173" i="2"/>
  <c r="T172" i="2"/>
  <c r="G172" i="2"/>
  <c r="N171" i="2"/>
  <c r="T170" i="2"/>
  <c r="G170" i="2"/>
  <c r="N169" i="2"/>
  <c r="T168" i="2"/>
  <c r="G168" i="2"/>
  <c r="N167" i="2"/>
  <c r="T166" i="2"/>
  <c r="G166" i="2"/>
  <c r="N165" i="2"/>
  <c r="T164" i="2"/>
  <c r="G164" i="2"/>
  <c r="N163" i="2"/>
  <c r="T162" i="2"/>
  <c r="G162" i="2"/>
  <c r="N161" i="2"/>
  <c r="T160" i="2"/>
  <c r="G160" i="2"/>
  <c r="N159" i="2"/>
  <c r="T158" i="2"/>
  <c r="G158" i="2"/>
  <c r="N157" i="2"/>
  <c r="T156" i="2"/>
  <c r="G156" i="2"/>
  <c r="N155" i="2"/>
  <c r="T154" i="2"/>
  <c r="G154" i="2"/>
  <c r="N153" i="2"/>
  <c r="T152" i="2"/>
  <c r="G152" i="2"/>
  <c r="N151" i="2"/>
  <c r="T150" i="2"/>
  <c r="G150" i="2"/>
  <c r="N149" i="2"/>
  <c r="T148" i="2"/>
  <c r="G148" i="2"/>
  <c r="N147" i="2"/>
  <c r="T146" i="2"/>
  <c r="G146" i="2"/>
  <c r="N145" i="2"/>
  <c r="T144" i="2"/>
  <c r="G144" i="2"/>
  <c r="N143" i="2"/>
  <c r="T142" i="2"/>
  <c r="G142" i="2"/>
  <c r="N141" i="2"/>
  <c r="T140" i="2"/>
  <c r="G140" i="2"/>
  <c r="N139" i="2"/>
  <c r="T138" i="2"/>
  <c r="G138" i="2"/>
  <c r="N137" i="2"/>
  <c r="T136" i="2"/>
  <c r="G136" i="2"/>
  <c r="N135" i="2"/>
  <c r="T134" i="2"/>
  <c r="G134" i="2"/>
  <c r="N133" i="2"/>
  <c r="T132" i="2"/>
  <c r="G132" i="2"/>
  <c r="N131" i="2"/>
  <c r="T130" i="2"/>
  <c r="G130" i="2"/>
  <c r="N129" i="2"/>
  <c r="T128" i="2"/>
  <c r="G128" i="2"/>
  <c r="N127" i="2"/>
  <c r="T126" i="2"/>
  <c r="G126" i="2"/>
  <c r="N125" i="2"/>
  <c r="T124" i="2"/>
  <c r="G124" i="2"/>
  <c r="N123" i="2"/>
  <c r="T122" i="2"/>
  <c r="G122" i="2"/>
  <c r="N121" i="2"/>
  <c r="T120" i="2"/>
  <c r="G120" i="2"/>
  <c r="N119" i="2"/>
  <c r="T118" i="2"/>
  <c r="G118" i="2"/>
  <c r="N117" i="2"/>
  <c r="T116" i="2"/>
  <c r="G116" i="2"/>
  <c r="N115" i="2"/>
  <c r="T114" i="2"/>
  <c r="G114" i="2"/>
  <c r="N113" i="2"/>
  <c r="T112" i="2"/>
  <c r="G112" i="2"/>
  <c r="N111" i="2"/>
  <c r="T110" i="2"/>
  <c r="G110" i="2"/>
  <c r="N109" i="2"/>
  <c r="T108" i="2"/>
  <c r="G108" i="2"/>
  <c r="N107" i="2"/>
  <c r="T106" i="2"/>
  <c r="G106" i="2"/>
  <c r="N105" i="2"/>
  <c r="T104" i="2"/>
  <c r="G104" i="2"/>
  <c r="N103" i="2"/>
  <c r="T102" i="2"/>
  <c r="G102" i="2"/>
  <c r="N101" i="2"/>
  <c r="T100" i="2"/>
  <c r="G100" i="2"/>
  <c r="N99" i="2"/>
  <c r="T98" i="2"/>
  <c r="G98" i="2"/>
  <c r="N97" i="2"/>
  <c r="T96" i="2"/>
  <c r="G96" i="2"/>
  <c r="N95" i="2"/>
  <c r="T94" i="2"/>
  <c r="G94" i="2"/>
  <c r="T501" i="2"/>
  <c r="O457" i="2"/>
  <c r="A415" i="2"/>
  <c r="O388" i="2"/>
  <c r="Q372" i="2"/>
  <c r="T361" i="2"/>
  <c r="G351" i="2"/>
  <c r="N340" i="2"/>
  <c r="E331" i="2"/>
  <c r="P323" i="2"/>
  <c r="G317" i="2"/>
  <c r="K312" i="2"/>
  <c r="S307" i="2"/>
  <c r="G303" i="2"/>
  <c r="Q298" i="2"/>
  <c r="E294" i="2"/>
  <c r="O289" i="2"/>
  <c r="C285" i="2"/>
  <c r="C281" i="2"/>
  <c r="M277" i="2"/>
  <c r="T273" i="2"/>
  <c r="S266" i="2"/>
  <c r="G263" i="2"/>
  <c r="S259" i="2"/>
  <c r="O256" i="2"/>
  <c r="P253" i="2"/>
  <c r="C251" i="2"/>
  <c r="H246" i="2"/>
  <c r="G245" i="2"/>
  <c r="G244" i="2"/>
  <c r="G243" i="2"/>
  <c r="G242" i="2"/>
  <c r="N240" i="2"/>
  <c r="S239" i="2"/>
  <c r="E239" i="2"/>
  <c r="J238" i="2"/>
  <c r="P237" i="2"/>
  <c r="A237" i="2"/>
  <c r="G236" i="2"/>
  <c r="K235" i="2"/>
  <c r="Q234" i="2"/>
  <c r="C234" i="2"/>
  <c r="H233" i="2"/>
  <c r="N232" i="2"/>
  <c r="S231" i="2"/>
  <c r="E231" i="2"/>
  <c r="J230" i="2"/>
  <c r="P229" i="2"/>
  <c r="A229" i="2"/>
  <c r="G228" i="2"/>
  <c r="K227" i="2"/>
  <c r="Q226" i="2"/>
  <c r="C226" i="2"/>
  <c r="P224" i="2"/>
  <c r="C224" i="2"/>
  <c r="P222" i="2"/>
  <c r="C222" i="2"/>
  <c r="P220" i="2"/>
  <c r="C220" i="2"/>
  <c r="P218" i="2"/>
  <c r="C218" i="2"/>
  <c r="P216" i="2"/>
  <c r="C216" i="2"/>
  <c r="P214" i="2"/>
  <c r="C214" i="2"/>
  <c r="P212" i="2"/>
  <c r="C212" i="2"/>
  <c r="P210" i="2"/>
  <c r="C210" i="2"/>
  <c r="P208" i="2"/>
  <c r="C208" i="2"/>
  <c r="P206" i="2"/>
  <c r="C206" i="2"/>
  <c r="P204" i="2"/>
  <c r="C204" i="2"/>
  <c r="P202" i="2"/>
  <c r="C202" i="2"/>
  <c r="P200" i="2"/>
  <c r="C200" i="2"/>
  <c r="P198" i="2"/>
  <c r="C198" i="2"/>
  <c r="P196" i="2"/>
  <c r="C196" i="2"/>
  <c r="P194" i="2"/>
  <c r="C194" i="2"/>
  <c r="P192" i="2"/>
  <c r="C192" i="2"/>
  <c r="P190" i="2"/>
  <c r="C190" i="2"/>
  <c r="P188" i="2"/>
  <c r="C188" i="2"/>
  <c r="P186" i="2"/>
  <c r="C186" i="2"/>
  <c r="P184" i="2"/>
  <c r="C184" i="2"/>
  <c r="P182" i="2"/>
  <c r="C182" i="2"/>
  <c r="P180" i="2"/>
  <c r="C180" i="2"/>
  <c r="P178" i="2"/>
  <c r="C178" i="2"/>
  <c r="P176" i="2"/>
  <c r="C176" i="2"/>
  <c r="P174" i="2"/>
  <c r="C174" i="2"/>
  <c r="P172" i="2"/>
  <c r="C172" i="2"/>
  <c r="P170" i="2"/>
  <c r="C170" i="2"/>
  <c r="P168" i="2"/>
  <c r="C168" i="2"/>
  <c r="P166" i="2"/>
  <c r="C166" i="2"/>
  <c r="P164" i="2"/>
  <c r="C164" i="2"/>
  <c r="P162" i="2"/>
  <c r="C162" i="2"/>
  <c r="P160" i="2"/>
  <c r="C160" i="2"/>
  <c r="P158" i="2"/>
  <c r="C158" i="2"/>
  <c r="P156" i="2"/>
  <c r="C156" i="2"/>
  <c r="P154" i="2"/>
  <c r="C154" i="2"/>
  <c r="P152" i="2"/>
  <c r="C152" i="2"/>
  <c r="P150" i="2"/>
  <c r="C150" i="2"/>
  <c r="P148" i="2"/>
  <c r="C148" i="2"/>
  <c r="P146" i="2"/>
  <c r="C146" i="2"/>
  <c r="P144" i="2"/>
  <c r="C144" i="2"/>
  <c r="P142" i="2"/>
  <c r="C142" i="2"/>
  <c r="P140" i="2"/>
  <c r="C140" i="2"/>
  <c r="P138" i="2"/>
  <c r="C138" i="2"/>
  <c r="P136" i="2"/>
  <c r="C136" i="2"/>
  <c r="P134" i="2"/>
  <c r="C134" i="2"/>
  <c r="P132" i="2"/>
  <c r="C132" i="2"/>
  <c r="P130" i="2"/>
  <c r="C130" i="2"/>
  <c r="P128" i="2"/>
  <c r="C128" i="2"/>
  <c r="P126" i="2"/>
  <c r="C126" i="2"/>
  <c r="P124" i="2"/>
  <c r="C124" i="2"/>
  <c r="P122" i="2"/>
  <c r="C122" i="2"/>
  <c r="P120" i="2"/>
  <c r="C120" i="2"/>
  <c r="P118" i="2"/>
  <c r="C118" i="2"/>
  <c r="P116" i="2"/>
  <c r="C116" i="2"/>
  <c r="P114" i="2"/>
  <c r="C114" i="2"/>
  <c r="P112" i="2"/>
  <c r="C112" i="2"/>
  <c r="P110" i="2"/>
  <c r="C110" i="2"/>
  <c r="P108" i="2"/>
  <c r="C108" i="2"/>
  <c r="P106" i="2"/>
  <c r="C106" i="2"/>
  <c r="P104" i="2"/>
  <c r="C104" i="2"/>
  <c r="P102" i="2"/>
  <c r="C102" i="2"/>
  <c r="P100" i="2"/>
  <c r="C100" i="2"/>
  <c r="P98" i="2"/>
  <c r="C98" i="2"/>
  <c r="P96" i="2"/>
  <c r="C96" i="2"/>
  <c r="O501" i="2"/>
  <c r="J457" i="2"/>
  <c r="Q414" i="2"/>
  <c r="K388" i="2"/>
  <c r="N372" i="2"/>
  <c r="R361" i="2"/>
  <c r="E351" i="2"/>
  <c r="K340" i="2"/>
  <c r="N330" i="2"/>
  <c r="G323" i="2"/>
  <c r="E317" i="2"/>
  <c r="H312" i="2"/>
  <c r="P307" i="2"/>
  <c r="E303" i="2"/>
  <c r="M298" i="2"/>
  <c r="T293" i="2"/>
  <c r="J289" i="2"/>
  <c r="R284" i="2"/>
  <c r="T280" i="2"/>
  <c r="J277" i="2"/>
  <c r="R273" i="2"/>
  <c r="G270" i="2"/>
  <c r="Q266" i="2"/>
  <c r="E263" i="2"/>
  <c r="P259" i="2"/>
  <c r="M256" i="2"/>
  <c r="N253" i="2"/>
  <c r="T250" i="2"/>
  <c r="G248" i="2"/>
  <c r="G246" i="2"/>
  <c r="E245" i="2"/>
  <c r="E244" i="2"/>
  <c r="E243" i="2"/>
  <c r="E242" i="2"/>
  <c r="H241" i="2"/>
  <c r="M240" i="2"/>
  <c r="R239" i="2"/>
  <c r="D239" i="2"/>
  <c r="O237" i="2"/>
  <c r="T236" i="2"/>
  <c r="E236" i="2"/>
  <c r="J235" i="2"/>
  <c r="P234" i="2"/>
  <c r="A234" i="2"/>
  <c r="G233" i="2"/>
  <c r="M232" i="2"/>
  <c r="R231" i="2"/>
  <c r="D231" i="2"/>
  <c r="O229" i="2"/>
  <c r="T228" i="2"/>
  <c r="E228" i="2"/>
  <c r="J227" i="2"/>
  <c r="P226" i="2"/>
  <c r="A226" i="2"/>
  <c r="H225" i="2"/>
  <c r="O224" i="2"/>
  <c r="A224" i="2"/>
  <c r="H223" i="2"/>
  <c r="O222" i="2"/>
  <c r="A222" i="2"/>
  <c r="H221" i="2"/>
  <c r="O220" i="2"/>
  <c r="A220" i="2"/>
  <c r="H219" i="2"/>
  <c r="O218" i="2"/>
  <c r="A218" i="2"/>
  <c r="H217" i="2"/>
  <c r="O216" i="2"/>
  <c r="A216" i="2"/>
  <c r="H215" i="2"/>
  <c r="O214" i="2"/>
  <c r="A214" i="2"/>
  <c r="H213" i="2"/>
  <c r="O212" i="2"/>
  <c r="A212" i="2"/>
  <c r="H211" i="2"/>
  <c r="O210" i="2"/>
  <c r="A210" i="2"/>
  <c r="H209" i="2"/>
  <c r="O208" i="2"/>
  <c r="A208" i="2"/>
  <c r="H207" i="2"/>
  <c r="O206" i="2"/>
  <c r="A206" i="2"/>
  <c r="H205" i="2"/>
  <c r="O204" i="2"/>
  <c r="A204" i="2"/>
  <c r="H203" i="2"/>
  <c r="O202" i="2"/>
  <c r="A202" i="2"/>
  <c r="H201" i="2"/>
  <c r="O200" i="2"/>
  <c r="A200" i="2"/>
  <c r="H199" i="2"/>
  <c r="O198" i="2"/>
  <c r="A198" i="2"/>
  <c r="H197" i="2"/>
  <c r="O196" i="2"/>
  <c r="A196" i="2"/>
  <c r="H195" i="2"/>
  <c r="O194" i="2"/>
  <c r="A194" i="2"/>
  <c r="H193" i="2"/>
  <c r="O192" i="2"/>
  <c r="A192" i="2"/>
  <c r="H191" i="2"/>
  <c r="O190" i="2"/>
  <c r="A190" i="2"/>
  <c r="H189" i="2"/>
  <c r="O188" i="2"/>
  <c r="A188" i="2"/>
  <c r="H187" i="2"/>
  <c r="O186" i="2"/>
  <c r="A186" i="2"/>
  <c r="H185" i="2"/>
  <c r="O184" i="2"/>
  <c r="A184" i="2"/>
  <c r="H183" i="2"/>
  <c r="O182" i="2"/>
  <c r="A182" i="2"/>
  <c r="H181" i="2"/>
  <c r="O180" i="2"/>
  <c r="A180" i="2"/>
  <c r="H179" i="2"/>
  <c r="O178" i="2"/>
  <c r="A178" i="2"/>
  <c r="H177" i="2"/>
  <c r="O176" i="2"/>
  <c r="A176" i="2"/>
  <c r="H175" i="2"/>
  <c r="O174" i="2"/>
  <c r="A174" i="2"/>
  <c r="H173" i="2"/>
  <c r="O172" i="2"/>
  <c r="A172" i="2"/>
  <c r="H171" i="2"/>
  <c r="O170" i="2"/>
  <c r="A170" i="2"/>
  <c r="H169" i="2"/>
  <c r="O168" i="2"/>
  <c r="A168" i="2"/>
  <c r="H167" i="2"/>
  <c r="O166" i="2"/>
  <c r="A166" i="2"/>
  <c r="H165" i="2"/>
  <c r="O164" i="2"/>
  <c r="A164" i="2"/>
  <c r="H163" i="2"/>
  <c r="O162" i="2"/>
  <c r="A162" i="2"/>
  <c r="H161" i="2"/>
  <c r="O160" i="2"/>
  <c r="A160" i="2"/>
  <c r="H159" i="2"/>
  <c r="O158" i="2"/>
  <c r="A158" i="2"/>
  <c r="H157" i="2"/>
  <c r="O156" i="2"/>
  <c r="A156" i="2"/>
  <c r="H155" i="2"/>
  <c r="O154" i="2"/>
  <c r="A154" i="2"/>
  <c r="H153" i="2"/>
  <c r="O152" i="2"/>
  <c r="A152" i="2"/>
  <c r="H151" i="2"/>
  <c r="O150" i="2"/>
  <c r="A150" i="2"/>
  <c r="H149" i="2"/>
  <c r="O148" i="2"/>
  <c r="A148" i="2"/>
  <c r="H147" i="2"/>
  <c r="O146" i="2"/>
  <c r="A146" i="2"/>
  <c r="H145" i="2"/>
  <c r="O144" i="2"/>
  <c r="A144" i="2"/>
  <c r="H143" i="2"/>
  <c r="O142" i="2"/>
  <c r="A142" i="2"/>
  <c r="H141" i="2"/>
  <c r="O140" i="2"/>
  <c r="A140" i="2"/>
  <c r="H139" i="2"/>
  <c r="O138" i="2"/>
  <c r="A138" i="2"/>
  <c r="H137" i="2"/>
  <c r="O136" i="2"/>
  <c r="A136" i="2"/>
  <c r="H135" i="2"/>
  <c r="O134" i="2"/>
  <c r="A134" i="2"/>
  <c r="H133" i="2"/>
  <c r="O132" i="2"/>
  <c r="A132" i="2"/>
  <c r="H131" i="2"/>
  <c r="O130" i="2"/>
  <c r="A130" i="2"/>
  <c r="H129" i="2"/>
  <c r="O128" i="2"/>
  <c r="A128" i="2"/>
  <c r="H127" i="2"/>
  <c r="O126" i="2"/>
  <c r="A126" i="2"/>
  <c r="H125" i="2"/>
  <c r="O124" i="2"/>
  <c r="A124" i="2"/>
  <c r="H123" i="2"/>
  <c r="O122" i="2"/>
  <c r="A122" i="2"/>
  <c r="H121" i="2"/>
  <c r="O120" i="2"/>
  <c r="A120" i="2"/>
  <c r="H119" i="2"/>
  <c r="O118" i="2"/>
  <c r="A118" i="2"/>
  <c r="H117" i="2"/>
  <c r="O116" i="2"/>
  <c r="A116" i="2"/>
  <c r="H115" i="2"/>
  <c r="O114" i="2"/>
  <c r="A114" i="2"/>
  <c r="H113" i="2"/>
  <c r="O112" i="2"/>
  <c r="A112" i="2"/>
  <c r="H111" i="2"/>
  <c r="O110" i="2"/>
  <c r="A110" i="2"/>
  <c r="H109" i="2"/>
  <c r="O108" i="2"/>
  <c r="A108" i="2"/>
  <c r="H107" i="2"/>
  <c r="O106" i="2"/>
  <c r="A106" i="2"/>
  <c r="H105" i="2"/>
  <c r="O104" i="2"/>
  <c r="A104" i="2"/>
  <c r="H103" i="2"/>
  <c r="O102" i="2"/>
  <c r="A102" i="2"/>
  <c r="H101" i="2"/>
  <c r="O100" i="2"/>
  <c r="A100" i="2"/>
  <c r="H99" i="2"/>
  <c r="O98" i="2"/>
  <c r="A98" i="2"/>
  <c r="H97" i="2"/>
  <c r="O96" i="2"/>
  <c r="A96" i="2"/>
  <c r="H95" i="2"/>
  <c r="O94" i="2"/>
  <c r="A94" i="2"/>
  <c r="H93" i="2"/>
  <c r="A517" i="2"/>
  <c r="D393" i="2"/>
  <c r="T353" i="2"/>
  <c r="F325" i="2"/>
  <c r="C309" i="2"/>
  <c r="G295" i="2"/>
  <c r="T281" i="2"/>
  <c r="G271" i="2"/>
  <c r="O260" i="2"/>
  <c r="P251" i="2"/>
  <c r="K245" i="2"/>
  <c r="T242" i="2"/>
  <c r="P240" i="2"/>
  <c r="C239" i="2"/>
  <c r="E237" i="2"/>
  <c r="N235" i="2"/>
  <c r="R233" i="2"/>
  <c r="A232" i="2"/>
  <c r="H230" i="2"/>
  <c r="J228" i="2"/>
  <c r="R226" i="2"/>
  <c r="E225" i="2"/>
  <c r="K223" i="2"/>
  <c r="T221" i="2"/>
  <c r="F220" i="2"/>
  <c r="Q218" i="2"/>
  <c r="E217" i="2"/>
  <c r="K215" i="2"/>
  <c r="T213" i="2"/>
  <c r="F212" i="2"/>
  <c r="Q210" i="2"/>
  <c r="E209" i="2"/>
  <c r="K207" i="2"/>
  <c r="T205" i="2"/>
  <c r="F204" i="2"/>
  <c r="Q202" i="2"/>
  <c r="E201" i="2"/>
  <c r="K199" i="2"/>
  <c r="T197" i="2"/>
  <c r="F196" i="2"/>
  <c r="Q194" i="2"/>
  <c r="E193" i="2"/>
  <c r="K191" i="2"/>
  <c r="T189" i="2"/>
  <c r="F188" i="2"/>
  <c r="Q186" i="2"/>
  <c r="E185" i="2"/>
  <c r="K183" i="2"/>
  <c r="T181" i="2"/>
  <c r="F180" i="2"/>
  <c r="Q178" i="2"/>
  <c r="E177" i="2"/>
  <c r="K175" i="2"/>
  <c r="T173" i="2"/>
  <c r="F172" i="2"/>
  <c r="Q170" i="2"/>
  <c r="E169" i="2"/>
  <c r="K167" i="2"/>
  <c r="T165" i="2"/>
  <c r="F164" i="2"/>
  <c r="Q162" i="2"/>
  <c r="E161" i="2"/>
  <c r="K159" i="2"/>
  <c r="T157" i="2"/>
  <c r="F156" i="2"/>
  <c r="Q154" i="2"/>
  <c r="E153" i="2"/>
  <c r="K151" i="2"/>
  <c r="T149" i="2"/>
  <c r="F148" i="2"/>
  <c r="Q146" i="2"/>
  <c r="E145" i="2"/>
  <c r="K143" i="2"/>
  <c r="T141" i="2"/>
  <c r="F140" i="2"/>
  <c r="Q138" i="2"/>
  <c r="E137" i="2"/>
  <c r="K135" i="2"/>
  <c r="T133" i="2"/>
  <c r="F132" i="2"/>
  <c r="Q130" i="2"/>
  <c r="E129" i="2"/>
  <c r="K127" i="2"/>
  <c r="T125" i="2"/>
  <c r="F124" i="2"/>
  <c r="Q122" i="2"/>
  <c r="E121" i="2"/>
  <c r="R119" i="2"/>
  <c r="K118" i="2"/>
  <c r="E117" i="2"/>
  <c r="R115" i="2"/>
  <c r="K114" i="2"/>
  <c r="E113" i="2"/>
  <c r="R111" i="2"/>
  <c r="K110" i="2"/>
  <c r="E109" i="2"/>
  <c r="R107" i="2"/>
  <c r="K106" i="2"/>
  <c r="E105" i="2"/>
  <c r="R103" i="2"/>
  <c r="K102" i="2"/>
  <c r="E101" i="2"/>
  <c r="R99" i="2"/>
  <c r="K98" i="2"/>
  <c r="E97" i="2"/>
  <c r="R95" i="2"/>
  <c r="Q94" i="2"/>
  <c r="P93" i="2"/>
  <c r="T92" i="2"/>
  <c r="G92" i="2"/>
  <c r="N91" i="2"/>
  <c r="T90" i="2"/>
  <c r="G90" i="2"/>
  <c r="N89" i="2"/>
  <c r="T88" i="2"/>
  <c r="G88" i="2"/>
  <c r="N87" i="2"/>
  <c r="T86" i="2"/>
  <c r="G86" i="2"/>
  <c r="N85" i="2"/>
  <c r="T84" i="2"/>
  <c r="G84" i="2"/>
  <c r="N83" i="2"/>
  <c r="T82" i="2"/>
  <c r="G82" i="2"/>
  <c r="N81" i="2"/>
  <c r="T80" i="2"/>
  <c r="G80" i="2"/>
  <c r="N79" i="2"/>
  <c r="T78" i="2"/>
  <c r="G78" i="2"/>
  <c r="N77" i="2"/>
  <c r="T76" i="2"/>
  <c r="G76" i="2"/>
  <c r="N75" i="2"/>
  <c r="T74" i="2"/>
  <c r="G74" i="2"/>
  <c r="N73" i="2"/>
  <c r="T72" i="2"/>
  <c r="G72" i="2"/>
  <c r="N71" i="2"/>
  <c r="T70" i="2"/>
  <c r="G70" i="2"/>
  <c r="N69" i="2"/>
  <c r="T68" i="2"/>
  <c r="G68" i="2"/>
  <c r="N67" i="2"/>
  <c r="T66" i="2"/>
  <c r="G66" i="2"/>
  <c r="N65" i="2"/>
  <c r="T64" i="2"/>
  <c r="G64" i="2"/>
  <c r="N63" i="2"/>
  <c r="T62" i="2"/>
  <c r="G62" i="2"/>
  <c r="N61" i="2"/>
  <c r="T60" i="2"/>
  <c r="G60" i="2"/>
  <c r="N59" i="2"/>
  <c r="T58" i="2"/>
  <c r="G58" i="2"/>
  <c r="N57" i="2"/>
  <c r="T56" i="2"/>
  <c r="G56" i="2"/>
  <c r="N55" i="2"/>
  <c r="T54" i="2"/>
  <c r="G54" i="2"/>
  <c r="N53" i="2"/>
  <c r="T52" i="2"/>
  <c r="G52" i="2"/>
  <c r="N51" i="2"/>
  <c r="T50" i="2"/>
  <c r="G50" i="2"/>
  <c r="N49" i="2"/>
  <c r="T48" i="2"/>
  <c r="G48" i="2"/>
  <c r="N47" i="2"/>
  <c r="T46" i="2"/>
  <c r="G46" i="2"/>
  <c r="N45" i="2"/>
  <c r="T44" i="2"/>
  <c r="G44" i="2"/>
  <c r="N43" i="2"/>
  <c r="T42" i="2"/>
  <c r="G42" i="2"/>
  <c r="N41" i="2"/>
  <c r="T40" i="2"/>
  <c r="G40" i="2"/>
  <c r="N39" i="2"/>
  <c r="T38" i="2"/>
  <c r="G38" i="2"/>
  <c r="N37" i="2"/>
  <c r="T36" i="2"/>
  <c r="G36" i="2"/>
  <c r="N35" i="2"/>
  <c r="T34" i="2"/>
  <c r="G34" i="2"/>
  <c r="N33" i="2"/>
  <c r="T32" i="2"/>
  <c r="G32" i="2"/>
  <c r="N31" i="2"/>
  <c r="T30" i="2"/>
  <c r="G30" i="2"/>
  <c r="N29" i="2"/>
  <c r="T28" i="2"/>
  <c r="G28" i="2"/>
  <c r="N27" i="2"/>
  <c r="T26" i="2"/>
  <c r="G26" i="2"/>
  <c r="N25" i="2"/>
  <c r="T24" i="2"/>
  <c r="G24" i="2"/>
  <c r="N23" i="2"/>
  <c r="T22" i="2"/>
  <c r="G22" i="2"/>
  <c r="N21" i="2"/>
  <c r="T20" i="2"/>
  <c r="G20" i="2"/>
  <c r="N19" i="2"/>
  <c r="T18" i="2"/>
  <c r="G18" i="2"/>
  <c r="N17" i="2"/>
  <c r="T16" i="2"/>
  <c r="G16" i="2"/>
  <c r="N15" i="2"/>
  <c r="T14" i="2"/>
  <c r="G14" i="2"/>
  <c r="N13" i="2"/>
  <c r="T12" i="2"/>
  <c r="G12" i="2"/>
  <c r="N11" i="2"/>
  <c r="T10" i="2"/>
  <c r="G10" i="2"/>
  <c r="N9" i="2"/>
  <c r="T8" i="2"/>
  <c r="G8" i="2"/>
  <c r="N7" i="2"/>
  <c r="T6" i="2"/>
  <c r="G6" i="2"/>
  <c r="N5" i="2"/>
  <c r="T4" i="2"/>
  <c r="G4" i="2"/>
  <c r="N3" i="2"/>
  <c r="T2" i="2"/>
  <c r="G2" i="2"/>
  <c r="M67" i="2"/>
  <c r="F62" i="2"/>
  <c r="S60" i="2"/>
  <c r="M59" i="2"/>
  <c r="F58" i="2"/>
  <c r="S56" i="2"/>
  <c r="F56" i="2"/>
  <c r="S54" i="2"/>
  <c r="M53" i="2"/>
  <c r="F52" i="2"/>
  <c r="M51" i="2"/>
  <c r="F50" i="2"/>
  <c r="S48" i="2"/>
  <c r="M47" i="2"/>
  <c r="S46" i="2"/>
  <c r="M45" i="2"/>
  <c r="S44" i="2"/>
  <c r="M43" i="2"/>
  <c r="F42" i="2"/>
  <c r="M41" i="2"/>
  <c r="F40" i="2"/>
  <c r="S38" i="2"/>
  <c r="M37" i="2"/>
  <c r="F36" i="2"/>
  <c r="S34" i="2"/>
  <c r="M33" i="2"/>
  <c r="F32" i="2"/>
  <c r="S30" i="2"/>
  <c r="F30" i="2"/>
  <c r="S28" i="2"/>
  <c r="M27" i="2"/>
  <c r="F26" i="2"/>
  <c r="S24" i="2"/>
  <c r="M23" i="2"/>
  <c r="F22" i="2"/>
  <c r="S20" i="2"/>
  <c r="M19" i="2"/>
  <c r="F18" i="2"/>
  <c r="S16" i="2"/>
  <c r="M15" i="2"/>
  <c r="F14" i="2"/>
  <c r="S12" i="2"/>
  <c r="M11" i="2"/>
  <c r="F10" i="2"/>
  <c r="S8" i="2"/>
  <c r="M7" i="2"/>
  <c r="F6" i="2"/>
  <c r="S4" i="2"/>
  <c r="M3" i="2"/>
  <c r="F2" i="2"/>
  <c r="K5" i="2"/>
  <c r="E4" i="2"/>
  <c r="E2" i="2"/>
  <c r="Q52" i="2"/>
  <c r="D46" i="2"/>
  <c r="Q42" i="2"/>
  <c r="D40" i="2"/>
  <c r="J37" i="2"/>
  <c r="D34" i="2"/>
  <c r="J31" i="2"/>
  <c r="Q28" i="2"/>
  <c r="D26" i="2"/>
  <c r="Q24" i="2"/>
  <c r="D22" i="2"/>
  <c r="J19" i="2"/>
  <c r="D18" i="2"/>
  <c r="D16" i="2"/>
  <c r="J13" i="2"/>
  <c r="Q10" i="2"/>
  <c r="D8" i="2"/>
  <c r="J5" i="2"/>
  <c r="Q2" i="2"/>
  <c r="E160" i="2"/>
  <c r="O113" i="2"/>
  <c r="A99" i="2"/>
  <c r="S91" i="2"/>
  <c r="S89" i="2"/>
  <c r="M86" i="2"/>
  <c r="M84" i="2"/>
  <c r="M80" i="2"/>
  <c r="M76" i="2"/>
  <c r="M72" i="2"/>
  <c r="M68" i="2"/>
  <c r="F65" i="2"/>
  <c r="M62" i="2"/>
  <c r="F57" i="2"/>
  <c r="S53" i="2"/>
  <c r="F49" i="2"/>
  <c r="F45" i="2"/>
  <c r="F41" i="2"/>
  <c r="S37" i="2"/>
  <c r="S33" i="2"/>
  <c r="F31" i="2"/>
  <c r="S25" i="2"/>
  <c r="M22" i="2"/>
  <c r="S17" i="2"/>
  <c r="F13" i="2"/>
  <c r="M8" i="2"/>
  <c r="F5" i="2"/>
  <c r="N364" i="2"/>
  <c r="K243" i="2"/>
  <c r="G234" i="2"/>
  <c r="G219" i="2"/>
  <c r="G211" i="2"/>
  <c r="K206" i="2"/>
  <c r="K198" i="2"/>
  <c r="G187" i="2"/>
  <c r="K182" i="2"/>
  <c r="K174" i="2"/>
  <c r="D168" i="2"/>
  <c r="M161" i="2"/>
  <c r="R156" i="2"/>
  <c r="K150" i="2"/>
  <c r="G147" i="2"/>
  <c r="G139" i="2"/>
  <c r="K134" i="2"/>
  <c r="K126" i="2"/>
  <c r="S118" i="2"/>
  <c r="M113" i="2"/>
  <c r="S110" i="2"/>
  <c r="M105" i="2"/>
  <c r="F100" i="2"/>
  <c r="F96" i="2"/>
  <c r="K92" i="2"/>
  <c r="R89" i="2"/>
  <c r="R87" i="2"/>
  <c r="K84" i="2"/>
  <c r="K82" i="2"/>
  <c r="R79" i="2"/>
  <c r="E77" i="2"/>
  <c r="R73" i="2"/>
  <c r="K70" i="2"/>
  <c r="E67" i="2"/>
  <c r="R63" i="2"/>
  <c r="R59" i="2"/>
  <c r="R55" i="2"/>
  <c r="K52" i="2"/>
  <c r="R49" i="2"/>
  <c r="K46" i="2"/>
  <c r="R43" i="2"/>
  <c r="K40" i="2"/>
  <c r="K36" i="2"/>
  <c r="R33" i="2"/>
  <c r="R29" i="2"/>
  <c r="E27" i="2"/>
  <c r="R23" i="2"/>
  <c r="R21" i="2"/>
  <c r="E19" i="2"/>
  <c r="R15" i="2"/>
  <c r="E13" i="2"/>
  <c r="R9" i="2"/>
  <c r="K6" i="2"/>
  <c r="R3" i="2"/>
  <c r="J425" i="2"/>
  <c r="J243" i="2"/>
  <c r="E234" i="2"/>
  <c r="C229" i="2"/>
  <c r="Q220" i="2"/>
  <c r="T215" i="2"/>
  <c r="K209" i="2"/>
  <c r="Q204" i="2"/>
  <c r="T199" i="2"/>
  <c r="K193" i="2"/>
  <c r="K185" i="2"/>
  <c r="Q180" i="2"/>
  <c r="K177" i="2"/>
  <c r="K169" i="2"/>
  <c r="F166" i="2"/>
  <c r="T159" i="2"/>
  <c r="Q156" i="2"/>
  <c r="F150" i="2"/>
  <c r="E147" i="2"/>
  <c r="K137" i="2"/>
  <c r="F134" i="2"/>
  <c r="K129" i="2"/>
  <c r="E123" i="2"/>
  <c r="R118" i="2"/>
  <c r="R110" i="2"/>
  <c r="K105" i="2"/>
  <c r="E100" i="2"/>
  <c r="E96" i="2"/>
  <c r="Q91" i="2"/>
  <c r="J90" i="2"/>
  <c r="D87" i="2"/>
  <c r="Q83" i="2"/>
  <c r="J80" i="2"/>
  <c r="J78" i="2"/>
  <c r="Q75" i="2"/>
  <c r="Q73" i="2"/>
  <c r="D71" i="2"/>
  <c r="D67" i="2"/>
  <c r="J64" i="2"/>
  <c r="J62" i="2"/>
  <c r="D59" i="2"/>
  <c r="J56" i="2"/>
  <c r="Q53" i="2"/>
  <c r="J52" i="2"/>
  <c r="J48" i="2"/>
  <c r="Q45" i="2"/>
  <c r="D43" i="2"/>
  <c r="J40" i="2"/>
  <c r="Q37" i="2"/>
  <c r="J34" i="2"/>
  <c r="Q31" i="2"/>
  <c r="Q27" i="2"/>
  <c r="J24" i="2"/>
  <c r="D21" i="2"/>
  <c r="D19" i="2"/>
  <c r="Q15" i="2"/>
  <c r="Q13" i="2"/>
  <c r="J10" i="2"/>
  <c r="J6" i="2"/>
  <c r="D3" i="2"/>
  <c r="N516" i="2"/>
  <c r="T392" i="2"/>
  <c r="R353" i="2"/>
  <c r="C325" i="2"/>
  <c r="R308" i="2"/>
  <c r="E295" i="2"/>
  <c r="R281" i="2"/>
  <c r="E271" i="2"/>
  <c r="M260" i="2"/>
  <c r="N251" i="2"/>
  <c r="J245" i="2"/>
  <c r="K242" i="2"/>
  <c r="O240" i="2"/>
  <c r="T238" i="2"/>
  <c r="D237" i="2"/>
  <c r="K233" i="2"/>
  <c r="T231" i="2"/>
  <c r="E230" i="2"/>
  <c r="O226" i="2"/>
  <c r="S224" i="2"/>
  <c r="J223" i="2"/>
  <c r="R221" i="2"/>
  <c r="E220" i="2"/>
  <c r="N218" i="2"/>
  <c r="S216" i="2"/>
  <c r="J215" i="2"/>
  <c r="R213" i="2"/>
  <c r="E212" i="2"/>
  <c r="N210" i="2"/>
  <c r="S208" i="2"/>
  <c r="J207" i="2"/>
  <c r="R205" i="2"/>
  <c r="E204" i="2"/>
  <c r="N202" i="2"/>
  <c r="S200" i="2"/>
  <c r="J199" i="2"/>
  <c r="R197" i="2"/>
  <c r="E196" i="2"/>
  <c r="N194" i="2"/>
  <c r="S192" i="2"/>
  <c r="J191" i="2"/>
  <c r="R189" i="2"/>
  <c r="E188" i="2"/>
  <c r="N186" i="2"/>
  <c r="S184" i="2"/>
  <c r="J183" i="2"/>
  <c r="R181" i="2"/>
  <c r="E180" i="2"/>
  <c r="N178" i="2"/>
  <c r="S176" i="2"/>
  <c r="J175" i="2"/>
  <c r="R173" i="2"/>
  <c r="E172" i="2"/>
  <c r="N170" i="2"/>
  <c r="S168" i="2"/>
  <c r="J167" i="2"/>
  <c r="R165" i="2"/>
  <c r="E164" i="2"/>
  <c r="N162" i="2"/>
  <c r="S160" i="2"/>
  <c r="J159" i="2"/>
  <c r="R157" i="2"/>
  <c r="E156" i="2"/>
  <c r="N154" i="2"/>
  <c r="S152" i="2"/>
  <c r="J151" i="2"/>
  <c r="R149" i="2"/>
  <c r="E148" i="2"/>
  <c r="N146" i="2"/>
  <c r="S144" i="2"/>
  <c r="J143" i="2"/>
  <c r="R141" i="2"/>
  <c r="E140" i="2"/>
  <c r="N138" i="2"/>
  <c r="S136" i="2"/>
  <c r="J135" i="2"/>
  <c r="R133" i="2"/>
  <c r="E132" i="2"/>
  <c r="N130" i="2"/>
  <c r="S128" i="2"/>
  <c r="J127" i="2"/>
  <c r="R125" i="2"/>
  <c r="E124" i="2"/>
  <c r="N122" i="2"/>
  <c r="A121" i="2"/>
  <c r="O119" i="2"/>
  <c r="H118" i="2"/>
  <c r="A117" i="2"/>
  <c r="O115" i="2"/>
  <c r="H114" i="2"/>
  <c r="A113" i="2"/>
  <c r="O111" i="2"/>
  <c r="H110" i="2"/>
  <c r="A109" i="2"/>
  <c r="O107" i="2"/>
  <c r="H106" i="2"/>
  <c r="A105" i="2"/>
  <c r="O103" i="2"/>
  <c r="H102" i="2"/>
  <c r="A101" i="2"/>
  <c r="O99" i="2"/>
  <c r="H98" i="2"/>
  <c r="A97" i="2"/>
  <c r="O95" i="2"/>
  <c r="P94" i="2"/>
  <c r="O93" i="2"/>
  <c r="S92" i="2"/>
  <c r="F92" i="2"/>
  <c r="M91" i="2"/>
  <c r="S90" i="2"/>
  <c r="F90" i="2"/>
  <c r="M89" i="2"/>
  <c r="S88" i="2"/>
  <c r="F88" i="2"/>
  <c r="M87" i="2"/>
  <c r="S86" i="2"/>
  <c r="F86" i="2"/>
  <c r="M85" i="2"/>
  <c r="S84" i="2"/>
  <c r="F84" i="2"/>
  <c r="M83" i="2"/>
  <c r="S82" i="2"/>
  <c r="F82" i="2"/>
  <c r="M81" i="2"/>
  <c r="S80" i="2"/>
  <c r="F80" i="2"/>
  <c r="M79" i="2"/>
  <c r="S78" i="2"/>
  <c r="F78" i="2"/>
  <c r="M77" i="2"/>
  <c r="S76" i="2"/>
  <c r="F76" i="2"/>
  <c r="M75" i="2"/>
  <c r="S74" i="2"/>
  <c r="F74" i="2"/>
  <c r="M73" i="2"/>
  <c r="S72" i="2"/>
  <c r="F72" i="2"/>
  <c r="M71" i="2"/>
  <c r="S70" i="2"/>
  <c r="F70" i="2"/>
  <c r="M69" i="2"/>
  <c r="S68" i="2"/>
  <c r="F68" i="2"/>
  <c r="S66" i="2"/>
  <c r="F66" i="2"/>
  <c r="M65" i="2"/>
  <c r="S64" i="2"/>
  <c r="F64" i="2"/>
  <c r="M63" i="2"/>
  <c r="S62" i="2"/>
  <c r="M61" i="2"/>
  <c r="F60" i="2"/>
  <c r="S58" i="2"/>
  <c r="M57" i="2"/>
  <c r="M55" i="2"/>
  <c r="F54" i="2"/>
  <c r="S52" i="2"/>
  <c r="S50" i="2"/>
  <c r="M49" i="2"/>
  <c r="F48" i="2"/>
  <c r="F46" i="2"/>
  <c r="F44" i="2"/>
  <c r="S42" i="2"/>
  <c r="S40" i="2"/>
  <c r="M39" i="2"/>
  <c r="F38" i="2"/>
  <c r="S36" i="2"/>
  <c r="M35" i="2"/>
  <c r="F34" i="2"/>
  <c r="S32" i="2"/>
  <c r="M31" i="2"/>
  <c r="M29" i="2"/>
  <c r="F28" i="2"/>
  <c r="S26" i="2"/>
  <c r="M25" i="2"/>
  <c r="F24" i="2"/>
  <c r="S22" i="2"/>
  <c r="M21" i="2"/>
  <c r="F20" i="2"/>
  <c r="S18" i="2"/>
  <c r="M17" i="2"/>
  <c r="F16" i="2"/>
  <c r="S14" i="2"/>
  <c r="M13" i="2"/>
  <c r="F12" i="2"/>
  <c r="S10" i="2"/>
  <c r="M9" i="2"/>
  <c r="F8" i="2"/>
  <c r="S6" i="2"/>
  <c r="M5" i="2"/>
  <c r="F4" i="2"/>
  <c r="S2" i="2"/>
  <c r="E6" i="2"/>
  <c r="R2" i="2"/>
  <c r="D52" i="2"/>
  <c r="J45" i="2"/>
  <c r="D42" i="2"/>
  <c r="J39" i="2"/>
  <c r="Q36" i="2"/>
  <c r="Q34" i="2"/>
  <c r="D32" i="2"/>
  <c r="D30" i="2"/>
  <c r="D28" i="2"/>
  <c r="J25" i="2"/>
  <c r="Q22" i="2"/>
  <c r="D20" i="2"/>
  <c r="J17" i="2"/>
  <c r="J15" i="2"/>
  <c r="Q12" i="2"/>
  <c r="D10" i="2"/>
  <c r="J7" i="2"/>
  <c r="Q4" i="2"/>
  <c r="E168" i="2"/>
  <c r="H112" i="2"/>
  <c r="F91" i="2"/>
  <c r="F81" i="2"/>
  <c r="S73" i="2"/>
  <c r="S67" i="2"/>
  <c r="F63" i="2"/>
  <c r="M58" i="2"/>
  <c r="M52" i="2"/>
  <c r="S47" i="2"/>
  <c r="S43" i="2"/>
  <c r="F39" i="2"/>
  <c r="M36" i="2"/>
  <c r="M32" i="2"/>
  <c r="S27" i="2"/>
  <c r="S23" i="2"/>
  <c r="F19" i="2"/>
  <c r="F15" i="2"/>
  <c r="S9" i="2"/>
  <c r="S3" i="2"/>
  <c r="O313" i="2"/>
  <c r="J241" i="2"/>
  <c r="T230" i="2"/>
  <c r="K222" i="2"/>
  <c r="K214" i="2"/>
  <c r="G203" i="2"/>
  <c r="D192" i="2"/>
  <c r="G179" i="2"/>
  <c r="E9" i="2"/>
  <c r="T285" i="2"/>
  <c r="E171" i="2"/>
  <c r="Q140" i="2"/>
  <c r="Q124" i="2"/>
  <c r="K113" i="2"/>
  <c r="E104" i="2"/>
  <c r="A95" i="2"/>
  <c r="D89" i="2"/>
  <c r="Q85" i="2"/>
  <c r="Q81" i="2"/>
  <c r="D77" i="2"/>
  <c r="J72" i="2"/>
  <c r="J68" i="2"/>
  <c r="Q63" i="2"/>
  <c r="Q59" i="2"/>
  <c r="D55" i="2"/>
  <c r="D51" i="2"/>
  <c r="D47" i="2"/>
  <c r="Q41" i="2"/>
  <c r="Q35" i="2"/>
  <c r="D31" i="2"/>
  <c r="D505" i="2"/>
  <c r="N389" i="2"/>
  <c r="S351" i="2"/>
  <c r="S323" i="2"/>
  <c r="D308" i="2"/>
  <c r="F281" i="2"/>
  <c r="M270" i="2"/>
  <c r="A260" i="2"/>
  <c r="E251" i="2"/>
  <c r="H245" i="2"/>
  <c r="K240" i="2"/>
  <c r="N238" i="2"/>
  <c r="C237" i="2"/>
  <c r="G235" i="2"/>
  <c r="J233" i="2"/>
  <c r="Q231" i="2"/>
  <c r="S229" i="2"/>
  <c r="H228" i="2"/>
  <c r="M226" i="2"/>
  <c r="R224" i="2"/>
  <c r="G223" i="2"/>
  <c r="M221" i="2"/>
  <c r="D220" i="2"/>
  <c r="K218" i="2"/>
  <c r="R216" i="2"/>
  <c r="G215" i="2"/>
  <c r="M213" i="2"/>
  <c r="D212" i="2"/>
  <c r="K210" i="2"/>
  <c r="R208" i="2"/>
  <c r="G207" i="2"/>
  <c r="M205" i="2"/>
  <c r="D204" i="2"/>
  <c r="K202" i="2"/>
  <c r="R200" i="2"/>
  <c r="G199" i="2"/>
  <c r="M197" i="2"/>
  <c r="D196" i="2"/>
  <c r="K194" i="2"/>
  <c r="R192" i="2"/>
  <c r="G191" i="2"/>
  <c r="M189" i="2"/>
  <c r="D188" i="2"/>
  <c r="K186" i="2"/>
  <c r="R184" i="2"/>
  <c r="G183" i="2"/>
  <c r="M181" i="2"/>
  <c r="D180" i="2"/>
  <c r="K178" i="2"/>
  <c r="R176" i="2"/>
  <c r="G175" i="2"/>
  <c r="M173" i="2"/>
  <c r="D172" i="2"/>
  <c r="K170" i="2"/>
  <c r="R168" i="2"/>
  <c r="G167" i="2"/>
  <c r="M165" i="2"/>
  <c r="D164" i="2"/>
  <c r="K162" i="2"/>
  <c r="R160" i="2"/>
  <c r="G159" i="2"/>
  <c r="M157" i="2"/>
  <c r="D156" i="2"/>
  <c r="K154" i="2"/>
  <c r="R152" i="2"/>
  <c r="G151" i="2"/>
  <c r="M149" i="2"/>
  <c r="D148" i="2"/>
  <c r="K146" i="2"/>
  <c r="R144" i="2"/>
  <c r="G143" i="2"/>
  <c r="M141" i="2"/>
  <c r="D140" i="2"/>
  <c r="K138" i="2"/>
  <c r="R136" i="2"/>
  <c r="G135" i="2"/>
  <c r="M133" i="2"/>
  <c r="D132" i="2"/>
  <c r="K130" i="2"/>
  <c r="R128" i="2"/>
  <c r="G127" i="2"/>
  <c r="M125" i="2"/>
  <c r="D124" i="2"/>
  <c r="K122" i="2"/>
  <c r="S120" i="2"/>
  <c r="M119" i="2"/>
  <c r="F118" i="2"/>
  <c r="S116" i="2"/>
  <c r="M115" i="2"/>
  <c r="F114" i="2"/>
  <c r="S112" i="2"/>
  <c r="M111" i="2"/>
  <c r="F110" i="2"/>
  <c r="S108" i="2"/>
  <c r="M107" i="2"/>
  <c r="F106" i="2"/>
  <c r="S104" i="2"/>
  <c r="M103" i="2"/>
  <c r="F102" i="2"/>
  <c r="S100" i="2"/>
  <c r="M99" i="2"/>
  <c r="F98" i="2"/>
  <c r="S96" i="2"/>
  <c r="M95" i="2"/>
  <c r="N94" i="2"/>
  <c r="N93" i="2"/>
  <c r="R92" i="2"/>
  <c r="E92" i="2"/>
  <c r="K91" i="2"/>
  <c r="R90" i="2"/>
  <c r="E90" i="2"/>
  <c r="K89" i="2"/>
  <c r="R88" i="2"/>
  <c r="E88" i="2"/>
  <c r="K87" i="2"/>
  <c r="R86" i="2"/>
  <c r="E86" i="2"/>
  <c r="K85" i="2"/>
  <c r="R84" i="2"/>
  <c r="E84" i="2"/>
  <c r="K83" i="2"/>
  <c r="R82" i="2"/>
  <c r="E82" i="2"/>
  <c r="K81" i="2"/>
  <c r="R80" i="2"/>
  <c r="E80" i="2"/>
  <c r="K79" i="2"/>
  <c r="R78" i="2"/>
  <c r="E78" i="2"/>
  <c r="K77" i="2"/>
  <c r="R76" i="2"/>
  <c r="E76" i="2"/>
  <c r="K75" i="2"/>
  <c r="R74" i="2"/>
  <c r="E74" i="2"/>
  <c r="K73" i="2"/>
  <c r="R72" i="2"/>
  <c r="E72" i="2"/>
  <c r="K71" i="2"/>
  <c r="R70" i="2"/>
  <c r="E70" i="2"/>
  <c r="K69" i="2"/>
  <c r="R68" i="2"/>
  <c r="E68" i="2"/>
  <c r="K67" i="2"/>
  <c r="R66" i="2"/>
  <c r="E66" i="2"/>
  <c r="K65" i="2"/>
  <c r="R64" i="2"/>
  <c r="E64" i="2"/>
  <c r="K63" i="2"/>
  <c r="R62" i="2"/>
  <c r="E62" i="2"/>
  <c r="K61" i="2"/>
  <c r="R60" i="2"/>
  <c r="E60" i="2"/>
  <c r="K59" i="2"/>
  <c r="R58" i="2"/>
  <c r="E58" i="2"/>
  <c r="K57" i="2"/>
  <c r="R56" i="2"/>
  <c r="E56" i="2"/>
  <c r="K55" i="2"/>
  <c r="R54" i="2"/>
  <c r="E54" i="2"/>
  <c r="K53" i="2"/>
  <c r="R52" i="2"/>
  <c r="E52" i="2"/>
  <c r="K51" i="2"/>
  <c r="R50" i="2"/>
  <c r="E50" i="2"/>
  <c r="K49" i="2"/>
  <c r="R48" i="2"/>
  <c r="E48" i="2"/>
  <c r="K47" i="2"/>
  <c r="R46" i="2"/>
  <c r="E46" i="2"/>
  <c r="K45" i="2"/>
  <c r="R44" i="2"/>
  <c r="E44" i="2"/>
  <c r="K43" i="2"/>
  <c r="R42" i="2"/>
  <c r="E42" i="2"/>
  <c r="K41" i="2"/>
  <c r="R40" i="2"/>
  <c r="E40" i="2"/>
  <c r="K39" i="2"/>
  <c r="R38" i="2"/>
  <c r="E38" i="2"/>
  <c r="K37" i="2"/>
  <c r="R36" i="2"/>
  <c r="E36" i="2"/>
  <c r="K35" i="2"/>
  <c r="R34" i="2"/>
  <c r="E34" i="2"/>
  <c r="K33" i="2"/>
  <c r="R32" i="2"/>
  <c r="E32" i="2"/>
  <c r="K31" i="2"/>
  <c r="R30" i="2"/>
  <c r="E30" i="2"/>
  <c r="K29" i="2"/>
  <c r="R28" i="2"/>
  <c r="E28" i="2"/>
  <c r="K27" i="2"/>
  <c r="R26" i="2"/>
  <c r="E26" i="2"/>
  <c r="K25" i="2"/>
  <c r="R24" i="2"/>
  <c r="E24" i="2"/>
  <c r="K23" i="2"/>
  <c r="R22" i="2"/>
  <c r="E22" i="2"/>
  <c r="K21" i="2"/>
  <c r="R20" i="2"/>
  <c r="E20" i="2"/>
  <c r="K19" i="2"/>
  <c r="R18" i="2"/>
  <c r="E18" i="2"/>
  <c r="K17" i="2"/>
  <c r="R16" i="2"/>
  <c r="E16" i="2"/>
  <c r="K15" i="2"/>
  <c r="R14" i="2"/>
  <c r="E14" i="2"/>
  <c r="K13" i="2"/>
  <c r="R12" i="2"/>
  <c r="E12" i="2"/>
  <c r="K11" i="2"/>
  <c r="R10" i="2"/>
  <c r="E10" i="2"/>
  <c r="K9" i="2"/>
  <c r="R8" i="2"/>
  <c r="E8" i="2"/>
  <c r="K7" i="2"/>
  <c r="R6" i="2"/>
  <c r="R4" i="2"/>
  <c r="K3" i="2"/>
  <c r="J51" i="2"/>
  <c r="Q46" i="2"/>
  <c r="D44" i="2"/>
  <c r="J41" i="2"/>
  <c r="Q38" i="2"/>
  <c r="D36" i="2"/>
  <c r="J33" i="2"/>
  <c r="Q30" i="2"/>
  <c r="J27" i="2"/>
  <c r="D24" i="2"/>
  <c r="J21" i="2"/>
  <c r="Q18" i="2"/>
  <c r="Q14" i="2"/>
  <c r="D12" i="2"/>
  <c r="Q8" i="2"/>
  <c r="Q6" i="2"/>
  <c r="D4" i="2"/>
  <c r="D2" i="2"/>
  <c r="J163" i="2"/>
  <c r="A119" i="2"/>
  <c r="O105" i="2"/>
  <c r="E95" i="2"/>
  <c r="M88" i="2"/>
  <c r="S83" i="2"/>
  <c r="S77" i="2"/>
  <c r="M74" i="2"/>
  <c r="M70" i="2"/>
  <c r="M64" i="2"/>
  <c r="F59" i="2"/>
  <c r="S55" i="2"/>
  <c r="F51" i="2"/>
  <c r="F47" i="2"/>
  <c r="S41" i="2"/>
  <c r="F37" i="2"/>
  <c r="S31" i="2"/>
  <c r="F27" i="2"/>
  <c r="F21" i="2"/>
  <c r="S15" i="2"/>
  <c r="F11" i="2"/>
  <c r="M6" i="2"/>
  <c r="O425" i="2"/>
  <c r="M217" i="2"/>
  <c r="G195" i="2"/>
  <c r="M177" i="2"/>
  <c r="K166" i="2"/>
  <c r="G155" i="2"/>
  <c r="D144" i="2"/>
  <c r="R132" i="2"/>
  <c r="G123" i="2"/>
  <c r="F104" i="2"/>
  <c r="R91" i="2"/>
  <c r="R85" i="2"/>
  <c r="E81" i="2"/>
  <c r="K76" i="2"/>
  <c r="R71" i="2"/>
  <c r="K66" i="2"/>
  <c r="K62" i="2"/>
  <c r="R57" i="2"/>
  <c r="E51" i="2"/>
  <c r="E47" i="2"/>
  <c r="K42" i="2"/>
  <c r="E39" i="2"/>
  <c r="E35" i="2"/>
  <c r="R31" i="2"/>
  <c r="E29" i="2"/>
  <c r="E25" i="2"/>
  <c r="K20" i="2"/>
  <c r="K16" i="2"/>
  <c r="K12" i="2"/>
  <c r="R7" i="2"/>
  <c r="K4" i="2"/>
  <c r="J313" i="2"/>
  <c r="Q237" i="2"/>
  <c r="K225" i="2"/>
  <c r="T207" i="2"/>
  <c r="E195" i="2"/>
  <c r="D93" i="2"/>
  <c r="D61" i="2"/>
  <c r="D45" i="2"/>
  <c r="D37" i="2"/>
  <c r="J30" i="2"/>
  <c r="J26" i="2"/>
  <c r="J22" i="2"/>
  <c r="Q17" i="2"/>
  <c r="J12" i="2"/>
  <c r="J8" i="2"/>
  <c r="J2" i="2"/>
  <c r="G492" i="2"/>
  <c r="N385" i="2"/>
  <c r="F349" i="2"/>
  <c r="A307" i="2"/>
  <c r="F293" i="2"/>
  <c r="H280" i="2"/>
  <c r="O269" i="2"/>
  <c r="F259" i="2"/>
  <c r="K250" i="2"/>
  <c r="C245" i="2"/>
  <c r="H242" i="2"/>
  <c r="M238" i="2"/>
  <c r="R236" i="2"/>
  <c r="A235" i="2"/>
  <c r="O231" i="2"/>
  <c r="R229" i="2"/>
  <c r="D228" i="2"/>
  <c r="G226" i="2"/>
  <c r="Q224" i="2"/>
  <c r="E223" i="2"/>
  <c r="K221" i="2"/>
  <c r="T219" i="2"/>
  <c r="F218" i="2"/>
  <c r="Q216" i="2"/>
  <c r="E215" i="2"/>
  <c r="K213" i="2"/>
  <c r="T211" i="2"/>
  <c r="F210" i="2"/>
  <c r="Q208" i="2"/>
  <c r="E207" i="2"/>
  <c r="K205" i="2"/>
  <c r="T203" i="2"/>
  <c r="F202" i="2"/>
  <c r="Q200" i="2"/>
  <c r="E199" i="2"/>
  <c r="K197" i="2"/>
  <c r="T195" i="2"/>
  <c r="F194" i="2"/>
  <c r="Q192" i="2"/>
  <c r="E191" i="2"/>
  <c r="K189" i="2"/>
  <c r="T187" i="2"/>
  <c r="F186" i="2"/>
  <c r="Q184" i="2"/>
  <c r="E183" i="2"/>
  <c r="K181" i="2"/>
  <c r="T179" i="2"/>
  <c r="F178" i="2"/>
  <c r="Q176" i="2"/>
  <c r="E175" i="2"/>
  <c r="K173" i="2"/>
  <c r="T171" i="2"/>
  <c r="F170" i="2"/>
  <c r="Q168" i="2"/>
  <c r="E167" i="2"/>
  <c r="K165" i="2"/>
  <c r="T163" i="2"/>
  <c r="F162" i="2"/>
  <c r="Q160" i="2"/>
  <c r="E159" i="2"/>
  <c r="K157" i="2"/>
  <c r="T155" i="2"/>
  <c r="F154" i="2"/>
  <c r="Q152" i="2"/>
  <c r="E151" i="2"/>
  <c r="K149" i="2"/>
  <c r="T147" i="2"/>
  <c r="F146" i="2"/>
  <c r="Q144" i="2"/>
  <c r="E143" i="2"/>
  <c r="K141" i="2"/>
  <c r="T139" i="2"/>
  <c r="F138" i="2"/>
  <c r="Q136" i="2"/>
  <c r="E135" i="2"/>
  <c r="K133" i="2"/>
  <c r="T131" i="2"/>
  <c r="F130" i="2"/>
  <c r="Q128" i="2"/>
  <c r="E127" i="2"/>
  <c r="K125" i="2"/>
  <c r="T123" i="2"/>
  <c r="F122" i="2"/>
  <c r="R120" i="2"/>
  <c r="K119" i="2"/>
  <c r="E118" i="2"/>
  <c r="R116" i="2"/>
  <c r="K115" i="2"/>
  <c r="E114" i="2"/>
  <c r="R112" i="2"/>
  <c r="K111" i="2"/>
  <c r="E110" i="2"/>
  <c r="R108" i="2"/>
  <c r="K107" i="2"/>
  <c r="E106" i="2"/>
  <c r="R104" i="2"/>
  <c r="K103" i="2"/>
  <c r="E102" i="2"/>
  <c r="R100" i="2"/>
  <c r="K99" i="2"/>
  <c r="E98" i="2"/>
  <c r="R96" i="2"/>
  <c r="K95" i="2"/>
  <c r="K94" i="2"/>
  <c r="M93" i="2"/>
  <c r="Q92" i="2"/>
  <c r="D92" i="2"/>
  <c r="J91" i="2"/>
  <c r="Q90" i="2"/>
  <c r="D90" i="2"/>
  <c r="J89" i="2"/>
  <c r="Q88" i="2"/>
  <c r="D88" i="2"/>
  <c r="J87" i="2"/>
  <c r="Q86" i="2"/>
  <c r="D86" i="2"/>
  <c r="J85" i="2"/>
  <c r="Q84" i="2"/>
  <c r="D84" i="2"/>
  <c r="J83" i="2"/>
  <c r="Q82" i="2"/>
  <c r="D82" i="2"/>
  <c r="J81" i="2"/>
  <c r="Q80" i="2"/>
  <c r="D80" i="2"/>
  <c r="J79" i="2"/>
  <c r="Q78" i="2"/>
  <c r="D78" i="2"/>
  <c r="J77" i="2"/>
  <c r="Q76" i="2"/>
  <c r="D76" i="2"/>
  <c r="J75" i="2"/>
  <c r="Q74" i="2"/>
  <c r="D74" i="2"/>
  <c r="J73" i="2"/>
  <c r="Q72" i="2"/>
  <c r="D72" i="2"/>
  <c r="J71" i="2"/>
  <c r="Q70" i="2"/>
  <c r="D70" i="2"/>
  <c r="J69" i="2"/>
  <c r="Q68" i="2"/>
  <c r="D68" i="2"/>
  <c r="J67" i="2"/>
  <c r="Q66" i="2"/>
  <c r="D66" i="2"/>
  <c r="J65" i="2"/>
  <c r="Q64" i="2"/>
  <c r="D64" i="2"/>
  <c r="J63" i="2"/>
  <c r="Q62" i="2"/>
  <c r="D62" i="2"/>
  <c r="J61" i="2"/>
  <c r="Q60" i="2"/>
  <c r="D60" i="2"/>
  <c r="J59" i="2"/>
  <c r="Q58" i="2"/>
  <c r="D58" i="2"/>
  <c r="J57" i="2"/>
  <c r="Q56" i="2"/>
  <c r="D56" i="2"/>
  <c r="J55" i="2"/>
  <c r="Q54" i="2"/>
  <c r="D54" i="2"/>
  <c r="J53" i="2"/>
  <c r="Q50" i="2"/>
  <c r="D50" i="2"/>
  <c r="J49" i="2"/>
  <c r="Q48" i="2"/>
  <c r="D48" i="2"/>
  <c r="J47" i="2"/>
  <c r="Q44" i="2"/>
  <c r="J43" i="2"/>
  <c r="Q40" i="2"/>
  <c r="D38" i="2"/>
  <c r="J35" i="2"/>
  <c r="Q32" i="2"/>
  <c r="J29" i="2"/>
  <c r="Q26" i="2"/>
  <c r="J23" i="2"/>
  <c r="Q20" i="2"/>
  <c r="Q16" i="2"/>
  <c r="D14" i="2"/>
  <c r="J11" i="2"/>
  <c r="J9" i="2"/>
  <c r="D6" i="2"/>
  <c r="J3" i="2"/>
  <c r="N166" i="2"/>
  <c r="H120" i="2"/>
  <c r="H104" i="2"/>
  <c r="E94" i="2"/>
  <c r="S87" i="2"/>
  <c r="F83" i="2"/>
  <c r="M78" i="2"/>
  <c r="F75" i="2"/>
  <c r="S69" i="2"/>
  <c r="S63" i="2"/>
  <c r="S59" i="2"/>
  <c r="F55" i="2"/>
  <c r="S51" i="2"/>
  <c r="M46" i="2"/>
  <c r="M40" i="2"/>
  <c r="S35" i="2"/>
  <c r="S29" i="2"/>
  <c r="F25" i="2"/>
  <c r="M20" i="2"/>
  <c r="M18" i="2"/>
  <c r="M14" i="2"/>
  <c r="M10" i="2"/>
  <c r="F7" i="2"/>
  <c r="D94" i="2"/>
  <c r="E71" i="2"/>
  <c r="E63" i="2"/>
  <c r="K58" i="2"/>
  <c r="R51" i="2"/>
  <c r="R47" i="2"/>
  <c r="E45" i="2"/>
  <c r="E41" i="2"/>
  <c r="E37" i="2"/>
  <c r="K32" i="2"/>
  <c r="K28" i="2"/>
  <c r="H468" i="2"/>
  <c r="O376" i="2"/>
  <c r="G343" i="2"/>
  <c r="A319" i="2"/>
  <c r="K304" i="2"/>
  <c r="Q290" i="2"/>
  <c r="P267" i="2"/>
  <c r="K257" i="2"/>
  <c r="C249" i="2"/>
  <c r="K244" i="2"/>
  <c r="D242" i="2"/>
  <c r="C240" i="2"/>
  <c r="K238" i="2"/>
  <c r="P236" i="2"/>
  <c r="T234" i="2"/>
  <c r="F233" i="2"/>
  <c r="H231" i="2"/>
  <c r="Q229" i="2"/>
  <c r="A228" i="2"/>
  <c r="E226" i="2"/>
  <c r="N224" i="2"/>
  <c r="S222" i="2"/>
  <c r="J221" i="2"/>
  <c r="R219" i="2"/>
  <c r="E218" i="2"/>
  <c r="N216" i="2"/>
  <c r="S214" i="2"/>
  <c r="J213" i="2"/>
  <c r="R211" i="2"/>
  <c r="E210" i="2"/>
  <c r="N208" i="2"/>
  <c r="S206" i="2"/>
  <c r="J205" i="2"/>
  <c r="R203" i="2"/>
  <c r="E202" i="2"/>
  <c r="N200" i="2"/>
  <c r="S198" i="2"/>
  <c r="J197" i="2"/>
  <c r="R195" i="2"/>
  <c r="E194" i="2"/>
  <c r="N192" i="2"/>
  <c r="S190" i="2"/>
  <c r="J189" i="2"/>
  <c r="R187" i="2"/>
  <c r="E186" i="2"/>
  <c r="N184" i="2"/>
  <c r="S182" i="2"/>
  <c r="J181" i="2"/>
  <c r="R179" i="2"/>
  <c r="E178" i="2"/>
  <c r="N176" i="2"/>
  <c r="S174" i="2"/>
  <c r="J173" i="2"/>
  <c r="R171" i="2"/>
  <c r="E170" i="2"/>
  <c r="N168" i="2"/>
  <c r="S166" i="2"/>
  <c r="J165" i="2"/>
  <c r="R163" i="2"/>
  <c r="E162" i="2"/>
  <c r="N160" i="2"/>
  <c r="S158" i="2"/>
  <c r="J157" i="2"/>
  <c r="R155" i="2"/>
  <c r="E154" i="2"/>
  <c r="N152" i="2"/>
  <c r="S150" i="2"/>
  <c r="J149" i="2"/>
  <c r="R147" i="2"/>
  <c r="E146" i="2"/>
  <c r="N144" i="2"/>
  <c r="S142" i="2"/>
  <c r="J141" i="2"/>
  <c r="R139" i="2"/>
  <c r="E138" i="2"/>
  <c r="N136" i="2"/>
  <c r="S134" i="2"/>
  <c r="J133" i="2"/>
  <c r="R131" i="2"/>
  <c r="E130" i="2"/>
  <c r="N128" i="2"/>
  <c r="S126" i="2"/>
  <c r="J125" i="2"/>
  <c r="R123" i="2"/>
  <c r="E122" i="2"/>
  <c r="Q120" i="2"/>
  <c r="J119" i="2"/>
  <c r="D118" i="2"/>
  <c r="Q116" i="2"/>
  <c r="J115" i="2"/>
  <c r="D114" i="2"/>
  <c r="Q112" i="2"/>
  <c r="J111" i="2"/>
  <c r="D110" i="2"/>
  <c r="Q108" i="2"/>
  <c r="J107" i="2"/>
  <c r="D106" i="2"/>
  <c r="Q104" i="2"/>
  <c r="J103" i="2"/>
  <c r="D102" i="2"/>
  <c r="Q100" i="2"/>
  <c r="J99" i="2"/>
  <c r="D98" i="2"/>
  <c r="Q96" i="2"/>
  <c r="J95" i="2"/>
  <c r="K93" i="2"/>
  <c r="P92" i="2"/>
  <c r="C92" i="2"/>
  <c r="P90" i="2"/>
  <c r="C90" i="2"/>
  <c r="P88" i="2"/>
  <c r="C88" i="2"/>
  <c r="P86" i="2"/>
  <c r="C86" i="2"/>
  <c r="P84" i="2"/>
  <c r="C84" i="2"/>
  <c r="P82" i="2"/>
  <c r="C82" i="2"/>
  <c r="P80" i="2"/>
  <c r="C80" i="2"/>
  <c r="P78" i="2"/>
  <c r="C78" i="2"/>
  <c r="P76" i="2"/>
  <c r="C76" i="2"/>
  <c r="P74" i="2"/>
  <c r="C74" i="2"/>
  <c r="P72" i="2"/>
  <c r="C72" i="2"/>
  <c r="P70" i="2"/>
  <c r="C70" i="2"/>
  <c r="P68" i="2"/>
  <c r="C68" i="2"/>
  <c r="P66" i="2"/>
  <c r="C66" i="2"/>
  <c r="P64" i="2"/>
  <c r="C64" i="2"/>
  <c r="P62" i="2"/>
  <c r="C62" i="2"/>
  <c r="P60" i="2"/>
  <c r="C60" i="2"/>
  <c r="P58" i="2"/>
  <c r="C58" i="2"/>
  <c r="P56" i="2"/>
  <c r="C56" i="2"/>
  <c r="P54" i="2"/>
  <c r="C54" i="2"/>
  <c r="P52" i="2"/>
  <c r="C52" i="2"/>
  <c r="P50" i="2"/>
  <c r="C50" i="2"/>
  <c r="P48" i="2"/>
  <c r="C48" i="2"/>
  <c r="P46" i="2"/>
  <c r="C46" i="2"/>
  <c r="P44" i="2"/>
  <c r="C44" i="2"/>
  <c r="P42" i="2"/>
  <c r="C42" i="2"/>
  <c r="P40" i="2"/>
  <c r="C40" i="2"/>
  <c r="P38" i="2"/>
  <c r="C38" i="2"/>
  <c r="P36" i="2"/>
  <c r="C36" i="2"/>
  <c r="P34" i="2"/>
  <c r="C34" i="2"/>
  <c r="P32" i="2"/>
  <c r="C32" i="2"/>
  <c r="P30" i="2"/>
  <c r="C30" i="2"/>
  <c r="P28" i="2"/>
  <c r="C28" i="2"/>
  <c r="P26" i="2"/>
  <c r="C26" i="2"/>
  <c r="P24" i="2"/>
  <c r="C24" i="2"/>
  <c r="P22" i="2"/>
  <c r="C22" i="2"/>
  <c r="P20" i="2"/>
  <c r="C20" i="2"/>
  <c r="P18" i="2"/>
  <c r="C18" i="2"/>
  <c r="P16" i="2"/>
  <c r="C16" i="2"/>
  <c r="P14" i="2"/>
  <c r="C14" i="2"/>
  <c r="P12" i="2"/>
  <c r="C12" i="2"/>
  <c r="P10" i="2"/>
  <c r="C10" i="2"/>
  <c r="P8" i="2"/>
  <c r="C8" i="2"/>
  <c r="P6" i="2"/>
  <c r="C6" i="2"/>
  <c r="P4" i="2"/>
  <c r="C4" i="2"/>
  <c r="P2" i="2"/>
  <c r="C2" i="2"/>
  <c r="M338" i="2"/>
  <c r="J195" i="2"/>
  <c r="E184" i="2"/>
  <c r="R177" i="2"/>
  <c r="S172" i="2"/>
  <c r="R161" i="2"/>
  <c r="J155" i="2"/>
  <c r="R153" i="2"/>
  <c r="S148" i="2"/>
  <c r="E144" i="2"/>
  <c r="J139" i="2"/>
  <c r="E136" i="2"/>
  <c r="R129" i="2"/>
  <c r="R121" i="2"/>
  <c r="A115" i="2"/>
  <c r="O109" i="2"/>
  <c r="A103" i="2"/>
  <c r="H96" i="2"/>
  <c r="M90" i="2"/>
  <c r="F85" i="2"/>
  <c r="S79" i="2"/>
  <c r="F73" i="2"/>
  <c r="F67" i="2"/>
  <c r="F61" i="2"/>
  <c r="M56" i="2"/>
  <c r="M50" i="2"/>
  <c r="M44" i="2"/>
  <c r="S39" i="2"/>
  <c r="F35" i="2"/>
  <c r="F29" i="2"/>
  <c r="M24" i="2"/>
  <c r="S19" i="2"/>
  <c r="S13" i="2"/>
  <c r="S7" i="2"/>
  <c r="F3" i="2"/>
  <c r="E286" i="2"/>
  <c r="S274" i="2"/>
  <c r="F264" i="2"/>
  <c r="O239" i="2"/>
  <c r="D229" i="2"/>
  <c r="D216" i="2"/>
  <c r="D208" i="2"/>
  <c r="M201" i="2"/>
  <c r="M193" i="2"/>
  <c r="M185" i="2"/>
  <c r="R172" i="2"/>
  <c r="R164" i="2"/>
  <c r="M153" i="2"/>
  <c r="K142" i="2"/>
  <c r="G131" i="2"/>
  <c r="R124" i="2"/>
  <c r="M117" i="2"/>
  <c r="M109" i="2"/>
  <c r="S102" i="2"/>
  <c r="C95" i="2"/>
  <c r="K90" i="2"/>
  <c r="K88" i="2"/>
  <c r="E85" i="2"/>
  <c r="K80" i="2"/>
  <c r="R77" i="2"/>
  <c r="K74" i="2"/>
  <c r="E69" i="2"/>
  <c r="R65" i="2"/>
  <c r="R61" i="2"/>
  <c r="E57" i="2"/>
  <c r="K54" i="2"/>
  <c r="K50" i="2"/>
  <c r="R45" i="2"/>
  <c r="R41" i="2"/>
  <c r="R37" i="2"/>
  <c r="E33" i="2"/>
  <c r="R27" i="2"/>
  <c r="E23" i="2"/>
  <c r="R19" i="2"/>
  <c r="E15" i="2"/>
  <c r="K10" i="2"/>
  <c r="R5" i="2"/>
  <c r="K364" i="2"/>
  <c r="Q274" i="2"/>
  <c r="D264" i="2"/>
  <c r="K246" i="2"/>
  <c r="H239" i="2"/>
  <c r="N230" i="2"/>
  <c r="E219" i="2"/>
  <c r="F214" i="2"/>
  <c r="F206" i="2"/>
  <c r="Q196" i="2"/>
  <c r="Q188" i="2"/>
  <c r="E179" i="2"/>
  <c r="Q172" i="2"/>
  <c r="K161" i="2"/>
  <c r="T151" i="2"/>
  <c r="F142" i="2"/>
  <c r="E131" i="2"/>
  <c r="E120" i="2"/>
  <c r="R114" i="2"/>
  <c r="K109" i="2"/>
  <c r="R102" i="2"/>
  <c r="C94" i="2"/>
  <c r="J88" i="2"/>
  <c r="D85" i="2"/>
  <c r="D81" i="2"/>
  <c r="J76" i="2"/>
  <c r="Q71" i="2"/>
  <c r="D69" i="2"/>
  <c r="J66" i="2"/>
  <c r="D63" i="2"/>
  <c r="Q57" i="2"/>
  <c r="D53" i="2"/>
  <c r="Q49" i="2"/>
  <c r="J44" i="2"/>
  <c r="Q39" i="2"/>
  <c r="J36" i="2"/>
  <c r="D33" i="2"/>
  <c r="D29" i="2"/>
  <c r="D27" i="2"/>
  <c r="Q23" i="2"/>
  <c r="J20" i="2"/>
  <c r="J18" i="2"/>
  <c r="J14" i="2"/>
  <c r="D9" i="2"/>
  <c r="D5" i="2"/>
  <c r="J4" i="2"/>
  <c r="D468" i="2"/>
  <c r="K376" i="2"/>
  <c r="E343" i="2"/>
  <c r="M318" i="2"/>
  <c r="H304" i="2"/>
  <c r="M290" i="2"/>
  <c r="G278" i="2"/>
  <c r="N267" i="2"/>
  <c r="H257" i="2"/>
  <c r="T248" i="2"/>
  <c r="A242" i="2"/>
  <c r="A240" i="2"/>
  <c r="H238" i="2"/>
  <c r="J236" i="2"/>
  <c r="R234" i="2"/>
  <c r="D233" i="2"/>
  <c r="G231" i="2"/>
  <c r="N229" i="2"/>
  <c r="P227" i="2"/>
  <c r="D226" i="2"/>
  <c r="K224" i="2"/>
  <c r="R222" i="2"/>
  <c r="G221" i="2"/>
  <c r="M219" i="2"/>
  <c r="D218" i="2"/>
  <c r="K216" i="2"/>
  <c r="R214" i="2"/>
  <c r="G213" i="2"/>
  <c r="M211" i="2"/>
  <c r="D210" i="2"/>
  <c r="K208" i="2"/>
  <c r="R206" i="2"/>
  <c r="G205" i="2"/>
  <c r="M203" i="2"/>
  <c r="D202" i="2"/>
  <c r="K200" i="2"/>
  <c r="R198" i="2"/>
  <c r="G197" i="2"/>
  <c r="M195" i="2"/>
  <c r="D194" i="2"/>
  <c r="K192" i="2"/>
  <c r="R190" i="2"/>
  <c r="G189" i="2"/>
  <c r="M187" i="2"/>
  <c r="D186" i="2"/>
  <c r="K184" i="2"/>
  <c r="R182" i="2"/>
  <c r="G181" i="2"/>
  <c r="M179" i="2"/>
  <c r="D178" i="2"/>
  <c r="K176" i="2"/>
  <c r="R174" i="2"/>
  <c r="G173" i="2"/>
  <c r="M171" i="2"/>
  <c r="D170" i="2"/>
  <c r="K168" i="2"/>
  <c r="R166" i="2"/>
  <c r="G165" i="2"/>
  <c r="M163" i="2"/>
  <c r="D162" i="2"/>
  <c r="K160" i="2"/>
  <c r="R158" i="2"/>
  <c r="G157" i="2"/>
  <c r="M155" i="2"/>
  <c r="D154" i="2"/>
  <c r="K152" i="2"/>
  <c r="R150" i="2"/>
  <c r="G149" i="2"/>
  <c r="M147" i="2"/>
  <c r="D146" i="2"/>
  <c r="K144" i="2"/>
  <c r="R142" i="2"/>
  <c r="G141" i="2"/>
  <c r="M139" i="2"/>
  <c r="D138" i="2"/>
  <c r="K136" i="2"/>
  <c r="R134" i="2"/>
  <c r="G133" i="2"/>
  <c r="M131" i="2"/>
  <c r="D130" i="2"/>
  <c r="K128" i="2"/>
  <c r="R126" i="2"/>
  <c r="G125" i="2"/>
  <c r="M123" i="2"/>
  <c r="D122" i="2"/>
  <c r="N120" i="2"/>
  <c r="G119" i="2"/>
  <c r="T117" i="2"/>
  <c r="N116" i="2"/>
  <c r="G115" i="2"/>
  <c r="T113" i="2"/>
  <c r="N112" i="2"/>
  <c r="G111" i="2"/>
  <c r="T109" i="2"/>
  <c r="N108" i="2"/>
  <c r="G107" i="2"/>
  <c r="T105" i="2"/>
  <c r="N104" i="2"/>
  <c r="G103" i="2"/>
  <c r="T101" i="2"/>
  <c r="N100" i="2"/>
  <c r="G99" i="2"/>
  <c r="T97" i="2"/>
  <c r="N96" i="2"/>
  <c r="H94" i="2"/>
  <c r="J93" i="2"/>
  <c r="O92" i="2"/>
  <c r="A92" i="2"/>
  <c r="H91" i="2"/>
  <c r="O90" i="2"/>
  <c r="A90" i="2"/>
  <c r="H89" i="2"/>
  <c r="O88" i="2"/>
  <c r="A88" i="2"/>
  <c r="H87" i="2"/>
  <c r="O86" i="2"/>
  <c r="A86" i="2"/>
  <c r="H85" i="2"/>
  <c r="O84" i="2"/>
  <c r="A84" i="2"/>
  <c r="H83" i="2"/>
  <c r="O82" i="2"/>
  <c r="A82" i="2"/>
  <c r="H81" i="2"/>
  <c r="O80" i="2"/>
  <c r="A80" i="2"/>
  <c r="H79" i="2"/>
  <c r="O78" i="2"/>
  <c r="A78" i="2"/>
  <c r="H77" i="2"/>
  <c r="O76" i="2"/>
  <c r="A76" i="2"/>
  <c r="H75" i="2"/>
  <c r="O74" i="2"/>
  <c r="A74" i="2"/>
  <c r="H73" i="2"/>
  <c r="O72" i="2"/>
  <c r="A72" i="2"/>
  <c r="H71" i="2"/>
  <c r="O70" i="2"/>
  <c r="A70" i="2"/>
  <c r="H69" i="2"/>
  <c r="O68" i="2"/>
  <c r="A68" i="2"/>
  <c r="H67" i="2"/>
  <c r="O66" i="2"/>
  <c r="A66" i="2"/>
  <c r="H65" i="2"/>
  <c r="O64" i="2"/>
  <c r="A64" i="2"/>
  <c r="H63" i="2"/>
  <c r="O62" i="2"/>
  <c r="A62" i="2"/>
  <c r="H61" i="2"/>
  <c r="O60" i="2"/>
  <c r="A60" i="2"/>
  <c r="H59" i="2"/>
  <c r="O58" i="2"/>
  <c r="A58" i="2"/>
  <c r="H57" i="2"/>
  <c r="O56" i="2"/>
  <c r="A56" i="2"/>
  <c r="H55" i="2"/>
  <c r="O54" i="2"/>
  <c r="A54" i="2"/>
  <c r="H53" i="2"/>
  <c r="O52" i="2"/>
  <c r="A52" i="2"/>
  <c r="H51" i="2"/>
  <c r="O50" i="2"/>
  <c r="A50" i="2"/>
  <c r="H49" i="2"/>
  <c r="O48" i="2"/>
  <c r="A48" i="2"/>
  <c r="H47" i="2"/>
  <c r="O46" i="2"/>
  <c r="A46" i="2"/>
  <c r="H45" i="2"/>
  <c r="O44" i="2"/>
  <c r="A44" i="2"/>
  <c r="H43" i="2"/>
  <c r="O42" i="2"/>
  <c r="A42" i="2"/>
  <c r="H41" i="2"/>
  <c r="O40" i="2"/>
  <c r="A40" i="2"/>
  <c r="H39" i="2"/>
  <c r="O38" i="2"/>
  <c r="A38" i="2"/>
  <c r="H37" i="2"/>
  <c r="O36" i="2"/>
  <c r="A36" i="2"/>
  <c r="H35" i="2"/>
  <c r="O34" i="2"/>
  <c r="A34" i="2"/>
  <c r="H33" i="2"/>
  <c r="O32" i="2"/>
  <c r="A32" i="2"/>
  <c r="H31" i="2"/>
  <c r="O30" i="2"/>
  <c r="A30" i="2"/>
  <c r="H29" i="2"/>
  <c r="O28" i="2"/>
  <c r="A28" i="2"/>
  <c r="H27" i="2"/>
  <c r="O26" i="2"/>
  <c r="A26" i="2"/>
  <c r="H25" i="2"/>
  <c r="O24" i="2"/>
  <c r="A24" i="2"/>
  <c r="H23" i="2"/>
  <c r="O22" i="2"/>
  <c r="A22" i="2"/>
  <c r="H21" i="2"/>
  <c r="O20" i="2"/>
  <c r="A20" i="2"/>
  <c r="H19" i="2"/>
  <c r="O18" i="2"/>
  <c r="A18" i="2"/>
  <c r="H17" i="2"/>
  <c r="O16" i="2"/>
  <c r="A16" i="2"/>
  <c r="H15" i="2"/>
  <c r="O14" i="2"/>
  <c r="A14" i="2"/>
  <c r="H13" i="2"/>
  <c r="O12" i="2"/>
  <c r="A12" i="2"/>
  <c r="H11" i="2"/>
  <c r="O10" i="2"/>
  <c r="A10" i="2"/>
  <c r="H9" i="2"/>
  <c r="O8" i="2"/>
  <c r="A8" i="2"/>
  <c r="H7" i="2"/>
  <c r="O6" i="2"/>
  <c r="A6" i="2"/>
  <c r="H5" i="2"/>
  <c r="O4" i="2"/>
  <c r="A4" i="2"/>
  <c r="H3" i="2"/>
  <c r="O2" i="2"/>
  <c r="A2" i="2"/>
  <c r="G37" i="2"/>
  <c r="T33" i="2"/>
  <c r="N32" i="2"/>
  <c r="G31" i="2"/>
  <c r="N30" i="2"/>
  <c r="G29" i="2"/>
  <c r="T27" i="2"/>
  <c r="G27" i="2"/>
  <c r="T25" i="2"/>
  <c r="G25" i="2"/>
  <c r="T23" i="2"/>
  <c r="N22" i="2"/>
  <c r="T21" i="2"/>
  <c r="N20" i="2"/>
  <c r="G19" i="2"/>
  <c r="N18" i="2"/>
  <c r="G17" i="2"/>
  <c r="T15" i="2"/>
  <c r="G15" i="2"/>
  <c r="T13" i="2"/>
  <c r="G13" i="2"/>
  <c r="T11" i="2"/>
  <c r="N10" i="2"/>
  <c r="G9" i="2"/>
  <c r="N8" i="2"/>
  <c r="G7" i="2"/>
  <c r="T5" i="2"/>
  <c r="N4" i="2"/>
  <c r="T3" i="2"/>
  <c r="N2" i="2"/>
  <c r="N449" i="2"/>
  <c r="H316" i="2"/>
  <c r="N288" i="2"/>
  <c r="R276" i="2"/>
  <c r="A256" i="2"/>
  <c r="D244" i="2"/>
  <c r="Q239" i="2"/>
  <c r="H236" i="2"/>
  <c r="P232" i="2"/>
  <c r="E229" i="2"/>
  <c r="R225" i="2"/>
  <c r="N222" i="2"/>
  <c r="J219" i="2"/>
  <c r="R217" i="2"/>
  <c r="N214" i="2"/>
  <c r="S212" i="2"/>
  <c r="R209" i="2"/>
  <c r="E208" i="2"/>
  <c r="S204" i="2"/>
  <c r="J203" i="2"/>
  <c r="E200" i="2"/>
  <c r="N198" i="2"/>
  <c r="R193" i="2"/>
  <c r="N190" i="2"/>
  <c r="S188" i="2"/>
  <c r="J187" i="2"/>
  <c r="N182" i="2"/>
  <c r="J179" i="2"/>
  <c r="E176" i="2"/>
  <c r="J171" i="2"/>
  <c r="S164" i="2"/>
  <c r="S156" i="2"/>
  <c r="E152" i="2"/>
  <c r="R145" i="2"/>
  <c r="S140" i="2"/>
  <c r="N134" i="2"/>
  <c r="J131" i="2"/>
  <c r="N126" i="2"/>
  <c r="S124" i="2"/>
  <c r="O117" i="2"/>
  <c r="A111" i="2"/>
  <c r="A107" i="2"/>
  <c r="O101" i="2"/>
  <c r="O97" i="2"/>
  <c r="M92" i="2"/>
  <c r="F89" i="2"/>
  <c r="S85" i="2"/>
  <c r="M82" i="2"/>
  <c r="F79" i="2"/>
  <c r="S75" i="2"/>
  <c r="S71" i="2"/>
  <c r="F69" i="2"/>
  <c r="S65" i="2"/>
  <c r="S61" i="2"/>
  <c r="S57" i="2"/>
  <c r="F53" i="2"/>
  <c r="S49" i="2"/>
  <c r="S45" i="2"/>
  <c r="F43" i="2"/>
  <c r="M38" i="2"/>
  <c r="F33" i="2"/>
  <c r="M30" i="2"/>
  <c r="M26" i="2"/>
  <c r="F23" i="2"/>
  <c r="F17" i="2"/>
  <c r="M12" i="2"/>
  <c r="F9" i="2"/>
  <c r="M4" i="2"/>
  <c r="M2" i="2"/>
  <c r="S299" i="2"/>
  <c r="T246" i="2"/>
  <c r="R237" i="2"/>
  <c r="O232" i="2"/>
  <c r="M225" i="2"/>
  <c r="R220" i="2"/>
  <c r="R212" i="2"/>
  <c r="R204" i="2"/>
  <c r="R196" i="2"/>
  <c r="R188" i="2"/>
  <c r="D184" i="2"/>
  <c r="D176" i="2"/>
  <c r="M169" i="2"/>
  <c r="G163" i="2"/>
  <c r="K158" i="2"/>
  <c r="D152" i="2"/>
  <c r="M145" i="2"/>
  <c r="M137" i="2"/>
  <c r="D136" i="2"/>
  <c r="D128" i="2"/>
  <c r="F120" i="2"/>
  <c r="F116" i="2"/>
  <c r="F112" i="2"/>
  <c r="F108" i="2"/>
  <c r="M101" i="2"/>
  <c r="M97" i="2"/>
  <c r="E93" i="2"/>
  <c r="E89" i="2"/>
  <c r="K86" i="2"/>
  <c r="R83" i="2"/>
  <c r="R81" i="2"/>
  <c r="E79" i="2"/>
  <c r="R75" i="2"/>
  <c r="E73" i="2"/>
  <c r="R69" i="2"/>
  <c r="R67" i="2"/>
  <c r="K64" i="2"/>
  <c r="E61" i="2"/>
  <c r="E59" i="2"/>
  <c r="E55" i="2"/>
  <c r="E53" i="2"/>
  <c r="E49" i="2"/>
  <c r="E43" i="2"/>
  <c r="K38" i="2"/>
  <c r="K34" i="2"/>
  <c r="K30" i="2"/>
  <c r="K26" i="2"/>
  <c r="K24" i="2"/>
  <c r="E21" i="2"/>
  <c r="K18" i="2"/>
  <c r="E17" i="2"/>
  <c r="R13" i="2"/>
  <c r="E11" i="2"/>
  <c r="K8" i="2"/>
  <c r="E5" i="2"/>
  <c r="E3" i="2"/>
  <c r="N332" i="2"/>
  <c r="G254" i="2"/>
  <c r="G241" i="2"/>
  <c r="K232" i="2"/>
  <c r="G227" i="2"/>
  <c r="F222" i="2"/>
  <c r="K217" i="2"/>
  <c r="E211" i="2"/>
  <c r="E203" i="2"/>
  <c r="F198" i="2"/>
  <c r="T191" i="2"/>
  <c r="E187" i="2"/>
  <c r="F182" i="2"/>
  <c r="F174" i="2"/>
  <c r="T167" i="2"/>
  <c r="Q164" i="2"/>
  <c r="F158" i="2"/>
  <c r="E155" i="2"/>
  <c r="Q148" i="2"/>
  <c r="K145" i="2"/>
  <c r="E139" i="2"/>
  <c r="Q132" i="2"/>
  <c r="T127" i="2"/>
  <c r="K121" i="2"/>
  <c r="K117" i="2"/>
  <c r="E112" i="2"/>
  <c r="R106" i="2"/>
  <c r="K101" i="2"/>
  <c r="K97" i="2"/>
  <c r="J92" i="2"/>
  <c r="Q89" i="2"/>
  <c r="Q87" i="2"/>
  <c r="J84" i="2"/>
  <c r="J82" i="2"/>
  <c r="Q79" i="2"/>
  <c r="Q77" i="2"/>
  <c r="D75" i="2"/>
  <c r="D73" i="2"/>
  <c r="J70" i="2"/>
  <c r="Q67" i="2"/>
  <c r="D65" i="2"/>
  <c r="Q61" i="2"/>
  <c r="J58" i="2"/>
  <c r="D57" i="2"/>
  <c r="J54" i="2"/>
  <c r="Q51" i="2"/>
  <c r="D49" i="2"/>
  <c r="J46" i="2"/>
  <c r="Q43" i="2"/>
  <c r="D41" i="2"/>
  <c r="J38" i="2"/>
  <c r="D35" i="2"/>
  <c r="J32" i="2"/>
  <c r="J28" i="2"/>
  <c r="D25" i="2"/>
  <c r="D23" i="2"/>
  <c r="Q19" i="2"/>
  <c r="J16" i="2"/>
  <c r="D13" i="2"/>
  <c r="D11" i="2"/>
  <c r="D7" i="2"/>
  <c r="Q3" i="2"/>
  <c r="G460" i="2"/>
  <c r="N373" i="2"/>
  <c r="F341" i="2"/>
  <c r="O317" i="2"/>
  <c r="K303" i="2"/>
  <c r="R289" i="2"/>
  <c r="O277" i="2"/>
  <c r="A267" i="2"/>
  <c r="R256" i="2"/>
  <c r="K248" i="2"/>
  <c r="H244" i="2"/>
  <c r="N241" i="2"/>
  <c r="T239" i="2"/>
  <c r="E238" i="2"/>
  <c r="O234" i="2"/>
  <c r="Q232" i="2"/>
  <c r="F231" i="2"/>
  <c r="J229" i="2"/>
  <c r="O227" i="2"/>
  <c r="T225" i="2"/>
  <c r="F224" i="2"/>
  <c r="Q222" i="2"/>
  <c r="E221" i="2"/>
  <c r="K219" i="2"/>
  <c r="T217" i="2"/>
  <c r="F216" i="2"/>
  <c r="Q214" i="2"/>
  <c r="E213" i="2"/>
  <c r="K211" i="2"/>
  <c r="T209" i="2"/>
  <c r="F208" i="2"/>
  <c r="Q206" i="2"/>
  <c r="E205" i="2"/>
  <c r="K203" i="2"/>
  <c r="T201" i="2"/>
  <c r="F200" i="2"/>
  <c r="Q198" i="2"/>
  <c r="E197" i="2"/>
  <c r="K195" i="2"/>
  <c r="T193" i="2"/>
  <c r="F192" i="2"/>
  <c r="Q190" i="2"/>
  <c r="E189" i="2"/>
  <c r="K187" i="2"/>
  <c r="T185" i="2"/>
  <c r="F184" i="2"/>
  <c r="Q182" i="2"/>
  <c r="E181" i="2"/>
  <c r="K179" i="2"/>
  <c r="T177" i="2"/>
  <c r="F176" i="2"/>
  <c r="Q174" i="2"/>
  <c r="E173" i="2"/>
  <c r="K171" i="2"/>
  <c r="T169" i="2"/>
  <c r="F168" i="2"/>
  <c r="Q166" i="2"/>
  <c r="E165" i="2"/>
  <c r="K163" i="2"/>
  <c r="T161" i="2"/>
  <c r="F160" i="2"/>
  <c r="Q158" i="2"/>
  <c r="E157" i="2"/>
  <c r="K155" i="2"/>
  <c r="T153" i="2"/>
  <c r="F152" i="2"/>
  <c r="Q150" i="2"/>
  <c r="E149" i="2"/>
  <c r="K147" i="2"/>
  <c r="T145" i="2"/>
  <c r="F144" i="2"/>
  <c r="Q142" i="2"/>
  <c r="E141" i="2"/>
  <c r="K139" i="2"/>
  <c r="T137" i="2"/>
  <c r="F136" i="2"/>
  <c r="Q134" i="2"/>
  <c r="E133" i="2"/>
  <c r="K131" i="2"/>
  <c r="T129" i="2"/>
  <c r="F128" i="2"/>
  <c r="Q126" i="2"/>
  <c r="E125" i="2"/>
  <c r="K123" i="2"/>
  <c r="T121" i="2"/>
  <c r="K120" i="2"/>
  <c r="E119" i="2"/>
  <c r="R117" i="2"/>
  <c r="K116" i="2"/>
  <c r="E115" i="2"/>
  <c r="R113" i="2"/>
  <c r="K112" i="2"/>
  <c r="E111" i="2"/>
  <c r="R109" i="2"/>
  <c r="K108" i="2"/>
  <c r="E107" i="2"/>
  <c r="R105" i="2"/>
  <c r="K104" i="2"/>
  <c r="E103" i="2"/>
  <c r="R101" i="2"/>
  <c r="K100" i="2"/>
  <c r="E99" i="2"/>
  <c r="R97" i="2"/>
  <c r="K96" i="2"/>
  <c r="G95" i="2"/>
  <c r="F94" i="2"/>
  <c r="N92" i="2"/>
  <c r="T91" i="2"/>
  <c r="G91" i="2"/>
  <c r="N90" i="2"/>
  <c r="T89" i="2"/>
  <c r="G89" i="2"/>
  <c r="N88" i="2"/>
  <c r="T87" i="2"/>
  <c r="G87" i="2"/>
  <c r="N86" i="2"/>
  <c r="T85" i="2"/>
  <c r="G85" i="2"/>
  <c r="N84" i="2"/>
  <c r="T83" i="2"/>
  <c r="G83" i="2"/>
  <c r="N82" i="2"/>
  <c r="T81" i="2"/>
  <c r="G81" i="2"/>
  <c r="N80" i="2"/>
  <c r="T79" i="2"/>
  <c r="G79" i="2"/>
  <c r="N78" i="2"/>
  <c r="T77" i="2"/>
  <c r="G77" i="2"/>
  <c r="N76" i="2"/>
  <c r="T75" i="2"/>
  <c r="G75" i="2"/>
  <c r="N74" i="2"/>
  <c r="T73" i="2"/>
  <c r="G73" i="2"/>
  <c r="N72" i="2"/>
  <c r="T71" i="2"/>
  <c r="G71" i="2"/>
  <c r="N70" i="2"/>
  <c r="T69" i="2"/>
  <c r="G69" i="2"/>
  <c r="N68" i="2"/>
  <c r="T67" i="2"/>
  <c r="G67" i="2"/>
  <c r="N66" i="2"/>
  <c r="T65" i="2"/>
  <c r="G65" i="2"/>
  <c r="N64" i="2"/>
  <c r="T63" i="2"/>
  <c r="G63" i="2"/>
  <c r="N62" i="2"/>
  <c r="T61" i="2"/>
  <c r="G61" i="2"/>
  <c r="N60" i="2"/>
  <c r="T59" i="2"/>
  <c r="G59" i="2"/>
  <c r="N58" i="2"/>
  <c r="T57" i="2"/>
  <c r="G57" i="2"/>
  <c r="N56" i="2"/>
  <c r="T55" i="2"/>
  <c r="G55" i="2"/>
  <c r="N54" i="2"/>
  <c r="T53" i="2"/>
  <c r="G53" i="2"/>
  <c r="N52" i="2"/>
  <c r="T51" i="2"/>
  <c r="G51" i="2"/>
  <c r="N50" i="2"/>
  <c r="T49" i="2"/>
  <c r="G49" i="2"/>
  <c r="N48" i="2"/>
  <c r="T47" i="2"/>
  <c r="G47" i="2"/>
  <c r="N46" i="2"/>
  <c r="T45" i="2"/>
  <c r="G45" i="2"/>
  <c r="N44" i="2"/>
  <c r="T43" i="2"/>
  <c r="G43" i="2"/>
  <c r="N42" i="2"/>
  <c r="T41" i="2"/>
  <c r="G41" i="2"/>
  <c r="N40" i="2"/>
  <c r="T39" i="2"/>
  <c r="G39" i="2"/>
  <c r="N38" i="2"/>
  <c r="T37" i="2"/>
  <c r="N36" i="2"/>
  <c r="T35" i="2"/>
  <c r="G35" i="2"/>
  <c r="N34" i="2"/>
  <c r="G33" i="2"/>
  <c r="T31" i="2"/>
  <c r="T29" i="2"/>
  <c r="N28" i="2"/>
  <c r="N26" i="2"/>
  <c r="N24" i="2"/>
  <c r="G23" i="2"/>
  <c r="G21" i="2"/>
  <c r="T19" i="2"/>
  <c r="T17" i="2"/>
  <c r="N16" i="2"/>
  <c r="N14" i="2"/>
  <c r="N12" i="2"/>
  <c r="G11" i="2"/>
  <c r="T9" i="2"/>
  <c r="T7" i="2"/>
  <c r="N6" i="2"/>
  <c r="G5" i="2"/>
  <c r="G3" i="2"/>
  <c r="M370" i="2"/>
  <c r="E266" i="2"/>
  <c r="R247" i="2"/>
  <c r="K241" i="2"/>
  <c r="S237" i="2"/>
  <c r="M234" i="2"/>
  <c r="C231" i="2"/>
  <c r="N227" i="2"/>
  <c r="E224" i="2"/>
  <c r="S220" i="2"/>
  <c r="E216" i="2"/>
  <c r="J211" i="2"/>
  <c r="N206" i="2"/>
  <c r="R201" i="2"/>
  <c r="S196" i="2"/>
  <c r="E192" i="2"/>
  <c r="R185" i="2"/>
  <c r="S180" i="2"/>
  <c r="N174" i="2"/>
  <c r="R169" i="2"/>
  <c r="N158" i="2"/>
  <c r="N150" i="2"/>
  <c r="J147" i="2"/>
  <c r="N142" i="2"/>
  <c r="R137" i="2"/>
  <c r="S132" i="2"/>
  <c r="E128" i="2"/>
  <c r="J123" i="2"/>
  <c r="H116" i="2"/>
  <c r="H108" i="2"/>
  <c r="H100" i="2"/>
  <c r="G93" i="2"/>
  <c r="F87" i="2"/>
  <c r="S81" i="2"/>
  <c r="F77" i="2"/>
  <c r="F71" i="2"/>
  <c r="M66" i="2"/>
  <c r="M60" i="2"/>
  <c r="M54" i="2"/>
  <c r="M48" i="2"/>
  <c r="M42" i="2"/>
  <c r="M34" i="2"/>
  <c r="M28" i="2"/>
  <c r="S21" i="2"/>
  <c r="M16" i="2"/>
  <c r="S11" i="2"/>
  <c r="S5" i="2"/>
  <c r="E333" i="2"/>
  <c r="D236" i="2"/>
  <c r="D224" i="2"/>
  <c r="M209" i="2"/>
  <c r="D200" i="2"/>
  <c r="K190" i="2"/>
  <c r="R180" i="2"/>
  <c r="G171" i="2"/>
  <c r="D160" i="2"/>
  <c r="R148" i="2"/>
  <c r="R140" i="2"/>
  <c r="M129" i="2"/>
  <c r="M121" i="2"/>
  <c r="S114" i="2"/>
  <c r="S106" i="2"/>
  <c r="S98" i="2"/>
  <c r="E91" i="2"/>
  <c r="E87" i="2"/>
  <c r="E83" i="2"/>
  <c r="K78" i="2"/>
  <c r="E75" i="2"/>
  <c r="K72" i="2"/>
  <c r="K68" i="2"/>
  <c r="E65" i="2"/>
  <c r="K60" i="2"/>
  <c r="K56" i="2"/>
  <c r="R53" i="2"/>
  <c r="K48" i="2"/>
  <c r="K44" i="2"/>
  <c r="R39" i="2"/>
  <c r="R35" i="2"/>
  <c r="E31" i="2"/>
  <c r="R25" i="2"/>
  <c r="K22" i="2"/>
  <c r="R17" i="2"/>
  <c r="K14" i="2"/>
  <c r="R11" i="2"/>
  <c r="E7" i="2"/>
  <c r="K2" i="2"/>
  <c r="P299" i="2"/>
  <c r="A236" i="2"/>
  <c r="T223" i="2"/>
  <c r="Q212" i="2"/>
  <c r="K201" i="2"/>
  <c r="F190" i="2"/>
  <c r="T183" i="2"/>
  <c r="T175" i="2"/>
  <c r="E163" i="2"/>
  <c r="K153" i="2"/>
  <c r="T143" i="2"/>
  <c r="T135" i="2"/>
  <c r="F126" i="2"/>
  <c r="E116" i="2"/>
  <c r="E108" i="2"/>
  <c r="R98" i="2"/>
  <c r="D91" i="2"/>
  <c r="J86" i="2"/>
  <c r="D83" i="2"/>
  <c r="D79" i="2"/>
  <c r="J74" i="2"/>
  <c r="Q69" i="2"/>
  <c r="Q65" i="2"/>
  <c r="J60" i="2"/>
  <c r="Q55" i="2"/>
  <c r="J50" i="2"/>
  <c r="Q47" i="2"/>
  <c r="J42" i="2"/>
  <c r="D39" i="2"/>
  <c r="Q33" i="2"/>
  <c r="Q29" i="2"/>
  <c r="Q25" i="2"/>
  <c r="Q21" i="2"/>
  <c r="D17" i="2"/>
  <c r="Q11" i="2"/>
  <c r="Q7" i="2"/>
  <c r="N417" i="2"/>
  <c r="M362" i="2"/>
  <c r="G331" i="2"/>
  <c r="N312" i="2"/>
  <c r="A299" i="2"/>
  <c r="F285" i="2"/>
  <c r="E274" i="2"/>
  <c r="K263" i="2"/>
  <c r="R253" i="2"/>
  <c r="H243" i="2"/>
  <c r="E241" i="2"/>
  <c r="G239" i="2"/>
  <c r="N237" i="2"/>
  <c r="P235" i="2"/>
  <c r="D234" i="2"/>
  <c r="M230" i="2"/>
  <c r="R228" i="2"/>
  <c r="A227" i="2"/>
  <c r="J225" i="2"/>
  <c r="R223" i="2"/>
  <c r="E222" i="2"/>
  <c r="N220" i="2"/>
  <c r="S218" i="2"/>
  <c r="J217" i="2"/>
  <c r="R215" i="2"/>
  <c r="E214" i="2"/>
  <c r="N212" i="2"/>
  <c r="S210" i="2"/>
  <c r="J209" i="2"/>
  <c r="R207" i="2"/>
  <c r="E206" i="2"/>
  <c r="N204" i="2"/>
  <c r="S202" i="2"/>
  <c r="J201" i="2"/>
  <c r="R199" i="2"/>
  <c r="E198" i="2"/>
  <c r="N196" i="2"/>
  <c r="S194" i="2"/>
  <c r="J193" i="2"/>
  <c r="R191" i="2"/>
  <c r="E190" i="2"/>
  <c r="N188" i="2"/>
  <c r="S186" i="2"/>
  <c r="J185" i="2"/>
  <c r="R183" i="2"/>
  <c r="E182" i="2"/>
  <c r="N180" i="2"/>
  <c r="S178" i="2"/>
  <c r="J177" i="2"/>
  <c r="R175" i="2"/>
  <c r="E174" i="2"/>
  <c r="N172" i="2"/>
  <c r="S170" i="2"/>
  <c r="J169" i="2"/>
  <c r="R167" i="2"/>
  <c r="E166" i="2"/>
  <c r="N164" i="2"/>
  <c r="S162" i="2"/>
  <c r="J161" i="2"/>
  <c r="R159" i="2"/>
  <c r="E158" i="2"/>
  <c r="N156" i="2"/>
  <c r="S154" i="2"/>
  <c r="J153" i="2"/>
  <c r="R151" i="2"/>
  <c r="E150" i="2"/>
  <c r="N148" i="2"/>
  <c r="S146" i="2"/>
  <c r="J145" i="2"/>
  <c r="R143" i="2"/>
  <c r="E142" i="2"/>
  <c r="N140" i="2"/>
  <c r="S138" i="2"/>
  <c r="J137" i="2"/>
  <c r="R135" i="2"/>
  <c r="E134" i="2"/>
  <c r="N132" i="2"/>
  <c r="S130" i="2"/>
  <c r="J129" i="2"/>
  <c r="R127" i="2"/>
  <c r="E126" i="2"/>
  <c r="N124" i="2"/>
  <c r="S122" i="2"/>
  <c r="J121" i="2"/>
  <c r="D120" i="2"/>
  <c r="Q118" i="2"/>
  <c r="J117" i="2"/>
  <c r="D116" i="2"/>
  <c r="Q114" i="2"/>
  <c r="J113" i="2"/>
  <c r="D112" i="2"/>
  <c r="Q110" i="2"/>
  <c r="J109" i="2"/>
  <c r="D108" i="2"/>
  <c r="Q106" i="2"/>
  <c r="J105" i="2"/>
  <c r="D104" i="2"/>
  <c r="Q102" i="2"/>
  <c r="J101" i="2"/>
  <c r="D100" i="2"/>
  <c r="Q98" i="2"/>
  <c r="J97" i="2"/>
  <c r="D96" i="2"/>
  <c r="S94" i="2"/>
  <c r="T93" i="2"/>
  <c r="C93" i="2"/>
  <c r="P91" i="2"/>
  <c r="C91" i="2"/>
  <c r="P89" i="2"/>
  <c r="C89" i="2"/>
  <c r="P87" i="2"/>
  <c r="C87" i="2"/>
  <c r="P85" i="2"/>
  <c r="C85" i="2"/>
  <c r="P83" i="2"/>
  <c r="C83" i="2"/>
  <c r="P81" i="2"/>
  <c r="C81" i="2"/>
  <c r="P79" i="2"/>
  <c r="C79" i="2"/>
  <c r="P77" i="2"/>
  <c r="C77" i="2"/>
  <c r="P75" i="2"/>
  <c r="C75" i="2"/>
  <c r="P73" i="2"/>
  <c r="C73" i="2"/>
  <c r="P71" i="2"/>
  <c r="C71" i="2"/>
  <c r="P69" i="2"/>
  <c r="C69" i="2"/>
  <c r="P67" i="2"/>
  <c r="C67" i="2"/>
  <c r="P65" i="2"/>
  <c r="C65" i="2"/>
  <c r="P63" i="2"/>
  <c r="C63" i="2"/>
  <c r="P61" i="2"/>
  <c r="C61" i="2"/>
  <c r="P59" i="2"/>
  <c r="C59" i="2"/>
  <c r="P57" i="2"/>
  <c r="C57" i="2"/>
  <c r="P55" i="2"/>
  <c r="C55" i="2"/>
  <c r="P53" i="2"/>
  <c r="C53" i="2"/>
  <c r="P51" i="2"/>
  <c r="C51" i="2"/>
  <c r="P49" i="2"/>
  <c r="C49" i="2"/>
  <c r="P47" i="2"/>
  <c r="C47" i="2"/>
  <c r="P45" i="2"/>
  <c r="C45" i="2"/>
  <c r="P43" i="2"/>
  <c r="C43" i="2"/>
  <c r="P41" i="2"/>
  <c r="C41" i="2"/>
  <c r="P39" i="2"/>
  <c r="C39" i="2"/>
  <c r="P37" i="2"/>
  <c r="C37" i="2"/>
  <c r="P35" i="2"/>
  <c r="C35" i="2"/>
  <c r="P33" i="2"/>
  <c r="C33" i="2"/>
  <c r="P31" i="2"/>
  <c r="C31" i="2"/>
  <c r="P29" i="2"/>
  <c r="C29" i="2"/>
  <c r="P27" i="2"/>
  <c r="C27" i="2"/>
  <c r="P25" i="2"/>
  <c r="C25" i="2"/>
  <c r="P23" i="2"/>
  <c r="C23" i="2"/>
  <c r="P21" i="2"/>
  <c r="C21" i="2"/>
  <c r="P19" i="2"/>
  <c r="C19" i="2"/>
  <c r="P17" i="2"/>
  <c r="C17" i="2"/>
  <c r="P15" i="2"/>
  <c r="C15" i="2"/>
  <c r="P13" i="2"/>
  <c r="C13" i="2"/>
  <c r="P11" i="2"/>
  <c r="C11" i="2"/>
  <c r="P9" i="2"/>
  <c r="C9" i="2"/>
  <c r="P7" i="2"/>
  <c r="C7" i="2"/>
  <c r="P5" i="2"/>
  <c r="C5" i="2"/>
  <c r="P3" i="2"/>
  <c r="C3" i="2"/>
  <c r="T406" i="2"/>
  <c r="S359" i="2"/>
  <c r="G329" i="2"/>
  <c r="K311" i="2"/>
  <c r="R297" i="2"/>
  <c r="D284" i="2"/>
  <c r="F273" i="2"/>
  <c r="M262" i="2"/>
  <c r="E253" i="2"/>
  <c r="D246" i="2"/>
  <c r="C243" i="2"/>
  <c r="Q240" i="2"/>
  <c r="F239" i="2"/>
  <c r="J237" i="2"/>
  <c r="O235" i="2"/>
  <c r="T233" i="2"/>
  <c r="C232" i="2"/>
  <c r="K230" i="2"/>
  <c r="P228" i="2"/>
  <c r="T226" i="2"/>
  <c r="G225" i="2"/>
  <c r="M223" i="2"/>
  <c r="D222" i="2"/>
  <c r="K220" i="2"/>
  <c r="R218" i="2"/>
  <c r="G217" i="2"/>
  <c r="M215" i="2"/>
  <c r="D214" i="2"/>
  <c r="K212" i="2"/>
  <c r="R210" i="2"/>
  <c r="G209" i="2"/>
  <c r="M207" i="2"/>
  <c r="D206" i="2"/>
  <c r="K204" i="2"/>
  <c r="R202" i="2"/>
  <c r="G201" i="2"/>
  <c r="M199" i="2"/>
  <c r="D198" i="2"/>
  <c r="K196" i="2"/>
  <c r="R194" i="2"/>
  <c r="G193" i="2"/>
  <c r="M191" i="2"/>
  <c r="D190" i="2"/>
  <c r="K188" i="2"/>
  <c r="R186" i="2"/>
  <c r="G185" i="2"/>
  <c r="M183" i="2"/>
  <c r="D182" i="2"/>
  <c r="K180" i="2"/>
  <c r="R178" i="2"/>
  <c r="G177" i="2"/>
  <c r="M175" i="2"/>
  <c r="D174" i="2"/>
  <c r="K172" i="2"/>
  <c r="R170" i="2"/>
  <c r="G169" i="2"/>
  <c r="M167" i="2"/>
  <c r="D166" i="2"/>
  <c r="K164" i="2"/>
  <c r="R162" i="2"/>
  <c r="G161" i="2"/>
  <c r="M159" i="2"/>
  <c r="D158" i="2"/>
  <c r="K156" i="2"/>
  <c r="R154" i="2"/>
  <c r="G153" i="2"/>
  <c r="M151" i="2"/>
  <c r="D150" i="2"/>
  <c r="K148" i="2"/>
  <c r="R146" i="2"/>
  <c r="G145" i="2"/>
  <c r="M143" i="2"/>
  <c r="D142" i="2"/>
  <c r="K140" i="2"/>
  <c r="R138" i="2"/>
  <c r="G137" i="2"/>
  <c r="M135" i="2"/>
  <c r="D134" i="2"/>
  <c r="K132" i="2"/>
  <c r="R130" i="2"/>
  <c r="G129" i="2"/>
  <c r="M127" i="2"/>
  <c r="D126" i="2"/>
  <c r="K124" i="2"/>
  <c r="R122" i="2"/>
  <c r="G121" i="2"/>
  <c r="T119" i="2"/>
  <c r="N118" i="2"/>
  <c r="G117" i="2"/>
  <c r="T115" i="2"/>
  <c r="N114" i="2"/>
  <c r="G113" i="2"/>
  <c r="T111" i="2"/>
  <c r="N110" i="2"/>
  <c r="G109" i="2"/>
  <c r="T107" i="2"/>
  <c r="N106" i="2"/>
  <c r="G105" i="2"/>
  <c r="T103" i="2"/>
  <c r="N102" i="2"/>
  <c r="G101" i="2"/>
  <c r="T99" i="2"/>
  <c r="N98" i="2"/>
  <c r="G97" i="2"/>
  <c r="T95" i="2"/>
  <c r="R94" i="2"/>
  <c r="R93" i="2"/>
  <c r="A93" i="2"/>
  <c r="H92" i="2"/>
  <c r="O91" i="2"/>
  <c r="A91" i="2"/>
  <c r="H90" i="2"/>
  <c r="O89" i="2"/>
  <c r="A89" i="2"/>
  <c r="H88" i="2"/>
  <c r="O87" i="2"/>
  <c r="A87" i="2"/>
  <c r="H86" i="2"/>
  <c r="O85" i="2"/>
  <c r="A85" i="2"/>
  <c r="H84" i="2"/>
  <c r="O83" i="2"/>
  <c r="A83" i="2"/>
  <c r="H82" i="2"/>
  <c r="O81" i="2"/>
  <c r="A81" i="2"/>
  <c r="H80" i="2"/>
  <c r="O79" i="2"/>
  <c r="A79" i="2"/>
  <c r="H78" i="2"/>
  <c r="O77" i="2"/>
  <c r="A77" i="2"/>
  <c r="H76" i="2"/>
  <c r="O75" i="2"/>
  <c r="A75" i="2"/>
  <c r="H74" i="2"/>
  <c r="O73" i="2"/>
  <c r="A73" i="2"/>
  <c r="H72" i="2"/>
  <c r="O71" i="2"/>
  <c r="A71" i="2"/>
  <c r="H70" i="2"/>
  <c r="O69" i="2"/>
  <c r="A69" i="2"/>
  <c r="H68" i="2"/>
  <c r="O67" i="2"/>
  <c r="A67" i="2"/>
  <c r="H66" i="2"/>
  <c r="O65" i="2"/>
  <c r="A65" i="2"/>
  <c r="H64" i="2"/>
  <c r="O63" i="2"/>
  <c r="A63" i="2"/>
  <c r="H62" i="2"/>
  <c r="O61" i="2"/>
  <c r="A61" i="2"/>
  <c r="H60" i="2"/>
  <c r="O59" i="2"/>
  <c r="A59" i="2"/>
  <c r="H58" i="2"/>
  <c r="O57" i="2"/>
  <c r="A57" i="2"/>
  <c r="H56" i="2"/>
  <c r="O55" i="2"/>
  <c r="A55" i="2"/>
  <c r="H54" i="2"/>
  <c r="O53" i="2"/>
  <c r="A53" i="2"/>
  <c r="H52" i="2"/>
  <c r="O51" i="2"/>
  <c r="A51" i="2"/>
  <c r="H50" i="2"/>
  <c r="O49" i="2"/>
  <c r="A49" i="2"/>
  <c r="H48" i="2"/>
  <c r="O47" i="2"/>
  <c r="A47" i="2"/>
  <c r="H46" i="2"/>
  <c r="O45" i="2"/>
  <c r="A45" i="2"/>
  <c r="H44" i="2"/>
  <c r="O43" i="2"/>
  <c r="A43" i="2"/>
  <c r="H42" i="2"/>
  <c r="O41" i="2"/>
  <c r="A41" i="2"/>
  <c r="H40" i="2"/>
  <c r="O39" i="2"/>
  <c r="A39" i="2"/>
  <c r="H38" i="2"/>
  <c r="O37" i="2"/>
  <c r="A37" i="2"/>
  <c r="H36" i="2"/>
  <c r="O35" i="2"/>
  <c r="A35" i="2"/>
  <c r="H34" i="2"/>
  <c r="O33" i="2"/>
  <c r="A33" i="2"/>
  <c r="H32" i="2"/>
  <c r="O31" i="2"/>
  <c r="A31" i="2"/>
  <c r="H30" i="2"/>
  <c r="O29" i="2"/>
  <c r="A29" i="2"/>
  <c r="H28" i="2"/>
  <c r="O27" i="2"/>
  <c r="A27" i="2"/>
  <c r="H26" i="2"/>
  <c r="O25" i="2"/>
  <c r="A25" i="2"/>
  <c r="H24" i="2"/>
  <c r="O23" i="2"/>
  <c r="A23" i="2"/>
  <c r="H22" i="2"/>
  <c r="O21" i="2"/>
  <c r="A21" i="2"/>
  <c r="H20" i="2"/>
  <c r="O19" i="2"/>
  <c r="A19" i="2"/>
  <c r="H18" i="2"/>
  <c r="O17" i="2"/>
  <c r="A17" i="2"/>
  <c r="H16" i="2"/>
  <c r="O15" i="2"/>
  <c r="A15" i="2"/>
  <c r="H14" i="2"/>
  <c r="O13" i="2"/>
  <c r="A13" i="2"/>
  <c r="H12" i="2"/>
  <c r="O11" i="2"/>
  <c r="A11" i="2"/>
  <c r="H10" i="2"/>
  <c r="O9" i="2"/>
  <c r="A9" i="2"/>
  <c r="H8" i="2"/>
  <c r="O7" i="2"/>
  <c r="A7" i="2"/>
  <c r="H6" i="2"/>
  <c r="O5" i="2"/>
  <c r="A5" i="2"/>
  <c r="H4" i="2"/>
  <c r="O3" i="2"/>
  <c r="A3" i="2"/>
  <c r="H2" i="2"/>
  <c r="D15" i="2"/>
  <c r="Q9" i="2"/>
  <c r="Q5" i="2"/>
</calcChain>
</file>

<file path=xl/sharedStrings.xml><?xml version="1.0" encoding="utf-8"?>
<sst xmlns="http://schemas.openxmlformats.org/spreadsheetml/2006/main" count="1803" uniqueCount="549">
  <si>
    <t>CUSIP</t>
  </si>
  <si>
    <t>Issuer Name</t>
  </si>
  <si>
    <t>Insured Bonds</t>
  </si>
  <si>
    <t>State Code</t>
  </si>
  <si>
    <t>U.S. County Of Issuance</t>
  </si>
  <si>
    <t>Mod Dur (Mid)</t>
  </si>
  <si>
    <t>Iss Spd Wst</t>
  </si>
  <si>
    <t>Issue Date</t>
  </si>
  <si>
    <t>Bond Purpose</t>
  </si>
  <si>
    <t>Cpn</t>
  </si>
  <si>
    <t>Maturity</t>
  </si>
  <si>
    <t>Mty Size</t>
  </si>
  <si>
    <t>Yield at Issue</t>
  </si>
  <si>
    <t>YTW Sprd to Mty at Iss</t>
  </si>
  <si>
    <t>BVAL Mid YTM</t>
  </si>
  <si>
    <t>Tax Prov</t>
  </si>
  <si>
    <t>Is Federal Taxable</t>
  </si>
  <si>
    <t>MSRB Volume</t>
  </si>
  <si>
    <t>BBG Composite</t>
  </si>
  <si>
    <t>LQA Score</t>
  </si>
  <si>
    <t>Massachusetts Clean Water Trust/The</t>
  </si>
  <si>
    <t>State of California</t>
  </si>
  <si>
    <t>State of California Department of Water Resources</t>
  </si>
  <si>
    <t>Texas Water Development Board</t>
  </si>
  <si>
    <t>South Feather Water &amp; Power Agency</t>
  </si>
  <si>
    <t>City of Charles Town WV Waterworks &amp; Sewerage System Revenue</t>
  </si>
  <si>
    <t>Irvine Ranch Water District</t>
  </si>
  <si>
    <t>County of Anne Arundel MD</t>
  </si>
  <si>
    <t>Westmoreland County Municipal Authority</t>
  </si>
  <si>
    <t>Grand Mission Municipal Utility District No 2</t>
  </si>
  <si>
    <t>Commonwealth of Pennsylvania</t>
  </si>
  <si>
    <t>City of Minnetonka MN</t>
  </si>
  <si>
    <t>Ohio Water Development Authority</t>
  </si>
  <si>
    <t>Las Vegas Valley Water District</t>
  </si>
  <si>
    <t>Los Angeles Department of Water &amp; Power Water System Revenue</t>
  </si>
  <si>
    <t>County of Hillsborough FL Utility Revenue</t>
  </si>
  <si>
    <t>Illinois Finance Authority</t>
  </si>
  <si>
    <t>County of Paulding GA Water &amp; Sewerage Revenue</t>
  </si>
  <si>
    <t>New York State Environmental Facilities Corp</t>
  </si>
  <si>
    <t>Gilbert Water Resource Municipal Property Corp</t>
  </si>
  <si>
    <t>California Infrastructure &amp; Economic Development Bank</t>
  </si>
  <si>
    <t>City of Madison WI Water Utility Revenue</t>
  </si>
  <si>
    <t>Indiana Finance Authority</t>
  </si>
  <si>
    <t>East Aldine Management District</t>
  </si>
  <si>
    <t>Upper Santa Clara Valley Joint Powers Authority</t>
  </si>
  <si>
    <t>Oklahoma Water Resources Board</t>
  </si>
  <si>
    <t>City of Anderson IN Water Revenue</t>
  </si>
  <si>
    <t>State of Connecticut</t>
  </si>
  <si>
    <t>Nevada Irrigation District Joint Powers Authority</t>
  </si>
  <si>
    <t>Central Arizona Water Conservation District</t>
  </si>
  <si>
    <t>City of Tempe AZ Excise Tax Revenue</t>
  </si>
  <si>
    <t>Town of Hopkinton MA</t>
  </si>
  <si>
    <t>County of Henrico VA Water &amp; Sewer Revenue</t>
  </si>
  <si>
    <t>City of Columbia SC Waterworks &amp; Sewer System Revenue</t>
  </si>
  <si>
    <t>City of St Petersburg FL Public Utility Revenue</t>
  </si>
  <si>
    <t>West Harris County Regional Water Authority</t>
  </si>
  <si>
    <t>Water Works Board of the City of Birmingham/The</t>
  </si>
  <si>
    <t>County of Martin FL Consolidated Utilities System Revenue</t>
  </si>
  <si>
    <t>Upper Blackstone Water Pollution Abatement District</t>
  </si>
  <si>
    <t>Town of Lenox MA</t>
  </si>
  <si>
    <t>Camrosa Water District Financing Authority</t>
  </si>
  <si>
    <t>Town of Foxborough MA</t>
  </si>
  <si>
    <t>City of White Plains NY</t>
  </si>
  <si>
    <t>State of Wisconsin</t>
  </si>
  <si>
    <t>San Antonio Water System</t>
  </si>
  <si>
    <t>Bellagio Community Development District</t>
  </si>
  <si>
    <t>City of Laredo TX Waterworks &amp; Sewer System Revenue</t>
  </si>
  <si>
    <t>State of Washington</t>
  </si>
  <si>
    <t>Washington Suburban Sanitary Commission</t>
  </si>
  <si>
    <t>Santa Clara Valley Water District</t>
  </si>
  <si>
    <t>Belmont Fresh Water Supply District No 1</t>
  </si>
  <si>
    <t>Combined Consumers Special Utility District</t>
  </si>
  <si>
    <t>City of Flagstaff AZ</t>
  </si>
  <si>
    <t>Town of Braintree MA</t>
  </si>
  <si>
    <t>County of Harford MD</t>
  </si>
  <si>
    <t>City of Cannon Falls MN</t>
  </si>
  <si>
    <t>Fort Bend County Municipal Utility District No 5</t>
  </si>
  <si>
    <t>City of Ogden City UT Sewer &amp; Water Revenue</t>
  </si>
  <si>
    <t>Commonwealth of Massachusetts</t>
  </si>
  <si>
    <t>County of Citrus FL Water &amp; Wastewater System Revenue</t>
  </si>
  <si>
    <t>County of Genesee MI</t>
  </si>
  <si>
    <t>Carmel Local Public Improvement Bond Bank</t>
  </si>
  <si>
    <t>City of Frisco TX</t>
  </si>
  <si>
    <t>City of Bonney Lake WA Water &amp; Sewer Revenue</t>
  </si>
  <si>
    <t>City of Irving TX Waterworks &amp; Sewer System Revenue</t>
  </si>
  <si>
    <t>City of Ocoee FL Water &amp; Sewer System Revenue</t>
  </si>
  <si>
    <t>New Jersey Infrastructure Bank</t>
  </si>
  <si>
    <t>City of Toledo OH Water System Revenue</t>
  </si>
  <si>
    <t>City of Portland OR Water System Revenue</t>
  </si>
  <si>
    <t>Delaware County Regional Water Quality Control Authority</t>
  </si>
  <si>
    <t>Upper Mohawk Valley Regional Water Finance Authority</t>
  </si>
  <si>
    <t>Parkway Utility District</t>
  </si>
  <si>
    <t>City of Eugene OR Water Utility System Revenue</t>
  </si>
  <si>
    <t>Montgomery County Municipal Utility District No 115</t>
  </si>
  <si>
    <t>Town of Marshfield MA</t>
  </si>
  <si>
    <t>State of Texas</t>
  </si>
  <si>
    <t>City of Memphis TN Water Revenue</t>
  </si>
  <si>
    <t>City of Georgetown TX Utility System Revenue</t>
  </si>
  <si>
    <t>City of Leander TX</t>
  </si>
  <si>
    <t>City of Versailles KY Water &amp; Sewer Revenue</t>
  </si>
  <si>
    <t>State of Minnesota</t>
  </si>
  <si>
    <t>City of Charlottesville VA</t>
  </si>
  <si>
    <t>Tulsa Metropolitan Utility Authority</t>
  </si>
  <si>
    <t>El Dorado Irrigation District</t>
  </si>
  <si>
    <t>County of Montgomery MD Water Quality Protection Charge Revenue</t>
  </si>
  <si>
    <t>South Central Connecticut Regional Water Authority</t>
  </si>
  <si>
    <t>Town of Carolina Beach NC Enterprise System Revenue</t>
  </si>
  <si>
    <t>City of Columbus NE Combined Utilities System Revenue</t>
  </si>
  <si>
    <t>California Municipal Finance Authority</t>
  </si>
  <si>
    <t>Wyandotte County-Kansas City Unified Government Utility System Revenue</t>
  </si>
  <si>
    <t>Iowa Finance Authority</t>
  </si>
  <si>
    <t>Massachusetts Water Resources Authority</t>
  </si>
  <si>
    <t>City of Waco TX</t>
  </si>
  <si>
    <t>Clackamas River Water</t>
  </si>
  <si>
    <t>North Texas Municipal Water District Water System Revenue</t>
  </si>
  <si>
    <t>Village of Elk Rapids MI</t>
  </si>
  <si>
    <t>City of Frederick MD</t>
  </si>
  <si>
    <t>Kentucky Rural Water Finance Corp</t>
  </si>
  <si>
    <t>City of Myrtle Beach SC Water &amp; Sewer Revenue</t>
  </si>
  <si>
    <t>City of Lake Elmo MN</t>
  </si>
  <si>
    <t>North Harris County Regional Water Authority</t>
  </si>
  <si>
    <t>City of Sugar Land TX Waterworks &amp; Sewer System Revenue</t>
  </si>
  <si>
    <t>County of Orange FL Water Utility System Revenue</t>
  </si>
  <si>
    <t>City of Milwaukee WI Water System Revenue</t>
  </si>
  <si>
    <t>City of McAllen TX</t>
  </si>
  <si>
    <t>Riviera Beach Utility Special District</t>
  </si>
  <si>
    <t>City of Baytown TX</t>
  </si>
  <si>
    <t>City of Aubrey TX</t>
  </si>
  <si>
    <t>City of Sheridan CO</t>
  </si>
  <si>
    <t>Charter Township of Redford MI</t>
  </si>
  <si>
    <t>City of Raleigh NC Combined Enterprise System Revenue</t>
  </si>
  <si>
    <t>Rancho Water District Financing Authority</t>
  </si>
  <si>
    <t>City of Plano TX Waterworks &amp; Sewer System Revenue</t>
  </si>
  <si>
    <t>City of Richmond TX</t>
  </si>
  <si>
    <t>City of Brainerd MN</t>
  </si>
  <si>
    <t>City of Battle Creek MI Water &amp; Wastewater System Revenue</t>
  </si>
  <si>
    <t>City of Marble Falls TX</t>
  </si>
  <si>
    <t>City of Grand Rapids MI Water Supply System Revenue</t>
  </si>
  <si>
    <t>City of Coon Rapids MN</t>
  </si>
  <si>
    <t>City of El Paso TX Water &amp; Sewer Revenue</t>
  </si>
  <si>
    <t>City of Coldwater MI Water Supply &amp; Wastewater System Revenue</t>
  </si>
  <si>
    <t>City of Liberty TX</t>
  </si>
  <si>
    <t>Village of Menomonee Falls WI</t>
  </si>
  <si>
    <t>City of Saginaw MI Water Supply System Revenue</t>
  </si>
  <si>
    <t>City of Westminster CO Water &amp; Wastewater Utility Revenue</t>
  </si>
  <si>
    <t>Town of Wallkill NY</t>
  </si>
  <si>
    <t>City of Temple TX</t>
  </si>
  <si>
    <t>Board of Water Commissioners City &amp; County of Denver/The</t>
  </si>
  <si>
    <t>City of Lakeville MN</t>
  </si>
  <si>
    <t>Dale County Water Authority</t>
  </si>
  <si>
    <t>City of Eau Claire WI</t>
  </si>
  <si>
    <t>City of Ruston LA Sales Tax Revenue</t>
  </si>
  <si>
    <t>Tarrant Regional Water District Water Supply System Revenue</t>
  </si>
  <si>
    <t>San Diego Public Facilities Financing Authority</t>
  </si>
  <si>
    <t>City of Cameron MO</t>
  </si>
  <si>
    <t>Charter Township of Canton MI</t>
  </si>
  <si>
    <t>Canyon Falls Water Control &amp; Improvement District No 2</t>
  </si>
  <si>
    <t>City of Berkeley CA</t>
  </si>
  <si>
    <t>Blount County Water Authority</t>
  </si>
  <si>
    <t>Boston Water &amp; Sewer Commission</t>
  </si>
  <si>
    <t>City of Boulder CO Water &amp; Sewer Revenue</t>
  </si>
  <si>
    <t>Cypress Ranch Water Control &amp; Improvement District No 1</t>
  </si>
  <si>
    <t>Bay Colony West Municipal Utility District</t>
  </si>
  <si>
    <t>Village of Butler WI</t>
  </si>
  <si>
    <t>City of Bryan TX Waterworks &amp; Sewer Revenue</t>
  </si>
  <si>
    <t>City of Altoona WI</t>
  </si>
  <si>
    <t>Anderson Redevelopment District</t>
  </si>
  <si>
    <t>City of Deer Park TX</t>
  </si>
  <si>
    <t>City of Crestview FL Water &amp; Sewer Revenue</t>
  </si>
  <si>
    <t>Town of Abington MA</t>
  </si>
  <si>
    <t>City of Arlington TX Water &amp; Wastewater System Revenue</t>
  </si>
  <si>
    <t>City of Decatur AR Water &amp; Sewer Revenue</t>
  </si>
  <si>
    <t>City of Decatur IL</t>
  </si>
  <si>
    <t>Village of Clinton NY</t>
  </si>
  <si>
    <t>City of Attleboro MA</t>
  </si>
  <si>
    <t>City of Donna TX</t>
  </si>
  <si>
    <t>City of Cleveland OH Water Pollution Control</t>
  </si>
  <si>
    <t>Addicks Utility District</t>
  </si>
  <si>
    <t>Elm Ridge Water Control &amp; Improvement District of Denton County</t>
  </si>
  <si>
    <t>Frisco West Water Control &amp; Improvement District of Denton County</t>
  </si>
  <si>
    <t>Denton County Fresh Water Supply District No 8-A</t>
  </si>
  <si>
    <t>Denton County Fresh Water Supply District No 11-A</t>
  </si>
  <si>
    <t>City of Florence MS Combined Water &amp; Sewer Revenue</t>
  </si>
  <si>
    <t>Denton County Fresh Water Supply District No 11-B</t>
  </si>
  <si>
    <t>City of Vincennes IN Waterworks Revenue</t>
  </si>
  <si>
    <t>City of Virginia Beach VA Water &amp; Sewer System Revenue</t>
  </si>
  <si>
    <t>City of Seguin TX Utility System Revenue</t>
  </si>
  <si>
    <t>County of Seneca NY</t>
  </si>
  <si>
    <t>Senna Hills Municipal Utility District</t>
  </si>
  <si>
    <t>Olympic View Water &amp; Sewer District</t>
  </si>
  <si>
    <t>County of Niagara NY</t>
  </si>
  <si>
    <t>Nolensville College Grove Utility District</t>
  </si>
  <si>
    <t>City of Shoreview MN</t>
  </si>
  <si>
    <t>City of Shreveport LA Water &amp; Sewer Revenue</t>
  </si>
  <si>
    <t>Sienna Plantation Municipal Utility District No 12</t>
  </si>
  <si>
    <t>Siena Municipal Utility District No 1</t>
  </si>
  <si>
    <t>Sienna Municipal Utility District No 5</t>
  </si>
  <si>
    <t>County of Onondaga NY</t>
  </si>
  <si>
    <t>Sonterra Municipal Utility District</t>
  </si>
  <si>
    <t>South Buda Water Control &amp; Improvement District No 1</t>
  </si>
  <si>
    <t>City of Orange TX</t>
  </si>
  <si>
    <t>Village of Sleepy Hollow NY</t>
  </si>
  <si>
    <t>Town of Smithtown NY</t>
  </si>
  <si>
    <t>Town of North Attleborough MA</t>
  </si>
  <si>
    <t>North Belt Utility District</t>
  </si>
  <si>
    <t>City of Richland Hills TX</t>
  </si>
  <si>
    <t>Timber Lane Utility District</t>
  </si>
  <si>
    <t>Travis County Water Control &amp; Improvement District/TX</t>
  </si>
  <si>
    <t>Travis County Municipal Utility District No 16</t>
  </si>
  <si>
    <t>Travis County Municipal Utility District No 14</t>
  </si>
  <si>
    <t>Travis County Municipal Utility District No 18</t>
  </si>
  <si>
    <t>Travis County Municipal Utility District No 12</t>
  </si>
  <si>
    <t>Travis County Municipal Utility District No 17</t>
  </si>
  <si>
    <t>Travis County Municipal Utility District No 21</t>
  </si>
  <si>
    <t>Travis County Water Control &amp; Improvement District No 10</t>
  </si>
  <si>
    <t>Travis County Water Control &amp; Improvement District No 17</t>
  </si>
  <si>
    <t>Travis County Municipal Utility District No 4/TX</t>
  </si>
  <si>
    <t>Travis County Municipal Utility District No 5</t>
  </si>
  <si>
    <t>Travis County Municipal Utility District No 15</t>
  </si>
  <si>
    <t>Stonewall Ranch Municipal Utility District</t>
  </si>
  <si>
    <t>Stanley Lake Municipal Utility District</t>
  </si>
  <si>
    <t>County of Stearns MN</t>
  </si>
  <si>
    <t>City of Stewartville MN</t>
  </si>
  <si>
    <t>Village of Somers WI Water &amp; Sewer Revenue</t>
  </si>
  <si>
    <t>Village of Rantoul IL</t>
  </si>
  <si>
    <t>City of Pittsburg KS</t>
  </si>
  <si>
    <t>City of Ozark MO</t>
  </si>
  <si>
    <t>Town of Saugus MA</t>
  </si>
  <si>
    <t>Paloma Lake Municipal Utility District No 1</t>
  </si>
  <si>
    <t>Village of Saukville WI</t>
  </si>
  <si>
    <t>Borough of Sayreville NJ</t>
  </si>
  <si>
    <t>City of Paris TX</t>
  </si>
  <si>
    <t>Town of Scarborough ME</t>
  </si>
  <si>
    <t>Village of Schaumburg IL</t>
  </si>
  <si>
    <t>City of Sea Isle City NJ</t>
  </si>
  <si>
    <t>City of Seabrook TX</t>
  </si>
  <si>
    <t>City of Pflugerville TX</t>
  </si>
  <si>
    <t>City of Durant IA</t>
  </si>
  <si>
    <t>City of San Francisco CA Public Utilities Commission Water Revenue</t>
  </si>
  <si>
    <t>City of Chanhassen MN</t>
  </si>
  <si>
    <t>City of Cedar Rapids IA Water Revenue</t>
  </si>
  <si>
    <t>City of Belton TX</t>
  </si>
  <si>
    <t>Belvedere Municipal Utility District</t>
  </si>
  <si>
    <t>City of Appleton WI Waterworks Revenue</t>
  </si>
  <si>
    <t>Benbrook Water Authority</t>
  </si>
  <si>
    <t>Central Arkansas Water</t>
  </si>
  <si>
    <t>Brick Township Municipal Utilities Authority/The</t>
  </si>
  <si>
    <t>City of Bremerton WA Water &amp; Sewer Revenue</t>
  </si>
  <si>
    <t>Blackmore Drain Drainage District</t>
  </si>
  <si>
    <t>Brazoria County Municipal Utility District No 21</t>
  </si>
  <si>
    <t>Brazoria-Fort Bend County Municipal Utility District No 1</t>
  </si>
  <si>
    <t>Blackhawk Technical College District</t>
  </si>
  <si>
    <t>Town of Brewster MA</t>
  </si>
  <si>
    <t>Brazoria County Municipal Utility District No 28</t>
  </si>
  <si>
    <t>Brazoria County Municipal Utility District No 34</t>
  </si>
  <si>
    <t>City of Burleson TX</t>
  </si>
  <si>
    <t>City of Cherokee IA</t>
  </si>
  <si>
    <t>City of Cherryvale KS</t>
  </si>
  <si>
    <t>City of Brooklyn Center MN</t>
  </si>
  <si>
    <t>Galveston County Municipal Utility District No 66</t>
  </si>
  <si>
    <t>Galveston County Municipal Utility District No 30</t>
  </si>
  <si>
    <t>Galveston County Municipal Utility District No 32</t>
  </si>
  <si>
    <t>Galveston County Municipal Utility District No 46</t>
  </si>
  <si>
    <t>Galveston County Municipal Utility District No 45</t>
  </si>
  <si>
    <t>Village of Garden City NY</t>
  </si>
  <si>
    <t>City of Ivins City UT Storm &amp; Wastewater Revenue</t>
  </si>
  <si>
    <t>Jackson County Utility Authority</t>
  </si>
  <si>
    <t>Harris-Waller Counties Municipal Utility District No 2</t>
  </si>
  <si>
    <t>Harris County Municipal Utility District No 49</t>
  </si>
  <si>
    <t>Harris County Municipal Utility District No 158</t>
  </si>
  <si>
    <t>Forest Hills Municipal Utility District</t>
  </si>
  <si>
    <t>City of Mansfield TX</t>
  </si>
  <si>
    <t>City of Manvel TX</t>
  </si>
  <si>
    <t>Village of Lake Hallie WI</t>
  </si>
  <si>
    <t>City of Lake Jackson TX</t>
  </si>
  <si>
    <t>City of Lake Jackson TX Waterworks and Sewer Revenue</t>
  </si>
  <si>
    <t>Lake View Management and Development District</t>
  </si>
  <si>
    <t>Village of Lake Zurich IL</t>
  </si>
  <si>
    <t>Lakeside Municipal Utility District No 3</t>
  </si>
  <si>
    <t>Lakeside Water Control &amp; Improvement District No 2-B</t>
  </si>
  <si>
    <t>Lakeside Water Control &amp; Improvement District No 2-C</t>
  </si>
  <si>
    <t>City of Hopkins MN</t>
  </si>
  <si>
    <t>City of Horicon WI</t>
  </si>
  <si>
    <t>City of Horseshoe Bay TX</t>
  </si>
  <si>
    <t>Fort Bend County Municipal Utility District No 24</t>
  </si>
  <si>
    <t>Fort Bend County Municipal Utility District No 116</t>
  </si>
  <si>
    <t>Fort Bend County Municipal Utility District No 140</t>
  </si>
  <si>
    <t>Fort Bend County Municipal Utility District No 146</t>
  </si>
  <si>
    <t>Fort Bend County Municipal Utility District No 182</t>
  </si>
  <si>
    <t>Fort Bend County Municipal Utility District No 148</t>
  </si>
  <si>
    <t>Fort Bend County Municipal Utility District No 185</t>
  </si>
  <si>
    <t>Fort Bend County Municipal Utility District No 169</t>
  </si>
  <si>
    <t>City of Eustis FL Water &amp; Sewer Revenue</t>
  </si>
  <si>
    <t>Evansville Waterworks District</t>
  </si>
  <si>
    <t>Borough of Fair Lawn NJ</t>
  </si>
  <si>
    <t>City of Friendswood TX Waterworks &amp; Sewer System Revenue</t>
  </si>
  <si>
    <t>Fulshear Municipal Utility District No 1</t>
  </si>
  <si>
    <t>Town of Fuquay-Varina NC Combined Utilities Revenue</t>
  </si>
  <si>
    <t>Cottonwood Creek Municipal Utility District No 1</t>
  </si>
  <si>
    <t>City of Council Bluffs IA</t>
  </si>
  <si>
    <t>Town of Grand Chute WI</t>
  </si>
  <si>
    <t>Grand Oaks Municipal Utility District</t>
  </si>
  <si>
    <t>County of Grand Traverse MI</t>
  </si>
  <si>
    <t>City of Grandview Heights OH</t>
  </si>
  <si>
    <t>City of Granite Falls MN</t>
  </si>
  <si>
    <t>Harris County Water Control &amp; Improvement District No 96</t>
  </si>
  <si>
    <t>Harris County Water Control &amp; Improvement District No 161</t>
  </si>
  <si>
    <t>Harris County Municipal Utility District No 400</t>
  </si>
  <si>
    <t>Harris County Municipal Utility District No 26</t>
  </si>
  <si>
    <t>Harris County Water Control &amp; Improvement District No 21</t>
  </si>
  <si>
    <t>Harris County Municipal Utility District No 419</t>
  </si>
  <si>
    <t>Harris County Municipal Utility District No 401</t>
  </si>
  <si>
    <t>Harris County Municipal Utility District No 399</t>
  </si>
  <si>
    <t>Harris County Municipal Utility District No 406</t>
  </si>
  <si>
    <t>Harris County Municipal Utility District No 500</t>
  </si>
  <si>
    <t>Harris County Municipal Utility District No 434</t>
  </si>
  <si>
    <t>Harris County Municipal Utility District No 432</t>
  </si>
  <si>
    <t>City of College Station TX</t>
  </si>
  <si>
    <t>Harris County Municipal Utility District No 106</t>
  </si>
  <si>
    <t>Harris County Municipal Utility District No 287</t>
  </si>
  <si>
    <t>Harris County Municipal Utility District No 433</t>
  </si>
  <si>
    <t>Harris County Municipal Utility District No 404</t>
  </si>
  <si>
    <t>Harris County Municipal Utility District No 449</t>
  </si>
  <si>
    <t>Harris County Municipal Utility District No 415</t>
  </si>
  <si>
    <t>Harris County Municipal Utility District No 531</t>
  </si>
  <si>
    <t>Borough of Hawthorne NJ</t>
  </si>
  <si>
    <t>Hays County Water Control &amp; Improvement District No 2</t>
  </si>
  <si>
    <t>Town of East Hampton NY</t>
  </si>
  <si>
    <t>East Montgomery County Municipal Utility District No 5</t>
  </si>
  <si>
    <t>Town of Cortlandt NY</t>
  </si>
  <si>
    <t>City of Cottonwood MN</t>
  </si>
  <si>
    <t>Village of Lomira WI</t>
  </si>
  <si>
    <t>City of Lorena TX</t>
  </si>
  <si>
    <t>Town of Douglas MA</t>
  </si>
  <si>
    <t>City of Dublin OH</t>
  </si>
  <si>
    <t>City of Dunkirk NY</t>
  </si>
  <si>
    <t>Madison Suburban Utility District</t>
  </si>
  <si>
    <t>Harris County Water Control &amp; Improvement District No 119</t>
  </si>
  <si>
    <t>City of Corinth TX</t>
  </si>
  <si>
    <t>County of El Dorado CA</t>
  </si>
  <si>
    <t>City of Corcoran MN</t>
  </si>
  <si>
    <t>City of Denison TX</t>
  </si>
  <si>
    <t>City of Emporia KS</t>
  </si>
  <si>
    <t>Encanto Real Utility District</t>
  </si>
  <si>
    <t>City of Ennis TX</t>
  </si>
  <si>
    <t>Fayette Water Works Board</t>
  </si>
  <si>
    <t>City of Fort Worth TX Water &amp; Sewer System Revenue</t>
  </si>
  <si>
    <t>Fountainhead Municipal Utility District</t>
  </si>
  <si>
    <t>City of Columbus GA Water &amp; Sewerage Revenue</t>
  </si>
  <si>
    <t>City of Columbus WI Electric &amp; Waterworks System Revenue</t>
  </si>
  <si>
    <t>Village of Caledonia WI Water &amp; Sewer System Revenue</t>
  </si>
  <si>
    <t>County of Calhoun MI</t>
  </si>
  <si>
    <t>Conroe Municipal Utility District No 1</t>
  </si>
  <si>
    <t>Harris County Municipal Utility District No 285</t>
  </si>
  <si>
    <t>Harris County Municipal Utility District No 1</t>
  </si>
  <si>
    <t>Coldwater Local Development Finance Authority</t>
  </si>
  <si>
    <t>City of Eden Prairie MN</t>
  </si>
  <si>
    <t>East Columbia Basin Irrigation District</t>
  </si>
  <si>
    <t>East Garrison Public Finance Authority</t>
  </si>
  <si>
    <t>City of Chippewa Falls WI</t>
  </si>
  <si>
    <t>Dutchess County Water &amp; Wastewater Authority</t>
  </si>
  <si>
    <t>Village of Dwight IL</t>
  </si>
  <si>
    <t>Generation Park Management District</t>
  </si>
  <si>
    <t>City of Geneseo IL</t>
  </si>
  <si>
    <t>City of Madison MN</t>
  </si>
  <si>
    <t>Fort Bend County Municipal Utility District No 156</t>
  </si>
  <si>
    <t>Fort Bend County Municipal Utility District No 158</t>
  </si>
  <si>
    <t>Fort Bend County Municipal Utility District No 155</t>
  </si>
  <si>
    <t>Fort Bend County Municipal Utility District No 165</t>
  </si>
  <si>
    <t>Fort Bend County Municipal Utility District No 170</t>
  </si>
  <si>
    <t>Fort Bend County Municipal Utility District No 187</t>
  </si>
  <si>
    <t>Fort Bend County Municipal Utility District No 194</t>
  </si>
  <si>
    <t>Fort Bend County Municipal Utility District No 173</t>
  </si>
  <si>
    <t>City of Highland Park IL</t>
  </si>
  <si>
    <t>Highlands at Mayfield Ranch Municipal Utility District</t>
  </si>
  <si>
    <t>City of Hinckley MN</t>
  </si>
  <si>
    <t>Town of Holden MA</t>
  </si>
  <si>
    <t>Town of Ipswich MA</t>
  </si>
  <si>
    <t>City of Irvine CA</t>
  </si>
  <si>
    <t>Kentucky Association of Counties Finance Corp</t>
  </si>
  <si>
    <t>Kentucky Bond Corp</t>
  </si>
  <si>
    <t>City of Kerrville TX</t>
  </si>
  <si>
    <t>Town of Greenburgh NY</t>
  </si>
  <si>
    <t>City of Glencoe MN</t>
  </si>
  <si>
    <t>City of Goodland KS</t>
  </si>
  <si>
    <t>City of Goodyear AZ Water &amp; Sewer Revenue</t>
  </si>
  <si>
    <t>City of League City TX</t>
  </si>
  <si>
    <t>City of Johnston IA</t>
  </si>
  <si>
    <t>Jurupa Community Services District</t>
  </si>
  <si>
    <t>Town of Huntington NY</t>
  </si>
  <si>
    <t>Village of Kenmore NY</t>
  </si>
  <si>
    <t>City of Grinnell IA</t>
  </si>
  <si>
    <t>Township of Grosse Ile MI</t>
  </si>
  <si>
    <t>Fort Bend County Municipal Utility District No 30</t>
  </si>
  <si>
    <t>Fort Bend County Municipal Utility District No 48</t>
  </si>
  <si>
    <t>Town of Ledyard CT</t>
  </si>
  <si>
    <t>City of Leon Valley TX</t>
  </si>
  <si>
    <t>City of Lewisville TX Waterworks &amp; Sewer System Revenue</t>
  </si>
  <si>
    <t>Meadowhill Regional Municipal Utility District</t>
  </si>
  <si>
    <t>Montgomery County Municipal Utility District No 88</t>
  </si>
  <si>
    <t>Montgomery County Municipal Utility District No 98</t>
  </si>
  <si>
    <t>Montgomery County Municipal Utility District No 107</t>
  </si>
  <si>
    <t>Montgomery County Municipal Utility District No 99</t>
  </si>
  <si>
    <t>Montgomery County Municipal Utility District No 119</t>
  </si>
  <si>
    <t>Kaufman County Municipal Utility District No 2</t>
  </si>
  <si>
    <t>City of Kaufman TX</t>
  </si>
  <si>
    <t>County of Miami OH</t>
  </si>
  <si>
    <t>Kelly Lane Water Control &amp; Improvement District No 2</t>
  </si>
  <si>
    <t>City of Kelso WA</t>
  </si>
  <si>
    <t>Montgomery County Municipal Utility District No 60</t>
  </si>
  <si>
    <t>Moores Crossing Municipal Utility District</t>
  </si>
  <si>
    <t>City of Moorhead MN Public Utility Revenue</t>
  </si>
  <si>
    <t>Morgantown Utility Board Inc</t>
  </si>
  <si>
    <t>Mount Houston Road Municipal Utility District</t>
  </si>
  <si>
    <t>City of Knoxville IA</t>
  </si>
  <si>
    <t>City of Knoxville TN Water System Revenue</t>
  </si>
  <si>
    <t>City of Liberty TX Utility System Revenue</t>
  </si>
  <si>
    <t>City of Lino Lakes MN</t>
  </si>
  <si>
    <t>Village of Mukwonago WI Waterworks System &amp; Sewer System Revenue</t>
  </si>
  <si>
    <t>City of Muleshoe TX</t>
  </si>
  <si>
    <t>Montgomery County Municipal District No 90</t>
  </si>
  <si>
    <t>Montgomery County Municipal Utility District No 127</t>
  </si>
  <si>
    <t>City of La Crescent MN</t>
  </si>
  <si>
    <t>City of La Marque TX</t>
  </si>
  <si>
    <t>City of La Vernia TX</t>
  </si>
  <si>
    <t>City of New Richmond WI Water &amp; Sewer Utility Revenue</t>
  </si>
  <si>
    <t>City of New London WI Sewerage Water &amp; Electric System Revenue</t>
  </si>
  <si>
    <t>City of Independence IA</t>
  </si>
  <si>
    <t>City of Independence OR</t>
  </si>
  <si>
    <t>Menard County Water Control &amp; Improvement District No 1</t>
  </si>
  <si>
    <t>Town of Mattapoisett MA</t>
  </si>
  <si>
    <t>City of Marshall MN</t>
  </si>
  <si>
    <t>County of Sanilac MI</t>
  </si>
  <si>
    <t>City of Sansom Park TX</t>
  </si>
  <si>
    <t>North Kern/Cawelo Financing Authority</t>
  </si>
  <si>
    <t>City of North Mankato MN</t>
  </si>
  <si>
    <t>Paseo Del Este Municipal Utility District No 5</t>
  </si>
  <si>
    <t>City of Pearland TX Waterworks &amp; Sewer System Revenue</t>
  </si>
  <si>
    <t>Oak Point Water Control &amp; Improvement District No 1 Denton County</t>
  </si>
  <si>
    <t>Northampton Municipal Utility District</t>
  </si>
  <si>
    <t>City of St Anthony MN</t>
  </si>
  <si>
    <t>City of St Cloud MN</t>
  </si>
  <si>
    <t>City of St Francis MN</t>
  </si>
  <si>
    <t>City of St James MN</t>
  </si>
  <si>
    <t>County of St Johns FL Water &amp; Sewer Revenue</t>
  </si>
  <si>
    <t>St Joseph County Redevelopment District/IN</t>
  </si>
  <si>
    <t>Town of North Hempstead NY</t>
  </si>
  <si>
    <t>Northeast Harris County Municipal Utility District No 1</t>
  </si>
  <si>
    <t>Town of Northlake TX</t>
  </si>
  <si>
    <t>Northpointe Water Control &amp; Improvement District</t>
  </si>
  <si>
    <t>City of Portland TN Water &amp; Sewer Revenue</t>
  </si>
  <si>
    <t>City of Oelwein IA</t>
  </si>
  <si>
    <t>City of Oshkosh WI Water Revenue</t>
  </si>
  <si>
    <t>City of Oshkosh WI Storm Water Utility Revenue</t>
  </si>
  <si>
    <t>City of Osseo MN</t>
  </si>
  <si>
    <t>City of Philomath OR</t>
  </si>
  <si>
    <t>County of Pike MS</t>
  </si>
  <si>
    <t>City of Pilot Point TX</t>
  </si>
  <si>
    <t>City of Minot ND Water &amp; Sewer Utility Revenue</t>
  </si>
  <si>
    <t>City of Missouri City TX</t>
  </si>
  <si>
    <t>City of Rosenberg TX</t>
  </si>
  <si>
    <t>City of Minnetrista MN</t>
  </si>
  <si>
    <t>Village of Rothschild WI</t>
  </si>
  <si>
    <t>Lazy Nine Municipal Utility District No 1B</t>
  </si>
  <si>
    <t>City of Lowell MI</t>
  </si>
  <si>
    <t>City of Perkins OK</t>
  </si>
  <si>
    <t>Town of Little Elm TX</t>
  </si>
  <si>
    <t>City of Las Cruces NM Joint Utility Revenue</t>
  </si>
  <si>
    <t>City of Lawrence KS Water &amp; Sewage System Revenue</t>
  </si>
  <si>
    <t>Monrovia Financing Authority</t>
  </si>
  <si>
    <t>Village of Monroe NY</t>
  </si>
  <si>
    <t>City of Monroe WA Water &amp; Sewer Revenue</t>
  </si>
  <si>
    <t>Northwest Harris County Municipal Utility District No 32</t>
  </si>
  <si>
    <t>Northwest Park Municipal Utility District</t>
  </si>
  <si>
    <t>City of New Boston TX</t>
  </si>
  <si>
    <t>Mid-Peninsula Water District</t>
  </si>
  <si>
    <t>City of Sugar Land TX</t>
  </si>
  <si>
    <t>Suisun-Solano Water Authority/CA</t>
  </si>
  <si>
    <t>City of Upper Arlington OH</t>
  </si>
  <si>
    <t>Williamson County Municipal Utility District No 13</t>
  </si>
  <si>
    <t>Williamson County Municipal Utility District No 22</t>
  </si>
  <si>
    <t>Williamson County Municipal Utility District No 12</t>
  </si>
  <si>
    <t>Williamson County Municipal Utility District No 19</t>
  </si>
  <si>
    <t>Williamson County Municipal Utility District No 19a</t>
  </si>
  <si>
    <t>Willow Creek Farms Municipal Utility District</t>
  </si>
  <si>
    <t>West Park Municipal Utility District</t>
  </si>
  <si>
    <t>Texas National Municipal Utility District</t>
  </si>
  <si>
    <t>City of Wichita KS Water &amp; Sewer Utility Revenue</t>
  </si>
  <si>
    <t>City of Tucson AZ Water System Revenue</t>
  </si>
  <si>
    <t>Town of Watertown MA</t>
  </si>
  <si>
    <t>City of Wautoma WI</t>
  </si>
  <si>
    <t>City of Wauwatosa WI Waterworks System Revenue</t>
  </si>
  <si>
    <t>White Horse Springs Water &amp; Sanitation District</t>
  </si>
  <si>
    <t>County of Travis TX</t>
  </si>
  <si>
    <t>City of Tuscaloosa AL</t>
  </si>
  <si>
    <t>City of Saratoga Springs UT Water Revenue</t>
  </si>
  <si>
    <t>Wood Trace Municipal Utility District No 1</t>
  </si>
  <si>
    <t>Woodcreek Municipal Utility District/TX</t>
  </si>
  <si>
    <t>Woodridge Municipal Utility District</t>
  </si>
  <si>
    <t>City of Woodway TX</t>
  </si>
  <si>
    <t>City of Stoughton WI Waterworks System Revenue</t>
  </si>
  <si>
    <t>City of Walla Walla WA</t>
  </si>
  <si>
    <t>Walnut Hill Water Authority</t>
  </si>
  <si>
    <t>Reunion Ranch Water Control &amp; Improvement District</t>
  </si>
  <si>
    <t>City of South Haven MI</t>
  </si>
  <si>
    <t>City of South Jordan UT</t>
  </si>
  <si>
    <t>City of Rockville MD</t>
  </si>
  <si>
    <t>Rockwall County Consolidated Municipal District No 1</t>
  </si>
  <si>
    <t>City of Rockwall TX</t>
  </si>
  <si>
    <t>City of Port Washington WI Water System Revenue</t>
  </si>
  <si>
    <t>City of Portage WI Water System Revenue</t>
  </si>
  <si>
    <t>Porter Municipal Utility District Auburn Trails Defined Area No 2</t>
  </si>
  <si>
    <t>Portland Water District Water System Revenue</t>
  </si>
  <si>
    <t>Town of Southampton NY</t>
  </si>
  <si>
    <t>City of West Allis WI</t>
  </si>
  <si>
    <t>City of West Des Moines IA</t>
  </si>
  <si>
    <t>West Harris County Municipal Utility District No 5</t>
  </si>
  <si>
    <t>West Harris County Municipal Utility District No 7</t>
  </si>
  <si>
    <t>West Knox Utility District</t>
  </si>
  <si>
    <t>Village of Saltaire NY</t>
  </si>
  <si>
    <t>Village of Rockville Centre NY</t>
  </si>
  <si>
    <t>City of Rockwell City IA</t>
  </si>
  <si>
    <t>Saraland Board of Water &amp; Sewer Commissioners</t>
  </si>
  <si>
    <t>Viridian Municipal Management District</t>
  </si>
  <si>
    <t>Vizcaya in Kendall Community Development District</t>
  </si>
  <si>
    <t>City of Robinson TX</t>
  </si>
  <si>
    <t>Charter Township of White Lake MI</t>
  </si>
  <si>
    <t>Summary</t>
  </si>
  <si>
    <t>SRCH Results</t>
  </si>
  <si>
    <t>Number of securities: 1,754</t>
  </si>
  <si>
    <t>Currency: USD</t>
  </si>
  <si>
    <t>Created by  DAN LI ( REGENTS OF THE UNIV. OF MICHIGAN,TH )  on  07/31/2022 14:31:01 GMT-0400 (EDT)</t>
  </si>
  <si>
    <t>SRCH Criteria</t>
  </si>
  <si>
    <t>Asset Classes: Municipals</t>
  </si>
  <si>
    <t>Sources: All Securities</t>
  </si>
  <si>
    <t xml:space="preserve">Security: </t>
  </si>
  <si>
    <t xml:space="preserve"> AND </t>
  </si>
  <si>
    <t>Security Status</t>
  </si>
  <si>
    <t>Include</t>
  </si>
  <si>
    <t>Municipals : Active</t>
  </si>
  <si>
    <t>Muni Bond Purpose</t>
  </si>
  <si>
    <t>Water Utility Improvements</t>
  </si>
  <si>
    <t>Country/Region of Risk</t>
  </si>
  <si>
    <t>United States of America</t>
  </si>
  <si>
    <t>In the range</t>
  </si>
  <si>
    <t>01/01/2016 to 12/31/2016</t>
  </si>
  <si>
    <t>Maturity Type</t>
  </si>
  <si>
    <t>Exclude [Match Any]</t>
  </si>
  <si>
    <t>Callable or Make Whole Call or Putable or Sinkable or Anticipated Sinking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</si>
</sst>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7">
    <xf numFmtId="0" fontId="0" fillId="0" borderId="0" xfId="0"/>
    <xf numFmtId="0" fontId="1" fillId="34" borderId="0" xfId="29" applyNumberFormat="1" applyFont="1" applyFill="1" applyBorder="1" applyAlignment="1" applyProtection="1"/>
    <xf numFmtId="0" fontId="2" fillId="33" borderId="0" xfId="26" applyNumberFormat="1" applyFont="1" applyFill="1" applyBorder="1" applyAlignment="1" applyProtection="1"/>
    <xf numFmtId="0" fontId="0" fillId="0" borderId="0" xfId="0"/>
    <xf numFmtId="0" fontId="1" fillId="0" borderId="0" xfId="27" applyNumberFormat="1" applyFont="1" applyFill="1" applyBorder="1" applyAlignment="1" applyProtection="1">
      <alignment horizontal="center"/>
    </xf>
    <xf numFmtId="0" fontId="2" fillId="33" borderId="0" xfId="26" applyNumberFormat="1" applyFont="1" applyFill="1" applyBorder="1" applyAlignment="1" applyProtection="1"/>
    <xf numFmtId="0" fontId="3" fillId="0" borderId="0" xfId="28" applyFont="1" applyAlignment="1">
      <alignment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financial_statement_name" xfId="27"/>
    <cellStyle name="blp_multiline_cell" xfId="28"/>
    <cellStyle name="blp_row_header" xfId="29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BDP|12678161991837165793</stp>
        <tr r="E1720" s="2"/>
      </tp>
      <tp t="s">
        <v>#N/A N/A</v>
        <stp/>
        <stp>BDP|14970958029667477285</stp>
        <tr r="T893" s="2"/>
      </tp>
      <tp t="s">
        <v>#N/A N/A</v>
        <stp/>
        <stp>BDP|12363871764233865518</stp>
        <tr r="N950" s="2"/>
      </tp>
      <tp t="s">
        <v>#N/A N/A</v>
        <stp/>
        <stp>BDP|18403481841301007348</stp>
        <tr r="A266" s="2"/>
      </tp>
      <tp t="s">
        <v>#N/A N/A</v>
        <stp/>
        <stp>BDP|11594991331168748937</stp>
        <tr r="P1152" s="2"/>
      </tp>
      <tp t="s">
        <v>#N/A N/A</v>
        <stp/>
        <stp>BDS|17479388383633517501</stp>
        <tr r="I501" s="2"/>
      </tp>
      <tp t="s">
        <v>#N/A N/A</v>
        <stp/>
        <stp>BDP|16794612325480877821</stp>
        <tr r="D1294" s="2"/>
      </tp>
      <tp t="s">
        <v>#N/A N/A</v>
        <stp/>
        <stp>BDP|10126915865195482087</stp>
        <tr r="C554" s="2"/>
      </tp>
      <tp t="s">
        <v>#N/A N/A</v>
        <stp/>
        <stp>BDP|15230557878395294847</stp>
        <tr r="O133" s="2"/>
      </tp>
      <tp t="s">
        <v>#N/A N/A</v>
        <stp/>
        <stp>BDP|13557817270533980546</stp>
        <tr r="G999" s="2"/>
      </tp>
      <tp t="s">
        <v>#N/A N/A</v>
        <stp/>
        <stp>BDP|10815263411330710919</stp>
        <tr r="H400" s="2"/>
      </tp>
      <tp t="s">
        <v>#N/A N/A</v>
        <stp/>
        <stp>BDP|11512796589906525294</stp>
        <tr r="M1567" s="2"/>
      </tp>
      <tp t="s">
        <v>#N/A N/A</v>
        <stp/>
        <stp>BDP|14653912038766672208</stp>
        <tr r="H546" s="2"/>
      </tp>
      <tp t="s">
        <v>#N/A N/A</v>
        <stp/>
        <stp>BDP|13691246608109777246</stp>
        <tr r="S485" s="2"/>
      </tp>
      <tp t="s">
        <v>#N/A N/A</v>
        <stp/>
        <stp>BDP|10435837138149522838</stp>
        <tr r="S1332" s="2"/>
      </tp>
      <tp t="s">
        <v>#N/A N/A</v>
        <stp/>
        <stp>BDP|15350310792264998100</stp>
        <tr r="H768" s="2"/>
      </tp>
      <tp t="s">
        <v>#N/A N/A</v>
        <stp/>
        <stp>BDP|11006267063576452989</stp>
        <tr r="Q751" s="2"/>
      </tp>
      <tp t="s">
        <v>#N/A N/A</v>
        <stp/>
        <stp>BDP|11955514591523401449</stp>
        <tr r="P1451" s="2"/>
      </tp>
      <tp t="s">
        <v>#N/A N/A</v>
        <stp/>
        <stp>BDP|16037427971009252682</stp>
        <tr r="D198" s="2"/>
      </tp>
      <tp t="s">
        <v>#N/A N/A</v>
        <stp/>
        <stp>BDP|10323306418888480067</stp>
        <tr r="M340" s="2"/>
      </tp>
      <tp t="s">
        <v>#N/A N/A</v>
        <stp/>
        <stp>BDP|10765779749711498842</stp>
        <tr r="F466" s="2"/>
      </tp>
      <tp t="s">
        <v>#N/A N/A</v>
        <stp/>
        <stp>BDP|17795703948538144678</stp>
        <tr r="G119" s="2"/>
      </tp>
      <tp t="s">
        <v>#N/A N/A</v>
        <stp/>
        <stp>BDP|10671115109818014378</stp>
        <tr r="K148" s="2"/>
      </tp>
      <tp t="s">
        <v>#N/A N/A</v>
        <stp/>
        <stp>BDP|14047025890294930323</stp>
        <tr r="E794" s="2"/>
      </tp>
      <tp t="s">
        <v>#N/A N/A</v>
        <stp/>
        <stp>BDP|12750344669344263917</stp>
        <tr r="C1092" s="2"/>
      </tp>
      <tp t="s">
        <v>#N/A N/A</v>
        <stp/>
        <stp>BDP|10709696127018034607</stp>
        <tr r="K517" s="2"/>
      </tp>
      <tp t="s">
        <v>#N/A N/A</v>
        <stp/>
        <stp>BDP|14478037524328950434</stp>
        <tr r="N1476" s="2"/>
      </tp>
      <tp t="s">
        <v>#N/A N/A</v>
        <stp/>
        <stp>BDP|15535175182693102581</stp>
        <tr r="G1751" s="2"/>
      </tp>
      <tp t="s">
        <v>#N/A N/A</v>
        <stp/>
        <stp>BDS|10860636546278177064</stp>
        <tr r="I1446" s="2"/>
      </tp>
      <tp t="s">
        <v>#N/A N/A</v>
        <stp/>
        <stp>BDP|13133367419438420333</stp>
        <tr r="T1526" s="2"/>
      </tp>
      <tp t="s">
        <v>#N/A N/A</v>
        <stp/>
        <stp>BDP|13857465498557952361</stp>
        <tr r="K1306" s="2"/>
      </tp>
      <tp t="s">
        <v>#N/A N/A</v>
        <stp/>
        <stp>BDP|11827402192732315407</stp>
        <tr r="S361" s="2"/>
      </tp>
      <tp t="s">
        <v>#N/A N/A</v>
        <stp/>
        <stp>BDP|14658784850118532422</stp>
        <tr r="T840" s="2"/>
      </tp>
      <tp t="s">
        <v>#N/A N/A</v>
        <stp/>
        <stp>BDP|15137896490247834995</stp>
        <tr r="A34" s="2"/>
      </tp>
      <tp t="s">
        <v>#N/A N/A</v>
        <stp/>
        <stp>BDP|16565154283927381293</stp>
        <tr r="M490" s="2"/>
      </tp>
      <tp t="s">
        <v>#N/A N/A</v>
        <stp/>
        <stp>BDP|16252232715147476891</stp>
        <tr r="O438" s="2"/>
      </tp>
      <tp t="s">
        <v>#N/A N/A</v>
        <stp/>
        <stp>BDP|11929455794354556246</stp>
        <tr r="A209" s="2"/>
      </tp>
      <tp t="s">
        <v>#N/A N/A</v>
        <stp/>
        <stp>BDP|18388085125984478434</stp>
        <tr r="Q154" s="2"/>
      </tp>
      <tp t="s">
        <v>#N/A N/A</v>
        <stp/>
        <stp>BDP|11189262273619926748</stp>
        <tr r="M613" s="2"/>
      </tp>
      <tp t="s">
        <v>#N/A N/A</v>
        <stp/>
        <stp>BDP|17205321420198134486</stp>
        <tr r="D1283" s="2"/>
      </tp>
      <tp t="s">
        <v>#N/A N/A</v>
        <stp/>
        <stp>BDP|12213046023549529395</stp>
        <tr r="T266" s="2"/>
      </tp>
      <tp t="s">
        <v>#N/A N/A</v>
        <stp/>
        <stp>BDP|13982102535392559909</stp>
        <tr r="T880" s="2"/>
      </tp>
      <tp t="s">
        <v>#N/A N/A</v>
        <stp/>
        <stp>BDP|16194304610179018789</stp>
        <tr r="J1012" s="2"/>
      </tp>
      <tp t="s">
        <v>#N/A N/A</v>
        <stp/>
        <stp>BDP|13630703989206575031</stp>
        <tr r="H1743" s="2"/>
      </tp>
      <tp t="s">
        <v>#N/A N/A</v>
        <stp/>
        <stp>BDP|17366689531051693952</stp>
        <tr r="N166" s="2"/>
      </tp>
      <tp t="s">
        <v>#N/A N/A</v>
        <stp/>
        <stp>BDP|16015706427639975072</stp>
        <tr r="D668" s="2"/>
      </tp>
      <tp t="s">
        <v>#N/A N/A</v>
        <stp/>
        <stp>BDP|17462830208653572633</stp>
        <tr r="D1077" s="2"/>
      </tp>
      <tp t="s">
        <v>#N/A N/A</v>
        <stp/>
        <stp>BDP|15234355260442653883</stp>
        <tr r="Q1257" s="2"/>
      </tp>
      <tp t="s">
        <v>#N/A N/A</v>
        <stp/>
        <stp>BDP|11694243026848823354</stp>
        <tr r="T308" s="2"/>
      </tp>
      <tp t="s">
        <v>#N/A N/A</v>
        <stp/>
        <stp>BDP|10989463156998843382</stp>
        <tr r="M529" s="2"/>
      </tp>
      <tp t="s">
        <v>#N/A N/A</v>
        <stp/>
        <stp>BDP|15965837228531878428</stp>
        <tr r="A1701" s="2"/>
      </tp>
      <tp t="s">
        <v>#N/A N/A</v>
        <stp/>
        <stp>BDP|16194323535259640586</stp>
        <tr r="J1068" s="2"/>
      </tp>
      <tp t="s">
        <v>#N/A N/A</v>
        <stp/>
        <stp>BDP|15944629435969171379</stp>
        <tr r="H1064" s="2"/>
      </tp>
      <tp t="s">
        <v>#N/A N/A</v>
        <stp/>
        <stp>BDP|13980200540476166903</stp>
        <tr r="J1116" s="2"/>
      </tp>
      <tp t="s">
        <v>#N/A N/A</v>
        <stp/>
        <stp>BDP|15745846437913421781</stp>
        <tr r="M1577" s="2"/>
      </tp>
      <tp t="s">
        <v>#N/A N/A</v>
        <stp/>
        <stp>BDP|11034976858951356646</stp>
        <tr r="R1018" s="2"/>
      </tp>
      <tp t="s">
        <v>#N/A N/A</v>
        <stp/>
        <stp>BDP|15691940773106946703</stp>
        <tr r="Q1683" s="2"/>
      </tp>
      <tp t="s">
        <v>#N/A N/A</v>
        <stp/>
        <stp>BDP|10777738865082803911</stp>
        <tr r="K1520" s="2"/>
      </tp>
      <tp t="s">
        <v>#N/A N/A</v>
        <stp/>
        <stp>BDP|15127787625553796935</stp>
        <tr r="S123" s="2"/>
      </tp>
      <tp t="s">
        <v>#N/A N/A</v>
        <stp/>
        <stp>BDP|10326606265093622985</stp>
        <tr r="K665" s="2"/>
      </tp>
      <tp t="s">
        <v>#N/A N/A</v>
        <stp/>
        <stp>BDP|14855950948616896559</stp>
        <tr r="Q45" s="2"/>
      </tp>
      <tp t="s">
        <v>#N/A N/A</v>
        <stp/>
        <stp>BDP|11711948237474561598</stp>
        <tr r="P219" s="2"/>
      </tp>
      <tp t="s">
        <v>#N/A N/A</v>
        <stp/>
        <stp>BDP|10243187130100335812</stp>
        <tr r="H674" s="2"/>
      </tp>
      <tp t="s">
        <v>#N/A N/A</v>
        <stp/>
        <stp>BDP|12600857904010749080</stp>
        <tr r="D869" s="2"/>
      </tp>
      <tp t="s">
        <v>#N/A N/A</v>
        <stp/>
        <stp>BDP|16235497684301051171</stp>
        <tr r="S1419" s="2"/>
      </tp>
      <tp t="s">
        <v>#N/A N/A</v>
        <stp/>
        <stp>BDP|14303871958464740730</stp>
        <tr r="G1538" s="2"/>
      </tp>
      <tp t="s">
        <v>#N/A N/A</v>
        <stp/>
        <stp>BDP|10298065992970773393</stp>
        <tr r="E1179" s="2"/>
      </tp>
      <tp t="s">
        <v>#N/A N/A</v>
        <stp/>
        <stp>BDP|16620487884787273704</stp>
        <tr r="C1436" s="2"/>
      </tp>
      <tp t="s">
        <v>#N/A N/A</v>
        <stp/>
        <stp>BDP|13439529483372594680</stp>
        <tr r="J978" s="2"/>
      </tp>
      <tp t="s">
        <v>#N/A N/A</v>
        <stp/>
        <stp>BDP|12556931811327735784</stp>
        <tr r="K661" s="2"/>
      </tp>
      <tp t="s">
        <v>#N/A N/A</v>
        <stp/>
        <stp>BDP|10457428445899233391</stp>
        <tr r="C1435" s="2"/>
      </tp>
      <tp t="s">
        <v>#N/A N/A</v>
        <stp/>
        <stp>BDP|13017861821743980068</stp>
        <tr r="T559" s="2"/>
      </tp>
      <tp t="s">
        <v>#N/A N/A</v>
        <stp/>
        <stp>BDP|18433179068406606359</stp>
        <tr r="D100" s="2"/>
      </tp>
      <tp t="s">
        <v>#N/A N/A</v>
        <stp/>
        <stp>BDP|10052189702569465268</stp>
        <tr r="S120" s="2"/>
      </tp>
      <tp t="s">
        <v>#N/A N/A</v>
        <stp/>
        <stp>BDP|14176113111607151980</stp>
        <tr r="E1173" s="2"/>
      </tp>
      <tp t="s">
        <v>#N/A N/A</v>
        <stp/>
        <stp>BDP|18359774012757730393</stp>
        <tr r="H824" s="2"/>
      </tp>
      <tp t="s">
        <v>#N/A N/A</v>
        <stp/>
        <stp>BDP|15723835459194105640</stp>
        <tr r="T1382" s="2"/>
      </tp>
      <tp t="s">
        <v>#N/A N/A</v>
        <stp/>
        <stp>BDP|12616846731020346385</stp>
        <tr r="E762" s="2"/>
      </tp>
      <tp t="s">
        <v>#N/A N/A</v>
        <stp/>
        <stp>BDP|10759057008338723256</stp>
        <tr r="N944" s="2"/>
      </tp>
      <tp t="s">
        <v>#N/A N/A</v>
        <stp/>
        <stp>BDP|15095319753260970930</stp>
        <tr r="C1174" s="2"/>
      </tp>
      <tp t="s">
        <v>#N/A N/A</v>
        <stp/>
        <stp>BDP|11801916653523663440</stp>
        <tr r="P1095" s="2"/>
      </tp>
      <tp t="s">
        <v>#N/A N/A</v>
        <stp/>
        <stp>BDP|11693292880674305549</stp>
        <tr r="D5" s="2"/>
      </tp>
      <tp t="s">
        <v>#N/A N/A</v>
        <stp/>
        <stp>BDP|14459982721127665234</stp>
        <tr r="G1473" s="2"/>
      </tp>
      <tp t="s">
        <v>#N/A N/A</v>
        <stp/>
        <stp>BDP|11336883666773052656</stp>
        <tr r="C135" s="2"/>
      </tp>
      <tp t="s">
        <v>#N/A N/A</v>
        <stp/>
        <stp>BDP|17915409384555106449</stp>
        <tr r="F1193" s="2"/>
      </tp>
      <tp t="s">
        <v>#N/A N/A</v>
        <stp/>
        <stp>BDS|18085570934322312681</stp>
        <tr r="I115" s="2"/>
      </tp>
      <tp t="s">
        <v>#N/A N/A</v>
        <stp/>
        <stp>BDP|15411126839539495400</stp>
        <tr r="S320" s="2"/>
      </tp>
      <tp t="s">
        <v>#N/A N/A</v>
        <stp/>
        <stp>BDP|10679276781468261898</stp>
        <tr r="A1058" s="2"/>
      </tp>
      <tp t="s">
        <v>#N/A N/A</v>
        <stp/>
        <stp>BDP|15871250382286481306</stp>
        <tr r="D982" s="2"/>
      </tp>
      <tp t="s">
        <v>#N/A N/A</v>
        <stp/>
        <stp>BDP|17731843441018882913</stp>
        <tr r="T1253" s="2"/>
      </tp>
      <tp t="s">
        <v>#N/A N/A</v>
        <stp/>
        <stp>BDP|12947750987156492146</stp>
        <tr r="K1095" s="2"/>
      </tp>
      <tp t="s">
        <v>#N/A N/A</v>
        <stp/>
        <stp>BDP|17696790490203410000</stp>
        <tr r="F1137" s="2"/>
      </tp>
      <tp t="s">
        <v>#N/A N/A</v>
        <stp/>
        <stp>BDP|18350222816834903556</stp>
        <tr r="E1688" s="2"/>
      </tp>
      <tp t="s">
        <v>#N/A N/A</v>
        <stp/>
        <stp>BDP|11629532126855839902</stp>
        <tr r="N1201" s="2"/>
      </tp>
      <tp t="s">
        <v>#N/A N/A</v>
        <stp/>
        <stp>BDP|13610036087345188484</stp>
        <tr r="G117" s="2"/>
      </tp>
      <tp t="s">
        <v>#N/A N/A</v>
        <stp/>
        <stp>BDP|17183685894544647604</stp>
        <tr r="O1067" s="2"/>
      </tp>
      <tp t="s">
        <v>#N/A N/A</v>
        <stp/>
        <stp>BDP|10298460098475165263</stp>
        <tr r="P651" s="2"/>
      </tp>
      <tp t="s">
        <v>#N/A N/A</v>
        <stp/>
        <stp>BDP|12292552888512681729</stp>
        <tr r="Q1331" s="2"/>
      </tp>
      <tp t="s">
        <v>#N/A N/A</v>
        <stp/>
        <stp>BDP|13181074205229056084</stp>
        <tr r="O240" s="2"/>
      </tp>
      <tp t="s">
        <v>#N/A N/A</v>
        <stp/>
        <stp>BDP|13396931396200508984</stp>
        <tr r="A1105" s="2"/>
      </tp>
      <tp t="s">
        <v>#N/A N/A</v>
        <stp/>
        <stp>BDP|10380066778835118879</stp>
        <tr r="E242" s="2"/>
      </tp>
      <tp t="s">
        <v>#N/A N/A</v>
        <stp/>
        <stp>BDP|17180635251547138995</stp>
        <tr r="M1736" s="2"/>
      </tp>
      <tp t="s">
        <v>#N/A N/A</v>
        <stp/>
        <stp>BDP|16236009189851744578</stp>
        <tr r="P333" s="2"/>
      </tp>
      <tp t="s">
        <v>#N/A N/A</v>
        <stp/>
        <stp>BDS|18045284414264284567</stp>
        <tr r="I1330" s="2"/>
      </tp>
      <tp t="s">
        <v>#N/A N/A</v>
        <stp/>
        <stp>BDP|11967767785553387721</stp>
        <tr r="N1676" s="2"/>
      </tp>
      <tp t="s">
        <v>#N/A N/A</v>
        <stp/>
        <stp>BDP|17737847997315937968</stp>
        <tr r="R24" s="2"/>
      </tp>
      <tp t="s">
        <v>#N/A N/A</v>
        <stp/>
        <stp>BDP|15602306978543485817</stp>
        <tr r="T1742" s="2"/>
      </tp>
      <tp t="s">
        <v>#N/A N/A</v>
        <stp/>
        <stp>BDP|11907042627799619078</stp>
        <tr r="O1357" s="2"/>
      </tp>
      <tp t="s">
        <v>#N/A N/A</v>
        <stp/>
        <stp>BDP|13297190646118388453</stp>
        <tr r="R60" s="2"/>
      </tp>
      <tp t="s">
        <v>#N/A N/A</v>
        <stp/>
        <stp>BDP|10333880960720273420</stp>
        <tr r="P1630" s="2"/>
      </tp>
      <tp t="s">
        <v>#N/A N/A</v>
        <stp/>
        <stp>BDP|12224082880552249232</stp>
        <tr r="T630" s="2"/>
      </tp>
      <tp t="s">
        <v>#N/A N/A</v>
        <stp/>
        <stp>BDP|13914566259489446095</stp>
        <tr r="M68" s="2"/>
      </tp>
      <tp t="s">
        <v>#N/A N/A</v>
        <stp/>
        <stp>BDP|13006425512004368881</stp>
        <tr r="Q1403" s="2"/>
      </tp>
      <tp t="s">
        <v>#N/A N/A</v>
        <stp/>
        <stp>BDP|17330884567861046279</stp>
        <tr r="Q1543" s="2"/>
      </tp>
      <tp t="s">
        <v>#N/A N/A</v>
        <stp/>
        <stp>BDP|10802883548613652552</stp>
        <tr r="A367" s="2"/>
      </tp>
      <tp t="s">
        <v>#N/A N/A</v>
        <stp/>
        <stp>BDP|11232297216189029165</stp>
        <tr r="O398" s="2"/>
      </tp>
      <tp t="s">
        <v>#N/A N/A</v>
        <stp/>
        <stp>BDP|14495798305961331809</stp>
        <tr r="N169" s="2"/>
      </tp>
      <tp t="s">
        <v>#N/A N/A</v>
        <stp/>
        <stp>BDP|14505180184112090529</stp>
        <tr r="K58" s="2"/>
      </tp>
      <tp t="s">
        <v>#N/A N/A</v>
        <stp/>
        <stp>BDP|11867888862753194680</stp>
        <tr r="R691" s="2"/>
      </tp>
      <tp t="s">
        <v>#N/A N/A</v>
        <stp/>
        <stp>BDP|10823580782620144780</stp>
        <tr r="F1259" s="2"/>
      </tp>
      <tp t="s">
        <v>#N/A N/A</v>
        <stp/>
        <stp>BDP|11472953057737835057</stp>
        <tr r="A1314" s="2"/>
      </tp>
      <tp t="s">
        <v>#N/A N/A</v>
        <stp/>
        <stp>BDP|16366905171071916305</stp>
        <tr r="R1183" s="2"/>
      </tp>
      <tp t="s">
        <v>#N/A N/A</v>
        <stp/>
        <stp>BDP|10325876088522626814</stp>
        <tr r="G1112" s="2"/>
      </tp>
      <tp t="s">
        <v>#N/A N/A</v>
        <stp/>
        <stp>BDP|14726587291622236077</stp>
        <tr r="P177" s="2"/>
      </tp>
      <tp t="s">
        <v>#N/A N/A</v>
        <stp/>
        <stp>BDP|12304526268413735856</stp>
        <tr r="G112" s="2"/>
      </tp>
      <tp t="s">
        <v>#N/A N/A</v>
        <stp/>
        <stp>BDP|12643086496565776446</stp>
        <tr r="M1435" s="2"/>
      </tp>
      <tp t="s">
        <v>#N/A N/A</v>
        <stp/>
        <stp>BDP|16863189888611755449</stp>
        <tr r="O512" s="2"/>
      </tp>
      <tp t="s">
        <v>#N/A N/A</v>
        <stp/>
        <stp>BDP|12710276892260064396</stp>
        <tr r="T423" s="2"/>
      </tp>
      <tp t="s">
        <v>#N/A N/A</v>
        <stp/>
        <stp>BDP|18105541298599424723</stp>
        <tr r="R1684" s="2"/>
      </tp>
      <tp t="s">
        <v>#N/A N/A</v>
        <stp/>
        <stp>BDP|11463634587686382388</stp>
        <tr r="S1621" s="2"/>
      </tp>
      <tp t="s">
        <v>#N/A N/A</v>
        <stp/>
        <stp>BDP|11202921229269349913</stp>
        <tr r="P462" s="2"/>
      </tp>
      <tp t="s">
        <v>#N/A N/A</v>
        <stp/>
        <stp>BDP|16044528608131791860</stp>
        <tr r="P1246" s="2"/>
      </tp>
      <tp t="s">
        <v>#N/A N/A</v>
        <stp/>
        <stp>BDP|10509469742402362880</stp>
        <tr r="E1163" s="2"/>
      </tp>
      <tp t="s">
        <v>#N/A N/A</v>
        <stp/>
        <stp>BDP|11740521446389993304</stp>
        <tr r="F214" s="2"/>
      </tp>
      <tp t="s">
        <v>#N/A N/A</v>
        <stp/>
        <stp>BDP|17221489983091268016</stp>
        <tr r="J1057" s="2"/>
      </tp>
      <tp t="s">
        <v>#N/A N/A</v>
        <stp/>
        <stp>BDP|11296247968857041849</stp>
        <tr r="P925" s="2"/>
      </tp>
      <tp t="s">
        <v>#N/A N/A</v>
        <stp/>
        <stp>BDP|11228131542189183781</stp>
        <tr r="P21" s="2"/>
      </tp>
      <tp t="s">
        <v>#N/A N/A</v>
        <stp/>
        <stp>BDP|14807432475529142458</stp>
        <tr r="C17" s="2"/>
      </tp>
      <tp t="s">
        <v>#N/A N/A</v>
        <stp/>
        <stp>BDP|11154341098571386043</stp>
        <tr r="D461" s="2"/>
      </tp>
      <tp t="s">
        <v>#N/A N/A</v>
        <stp/>
        <stp>BDS|11858648714924356828</stp>
        <tr r="I1283" s="2"/>
      </tp>
      <tp t="s">
        <v>#N/A N/A</v>
        <stp/>
        <stp>BDP|12801860427855674756</stp>
        <tr r="F1512" s="2"/>
      </tp>
      <tp t="s">
        <v>#N/A N/A</v>
        <stp/>
        <stp>BDP|16966852264201680347</stp>
        <tr r="K1423" s="2"/>
      </tp>
      <tp t="s">
        <v>#N/A N/A</v>
        <stp/>
        <stp>BDP|14326554078045671928</stp>
        <tr r="J116" s="2"/>
      </tp>
      <tp t="s">
        <v>#N/A N/A</v>
        <stp/>
        <stp>BDP|10154318252165104994</stp>
        <tr r="C884" s="2"/>
      </tp>
      <tp t="s">
        <v>#N/A N/A</v>
        <stp/>
        <stp>BDP|13669864820845863624</stp>
        <tr r="C999" s="2"/>
      </tp>
      <tp t="s">
        <v>#N/A N/A</v>
        <stp/>
        <stp>BDP|15357597138579889001</stp>
        <tr r="Q1013" s="2"/>
      </tp>
      <tp t="s">
        <v>#N/A N/A</v>
        <stp/>
        <stp>BDP|15745488894224835693</stp>
        <tr r="R1334" s="2"/>
      </tp>
      <tp t="s">
        <v>#N/A N/A</v>
        <stp/>
        <stp>BDP|17097705029659006134</stp>
        <tr r="E612" s="2"/>
      </tp>
      <tp t="s">
        <v>#N/A N/A</v>
        <stp/>
        <stp>BDP|15318588232711406873</stp>
        <tr r="D342" s="2"/>
      </tp>
      <tp t="s">
        <v>#N/A N/A</v>
        <stp/>
        <stp>BDP|14932028747998185277</stp>
        <tr r="O140" s="2"/>
      </tp>
      <tp t="s">
        <v>#N/A N/A</v>
        <stp/>
        <stp>BDP|12023178502659708081</stp>
        <tr r="K1087" s="2"/>
      </tp>
      <tp t="s">
        <v>#N/A N/A</v>
        <stp/>
        <stp>BDP|17369189794622338767</stp>
        <tr r="S1238" s="2"/>
      </tp>
      <tp t="s">
        <v>#N/A N/A</v>
        <stp/>
        <stp>BDP|13036062688873777233</stp>
        <tr r="T310" s="2"/>
      </tp>
      <tp t="s">
        <v>#N/A N/A</v>
        <stp/>
        <stp>BDP|16999351066540561957</stp>
        <tr r="K695" s="2"/>
      </tp>
      <tp t="s">
        <v>#N/A N/A</v>
        <stp/>
        <stp>BDP|14914144981464255348</stp>
        <tr r="D875" s="2"/>
      </tp>
      <tp t="s">
        <v>#N/A N/A</v>
        <stp/>
        <stp>BDP|15563576330798889103</stp>
        <tr r="H785" s="2"/>
      </tp>
      <tp t="s">
        <v>#N/A N/A</v>
        <stp/>
        <stp>BDP|17762506834619140281</stp>
        <tr r="N1418" s="2"/>
      </tp>
      <tp t="s">
        <v>#N/A N/A</v>
        <stp/>
        <stp>BDP|10433664682767272384</stp>
        <tr r="C1739" s="2"/>
      </tp>
      <tp t="s">
        <v>#N/A N/A</v>
        <stp/>
        <stp>BDP|12990739883112407573</stp>
        <tr r="O1396" s="2"/>
      </tp>
      <tp t="s">
        <v>#N/A N/A</v>
        <stp/>
        <stp>BDP|16902274151692482918</stp>
        <tr r="R1362" s="2"/>
      </tp>
      <tp t="s">
        <v>#N/A N/A</v>
        <stp/>
        <stp>BDP|10992107573135953998</stp>
        <tr r="G1103" s="2"/>
      </tp>
      <tp t="s">
        <v>#N/A N/A</v>
        <stp/>
        <stp>BDS|16918413533438479363</stp>
        <tr r="I1107" s="2"/>
      </tp>
      <tp t="s">
        <v>#N/A N/A</v>
        <stp/>
        <stp>BDP|18086719630214953224</stp>
        <tr r="P271" s="2"/>
      </tp>
      <tp t="s">
        <v>#N/A N/A</v>
        <stp/>
        <stp>BDP|10375735988727346210</stp>
        <tr r="K1574" s="2"/>
      </tp>
      <tp t="s">
        <v>#N/A N/A</v>
        <stp/>
        <stp>BDP|13807862283191117863</stp>
        <tr r="Q404" s="2"/>
      </tp>
      <tp t="s">
        <v>#N/A N/A</v>
        <stp/>
        <stp>BDP|18153775624205164295</stp>
        <tr r="M1530" s="2"/>
      </tp>
      <tp t="s">
        <v>#N/A N/A</v>
        <stp/>
        <stp>BDP|15088184155328288356</stp>
        <tr r="T549" s="2"/>
      </tp>
      <tp t="s">
        <v>#N/A N/A</v>
        <stp/>
        <stp>BDP|18379227849364502073</stp>
        <tr r="P1288" s="2"/>
      </tp>
      <tp t="s">
        <v>#N/A N/A</v>
        <stp/>
        <stp>BDP|13310924174636814172</stp>
        <tr r="N328" s="2"/>
      </tp>
      <tp t="s">
        <v>#N/A N/A</v>
        <stp/>
        <stp>BDP|18235488528735990115</stp>
        <tr r="R419" s="2"/>
      </tp>
      <tp t="s">
        <v>#N/A N/A</v>
        <stp/>
        <stp>BDP|15221497784423359063</stp>
        <tr r="D1308" s="2"/>
      </tp>
      <tp t="s">
        <v>#N/A N/A</v>
        <stp/>
        <stp>BDP|16784943362831200294</stp>
        <tr r="S684" s="2"/>
      </tp>
      <tp t="s">
        <v>#N/A N/A</v>
        <stp/>
        <stp>BDP|17868067584634849184</stp>
        <tr r="K316" s="2"/>
      </tp>
      <tp t="s">
        <v>#N/A N/A</v>
        <stp/>
        <stp>BDP|16949324425395211864</stp>
        <tr r="A290" s="2"/>
      </tp>
      <tp t="s">
        <v>#N/A N/A</v>
        <stp/>
        <stp>BDP|15560325768363032955</stp>
        <tr r="D1407" s="2"/>
      </tp>
      <tp t="s">
        <v>#N/A N/A</v>
        <stp/>
        <stp>BDP|12816630712417125822</stp>
        <tr r="Q1027" s="2"/>
      </tp>
      <tp t="s">
        <v>#N/A N/A</v>
        <stp/>
        <stp>BDP|16714715175875995900</stp>
        <tr r="Q698" s="2"/>
      </tp>
      <tp t="s">
        <v>#N/A N/A</v>
        <stp/>
        <stp>BDP|12586497154739791055</stp>
        <tr r="O1435" s="2"/>
      </tp>
      <tp t="s">
        <v>#N/A N/A</v>
        <stp/>
        <stp>BDP|14881039275719625020</stp>
        <tr r="K530" s="2"/>
      </tp>
      <tp t="s">
        <v>#N/A N/A</v>
        <stp/>
        <stp>BDP|10486544042333608894</stp>
        <tr r="K1020" s="2"/>
      </tp>
      <tp t="s">
        <v>#N/A N/A</v>
        <stp/>
        <stp>BDS|18223283817205096431</stp>
        <tr r="I743" s="2"/>
      </tp>
      <tp t="s">
        <v>#N/A N/A</v>
        <stp/>
        <stp>BDS|11828229240305709833</stp>
        <tr r="I792" s="2"/>
      </tp>
      <tp t="s">
        <v>#N/A N/A</v>
        <stp/>
        <stp>BDP|17650619952579130790</stp>
        <tr r="N534" s="2"/>
      </tp>
      <tp t="s">
        <v>#N/A N/A</v>
        <stp/>
        <stp>BDP|12356907909970321143</stp>
        <tr r="K567" s="2"/>
      </tp>
      <tp t="s">
        <v>#N/A N/A</v>
        <stp/>
        <stp>BDP|13658192844909553531</stp>
        <tr r="A636" s="2"/>
      </tp>
      <tp t="s">
        <v>#N/A N/A</v>
        <stp/>
        <stp>BDP|18374697966424858698</stp>
        <tr r="H1025" s="2"/>
      </tp>
      <tp t="s">
        <v>#N/A N/A</v>
        <stp/>
        <stp>BDP|14396434109109776332</stp>
        <tr r="M542" s="2"/>
      </tp>
      <tp t="s">
        <v>#N/A N/A</v>
        <stp/>
        <stp>BDP|11660799651951460879</stp>
        <tr r="J807" s="2"/>
      </tp>
      <tp t="s">
        <v>#N/A N/A</v>
        <stp/>
        <stp>BDP|11376249811360247891</stp>
        <tr r="J123" s="2"/>
      </tp>
      <tp t="s">
        <v>#N/A N/A</v>
        <stp/>
        <stp>BDP|14346487922720484804</stp>
        <tr r="S1165" s="2"/>
      </tp>
      <tp t="s">
        <v>#N/A N/A</v>
        <stp/>
        <stp>BDP|18303898656567809895</stp>
        <tr r="E509" s="2"/>
      </tp>
      <tp t="s">
        <v>#N/A N/A</v>
        <stp/>
        <stp>BDP|18010486363146392657</stp>
        <tr r="F509" s="2"/>
      </tp>
      <tp t="s">
        <v>#N/A N/A</v>
        <stp/>
        <stp>BDP|12027175874767884967</stp>
        <tr r="A1326" s="2"/>
      </tp>
      <tp t="s">
        <v>#N/A N/A</v>
        <stp/>
        <stp>BDP|17345223258953316970</stp>
        <tr r="A1450" s="2"/>
      </tp>
      <tp t="s">
        <v>#N/A N/A</v>
        <stp/>
        <stp>BDP|18179799196098507461</stp>
        <tr r="R1035" s="2"/>
      </tp>
      <tp t="s">
        <v>#N/A N/A</v>
        <stp/>
        <stp>BDP|13619285825338203148</stp>
        <tr r="Q387" s="2"/>
      </tp>
      <tp t="s">
        <v>#N/A N/A</v>
        <stp/>
        <stp>BDP|10339418680675867375</stp>
        <tr r="S1209" s="2"/>
      </tp>
      <tp t="s">
        <v>#N/A N/A</v>
        <stp/>
        <stp>BDP|15400767716479083095</stp>
        <tr r="S1424" s="2"/>
      </tp>
      <tp t="s">
        <v>#N/A N/A</v>
        <stp/>
        <stp>BDP|18141154709183590055</stp>
        <tr r="R535" s="2"/>
      </tp>
      <tp t="s">
        <v>#N/A N/A</v>
        <stp/>
        <stp>BDP|17976039503084561915</stp>
        <tr r="A946" s="2"/>
      </tp>
      <tp t="s">
        <v>#N/A N/A</v>
        <stp/>
        <stp>BDP|16768299249669239387</stp>
        <tr r="P1637" s="2"/>
      </tp>
      <tp t="s">
        <v>#N/A N/A</v>
        <stp/>
        <stp>BDP|14887990104585871206</stp>
        <tr r="Q354" s="2"/>
      </tp>
      <tp t="s">
        <v>#N/A N/A</v>
        <stp/>
        <stp>BDP|13797100270348919737</stp>
        <tr r="A655" s="2"/>
      </tp>
      <tp t="s">
        <v>#N/A N/A</v>
        <stp/>
        <stp>BDP|15942005691754635239</stp>
        <tr r="S751" s="2"/>
      </tp>
      <tp t="s">
        <v>#N/A N/A</v>
        <stp/>
        <stp>BDP|17115738048126310845</stp>
        <tr r="A1542" s="2"/>
      </tp>
      <tp t="s">
        <v>#N/A N/A</v>
        <stp/>
        <stp>BDP|15134780644649858583</stp>
        <tr r="O746" s="2"/>
      </tp>
      <tp t="s">
        <v>#N/A N/A</v>
        <stp/>
        <stp>BDP|13294904507189882907</stp>
        <tr r="N338" s="2"/>
      </tp>
      <tp t="s">
        <v>#N/A N/A</v>
        <stp/>
        <stp>BDP|14612530992447974530</stp>
        <tr r="J438" s="2"/>
      </tp>
      <tp t="s">
        <v>#N/A N/A</v>
        <stp/>
        <stp>BDP|13332826622307912475</stp>
        <tr r="Q351" s="2"/>
      </tp>
      <tp t="s">
        <v>#N/A N/A</v>
        <stp/>
        <stp>BDP|16303902372752977050</stp>
        <tr r="N595" s="2"/>
      </tp>
      <tp t="s">
        <v>#N/A N/A</v>
        <stp/>
        <stp>BDP|12817688687985225383</stp>
        <tr r="T975" s="2"/>
      </tp>
      <tp t="s">
        <v>#N/A N/A</v>
        <stp/>
        <stp>BDP|15446871767643049296</stp>
        <tr r="C1533" s="2"/>
      </tp>
      <tp t="s">
        <v>#N/A N/A</v>
        <stp/>
        <stp>BDP|15220851413335998308</stp>
        <tr r="O1600" s="2"/>
      </tp>
      <tp t="s">
        <v>#N/A N/A</v>
        <stp/>
        <stp>BDP|16082139449118068177</stp>
        <tr r="M1582" s="2"/>
      </tp>
      <tp t="s">
        <v>#N/A N/A</v>
        <stp/>
        <stp>BDP|11439599000497091906</stp>
        <tr r="D660" s="2"/>
      </tp>
      <tp t="s">
        <v>#N/A N/A</v>
        <stp/>
        <stp>BDP|14327457386175901745</stp>
        <tr r="A1543" s="2"/>
      </tp>
      <tp t="s">
        <v>#N/A N/A</v>
        <stp/>
        <stp>BDP|16125417377698231780</stp>
        <tr r="D92" s="2"/>
      </tp>
      <tp t="s">
        <v>#N/A N/A</v>
        <stp/>
        <stp>BDP|15192314361163543998</stp>
        <tr r="C1665" s="2"/>
      </tp>
      <tp t="s">
        <v>#N/A N/A</v>
        <stp/>
        <stp>BDP|18071580622463440637</stp>
        <tr r="R304" s="2"/>
      </tp>
      <tp t="s">
        <v>#N/A N/A</v>
        <stp/>
        <stp>BDP|11079769798947267216</stp>
        <tr r="D1184" s="2"/>
      </tp>
      <tp t="s">
        <v>#N/A N/A</v>
        <stp/>
        <stp>BDP|14657251261098614292</stp>
        <tr r="D1665" s="2"/>
      </tp>
      <tp t="s">
        <v>#N/A N/A</v>
        <stp/>
        <stp>BDP|14012093188313558593</stp>
        <tr r="E664" s="2"/>
      </tp>
      <tp t="s">
        <v>#N/A N/A</v>
        <stp/>
        <stp>BDP|14965133978359893178</stp>
        <tr r="H374" s="2"/>
      </tp>
      <tp t="s">
        <v>#N/A N/A</v>
        <stp/>
        <stp>BDP|13214984724863630159</stp>
        <tr r="D79" s="2"/>
      </tp>
      <tp t="s">
        <v>#N/A N/A</v>
        <stp/>
        <stp>BDP|16134088224959376733</stp>
        <tr r="D971" s="2"/>
      </tp>
      <tp t="s">
        <v>#N/A N/A</v>
        <stp/>
        <stp>BDP|16918602088074949651</stp>
        <tr r="C671" s="2"/>
      </tp>
      <tp t="s">
        <v>#N/A N/A</v>
        <stp/>
        <stp>BDP|13594358508309433317</stp>
        <tr r="C1227" s="2"/>
      </tp>
      <tp t="s">
        <v>#N/A N/A</v>
        <stp/>
        <stp>BDP|14587997768195084493</stp>
        <tr r="O797" s="2"/>
      </tp>
      <tp t="s">
        <v>#N/A N/A</v>
        <stp/>
        <stp>BDP|15444287712689104520</stp>
        <tr r="J863" s="2"/>
      </tp>
      <tp t="s">
        <v>#N/A N/A</v>
        <stp/>
        <stp>BDP|11014820200787757486</stp>
        <tr r="A547" s="2"/>
      </tp>
      <tp t="s">
        <v>#N/A N/A</v>
        <stp/>
        <stp>BDP|11668891756383770536</stp>
        <tr r="O538" s="2"/>
      </tp>
      <tp t="s">
        <v>#N/A N/A</v>
        <stp/>
        <stp>BDP|13545325744458654685</stp>
        <tr r="S1440" s="2"/>
      </tp>
      <tp t="s">
        <v>#N/A N/A</v>
        <stp/>
        <stp>BDP|13666889065283012468</stp>
        <tr r="P1740" s="2"/>
      </tp>
      <tp t="s">
        <v>#N/A N/A</v>
        <stp/>
        <stp>BDS|10773521701588867721</stp>
        <tr r="I403" s="2"/>
      </tp>
      <tp t="s">
        <v>#N/A N/A</v>
        <stp/>
        <stp>BDP|18394890621808573032</stp>
        <tr r="G100" s="2"/>
      </tp>
      <tp t="s">
        <v>#N/A N/A</v>
        <stp/>
        <stp>BDP|18298038749997478104</stp>
        <tr r="S140" s="2"/>
      </tp>
      <tp t="s">
        <v>#N/A N/A</v>
        <stp/>
        <stp>BDP|14439611211980943914</stp>
        <tr r="D444" s="2"/>
      </tp>
      <tp t="s">
        <v>#N/A N/A</v>
        <stp/>
        <stp>BDP|18302558648701675241</stp>
        <tr r="E337" s="2"/>
      </tp>
      <tp t="s">
        <v>#N/A N/A</v>
        <stp/>
        <stp>BDP|15431272402925841853</stp>
        <tr r="T1418" s="2"/>
      </tp>
      <tp t="s">
        <v>#N/A N/A</v>
        <stp/>
        <stp>BDP|12815849473287010035</stp>
        <tr r="M1532" s="2"/>
      </tp>
      <tp t="s">
        <v>#N/A N/A</v>
        <stp/>
        <stp>BDP|14982476937718652132</stp>
        <tr r="N334" s="2"/>
      </tp>
      <tp t="s">
        <v>#N/A N/A</v>
        <stp/>
        <stp>BDP|14783593725478356144</stp>
        <tr r="F878" s="2"/>
      </tp>
      <tp t="s">
        <v>#N/A N/A</v>
        <stp/>
        <stp>BDS|15084188940168088277</stp>
        <tr r="I1186" s="2"/>
      </tp>
      <tp t="s">
        <v>#N/A N/A</v>
        <stp/>
        <stp>BDP|14886934805067366017</stp>
        <tr r="A751" s="2"/>
      </tp>
      <tp t="s">
        <v>#N/A N/A</v>
        <stp/>
        <stp>BDP|12047373711743992934</stp>
        <tr r="A966" s="2"/>
      </tp>
      <tp t="s">
        <v>#N/A N/A</v>
        <stp/>
        <stp>BDP|16095268109027058938</stp>
        <tr r="K285" s="2"/>
      </tp>
      <tp t="s">
        <v>#N/A N/A</v>
        <stp/>
        <stp>BDP|10448535236305493997</stp>
        <tr r="M1087" s="2"/>
      </tp>
      <tp t="s">
        <v>#N/A N/A</v>
        <stp/>
        <stp>BDS|18066274352761898420</stp>
        <tr r="I845" s="2"/>
      </tp>
      <tp t="s">
        <v>#N/A N/A</v>
        <stp/>
        <stp>BDP|17484229069870134926</stp>
        <tr r="K587" s="2"/>
      </tp>
      <tp t="s">
        <v>#N/A N/A</v>
        <stp/>
        <stp>BDP|18225196346234125308</stp>
        <tr r="K1302" s="2"/>
      </tp>
      <tp t="s">
        <v>#N/A N/A</v>
        <stp/>
        <stp>BDP|14232740983304126581</stp>
        <tr r="K1144" s="2"/>
      </tp>
      <tp t="s">
        <v>#N/A N/A</v>
        <stp/>
        <stp>BDP|17535153658430620925</stp>
        <tr r="G219" s="2"/>
      </tp>
      <tp t="s">
        <v>#N/A N/A</v>
        <stp/>
        <stp>BDP|12624892445890280442</stp>
        <tr r="H290" s="2"/>
      </tp>
      <tp t="s">
        <v>#N/A N/A</v>
        <stp/>
        <stp>BDP|14904847346296525425</stp>
        <tr r="F240" s="2"/>
      </tp>
      <tp t="s">
        <v>#N/A N/A</v>
        <stp/>
        <stp>BDP|15212677290558113880</stp>
        <tr r="P1645" s="2"/>
      </tp>
      <tp t="s">
        <v>#N/A N/A</v>
        <stp/>
        <stp>BDP|13678613698242227415</stp>
        <tr r="H1447" s="2"/>
      </tp>
      <tp t="s">
        <v>#N/A N/A</v>
        <stp/>
        <stp>BDP|10406193014693324966</stp>
        <tr r="K702" s="2"/>
      </tp>
      <tp t="s">
        <v>#N/A N/A</v>
        <stp/>
        <stp>BDS|17110991278054767787</stp>
        <tr r="I1161" s="2"/>
      </tp>
      <tp t="s">
        <v>#N/A N/A</v>
        <stp/>
        <stp>BDP|14421551014479065390</stp>
        <tr r="P1316" s="2"/>
      </tp>
      <tp t="s">
        <v>#N/A N/A</v>
        <stp/>
        <stp>BDP|17271401580379717894</stp>
        <tr r="D1704" s="2"/>
      </tp>
      <tp t="s">
        <v>#N/A N/A</v>
        <stp/>
        <stp>BDS|15903043733635953980</stp>
        <tr r="I1156" s="2"/>
      </tp>
      <tp t="s">
        <v>#N/A N/A</v>
        <stp/>
        <stp>BDP|12473892172672202513</stp>
        <tr r="G1290" s="2"/>
      </tp>
      <tp t="s">
        <v>#N/A N/A</v>
        <stp/>
        <stp>BDP|17463587165558711625</stp>
        <tr r="P376" s="2"/>
      </tp>
      <tp t="s">
        <v>#N/A N/A</v>
        <stp/>
        <stp>BDP|17074215297116936030</stp>
        <tr r="T1189" s="2"/>
      </tp>
      <tp t="s">
        <v>#N/A N/A</v>
        <stp/>
        <stp>BDP|15861620123399454217</stp>
        <tr r="A453" s="2"/>
      </tp>
      <tp t="s">
        <v>#N/A N/A</v>
        <stp/>
        <stp>BDP|11251271473249928733</stp>
        <tr r="G917" s="2"/>
      </tp>
      <tp t="s">
        <v>#N/A N/A</v>
        <stp/>
        <stp>BDP|16420394845323631821</stp>
        <tr r="N587" s="2"/>
      </tp>
      <tp t="s">
        <v>#N/A N/A</v>
        <stp/>
        <stp>BDP|18387178774120439485</stp>
        <tr r="D568" s="2"/>
      </tp>
      <tp t="s">
        <v>#N/A N/A</v>
        <stp/>
        <stp>BDP|17692958244735240595</stp>
        <tr r="P163" s="2"/>
      </tp>
      <tp t="s">
        <v>#N/A N/A</v>
        <stp/>
        <stp>BDS|13103195355555366811</stp>
        <tr r="I734" s="2"/>
      </tp>
      <tp t="s">
        <v>#N/A N/A</v>
        <stp/>
        <stp>BDP|11868843013804125629</stp>
        <tr r="K1604" s="2"/>
      </tp>
      <tp t="s">
        <v>#N/A N/A</v>
        <stp/>
        <stp>BDP|14410994458725828716</stp>
        <tr r="C1358" s="2"/>
      </tp>
      <tp t="s">
        <v>#N/A N/A</v>
        <stp/>
        <stp>BDP|16284472988997922787</stp>
        <tr r="T36" s="2"/>
      </tp>
      <tp t="s">
        <v>#N/A N/A</v>
        <stp/>
        <stp>BDP|18360948394665967768</stp>
        <tr r="S1494" s="2"/>
      </tp>
      <tp t="s">
        <v>#N/A N/A</v>
        <stp/>
        <stp>BDP|10227032796512394189</stp>
        <tr r="S976" s="2"/>
      </tp>
      <tp t="s">
        <v>#N/A N/A</v>
        <stp/>
        <stp>BDS|12613716595333960547</stp>
        <tr r="I103" s="2"/>
      </tp>
      <tp t="s">
        <v>#N/A N/A</v>
        <stp/>
        <stp>BDP|10194517357473274998</stp>
        <tr r="N64" s="2"/>
      </tp>
      <tp t="s">
        <v>#N/A N/A</v>
        <stp/>
        <stp>BDP|12763424671819196296</stp>
        <tr r="D1183" s="2"/>
      </tp>
      <tp t="s">
        <v>#N/A N/A</v>
        <stp/>
        <stp>BDP|11993889346045919225</stp>
        <tr r="Q1707" s="2"/>
      </tp>
      <tp t="s">
        <v>#N/A N/A</v>
        <stp/>
        <stp>BDP|11266942286943588991</stp>
        <tr r="N227" s="2"/>
      </tp>
      <tp t="s">
        <v>#N/A N/A</v>
        <stp/>
        <stp>BDP|14374711089088657917</stp>
        <tr r="F1150" s="2"/>
      </tp>
      <tp t="s">
        <v>#N/A N/A</v>
        <stp/>
        <stp>BDP|15972215564252535957</stp>
        <tr r="S899" s="2"/>
      </tp>
      <tp t="s">
        <v>#N/A N/A</v>
        <stp/>
        <stp>BDP|15943593560419575590</stp>
        <tr r="O1436" s="2"/>
      </tp>
      <tp t="s">
        <v>#N/A N/A</v>
        <stp/>
        <stp>BDP|10482145742209543680</stp>
        <tr r="P1599" s="2"/>
      </tp>
      <tp t="s">
        <v>#N/A N/A</v>
        <stp/>
        <stp>BDP|11059639192493910772</stp>
        <tr r="E1359" s="2"/>
      </tp>
      <tp t="s">
        <v>#N/A N/A</v>
        <stp/>
        <stp>BDP|12115623178968172157</stp>
        <tr r="Q1458" s="2"/>
      </tp>
      <tp t="s">
        <v>#N/A N/A</v>
        <stp/>
        <stp>BDP|10049670147009870179</stp>
        <tr r="H1605" s="2"/>
      </tp>
      <tp t="s">
        <v>#N/A N/A</v>
        <stp/>
        <stp>BDP|12587267654567833803</stp>
        <tr r="N1484" s="2"/>
      </tp>
      <tp t="s">
        <v>#N/A N/A</v>
        <stp/>
        <stp>BDP|16434384592775324328</stp>
        <tr r="E1671" s="2"/>
      </tp>
      <tp t="s">
        <v>#N/A N/A</v>
        <stp/>
        <stp>BDP|13997071094997511709</stp>
        <tr r="R448" s="2"/>
      </tp>
      <tp t="s">
        <v>#N/A N/A</v>
        <stp/>
        <stp>BDP|16582171890067954345</stp>
        <tr r="Q46" s="2"/>
      </tp>
      <tp t="s">
        <v>#N/A N/A</v>
        <stp/>
        <stp>BDP|17344857755324495480</stp>
        <tr r="D1340" s="2"/>
      </tp>
      <tp t="s">
        <v>#N/A N/A</v>
        <stp/>
        <stp>BDP|12511082067926725821</stp>
        <tr r="Q433" s="2"/>
      </tp>
      <tp t="s">
        <v>#N/A N/A</v>
        <stp/>
        <stp>BDP|17145694199602897066</stp>
        <tr r="G534" s="2"/>
      </tp>
      <tp t="s">
        <v>#N/A N/A</v>
        <stp/>
        <stp>BDP|13542894214261524129</stp>
        <tr r="E1296" s="2"/>
      </tp>
      <tp t="s">
        <v>#N/A N/A</v>
        <stp/>
        <stp>BDP|11904816989712612988</stp>
        <tr r="D474" s="2"/>
      </tp>
      <tp t="s">
        <v>#N/A N/A</v>
        <stp/>
        <stp>BDP|10855426107847039920</stp>
        <tr r="P1190" s="2"/>
      </tp>
      <tp t="s">
        <v>#N/A N/A</v>
        <stp/>
        <stp>BDP|14829658672797864883</stp>
        <tr r="J1755" s="2"/>
      </tp>
      <tp t="s">
        <v>#N/A N/A</v>
        <stp/>
        <stp>BDP|12729036762108131688</stp>
        <tr r="R644" s="2"/>
      </tp>
      <tp t="s">
        <v>#N/A N/A</v>
        <stp/>
        <stp>BDP|15187305811149954467</stp>
        <tr r="F832" s="2"/>
      </tp>
      <tp t="s">
        <v>#N/A N/A</v>
        <stp/>
        <stp>BDP|16530581613271690977</stp>
        <tr r="O499" s="2"/>
      </tp>
      <tp t="s">
        <v>#N/A N/A</v>
        <stp/>
        <stp>BDP|11278059988643319034</stp>
        <tr r="K1398" s="2"/>
      </tp>
      <tp t="s">
        <v>#N/A N/A</v>
        <stp/>
        <stp>BDP|16743756682394855779</stp>
        <tr r="F122" s="2"/>
      </tp>
      <tp t="s">
        <v>#N/A N/A</v>
        <stp/>
        <stp>BDP|12569031594903816252</stp>
        <tr r="J662" s="2"/>
      </tp>
      <tp t="s">
        <v>#N/A N/A</v>
        <stp/>
        <stp>BDP|13039191445465037939</stp>
        <tr r="Q458" s="2"/>
      </tp>
      <tp t="s">
        <v>#N/A N/A</v>
        <stp/>
        <stp>BDP|15570673015390191892</stp>
        <tr r="K112" s="2"/>
      </tp>
      <tp t="s">
        <v>#N/A N/A</v>
        <stp/>
        <stp>BDP|17290760698467446475</stp>
        <tr r="C484" s="2"/>
      </tp>
      <tp t="s">
        <v>#N/A N/A</v>
        <stp/>
        <stp>BDP|11181091298463806171</stp>
        <tr r="O1272" s="2"/>
      </tp>
      <tp t="s">
        <v>#N/A N/A</v>
        <stp/>
        <stp>BDP|11889621894614432050</stp>
        <tr r="K1217" s="2"/>
      </tp>
      <tp t="s">
        <v>#N/A N/A</v>
        <stp/>
        <stp>BDS|16725712601663909825</stp>
        <tr r="I1667" s="2"/>
      </tp>
      <tp t="s">
        <v>#N/A N/A</v>
        <stp/>
        <stp>BDS|16754839788189462548</stp>
        <tr r="I511" s="2"/>
      </tp>
      <tp t="s">
        <v>#N/A N/A</v>
        <stp/>
        <stp>BDP|12495029580404117486</stp>
        <tr r="M1071" s="2"/>
      </tp>
      <tp t="s">
        <v>#N/A N/A</v>
        <stp/>
        <stp>BDP|16203522081073847265</stp>
        <tr r="R1526" s="2"/>
      </tp>
      <tp t="s">
        <v>#N/A N/A</v>
        <stp/>
        <stp>BDP|16613118569443164809</stp>
        <tr r="R1748" s="2"/>
      </tp>
      <tp t="s">
        <v>#N/A N/A</v>
        <stp/>
        <stp>BDS|18278033153333946472</stp>
        <tr r="I834" s="2"/>
      </tp>
      <tp t="s">
        <v>#N/A N/A</v>
        <stp/>
        <stp>BDP|16966164690664873082</stp>
        <tr r="N774" s="2"/>
      </tp>
      <tp t="s">
        <v>#N/A N/A</v>
        <stp/>
        <stp>BDP|13192749249409334306</stp>
        <tr r="G692" s="2"/>
      </tp>
      <tp t="s">
        <v>#N/A N/A</v>
        <stp/>
        <stp>BDP|14948997911460700696</stp>
        <tr r="R83" s="2"/>
      </tp>
      <tp t="s">
        <v>#N/A N/A</v>
        <stp/>
        <stp>BDP|10951865232886003728</stp>
        <tr r="D503" s="2"/>
      </tp>
      <tp t="s">
        <v>#N/A N/A</v>
        <stp/>
        <stp>BDP|14637602748175641974</stp>
        <tr r="Q1023" s="2"/>
      </tp>
      <tp t="s">
        <v>#N/A N/A</v>
        <stp/>
        <stp>BDS|11343567454109811253</stp>
        <tr r="I1424" s="2"/>
      </tp>
      <tp t="s">
        <v>#N/A N/A</v>
        <stp/>
        <stp>BDS|14760498284422244049</stp>
        <tr r="I587" s="2"/>
      </tp>
      <tp t="s">
        <v>#N/A N/A</v>
        <stp/>
        <stp>BDP|12136864186620752893</stp>
        <tr r="O1407" s="2"/>
      </tp>
      <tp t="s">
        <v>#N/A N/A</v>
        <stp/>
        <stp>BDP|17637292204049613627</stp>
        <tr r="H1753" s="2"/>
      </tp>
      <tp t="s">
        <v>#N/A N/A</v>
        <stp/>
        <stp>BDP|13241951683031345987</stp>
        <tr r="K1501" s="2"/>
      </tp>
      <tp t="s">
        <v>#N/A N/A</v>
        <stp/>
        <stp>BDP|15003684128722614997</stp>
        <tr r="S1279" s="2"/>
      </tp>
      <tp t="s">
        <v>#N/A N/A</v>
        <stp/>
        <stp>BDP|12247154861147144881</stp>
        <tr r="D1068" s="2"/>
      </tp>
      <tp t="s">
        <v>#N/A N/A</v>
        <stp/>
        <stp>BDP|17573169459110688933</stp>
        <tr r="P959" s="2"/>
      </tp>
      <tp t="s">
        <v>#N/A N/A</v>
        <stp/>
        <stp>BDP|16903516683840228168</stp>
        <tr r="C568" s="2"/>
      </tp>
      <tp t="s">
        <v>#N/A N/A</v>
        <stp/>
        <stp>BDP|11123167257787986871</stp>
        <tr r="N331" s="2"/>
      </tp>
      <tp t="s">
        <v>#N/A N/A</v>
        <stp/>
        <stp>BDP|11044126444318128698</stp>
        <tr r="N1300" s="2"/>
      </tp>
      <tp t="s">
        <v>#N/A N/A</v>
        <stp/>
        <stp>BDP|14361876508857308113</stp>
        <tr r="R454" s="2"/>
      </tp>
      <tp t="s">
        <v>#N/A N/A</v>
        <stp/>
        <stp>BDP|16045928790864597896</stp>
        <tr r="D299" s="2"/>
      </tp>
      <tp t="s">
        <v>#N/A N/A</v>
        <stp/>
        <stp>BDP|17459930471603806009</stp>
        <tr r="H1295" s="2"/>
      </tp>
      <tp t="s">
        <v>#N/A N/A</v>
        <stp/>
        <stp>BDP|10540268939789453204</stp>
        <tr r="T180" s="2"/>
      </tp>
      <tp t="s">
        <v>#N/A N/A</v>
        <stp/>
        <stp>BDP|12329085391557080643</stp>
        <tr r="E1030" s="2"/>
      </tp>
      <tp t="s">
        <v>#N/A N/A</v>
        <stp/>
        <stp>BDP|13948948663594542254</stp>
        <tr r="H1132" s="2"/>
      </tp>
      <tp t="s">
        <v>#N/A N/A</v>
        <stp/>
        <stp>BDP|11836526216707092822</stp>
        <tr r="F1531" s="2"/>
      </tp>
      <tp t="s">
        <v>#N/A N/A</v>
        <stp/>
        <stp>BDP|14828644481480284013</stp>
        <tr r="P1062" s="2"/>
      </tp>
      <tp t="s">
        <v>#N/A N/A</v>
        <stp/>
        <stp>BDP|17634942648899420903</stp>
        <tr r="E1628" s="2"/>
      </tp>
      <tp t="s">
        <v>#N/A N/A</v>
        <stp/>
        <stp>BDP|15997876553020316206</stp>
        <tr r="N1070" s="2"/>
      </tp>
      <tp t="s">
        <v>#N/A N/A</v>
        <stp/>
        <stp>BDP|12215398721730460900</stp>
        <tr r="O1468" s="2"/>
      </tp>
      <tp t="s">
        <v>#N/A N/A</v>
        <stp/>
        <stp>BDP|12614055981936831641</stp>
        <tr r="S649" s="2"/>
      </tp>
      <tp t="s">
        <v>#N/A N/A</v>
        <stp/>
        <stp>BDP|15419809174122641282</stp>
        <tr r="J1706" s="2"/>
      </tp>
      <tp t="s">
        <v>#N/A N/A</v>
        <stp/>
        <stp>BDP|18243243103199311988</stp>
        <tr r="G199" s="2"/>
      </tp>
      <tp t="s">
        <v>#N/A N/A</v>
        <stp/>
        <stp>BDP|17428623040189166699</stp>
        <tr r="S1310" s="2"/>
      </tp>
      <tp t="s">
        <v>#N/A N/A</v>
        <stp/>
        <stp>BDP|16462658615708209387</stp>
        <tr r="S1151" s="2"/>
      </tp>
      <tp t="s">
        <v>#N/A N/A</v>
        <stp/>
        <stp>BDP|15780647364146018991</stp>
        <tr r="F273" s="2"/>
      </tp>
      <tp t="s">
        <v>#N/A N/A</v>
        <stp/>
        <stp>BDP|16554393473831597949</stp>
        <tr r="M1154" s="2"/>
      </tp>
      <tp t="s">
        <v>#N/A N/A</v>
        <stp/>
        <stp>BDP|13917718854012209907</stp>
        <tr r="A814" s="2"/>
      </tp>
      <tp t="s">
        <v>#N/A N/A</v>
        <stp/>
        <stp>BDP|10813376671987333930</stp>
        <tr r="D1314" s="2"/>
      </tp>
      <tp t="s">
        <v>#N/A N/A</v>
        <stp/>
        <stp>BDP|14770174188164679308</stp>
        <tr r="T1197" s="2"/>
      </tp>
      <tp t="s">
        <v>#N/A N/A</v>
        <stp/>
        <stp>BDP|12453293095916559537</stp>
        <tr r="F479" s="2"/>
      </tp>
      <tp t="s">
        <v>#N/A N/A</v>
        <stp/>
        <stp>BDP|15378870520676951339</stp>
        <tr r="C1634" s="2"/>
      </tp>
      <tp t="s">
        <v>#N/A N/A</v>
        <stp/>
        <stp>BDP|15839609296199871981</stp>
        <tr r="E858" s="2"/>
      </tp>
      <tp t="s">
        <v>#N/A N/A</v>
        <stp/>
        <stp>BDP|17492436914310598888</stp>
        <tr r="M1340" s="2"/>
      </tp>
      <tp t="s">
        <v>#N/A N/A</v>
        <stp/>
        <stp>BDP|16303991692995265942</stp>
        <tr r="D1626" s="2"/>
      </tp>
      <tp t="s">
        <v>#N/A N/A</v>
        <stp/>
        <stp>BDP|11500382486588373863</stp>
        <tr r="S201" s="2"/>
      </tp>
      <tp t="s">
        <v>#N/A N/A</v>
        <stp/>
        <stp>BDP|13651892470084415255</stp>
        <tr r="J1547" s="2"/>
      </tp>
      <tp t="s">
        <v>#N/A N/A</v>
        <stp/>
        <stp>BDP|10039294665179502775</stp>
        <tr r="O53" s="2"/>
      </tp>
      <tp t="s">
        <v>#N/A N/A</v>
        <stp/>
        <stp>BDP|13745293387326168560</stp>
        <tr r="K926" s="2"/>
      </tp>
      <tp t="s">
        <v>#N/A N/A</v>
        <stp/>
        <stp>BDP|11619950995063879804</stp>
        <tr r="D1533" s="2"/>
      </tp>
      <tp t="s">
        <v>#N/A N/A</v>
        <stp/>
        <stp>BDP|11930681846019831013</stp>
        <tr r="J336" s="2"/>
      </tp>
      <tp t="s">
        <v>#N/A N/A</v>
        <stp/>
        <stp>BDP|15380381925928201622</stp>
        <tr r="T1388" s="2"/>
      </tp>
      <tp t="s">
        <v>#N/A N/A</v>
        <stp/>
        <stp>BDP|18132946954589966764</stp>
        <tr r="S6" s="2"/>
      </tp>
      <tp t="s">
        <v>#N/A N/A</v>
        <stp/>
        <stp>BDP|12295652759342722978</stp>
        <tr r="E382" s="2"/>
      </tp>
      <tp t="s">
        <v>#N/A N/A</v>
        <stp/>
        <stp>BDP|13220392033021365854</stp>
        <tr r="O401" s="2"/>
      </tp>
      <tp t="s">
        <v>#N/A N/A</v>
        <stp/>
        <stp>BDP|16902034578268526396</stp>
        <tr r="G778" s="2"/>
      </tp>
      <tp t="s">
        <v>#N/A N/A</v>
        <stp/>
        <stp>BDP|17956945070017148425</stp>
        <tr r="G420" s="2"/>
      </tp>
      <tp t="s">
        <v>#N/A N/A</v>
        <stp/>
        <stp>BDP|13415794682946299034</stp>
        <tr r="M179" s="2"/>
      </tp>
      <tp t="s">
        <v>#N/A N/A</v>
        <stp/>
        <stp>BDP|15771225838236652854</stp>
        <tr r="A186" s="2"/>
      </tp>
      <tp t="s">
        <v>#N/A N/A</v>
        <stp/>
        <stp>BDP|15048932553230911375</stp>
        <tr r="D343" s="2"/>
      </tp>
      <tp t="s">
        <v>#N/A N/A</v>
        <stp/>
        <stp>BDP|11179483681057214045</stp>
        <tr r="F541" s="2"/>
      </tp>
      <tp t="s">
        <v>#N/A N/A</v>
        <stp/>
        <stp>BDP|10264417399045498208</stp>
        <tr r="H540" s="2"/>
      </tp>
      <tp t="s">
        <v>#N/A N/A</v>
        <stp/>
        <stp>BDP|13709680968670966900</stp>
        <tr r="R700" s="2"/>
      </tp>
      <tp t="s">
        <v>#N/A N/A</v>
        <stp/>
        <stp>BDP|16937871441240275037</stp>
        <tr r="E1431" s="2"/>
      </tp>
      <tp t="s">
        <v>#N/A N/A</v>
        <stp/>
        <stp>BDP|11125096227249809091</stp>
        <tr r="D1253" s="2"/>
      </tp>
      <tp t="s">
        <v>#N/A N/A</v>
        <stp/>
        <stp>BDP|13023493522766445915</stp>
        <tr r="D144" s="2"/>
      </tp>
      <tp t="s">
        <v>#N/A N/A</v>
        <stp/>
        <stp>BDP|11451548598534466329</stp>
        <tr r="H112" s="2"/>
      </tp>
      <tp t="s">
        <v>#N/A N/A</v>
        <stp/>
        <stp>BDP|16273533889000009163</stp>
        <tr r="N728" s="2"/>
      </tp>
      <tp t="s">
        <v>#N/A N/A</v>
        <stp/>
        <stp>BDP|17400229307938812776</stp>
        <tr r="O265" s="2"/>
      </tp>
      <tp t="s">
        <v>#N/A N/A</v>
        <stp/>
        <stp>BDP|10274058251897100891</stp>
        <tr r="C264" s="2"/>
      </tp>
      <tp t="s">
        <v>#N/A N/A</v>
        <stp/>
        <stp>BDP|13679710659118460346</stp>
        <tr r="F149" s="2"/>
      </tp>
      <tp t="s">
        <v>#N/A N/A</v>
        <stp/>
        <stp>BDP|14718793432968554278</stp>
        <tr r="R1566" s="2"/>
      </tp>
      <tp t="s">
        <v>#N/A N/A</v>
        <stp/>
        <stp>BDP|15683218949100641963</stp>
        <tr r="R1627" s="2"/>
      </tp>
      <tp t="s">
        <v>#N/A N/A</v>
        <stp/>
        <stp>BDP|18271041608496774473</stp>
        <tr r="N1722" s="2"/>
      </tp>
      <tp t="s">
        <v>#N/A N/A</v>
        <stp/>
        <stp>BDP|14507504248649425676</stp>
        <tr r="F731" s="2"/>
      </tp>
      <tp t="s">
        <v>#N/A N/A</v>
        <stp/>
        <stp>BDP|14041433319133190859</stp>
        <tr r="J672" s="2"/>
      </tp>
      <tp t="s">
        <v>#N/A N/A</v>
        <stp/>
        <stp>BDP|11508285742558063513</stp>
        <tr r="M1037" s="2"/>
      </tp>
      <tp t="s">
        <v>#N/A N/A</v>
        <stp/>
        <stp>BDP|13947146696344174543</stp>
        <tr r="J901" s="2"/>
      </tp>
      <tp t="s">
        <v>#N/A N/A</v>
        <stp/>
        <stp>BDP|10510604897515939057</stp>
        <tr r="E1556" s="2"/>
      </tp>
      <tp t="s">
        <v>#N/A N/A</v>
        <stp/>
        <stp>BDP|14832024368888730047</stp>
        <tr r="J1186" s="2"/>
      </tp>
      <tp t="s">
        <v>#N/A N/A</v>
        <stp/>
        <stp>BDP|10903927725073648298</stp>
        <tr r="R1639" s="2"/>
      </tp>
      <tp t="s">
        <v>#N/A N/A</v>
        <stp/>
        <stp>BDP|12193914208647945604</stp>
        <tr r="O1630" s="2"/>
      </tp>
      <tp t="s">
        <v>#N/A N/A</v>
        <stp/>
        <stp>BDP|14497130639474733884</stp>
        <tr r="J187" s="2"/>
      </tp>
      <tp t="s">
        <v>#N/A N/A</v>
        <stp/>
        <stp>BDP|10545531081691733619</stp>
        <tr r="F1312" s="2"/>
      </tp>
      <tp t="s">
        <v>#N/A N/A</v>
        <stp/>
        <stp>BDS|17184986792488128581</stp>
        <tr r="I182" s="2"/>
      </tp>
      <tp t="s">
        <v>#N/A N/A</v>
        <stp/>
        <stp>BDP|16651313917379740769</stp>
        <tr r="A1442" s="2"/>
      </tp>
      <tp t="s">
        <v>#N/A N/A</v>
        <stp/>
        <stp>BDP|12063048666898777649</stp>
        <tr r="P894" s="2"/>
      </tp>
      <tp t="s">
        <v>#N/A N/A</v>
        <stp/>
        <stp>BDP|13090126592724512541</stp>
        <tr r="E1202" s="2"/>
      </tp>
      <tp t="s">
        <v>#N/A N/A</v>
        <stp/>
        <stp>BDP|14874786936553020979</stp>
        <tr r="C1461" s="2"/>
      </tp>
      <tp t="s">
        <v>#N/A N/A</v>
        <stp/>
        <stp>BDP|10423276007199681132</stp>
        <tr r="E701" s="2"/>
      </tp>
      <tp t="s">
        <v>#N/A N/A</v>
        <stp/>
        <stp>BDP|11660349940238130421</stp>
        <tr r="T1302" s="2"/>
      </tp>
      <tp t="s">
        <v>#N/A N/A</v>
        <stp/>
        <stp>BDP|18377243902124528418</stp>
        <tr r="R1241" s="2"/>
      </tp>
      <tp t="s">
        <v>#N/A N/A</v>
        <stp/>
        <stp>BDP|14034447685663483145</stp>
        <tr r="Q935" s="2"/>
      </tp>
      <tp t="s">
        <v>#N/A N/A</v>
        <stp/>
        <stp>BDP|16026348617979751759</stp>
        <tr r="M366" s="2"/>
      </tp>
      <tp t="s">
        <v>#N/A N/A</v>
        <stp/>
        <stp>BDP|10507018787743788159</stp>
        <tr r="R1054" s="2"/>
      </tp>
      <tp t="s">
        <v>#N/A N/A</v>
        <stp/>
        <stp>BDP|10026744065968673366</stp>
        <tr r="P1350" s="2"/>
      </tp>
      <tp t="s">
        <v>#N/A N/A</v>
        <stp/>
        <stp>BDP|11454073923419385027</stp>
        <tr r="K222" s="2"/>
      </tp>
      <tp t="s">
        <v>#N/A N/A</v>
        <stp/>
        <stp>BDP|14562892806810343685</stp>
        <tr r="C744" s="2"/>
      </tp>
      <tp t="s">
        <v>#N/A N/A</v>
        <stp/>
        <stp>BDP|13838736654053990871</stp>
        <tr r="G1753" s="2"/>
      </tp>
      <tp t="s">
        <v>#N/A N/A</v>
        <stp/>
        <stp>BDP|14629738729042966940</stp>
        <tr r="G561" s="2"/>
      </tp>
      <tp t="s">
        <v>#N/A N/A</v>
        <stp/>
        <stp>BDS|10668995041255957257</stp>
        <tr r="I1572" s="2"/>
      </tp>
      <tp t="s">
        <v>#N/A N/A</v>
        <stp/>
        <stp>BDP|17533721181614517626</stp>
        <tr r="O182" s="2"/>
      </tp>
      <tp t="s">
        <v>#N/A N/A</v>
        <stp/>
        <stp>BDP|13451575400508666440</stp>
        <tr r="A834" s="2"/>
      </tp>
      <tp t="s">
        <v>#N/A N/A</v>
        <stp/>
        <stp>BDP|17099815793619380500</stp>
        <tr r="Q543" s="2"/>
      </tp>
      <tp t="s">
        <v>#N/A N/A</v>
        <stp/>
        <stp>BDP|13428675590740241606</stp>
        <tr r="A1371" s="2"/>
      </tp>
      <tp t="s">
        <v>#N/A N/A</v>
        <stp/>
        <stp>BDP|17838775198402503130</stp>
        <tr r="P1571" s="2"/>
      </tp>
      <tp t="s">
        <v>#N/A N/A</v>
        <stp/>
        <stp>BDP|12187844656833626644</stp>
        <tr r="E987" s="2"/>
      </tp>
      <tp t="s">
        <v>#N/A N/A</v>
        <stp/>
        <stp>BDP|16955979178747414538</stp>
        <tr r="H1558" s="2"/>
      </tp>
      <tp t="s">
        <v>#N/A N/A</v>
        <stp/>
        <stp>BDP|10747611153021172850</stp>
        <tr r="N269" s="2"/>
      </tp>
      <tp t="s">
        <v>#N/A N/A</v>
        <stp/>
        <stp>BDP|15183253511164513819</stp>
        <tr r="K1754" s="2"/>
      </tp>
      <tp t="s">
        <v>#N/A N/A</v>
        <stp/>
        <stp>BDP|16880513805259503088</stp>
        <tr r="R170" s="2"/>
      </tp>
      <tp t="s">
        <v>#N/A N/A</v>
        <stp/>
        <stp>BDP|14448137524924797952</stp>
        <tr r="N137" s="2"/>
      </tp>
      <tp t="s">
        <v>#N/A N/A</v>
        <stp/>
        <stp>BDP|16008657257407742846</stp>
        <tr r="O1598" s="2"/>
      </tp>
      <tp t="s">
        <v>#N/A N/A</v>
        <stp/>
        <stp>BDP|18342021480772912892</stp>
        <tr r="K484" s="2"/>
      </tp>
      <tp t="s">
        <v>#N/A N/A</v>
        <stp/>
        <stp>BDP|12132535020696439972</stp>
        <tr r="A335" s="2"/>
      </tp>
      <tp t="s">
        <v>#N/A N/A</v>
        <stp/>
        <stp>BDP|16106402651658938587</stp>
        <tr r="O396" s="2"/>
      </tp>
      <tp t="s">
        <v>#N/A N/A</v>
        <stp/>
        <stp>BDP|18283225292421408879</stp>
        <tr r="N10" s="2"/>
      </tp>
      <tp t="s">
        <v>#N/A N/A</v>
        <stp/>
        <stp>BDP|16651440403550117811</stp>
        <tr r="E823" s="2"/>
      </tp>
      <tp t="s">
        <v>#N/A N/A</v>
        <stp/>
        <stp>BDP|17602669197963332153</stp>
        <tr r="R655" s="2"/>
      </tp>
      <tp t="s">
        <v>#N/A N/A</v>
        <stp/>
        <stp>BDP|14491743476648490635</stp>
        <tr r="K13" s="2"/>
      </tp>
      <tp t="s">
        <v>#N/A N/A</v>
        <stp/>
        <stp>BDP|13199073637749388335</stp>
        <tr r="R179" s="2"/>
      </tp>
      <tp t="s">
        <v>#N/A N/A</v>
        <stp/>
        <stp>BDP|11981373676776882914</stp>
        <tr r="S54" s="2"/>
      </tp>
      <tp t="s">
        <v>#N/A N/A</v>
        <stp/>
        <stp>BDP|13291101306080366869</stp>
        <tr r="S921" s="2"/>
      </tp>
      <tp t="s">
        <v>#N/A N/A</v>
        <stp/>
        <stp>BDP|12358562471633171941</stp>
        <tr r="D154" s="2"/>
      </tp>
      <tp t="s">
        <v>#N/A N/A</v>
        <stp/>
        <stp>BDP|10338010136508710120</stp>
        <tr r="K684" s="2"/>
      </tp>
      <tp t="s">
        <v>#N/A N/A</v>
        <stp/>
        <stp>BDP|17315692538071422976</stp>
        <tr r="A930" s="2"/>
      </tp>
      <tp t="s">
        <v>#N/A N/A</v>
        <stp/>
        <stp>BDP|17724406221822083973</stp>
        <tr r="T21" s="2"/>
      </tp>
      <tp t="s">
        <v>#N/A N/A</v>
        <stp/>
        <stp>BDP|18324917385491554232</stp>
        <tr r="C235" s="2"/>
      </tp>
      <tp t="s">
        <v>#N/A N/A</v>
        <stp/>
        <stp>BDS|18364062969961731598</stp>
        <tr r="I949" s="2"/>
      </tp>
      <tp t="s">
        <v>#N/A N/A</v>
        <stp/>
        <stp>BDP|12330234496167086478</stp>
        <tr r="T897" s="2"/>
      </tp>
      <tp t="s">
        <v>#N/A N/A</v>
        <stp/>
        <stp>BDP|15519345870289011202</stp>
        <tr r="F592" s="2"/>
      </tp>
      <tp t="s">
        <v>#N/A N/A</v>
        <stp/>
        <stp>BDP|12701896515620264183</stp>
        <tr r="S59" s="2"/>
      </tp>
      <tp t="s">
        <v>#N/A N/A</v>
        <stp/>
        <stp>BDP|10329117439130378897</stp>
        <tr r="J852" s="2"/>
      </tp>
      <tp t="s">
        <v>#N/A N/A</v>
        <stp/>
        <stp>BDP|18216257802091727130</stp>
        <tr r="N82" s="2"/>
      </tp>
      <tp t="s">
        <v>#N/A N/A</v>
        <stp/>
        <stp>BDP|12662642191346775154</stp>
        <tr r="M40" s="2"/>
      </tp>
      <tp t="s">
        <v>#N/A N/A</v>
        <stp/>
        <stp>BDP|18082147094298513257</stp>
        <tr r="Q132" s="2"/>
      </tp>
      <tp t="s">
        <v>#N/A N/A</v>
        <stp/>
        <stp>BDP|16370569027663017822</stp>
        <tr r="A474" s="2"/>
      </tp>
      <tp t="s">
        <v>#N/A N/A</v>
        <stp/>
        <stp>BDP|14123068023849607529</stp>
        <tr r="C1303" s="2"/>
      </tp>
      <tp t="s">
        <v>#N/A N/A</v>
        <stp/>
        <stp>BDP|13665789578320574931</stp>
        <tr r="E148" s="2"/>
      </tp>
      <tp t="s">
        <v>#N/A N/A</v>
        <stp/>
        <stp>BDS|16052643426930733866</stp>
        <tr r="I128" s="2"/>
      </tp>
      <tp t="s">
        <v>#N/A N/A</v>
        <stp/>
        <stp>BDP|13162932407962661231</stp>
        <tr r="T1746" s="2"/>
      </tp>
      <tp t="s">
        <v>#N/A N/A</v>
        <stp/>
        <stp>BDP|13264732708918060691</stp>
        <tr r="Q1224" s="2"/>
      </tp>
      <tp t="s">
        <v>#N/A N/A</v>
        <stp/>
        <stp>BDP|14728796217419192180</stp>
        <tr r="S1086" s="2"/>
      </tp>
      <tp t="s">
        <v>#N/A N/A</v>
        <stp/>
        <stp>BDP|10620769275773219975</stp>
        <tr r="O567" s="2"/>
      </tp>
      <tp t="s">
        <v>#N/A N/A</v>
        <stp/>
        <stp>BDP|14904421976505851859</stp>
        <tr r="F1178" s="2"/>
      </tp>
      <tp t="s">
        <v>#N/A N/A</v>
        <stp/>
        <stp>BDP|15073444717953708942</stp>
        <tr r="P355" s="2"/>
      </tp>
      <tp t="s">
        <v>#N/A N/A</v>
        <stp/>
        <stp>BDP|13210812506888718922</stp>
        <tr r="K1625" s="2"/>
      </tp>
      <tp t="s">
        <v>#N/A N/A</v>
        <stp/>
        <stp>BDP|11300907430834227515</stp>
        <tr r="F76" s="2"/>
      </tp>
      <tp t="s">
        <v>#N/A N/A</v>
        <stp/>
        <stp>BDP|14613631162739094771</stp>
        <tr r="J188" s="2"/>
      </tp>
      <tp t="s">
        <v>#N/A N/A</v>
        <stp/>
        <stp>BDP|15134697189783295234</stp>
        <tr r="E168" s="2"/>
      </tp>
      <tp t="s">
        <v>#N/A N/A</v>
        <stp/>
        <stp>BDP|14728622826899733345</stp>
        <tr r="Q576" s="2"/>
      </tp>
      <tp t="s">
        <v>#N/A N/A</v>
        <stp/>
        <stp>BDP|10754623381883729732</stp>
        <tr r="E1446" s="2"/>
      </tp>
      <tp t="s">
        <v>#N/A N/A</v>
        <stp/>
        <stp>BDP|11900001078079085517</stp>
        <tr r="N782" s="2"/>
      </tp>
      <tp t="s">
        <v>#N/A N/A</v>
        <stp/>
        <stp>BDP|10268589865089630091</stp>
        <tr r="K687" s="2"/>
      </tp>
      <tp t="s">
        <v>#N/A N/A</v>
        <stp/>
        <stp>BDP|16532072861663186922</stp>
        <tr r="A168" s="2"/>
      </tp>
      <tp t="s">
        <v>#N/A N/A</v>
        <stp/>
        <stp>BDP|18212668125501835792</stp>
        <tr r="H97" s="2"/>
      </tp>
      <tp t="s">
        <v>#N/A N/A</v>
        <stp/>
        <stp>BDP|13702236841509278679</stp>
        <tr r="R1228" s="2"/>
      </tp>
      <tp t="s">
        <v>#N/A N/A</v>
        <stp/>
        <stp>BDP|11778171844297796931</stp>
        <tr r="T421" s="2"/>
      </tp>
      <tp t="s">
        <v>#N/A N/A</v>
        <stp/>
        <stp>BDP|14987399695983256771</stp>
        <tr r="E947" s="2"/>
      </tp>
      <tp t="s">
        <v>#N/A N/A</v>
        <stp/>
        <stp>BDP|15253808043716639575</stp>
        <tr r="F769" s="2"/>
      </tp>
      <tp t="s">
        <v>#N/A N/A</v>
        <stp/>
        <stp>BDP|12916086189935072585</stp>
        <tr r="R516" s="2"/>
      </tp>
      <tp t="s">
        <v>#N/A N/A</v>
        <stp/>
        <stp>BDP|14570782296464849436</stp>
        <tr r="P1583" s="2"/>
      </tp>
      <tp t="s">
        <v>#N/A N/A</v>
        <stp/>
        <stp>BDP|12238154624692338901</stp>
        <tr r="D86" s="2"/>
      </tp>
      <tp t="s">
        <v>#N/A N/A</v>
        <stp/>
        <stp>BDP|16916593948179941414</stp>
        <tr r="F1189" s="2"/>
      </tp>
      <tp t="s">
        <v>#N/A N/A</v>
        <stp/>
        <stp>BDP|13223567861759266377</stp>
        <tr r="O955" s="2"/>
      </tp>
      <tp t="s">
        <v>#N/A N/A</v>
        <stp/>
        <stp>BDP|17505487823463823862</stp>
        <tr r="C1384" s="2"/>
      </tp>
      <tp t="s">
        <v>#N/A N/A</v>
        <stp/>
        <stp>BDP|13365987596528515186</stp>
        <tr r="G1747" s="2"/>
      </tp>
      <tp t="s">
        <v>#N/A N/A</v>
        <stp/>
        <stp>BDP|17093261726804047907</stp>
        <tr r="E737" s="2"/>
      </tp>
      <tp t="s">
        <v>#N/A N/A</v>
        <stp/>
        <stp>BDP|11015548707976727841</stp>
        <tr r="K461" s="2"/>
      </tp>
      <tp t="s">
        <v>#N/A N/A</v>
        <stp/>
        <stp>BDP|14683729529188571385</stp>
        <tr r="H203" s="2"/>
      </tp>
      <tp t="s">
        <v>#N/A N/A</v>
        <stp/>
        <stp>BDP|17781746423881833987</stp>
        <tr r="J398" s="2"/>
      </tp>
      <tp t="s">
        <v>#N/A N/A</v>
        <stp/>
        <stp>BDP|16238095890206237395</stp>
        <tr r="S772" s="2"/>
      </tp>
      <tp t="s">
        <v>#N/A N/A</v>
        <stp/>
        <stp>BDP|13107452836066238803</stp>
        <tr r="C1260" s="2"/>
      </tp>
      <tp t="s">
        <v>#N/A N/A</v>
        <stp/>
        <stp>BDP|11910325933613078887</stp>
        <tr r="C1378" s="2"/>
      </tp>
      <tp t="s">
        <v>#N/A N/A</v>
        <stp/>
        <stp>BDP|11174803601042675161</stp>
        <tr r="A1397" s="2"/>
      </tp>
      <tp t="s">
        <v>#N/A N/A</v>
        <stp/>
        <stp>BDP|11759267991729241923</stp>
        <tr r="T558" s="2"/>
      </tp>
      <tp t="s">
        <v>#N/A N/A</v>
        <stp/>
        <stp>BDP|10067774012849501508</stp>
        <tr r="Q531" s="2"/>
      </tp>
      <tp t="s">
        <v>#N/A N/A</v>
        <stp/>
        <stp>BDP|13459924208215750597</stp>
        <tr r="M734" s="2"/>
      </tp>
      <tp t="s">
        <v>#N/A N/A</v>
        <stp/>
        <stp>BDP|15027461166568834584</stp>
        <tr r="H698" s="2"/>
      </tp>
      <tp t="s">
        <v>#N/A N/A</v>
        <stp/>
        <stp>BDP|12432156583373167231</stp>
        <tr r="F401" s="2"/>
      </tp>
      <tp t="s">
        <v>#N/A N/A</v>
        <stp/>
        <stp>BDP|16617262690105841287</stp>
        <tr r="F111" s="2"/>
      </tp>
      <tp t="s">
        <v>#N/A N/A</v>
        <stp/>
        <stp>BDP|15950990057617072475</stp>
        <tr r="F43" s="2"/>
      </tp>
      <tp t="s">
        <v>#N/A N/A</v>
        <stp/>
        <stp>BDP|17207544231769651217</stp>
        <tr r="H162" s="2"/>
      </tp>
      <tp t="s">
        <v>#N/A N/A</v>
        <stp/>
        <stp>BDP|13289621740758583356</stp>
        <tr r="G1528" s="2"/>
      </tp>
      <tp t="s">
        <v>#N/A N/A</v>
        <stp/>
        <stp>BDS|18339000353251094638</stp>
        <tr r="I1063" s="2"/>
      </tp>
      <tp t="s">
        <v>#N/A N/A</v>
        <stp/>
        <stp>BDP|13549129295610680143</stp>
        <tr r="P461" s="2"/>
      </tp>
      <tp t="s">
        <v>#N/A N/A</v>
        <stp/>
        <stp>BDS|18164244822681640320</stp>
        <tr r="I795" s="2"/>
      </tp>
      <tp t="s">
        <v>#N/A N/A</v>
        <stp/>
        <stp>BDP|14629824831387059250</stp>
        <tr r="F1304" s="2"/>
      </tp>
      <tp t="s">
        <v>#N/A N/A</v>
        <stp/>
        <stp>BDP|16241710078748229496</stp>
        <tr r="A942" s="2"/>
      </tp>
      <tp t="s">
        <v>#N/A N/A</v>
        <stp/>
        <stp>BDP|11504281129533749837</stp>
        <tr r="Q843" s="2"/>
      </tp>
      <tp t="s">
        <v>#N/A N/A</v>
        <stp/>
        <stp>BDP|10131269883830521017</stp>
        <tr r="M961" s="2"/>
      </tp>
      <tp t="s">
        <v>#N/A N/A</v>
        <stp/>
        <stp>BDP|16303361446202421976</stp>
        <tr r="T134" s="2"/>
      </tp>
      <tp t="s">
        <v>#N/A N/A</v>
        <stp/>
        <stp>BDP|12213886456003917651</stp>
        <tr r="A460" s="2"/>
      </tp>
      <tp t="s">
        <v>#N/A N/A</v>
        <stp/>
        <stp>BDP|11579978388143312999</stp>
        <tr r="C1132" s="2"/>
      </tp>
      <tp t="s">
        <v>#N/A N/A</v>
        <stp/>
        <stp>BDP|18415161432297144710</stp>
        <tr r="D669" s="2"/>
      </tp>
      <tp t="s">
        <v>#N/A N/A</v>
        <stp/>
        <stp>BDP|15124230132897196915</stp>
        <tr r="P970" s="2"/>
      </tp>
      <tp t="s">
        <v>#N/A N/A</v>
        <stp/>
        <stp>BDP|15643374133369011624</stp>
        <tr r="S910" s="2"/>
      </tp>
      <tp t="s">
        <v>#N/A N/A</v>
        <stp/>
        <stp>BDP|11239603813429564544</stp>
        <tr r="S547" s="2"/>
      </tp>
      <tp t="s">
        <v>#N/A N/A</v>
        <stp/>
        <stp>BDP|11629874440635870292</stp>
        <tr r="H996" s="2"/>
      </tp>
      <tp t="s">
        <v>#N/A N/A</v>
        <stp/>
        <stp>BDP|16931300651218828206</stp>
        <tr r="M817" s="2"/>
      </tp>
      <tp t="s">
        <v>#N/A N/A</v>
        <stp/>
        <stp>BDP|12624426942319752116</stp>
        <tr r="M823" s="2"/>
      </tp>
      <tp t="s">
        <v>#N/A N/A</v>
        <stp/>
        <stp>BDP|13290476858209409199</stp>
        <tr r="J1192" s="2"/>
      </tp>
      <tp t="s">
        <v>#N/A N/A</v>
        <stp/>
        <stp>BDP|12841063189219123963</stp>
        <tr r="D779" s="2"/>
      </tp>
      <tp t="s">
        <v>#N/A N/A</v>
        <stp/>
        <stp>BDP|11044862335473795370</stp>
        <tr r="D852" s="2"/>
      </tp>
      <tp t="s">
        <v>#N/A N/A</v>
        <stp/>
        <stp>BDP|17337809611155212131</stp>
        <tr r="A70" s="2"/>
      </tp>
      <tp t="s">
        <v>#N/A N/A</v>
        <stp/>
        <stp>BDP|13877498135268331645</stp>
        <tr r="S1270" s="2"/>
      </tp>
      <tp t="s">
        <v>#N/A N/A</v>
        <stp/>
        <stp>BDP|16753592159934053841</stp>
        <tr r="S925" s="2"/>
      </tp>
      <tp t="s">
        <v>#N/A N/A</v>
        <stp/>
        <stp>BDP|11732937190982670913</stp>
        <tr r="D142" s="2"/>
      </tp>
      <tp t="s">
        <v>#N/A N/A</v>
        <stp/>
        <stp>BDP|12770107694884424443</stp>
        <tr r="T1673" s="2"/>
      </tp>
      <tp t="s">
        <v>#N/A N/A</v>
        <stp/>
        <stp>BDP|12807690373858020113</stp>
        <tr r="A38" s="2"/>
      </tp>
      <tp t="s">
        <v>#N/A N/A</v>
        <stp/>
        <stp>BDP|10891014829509034133</stp>
        <tr r="S1005" s="2"/>
      </tp>
      <tp t="s">
        <v>#N/A N/A</v>
        <stp/>
        <stp>BDP|10046019840046556870</stp>
        <tr r="Q1167" s="2"/>
      </tp>
      <tp t="s">
        <v>#N/A N/A</v>
        <stp/>
        <stp>BDP|17712500288604597496</stp>
        <tr r="Q815" s="2"/>
      </tp>
      <tp t="s">
        <v>#N/A N/A</v>
        <stp/>
        <stp>BDP|17062954138040784792</stp>
        <tr r="R913" s="2"/>
      </tp>
      <tp t="s">
        <v>#N/A N/A</v>
        <stp/>
        <stp>BDP|15824292805869534424</stp>
        <tr r="G1742" s="2"/>
      </tp>
      <tp t="s">
        <v>#N/A N/A</v>
        <stp/>
        <stp>BDP|14745472883122289020</stp>
        <tr r="S1255" s="2"/>
      </tp>
      <tp t="s">
        <v>#N/A N/A</v>
        <stp/>
        <stp>BDP|18196005630053228200</stp>
        <tr r="R233" s="2"/>
      </tp>
      <tp t="s">
        <v>#N/A N/A</v>
        <stp/>
        <stp>BDP|12370239652268528743</stp>
        <tr r="P1041" s="2"/>
      </tp>
      <tp t="s">
        <v>#N/A N/A</v>
        <stp/>
        <stp>BDP|14916326486205688080</stp>
        <tr r="P625" s="2"/>
      </tp>
      <tp t="s">
        <v>#N/A N/A</v>
        <stp/>
        <stp>BDP|10657885745262183497</stp>
        <tr r="R1632" s="2"/>
      </tp>
      <tp t="s">
        <v>#N/A N/A</v>
        <stp/>
        <stp>BDP|11965758414189307483</stp>
        <tr r="R1152" s="2"/>
      </tp>
      <tp t="s">
        <v>#N/A N/A</v>
        <stp/>
        <stp>BDP|10539027314012903998</stp>
        <tr r="S1498" s="2"/>
      </tp>
      <tp t="s">
        <v>#N/A N/A</v>
        <stp/>
        <stp>BDP|14192502675108475431</stp>
        <tr r="J468" s="2"/>
      </tp>
      <tp t="s">
        <v>#N/A N/A</v>
        <stp/>
        <stp>BDP|14120005436244190950</stp>
        <tr r="G424" s="2"/>
      </tp>
      <tp t="s">
        <v>#N/A N/A</v>
        <stp/>
        <stp>BDP|14656955694619346771</stp>
        <tr r="N1686" s="2"/>
      </tp>
      <tp t="s">
        <v>#N/A N/A</v>
        <stp/>
        <stp>BDP|15840522309043656960</stp>
        <tr r="N1622" s="2"/>
      </tp>
      <tp t="s">
        <v>#N/A N/A</v>
        <stp/>
        <stp>BDP|13342296387750757393</stp>
        <tr r="J801" s="2"/>
      </tp>
      <tp t="s">
        <v>#N/A N/A</v>
        <stp/>
        <stp>BDP|17657017887136103321</stp>
        <tr r="D321" s="2"/>
      </tp>
      <tp t="s">
        <v>#N/A N/A</v>
        <stp/>
        <stp>BDS|10225447813276265973</stp>
        <tr r="I938" s="2"/>
      </tp>
      <tp t="s">
        <v>#N/A N/A</v>
        <stp/>
        <stp>BDP|16010112834177578937</stp>
        <tr r="E1545" s="2"/>
      </tp>
      <tp t="s">
        <v>#N/A N/A</v>
        <stp/>
        <stp>BDP|11171164318109423282</stp>
        <tr r="Q1425" s="2"/>
      </tp>
      <tp t="s">
        <v>#N/A N/A</v>
        <stp/>
        <stp>BDP|18208175638663728393</stp>
        <tr r="H1299" s="2"/>
      </tp>
      <tp t="s">
        <v>#N/A N/A</v>
        <stp/>
        <stp>BDP|18024371762334487329</stp>
        <tr r="S442" s="2"/>
      </tp>
      <tp t="s">
        <v>#N/A N/A</v>
        <stp/>
        <stp>BDP|17772986446031204180</stp>
        <tr r="P141" s="2"/>
      </tp>
      <tp t="s">
        <v>#N/A N/A</v>
        <stp/>
        <stp>BDP|12043950935997453579</stp>
        <tr r="M1057" s="2"/>
      </tp>
      <tp t="s">
        <v>#N/A N/A</v>
        <stp/>
        <stp>BDP|12273453612085011862</stp>
        <tr r="O1257" s="2"/>
      </tp>
      <tp t="s">
        <v>#N/A N/A</v>
        <stp/>
        <stp>BDP|15666819077249499973</stp>
        <tr r="A982" s="2"/>
      </tp>
      <tp t="s">
        <v>#N/A N/A</v>
        <stp/>
        <stp>BDP|17051813755283334340</stp>
        <tr r="A1186" s="2"/>
      </tp>
      <tp t="s">
        <v>#N/A N/A</v>
        <stp/>
        <stp>BDP|13693184529752646829</stp>
        <tr r="H44" s="2"/>
      </tp>
      <tp t="s">
        <v>#N/A N/A</v>
        <stp/>
        <stp>BDP|11450072340847893881</stp>
        <tr r="S1089" s="2"/>
      </tp>
      <tp t="s">
        <v>#N/A N/A</v>
        <stp/>
        <stp>BDP|11396511190416530148</stp>
        <tr r="O312" s="2"/>
      </tp>
      <tp t="s">
        <v>#N/A N/A</v>
        <stp/>
        <stp>BDP|16064860434922194501</stp>
        <tr r="Q672" s="2"/>
      </tp>
      <tp t="s">
        <v>#N/A N/A</v>
        <stp/>
        <stp>BDP|17373368122975079947</stp>
        <tr r="S754" s="2"/>
      </tp>
      <tp t="s">
        <v>#N/A N/A</v>
        <stp/>
        <stp>BDP|17971807457389421997</stp>
        <tr r="R280" s="2"/>
      </tp>
      <tp t="s">
        <v>#N/A N/A</v>
        <stp/>
        <stp>BDP|12319913351494699069</stp>
        <tr r="P1472" s="2"/>
      </tp>
      <tp t="s">
        <v>#N/A N/A</v>
        <stp/>
        <stp>BDP|12361116513518571074</stp>
        <tr r="O595" s="2"/>
      </tp>
      <tp t="s">
        <v>#N/A N/A</v>
        <stp/>
        <stp>BDP|13424609294712231419</stp>
        <tr r="K1598" s="2"/>
      </tp>
      <tp t="s">
        <v>#N/A N/A</v>
        <stp/>
        <stp>BDP|15062768363389284740</stp>
        <tr r="A472" s="2"/>
      </tp>
      <tp t="s">
        <v>#N/A N/A</v>
        <stp/>
        <stp>BDP|15140948864072713258</stp>
        <tr r="G356" s="2"/>
      </tp>
      <tp t="s">
        <v>#N/A N/A</v>
        <stp/>
        <stp>BDP|12129841216385220427</stp>
        <tr r="R1487" s="2"/>
      </tp>
      <tp t="s">
        <v>#N/A N/A</v>
        <stp/>
        <stp>BDP|12648613799687908045</stp>
        <tr r="O911" s="2"/>
      </tp>
      <tp t="s">
        <v>#N/A N/A</v>
        <stp/>
        <stp>BDP|14889578758006205864</stp>
        <tr r="P1391" s="2"/>
      </tp>
      <tp t="s">
        <v>#N/A N/A</v>
        <stp/>
        <stp>BDP|16667327372859644126</stp>
        <tr r="M564" s="2"/>
      </tp>
      <tp t="s">
        <v>#N/A N/A</v>
        <stp/>
        <stp>BDP|16359956850351592112</stp>
        <tr r="Q1141" s="2"/>
      </tp>
      <tp t="s">
        <v>#N/A N/A</v>
        <stp/>
        <stp>BDP|15836559778454445931</stp>
        <tr r="E1353" s="2"/>
      </tp>
      <tp t="s">
        <v>#N/A N/A</v>
        <stp/>
        <stp>BDP|11988196295613078074</stp>
        <tr r="F1203" s="2"/>
      </tp>
      <tp t="s">
        <v>#N/A N/A</v>
        <stp/>
        <stp>BDP|16924763139639089145</stp>
        <tr r="T1431" s="2"/>
      </tp>
      <tp t="s">
        <v>#N/A N/A</v>
        <stp/>
        <stp>BDS|10510208679569458693</stp>
        <tr r="I1586" s="2"/>
      </tp>
      <tp t="s">
        <v>#N/A N/A</v>
        <stp/>
        <stp>BDP|10843843347767188181</stp>
        <tr r="H1211" s="2"/>
      </tp>
      <tp t="s">
        <v>#N/A N/A</v>
        <stp/>
        <stp>BDP|15172997879132781340</stp>
        <tr r="E1669" s="2"/>
      </tp>
      <tp t="s">
        <v>#N/A N/A</v>
        <stp/>
        <stp>BDS|10704823342236097061</stp>
        <tr r="I1353" s="2"/>
      </tp>
      <tp t="s">
        <v>#N/A N/A</v>
        <stp/>
        <stp>BDP|11595965295889280264</stp>
        <tr r="S1282" s="2"/>
      </tp>
      <tp t="s">
        <v>#N/A N/A</v>
        <stp/>
        <stp>BDP|18233641679163499092</stp>
        <tr r="T979" s="2"/>
      </tp>
      <tp t="s">
        <v>#N/A N/A</v>
        <stp/>
        <stp>BDP|11782420601426070963</stp>
        <tr r="P1371" s="2"/>
      </tp>
      <tp t="s">
        <v>#N/A N/A</v>
        <stp/>
        <stp>BDP|14242657791855331470</stp>
        <tr r="J1549" s="2"/>
      </tp>
      <tp t="s">
        <v>#N/A N/A</v>
        <stp/>
        <stp>BDP|17390571742739543514</stp>
        <tr r="R1740" s="2"/>
      </tp>
      <tp t="s">
        <v>#N/A N/A</v>
        <stp/>
        <stp>BDP|12604773680920336706</stp>
        <tr r="M987" s="2"/>
      </tp>
      <tp t="s">
        <v>#N/A N/A</v>
        <stp/>
        <stp>BDP|18107464445807117513</stp>
        <tr r="M403" s="2"/>
      </tp>
      <tp t="s">
        <v>#N/A N/A</v>
        <stp/>
        <stp>BDS|11407720597846902396</stp>
        <tr r="I890" s="2"/>
      </tp>
      <tp t="s">
        <v>#N/A N/A</v>
        <stp/>
        <stp>BDP|14525665472436045939</stp>
        <tr r="F1633" s="2"/>
      </tp>
      <tp t="s">
        <v>#N/A N/A</v>
        <stp/>
        <stp>BDP|14374561342906607931</stp>
        <tr r="A826" s="2"/>
      </tp>
      <tp t="s">
        <v>#N/A N/A</v>
        <stp/>
        <stp>BDP|16168531882938441964</stp>
        <tr r="E1125" s="2"/>
      </tp>
      <tp t="s">
        <v>#N/A N/A</v>
        <stp/>
        <stp>BDS|13222092186289812840</stp>
        <tr r="I1460" s="2"/>
      </tp>
      <tp t="s">
        <v>#N/A N/A</v>
        <stp/>
        <stp>BDP|13761032953898179448</stp>
        <tr r="F196" s="2"/>
      </tp>
      <tp t="s">
        <v>#N/A N/A</v>
        <stp/>
        <stp>BDP|18018275577370546771</stp>
        <tr r="O502" s="2"/>
      </tp>
      <tp t="s">
        <v>#N/A N/A</v>
        <stp/>
        <stp>BDP|16906367792163664592</stp>
        <tr r="F1377" s="2"/>
      </tp>
      <tp t="s">
        <v>#N/A N/A</v>
        <stp/>
        <stp>BDS|14787469901248677275</stp>
        <tr r="I546" s="2"/>
      </tp>
      <tp t="s">
        <v>#N/A N/A</v>
        <stp/>
        <stp>BDP|10398379493706350663</stp>
        <tr r="J1383" s="2"/>
      </tp>
      <tp t="s">
        <v>#N/A N/A</v>
        <stp/>
        <stp>BDP|15994554318478295341</stp>
        <tr r="D1483" s="2"/>
      </tp>
      <tp t="s">
        <v>#N/A N/A</v>
        <stp/>
        <stp>BDP|16278118731079498747</stp>
        <tr r="N623" s="2"/>
      </tp>
      <tp t="s">
        <v>#N/A N/A</v>
        <stp/>
        <stp>BDP|10138663454150897998</stp>
        <tr r="R1264" s="2"/>
      </tp>
      <tp t="s">
        <v>#N/A N/A</v>
        <stp/>
        <stp>BDP|12452310485886187535</stp>
        <tr r="G1263" s="2"/>
      </tp>
      <tp t="s">
        <v>#N/A N/A</v>
        <stp/>
        <stp>BDP|16313097253191833834</stp>
        <tr r="C1713" s="2"/>
      </tp>
      <tp t="s">
        <v>#N/A N/A</v>
        <stp/>
        <stp>BDP|15179503744216325844</stp>
        <tr r="J176" s="2"/>
      </tp>
      <tp t="s">
        <v>#N/A N/A</v>
        <stp/>
        <stp>BDP|16171372385414916380</stp>
        <tr r="S1038" s="2"/>
      </tp>
      <tp t="s">
        <v>#N/A N/A</v>
        <stp/>
        <stp>BDP|14261634470578213716</stp>
        <tr r="S1512" s="2"/>
      </tp>
      <tp t="s">
        <v>#N/A N/A</v>
        <stp/>
        <stp>BDS|12292257387355993783</stp>
        <tr r="I250" s="2"/>
      </tp>
      <tp t="s">
        <v>#N/A N/A</v>
        <stp/>
        <stp>BDP|12736314293623000176</stp>
        <tr r="T33" s="2"/>
      </tp>
      <tp t="s">
        <v>#N/A N/A</v>
        <stp/>
        <stp>BDS|16507709480420091343</stp>
        <tr r="I216" s="2"/>
      </tp>
      <tp t="s">
        <v>#N/A N/A</v>
        <stp/>
        <stp>BDP|16859044012755450885</stp>
        <tr r="P1029" s="2"/>
      </tp>
      <tp t="s">
        <v>#N/A N/A</v>
        <stp/>
        <stp>BDP|15507684974278912621</stp>
        <tr r="P1535" s="2"/>
      </tp>
      <tp t="s">
        <v>#N/A N/A</v>
        <stp/>
        <stp>BDP|11038965740606675021</stp>
        <tr r="A1045" s="2"/>
      </tp>
      <tp t="s">
        <v>#N/A N/A</v>
        <stp/>
        <stp>BDP|10123576042628237347</stp>
        <tr r="S137" s="2"/>
      </tp>
      <tp t="s">
        <v>#N/A N/A</v>
        <stp/>
        <stp>BDP|18273641165740007217</stp>
        <tr r="J76" s="2"/>
      </tp>
      <tp t="s">
        <v>#N/A N/A</v>
        <stp/>
        <stp>BDP|16082689286567515593</stp>
        <tr r="O1222" s="2"/>
      </tp>
      <tp t="s">
        <v>#N/A N/A</v>
        <stp/>
        <stp>BDP|11348939027890008050</stp>
        <tr r="J1459" s="2"/>
      </tp>
      <tp t="s">
        <v>#N/A N/A</v>
        <stp/>
        <stp>BDP|16205605863404434877</stp>
        <tr r="M63" s="2"/>
      </tp>
      <tp t="s">
        <v>#N/A N/A</v>
        <stp/>
        <stp>BDP|17032147985311453577</stp>
        <tr r="N330" s="2"/>
      </tp>
      <tp t="s">
        <v>#N/A N/A</v>
        <stp/>
        <stp>BDP|12172734092196071020</stp>
        <tr r="Q1088" s="2"/>
      </tp>
      <tp t="s">
        <v>#N/A N/A</v>
        <stp/>
        <stp>BDP|11175807594253153962</stp>
        <tr r="F1418" s="2"/>
      </tp>
      <tp t="s">
        <v>#N/A N/A</v>
        <stp/>
        <stp>BDP|14299889168442503250</stp>
        <tr r="Q283" s="2"/>
      </tp>
      <tp t="s">
        <v>#N/A N/A</v>
        <stp/>
        <stp>BDP|14892677259789351478</stp>
        <tr r="G1352" s="2"/>
      </tp>
      <tp t="s">
        <v>#N/A N/A</v>
        <stp/>
        <stp>BDP|10596216698873960275</stp>
        <tr r="C1747" s="2"/>
      </tp>
      <tp t="s">
        <v>#N/A N/A</v>
        <stp/>
        <stp>BDS|13001805456077978399</stp>
        <tr r="I572" s="2"/>
      </tp>
      <tp t="s">
        <v>#N/A N/A</v>
        <stp/>
        <stp>BDP|13460685385854552395</stp>
        <tr r="R256" s="2"/>
      </tp>
      <tp t="s">
        <v>#N/A N/A</v>
        <stp/>
        <stp>BDP|12180800010507110657</stp>
        <tr r="J84" s="2"/>
      </tp>
      <tp t="s">
        <v>#N/A N/A</v>
        <stp/>
        <stp>BDP|13495769664049528168</stp>
        <tr r="R866" s="2"/>
      </tp>
      <tp t="s">
        <v>#N/A N/A</v>
        <stp/>
        <stp>BDP|14497908052354013639</stp>
        <tr r="O739" s="2"/>
      </tp>
      <tp t="s">
        <v>#N/A N/A</v>
        <stp/>
        <stp>BDP|14123112272201082970</stp>
        <tr r="Q1069" s="2"/>
      </tp>
      <tp t="s">
        <v>#N/A N/A</v>
        <stp/>
        <stp>BDP|16695576406741782859</stp>
        <tr r="K1366" s="2"/>
      </tp>
      <tp t="s">
        <v>#N/A N/A</v>
        <stp/>
        <stp>BDS|16418078426199351705</stp>
        <tr r="I644" s="2"/>
      </tp>
      <tp t="s">
        <v>#N/A N/A</v>
        <stp/>
        <stp>BDS|13396858137663286157</stp>
        <tr r="I1019" s="2"/>
      </tp>
      <tp t="s">
        <v>#N/A N/A</v>
        <stp/>
        <stp>BDP|11561549145318572243</stp>
        <tr r="N1711" s="2"/>
      </tp>
      <tp t="s">
        <v>#N/A N/A</v>
        <stp/>
        <stp>BDP|18280851155286041970</stp>
        <tr r="E1537" s="2"/>
      </tp>
      <tp t="s">
        <v>#N/A N/A</v>
        <stp/>
        <stp>BDP|17939144509248397422</stp>
        <tr r="H908" s="2"/>
      </tp>
      <tp t="s">
        <v>#N/A N/A</v>
        <stp/>
        <stp>BDP|15793869661930120145</stp>
        <tr r="D1277" s="2"/>
      </tp>
      <tp t="s">
        <v>#N/A N/A</v>
        <stp/>
        <stp>BDP|15296808107694586352</stp>
        <tr r="G1393" s="2"/>
      </tp>
      <tp t="s">
        <v>#N/A N/A</v>
        <stp/>
        <stp>BDP|13830647397784681286</stp>
        <tr r="N118" s="2"/>
      </tp>
      <tp t="s">
        <v>#N/A N/A</v>
        <stp/>
        <stp>BDP|13033822837167489545</stp>
        <tr r="F1673" s="2"/>
      </tp>
      <tp t="s">
        <v>#N/A N/A</v>
        <stp/>
        <stp>BDP|17163054423526387912</stp>
        <tr r="D244" s="2"/>
      </tp>
      <tp t="s">
        <v>#N/A N/A</v>
        <stp/>
        <stp>BDP|12238083966866138887</stp>
        <tr r="E348" s="2"/>
      </tp>
      <tp t="s">
        <v>#N/A N/A</v>
        <stp/>
        <stp>BDS|16253327504986271900</stp>
        <tr r="I187" s="2"/>
      </tp>
      <tp t="s">
        <v>#N/A N/A</v>
        <stp/>
        <stp>BDP|12043308549579405685</stp>
        <tr r="A143" s="2"/>
      </tp>
      <tp t="s">
        <v>#N/A N/A</v>
        <stp/>
        <stp>BDP|18295128735862865283</stp>
        <tr r="R676" s="2"/>
      </tp>
      <tp t="s">
        <v>#N/A N/A</v>
        <stp/>
        <stp>BDP|16615044564688175227</stp>
        <tr r="E1182" s="2"/>
      </tp>
      <tp t="s">
        <v>#N/A N/A</v>
        <stp/>
        <stp>BDP|12394619935164731951</stp>
        <tr r="K1018" s="2"/>
      </tp>
      <tp t="s">
        <v>#N/A N/A</v>
        <stp/>
        <stp>BDP|15153311333867070868</stp>
        <tr r="T221" s="2"/>
      </tp>
      <tp t="s">
        <v>#N/A N/A</v>
        <stp/>
        <stp>BDP|17546546382924081460</stp>
        <tr r="H77" s="2"/>
      </tp>
      <tp t="s">
        <v>#N/A N/A</v>
        <stp/>
        <stp>BDP|14716550565019559476</stp>
        <tr r="C545" s="2"/>
      </tp>
      <tp t="s">
        <v>#N/A N/A</v>
        <stp/>
        <stp>BDP|13434723520655369901</stp>
        <tr r="G260" s="2"/>
      </tp>
      <tp t="s">
        <v>#N/A N/A</v>
        <stp/>
        <stp>BDP|11608743701329352554</stp>
        <tr r="E1142" s="2"/>
      </tp>
      <tp t="s">
        <v>#N/A N/A</v>
        <stp/>
        <stp>BDP|14143428675298185526</stp>
        <tr r="G155" s="2"/>
      </tp>
      <tp t="s">
        <v>#N/A N/A</v>
        <stp/>
        <stp>BDP|14700417889351939337</stp>
        <tr r="S729" s="2"/>
      </tp>
      <tp t="s">
        <v>#N/A N/A</v>
        <stp/>
        <stp>BDP|18237103946937972089</stp>
        <tr r="N475" s="2"/>
      </tp>
      <tp t="s">
        <v>#N/A N/A</v>
        <stp/>
        <stp>BDP|15376817040580777305</stp>
        <tr r="M1113" s="2"/>
      </tp>
      <tp t="s">
        <v>#N/A N/A</v>
        <stp/>
        <stp>BDP|16616085454361959864</stp>
        <tr r="P1419" s="2"/>
      </tp>
      <tp t="s">
        <v>#N/A N/A</v>
        <stp/>
        <stp>BDP|17148060870199312312</stp>
        <tr r="E266" s="2"/>
      </tp>
      <tp t="s">
        <v>#N/A N/A</v>
        <stp/>
        <stp>BDP|17249118576622885984</stp>
        <tr r="G828" s="2"/>
      </tp>
      <tp t="s">
        <v>#N/A N/A</v>
        <stp/>
        <stp>BDP|14507771980591722000</stp>
        <tr r="O1655" s="2"/>
      </tp>
      <tp t="s">
        <v>#N/A N/A</v>
        <stp/>
        <stp>BDP|16366247406517327970</stp>
        <tr r="M1466" s="2"/>
      </tp>
      <tp t="s">
        <v>#N/A N/A</v>
        <stp/>
        <stp>BDP|16020184517344841827</stp>
        <tr r="Q1348" s="2"/>
      </tp>
      <tp t="s">
        <v>#N/A N/A</v>
        <stp/>
        <stp>BDP|12926519088472412718</stp>
        <tr r="F955" s="2"/>
      </tp>
      <tp t="s">
        <v>#N/A N/A</v>
        <stp/>
        <stp>BDP|12956659053313994830</stp>
        <tr r="D908" s="2"/>
      </tp>
      <tp t="s">
        <v>#N/A N/A</v>
        <stp/>
        <stp>BDP|14629036206018645605</stp>
        <tr r="A1026" s="2"/>
      </tp>
      <tp t="s">
        <v>#N/A N/A</v>
        <stp/>
        <stp>BDP|13508532630358205714</stp>
        <tr r="G1186" s="2"/>
      </tp>
      <tp t="s">
        <v>#N/A N/A</v>
        <stp/>
        <stp>BDP|18303600321311305746</stp>
        <tr r="R1175" s="2"/>
      </tp>
      <tp t="s">
        <v>#N/A N/A</v>
        <stp/>
        <stp>BDP|12176250174639413415</stp>
        <tr r="M1731" s="2"/>
      </tp>
      <tp t="s">
        <v>#N/A N/A</v>
        <stp/>
        <stp>BDP|13007540524646267875</stp>
        <tr r="C1703" s="2"/>
      </tp>
      <tp t="s">
        <v>#N/A N/A</v>
        <stp/>
        <stp>BDP|11495516811988536740</stp>
        <tr r="A505" s="2"/>
      </tp>
      <tp t="s">
        <v>#N/A N/A</v>
        <stp/>
        <stp>BDP|16974261184705606384</stp>
        <tr r="P495" s="2"/>
      </tp>
      <tp t="s">
        <v>#N/A N/A</v>
        <stp/>
        <stp>BDP|18333259082271488954</stp>
        <tr r="N119" s="2"/>
      </tp>
      <tp t="s">
        <v>#N/A N/A</v>
        <stp/>
        <stp>BDP|14174592418683466911</stp>
        <tr r="S820" s="2"/>
      </tp>
      <tp t="s">
        <v>#N/A N/A</v>
        <stp/>
        <stp>BDP|11355486482117509096</stp>
        <tr r="Q1737" s="2"/>
      </tp>
      <tp t="s">
        <v>#N/A N/A</v>
        <stp/>
        <stp>BDP|16443725174878593424</stp>
        <tr r="O1625" s="2"/>
      </tp>
      <tp t="s">
        <v>#N/A N/A</v>
        <stp/>
        <stp>BDP|16508700674588334472</stp>
        <tr r="Q1053" s="2"/>
      </tp>
      <tp t="s">
        <v>#N/A N/A</v>
        <stp/>
        <stp>BDP|12161742886315355249</stp>
        <tr r="R1103" s="2"/>
      </tp>
      <tp t="s">
        <v>#N/A N/A</v>
        <stp/>
        <stp>BDP|17038881499534487814</stp>
        <tr r="A151" s="2"/>
      </tp>
      <tp t="s">
        <v>#N/A N/A</v>
        <stp/>
        <stp>BDP|12525918310037663767</stp>
        <tr r="S1179" s="2"/>
      </tp>
      <tp t="s">
        <v>#N/A N/A</v>
        <stp/>
        <stp>BDP|14566669032838452318</stp>
        <tr r="A697" s="2"/>
      </tp>
      <tp t="s">
        <v>#N/A N/A</v>
        <stp/>
        <stp>BDS|15242126353852295969</stp>
        <tr r="I735" s="2"/>
      </tp>
      <tp t="s">
        <v>#N/A N/A</v>
        <stp/>
        <stp>BDP|14992847233761223482</stp>
        <tr r="P1746" s="2"/>
      </tp>
      <tp t="s">
        <v>#N/A N/A</v>
        <stp/>
        <stp>BDP|10578378499485845576</stp>
        <tr r="D1054" s="2"/>
      </tp>
      <tp t="s">
        <v>#N/A N/A</v>
        <stp/>
        <stp>BDP|15392615116689655167</stp>
        <tr r="R517" s="2"/>
      </tp>
      <tp t="s">
        <v>#N/A N/A</v>
        <stp/>
        <stp>BDP|16823612037941940835</stp>
        <tr r="H986" s="2"/>
      </tp>
      <tp t="s">
        <v>#N/A N/A</v>
        <stp/>
        <stp>BDP|18383377760300367732</stp>
        <tr r="G1440" s="2"/>
      </tp>
      <tp t="s">
        <v>#N/A N/A</v>
        <stp/>
        <stp>BDP|11831886636956229601</stp>
        <tr r="R1090" s="2"/>
      </tp>
      <tp t="s">
        <v>#N/A N/A</v>
        <stp/>
        <stp>BDP|17369196465822255892</stp>
        <tr r="T305" s="2"/>
      </tp>
      <tp t="s">
        <v>#N/A N/A</v>
        <stp/>
        <stp>BDP|15498560888145811766</stp>
        <tr r="J1467" s="2"/>
      </tp>
      <tp t="s">
        <v>#N/A N/A</v>
        <stp/>
        <stp>BDP|11370940850480090735</stp>
        <tr r="K633" s="2"/>
      </tp>
      <tp t="s">
        <v>#N/A N/A</v>
        <stp/>
        <stp>BDP|11182897061635862050</stp>
        <tr r="K1394" s="2"/>
      </tp>
      <tp t="s">
        <v>#N/A N/A</v>
        <stp/>
        <stp>BDP|12187282822700942867</stp>
        <tr r="R337" s="2"/>
      </tp>
      <tp t="s">
        <v>#N/A N/A</v>
        <stp/>
        <stp>BDP|12337072480915160510</stp>
        <tr r="Q592" s="2"/>
      </tp>
      <tp t="s">
        <v>#N/A N/A</v>
        <stp/>
        <stp>BDS|14616738767758339760</stp>
        <tr r="I1264" s="2"/>
      </tp>
      <tp t="s">
        <v>#N/A N/A</v>
        <stp/>
        <stp>BDP|11278499123855597892</stp>
        <tr r="Q709" s="2"/>
      </tp>
      <tp t="s">
        <v>#N/A N/A</v>
        <stp/>
        <stp>BDP|13991764188844704248</stp>
        <tr r="O1124" s="2"/>
      </tp>
      <tp t="s">
        <v>#N/A N/A</v>
        <stp/>
        <stp>BDP|16670931907660682504</stp>
        <tr r="R787" s="2"/>
      </tp>
      <tp t="s">
        <v>#N/A N/A</v>
        <stp/>
        <stp>BDP|13311521281665329178</stp>
        <tr r="N829" s="2"/>
      </tp>
      <tp t="s">
        <v>#N/A N/A</v>
        <stp/>
        <stp>BDP|13299779628914147881</stp>
        <tr r="N895" s="2"/>
      </tp>
      <tp t="s">
        <v>#N/A N/A</v>
        <stp/>
        <stp>BDP|12596401524377761921</stp>
        <tr r="C1399" s="2"/>
      </tp>
      <tp t="s">
        <v>#N/A N/A</v>
        <stp/>
        <stp>BDP|12206326343236394941</stp>
        <tr r="R274" s="2"/>
      </tp>
      <tp t="s">
        <v>#N/A N/A</v>
        <stp/>
        <stp>BDP|10949157921541149881</stp>
        <tr r="Q121" s="2"/>
      </tp>
      <tp t="s">
        <v>#N/A N/A</v>
        <stp/>
        <stp>BDP|10884118987652820127</stp>
        <tr r="E619" s="2"/>
      </tp>
      <tp t="s">
        <v>#N/A N/A</v>
        <stp/>
        <stp>BDP|11112755268029925315</stp>
        <tr r="C350" s="2"/>
      </tp>
      <tp t="s">
        <v>#N/A N/A</v>
        <stp/>
        <stp>BDP|15770677822703715814</stp>
        <tr r="K1558" s="2"/>
      </tp>
      <tp t="s">
        <v>#N/A N/A</v>
        <stp/>
        <stp>BDP|12252878365697696120</stp>
        <tr r="H316" s="2"/>
      </tp>
      <tp t="s">
        <v>#N/A N/A</v>
        <stp/>
        <stp>BDP|18430613875750313374</stp>
        <tr r="E1575" s="2"/>
      </tp>
      <tp t="s">
        <v>#N/A N/A</v>
        <stp/>
        <stp>BDS|15275688198832219274</stp>
        <tr r="I793" s="2"/>
      </tp>
      <tp t="s">
        <v>#N/A N/A</v>
        <stp/>
        <stp>BDP|17101409412791345948</stp>
        <tr r="O417" s="2"/>
      </tp>
      <tp t="s">
        <v>#N/A N/A</v>
        <stp/>
        <stp>BDP|10010402806248369615</stp>
        <tr r="S1340" s="2"/>
      </tp>
      <tp t="s">
        <v>#N/A N/A</v>
        <stp/>
        <stp>BDP|10093967710244484666</stp>
        <tr r="M1253" s="2"/>
      </tp>
      <tp t="s">
        <v>#N/A N/A</v>
        <stp/>
        <stp>BDP|11587613137817155964</stp>
        <tr r="Q1128" s="2"/>
      </tp>
      <tp t="s">
        <v>#N/A N/A</v>
        <stp/>
        <stp>BDP|17738091582352801700</stp>
        <tr r="F548" s="2"/>
      </tp>
      <tp t="s">
        <v>#N/A N/A</v>
        <stp/>
        <stp>BDP|17727110116364374977</stp>
        <tr r="F1093" s="2"/>
      </tp>
      <tp t="s">
        <v>#N/A N/A</v>
        <stp/>
        <stp>BDP|13899868616578929857</stp>
        <tr r="D704" s="2"/>
      </tp>
      <tp t="s">
        <v>#N/A N/A</v>
        <stp/>
        <stp>BDP|12790568880524107144</stp>
        <tr r="T631" s="2"/>
      </tp>
      <tp t="s">
        <v>#N/A N/A</v>
        <stp/>
        <stp>BDP|12949312553129660791</stp>
        <tr r="E442" s="2"/>
      </tp>
      <tp t="s">
        <v>#N/A N/A</v>
        <stp/>
        <stp>BDP|11477227423128099318</stp>
        <tr r="G1182" s="2"/>
      </tp>
      <tp t="s">
        <v>#N/A N/A</v>
        <stp/>
        <stp>BDP|15909820309037109070</stp>
        <tr r="C1234" s="2"/>
      </tp>
      <tp t="s">
        <v>#N/A N/A</v>
        <stp/>
        <stp>BDP|12806908441832818756</stp>
        <tr r="O421" s="2"/>
      </tp>
      <tp t="s">
        <v>#N/A N/A</v>
        <stp/>
        <stp>BDP|11387677785672463718</stp>
        <tr r="D1405" s="2"/>
      </tp>
      <tp t="s">
        <v>#N/A N/A</v>
        <stp/>
        <stp>BDP|11785695463049923208</stp>
        <tr r="F347" s="2"/>
      </tp>
      <tp t="s">
        <v>#N/A N/A</v>
        <stp/>
        <stp>BDP|12635139526033585825</stp>
        <tr r="N779" s="2"/>
      </tp>
      <tp t="s">
        <v>#N/A N/A</v>
        <stp/>
        <stp>BDP|13496169657928663578</stp>
        <tr r="K1316" s="2"/>
      </tp>
      <tp t="s">
        <v>#N/A N/A</v>
        <stp/>
        <stp>BDP|15047328694832071724</stp>
        <tr r="A322" s="2"/>
      </tp>
      <tp t="s">
        <v>#N/A N/A</v>
        <stp/>
        <stp>BDP|17274720897725368600</stp>
        <tr r="C794" s="2"/>
      </tp>
      <tp t="s">
        <v>#N/A N/A</v>
        <stp/>
        <stp>BDP|13845773283917995111</stp>
        <tr r="K1580" s="2"/>
      </tp>
      <tp t="s">
        <v>#N/A N/A</v>
        <stp/>
        <stp>BDP|16844577598142566262</stp>
        <tr r="P1706" s="2"/>
      </tp>
      <tp t="s">
        <v>#N/A N/A</v>
        <stp/>
        <stp>BDP|10199800425735997592</stp>
        <tr r="H407" s="2"/>
      </tp>
      <tp t="s">
        <v>#N/A N/A</v>
        <stp/>
        <stp>BDP|18346418777994353525</stp>
        <tr r="N821" s="2"/>
      </tp>
      <tp t="s">
        <v>#N/A N/A</v>
        <stp/>
        <stp>BDP|11000320590940395155</stp>
        <tr r="N1323" s="2"/>
      </tp>
      <tp t="s">
        <v>#N/A N/A</v>
        <stp/>
        <stp>BDP|18408749845512011318</stp>
        <tr r="F632" s="2"/>
      </tp>
      <tp t="s">
        <v>#N/A N/A</v>
        <stp/>
        <stp>BDP|16810898351736492702</stp>
        <tr r="Q881" s="2"/>
      </tp>
      <tp t="s">
        <v>#N/A N/A</v>
        <stp/>
        <stp>BDP|12428811823407338510</stp>
        <tr r="A1227" s="2"/>
      </tp>
      <tp t="s">
        <v>#N/A N/A</v>
        <stp/>
        <stp>BDP|14109767850315298919</stp>
        <tr r="S254" s="2"/>
      </tp>
      <tp t="s">
        <v>#N/A N/A</v>
        <stp/>
        <stp>BDP|16005872880405218913</stp>
        <tr r="N1428" s="2"/>
      </tp>
      <tp t="s">
        <v>#N/A N/A</v>
        <stp/>
        <stp>BDP|17546711685305717723</stp>
        <tr r="P756" s="2"/>
      </tp>
      <tp t="s">
        <v>#N/A N/A</v>
        <stp/>
        <stp>BDP|15930027783155471286</stp>
        <tr r="E550" s="2"/>
      </tp>
      <tp t="s">
        <v>#N/A N/A</v>
        <stp/>
        <stp>BDP|17060801673734389673</stp>
        <tr r="S369" s="2"/>
      </tp>
      <tp t="s">
        <v>#N/A N/A</v>
        <stp/>
        <stp>BDP|10916665538058469749</stp>
        <tr r="D838" s="2"/>
      </tp>
      <tp t="s">
        <v>#N/A N/A</v>
        <stp/>
        <stp>BDP|17488827142921642059</stp>
        <tr r="H1330" s="2"/>
      </tp>
      <tp t="s">
        <v>#N/A N/A</v>
        <stp/>
        <stp>BDS|14939612090087899643</stp>
        <tr r="I1243" s="2"/>
      </tp>
      <tp t="s">
        <v>#N/A N/A</v>
        <stp/>
        <stp>BDP|14263289069472627822</stp>
        <tr r="T1260" s="2"/>
      </tp>
      <tp t="s">
        <v>#N/A N/A</v>
        <stp/>
        <stp>BDP|11483403127884503919</stp>
        <tr r="N1691" s="2"/>
      </tp>
      <tp t="s">
        <v>#N/A N/A</v>
        <stp/>
        <stp>BDP|13240978572580704773</stp>
        <tr r="D1353" s="2"/>
      </tp>
      <tp t="s">
        <v>#N/A N/A</v>
        <stp/>
        <stp>BDP|11653373184815456561</stp>
        <tr r="H1362" s="2"/>
      </tp>
      <tp t="s">
        <v>#N/A N/A</v>
        <stp/>
        <stp>BDP|13335966527705105748</stp>
        <tr r="O1286" s="2"/>
      </tp>
      <tp t="s">
        <v>#N/A N/A</v>
        <stp/>
        <stp>BDP|14497791108978437168</stp>
        <tr r="C592" s="2"/>
      </tp>
      <tp t="s">
        <v>#N/A N/A</v>
        <stp/>
        <stp>BDP|10793155893375246742</stp>
        <tr r="C585" s="2"/>
      </tp>
      <tp t="s">
        <v>#N/A N/A</v>
        <stp/>
        <stp>BDP|17113103686464266029</stp>
        <tr r="K1441" s="2"/>
      </tp>
      <tp t="s">
        <v>#N/A N/A</v>
        <stp/>
        <stp>BDP|16910327623309990465</stp>
        <tr r="K874" s="2"/>
      </tp>
      <tp t="s">
        <v>#N/A N/A</v>
        <stp/>
        <stp>BDP|12289302342018646716</stp>
        <tr r="F542" s="2"/>
      </tp>
      <tp t="s">
        <v>#N/A N/A</v>
        <stp/>
        <stp>BDP|14449378915965497954</stp>
        <tr r="T1462" s="2"/>
      </tp>
      <tp t="s">
        <v>#N/A N/A</v>
        <stp/>
        <stp>BDP|12567209793253505045</stp>
        <tr r="M744" s="2"/>
      </tp>
      <tp t="s">
        <v>#N/A N/A</v>
        <stp/>
        <stp>BDP|11525634496260194465</stp>
        <tr r="P1113" s="2"/>
      </tp>
      <tp t="s">
        <v>#N/A N/A</v>
        <stp/>
        <stp>BDP|10626888368195355121</stp>
        <tr r="J893" s="2"/>
      </tp>
      <tp t="s">
        <v>#N/A N/A</v>
        <stp/>
        <stp>BDP|16340136474553718949</stp>
        <tr r="A617" s="2"/>
      </tp>
      <tp t="s">
        <v>#N/A N/A</v>
        <stp/>
        <stp>BDP|14160671883302530278</stp>
        <tr r="F722" s="2"/>
      </tp>
      <tp t="s">
        <v>#N/A N/A</v>
        <stp/>
        <stp>BDP|15512938473516100733</stp>
        <tr r="A1199" s="2"/>
      </tp>
      <tp t="s">
        <v>#N/A N/A</v>
        <stp/>
        <stp>BDP|17158395485184884227</stp>
        <tr r="D1278" s="2"/>
      </tp>
      <tp t="s">
        <v>#N/A N/A</v>
        <stp/>
        <stp>BDP|16442813475887001472</stp>
        <tr r="D967" s="2"/>
      </tp>
      <tp t="s">
        <v>#N/A N/A</v>
        <stp/>
        <stp>BDP|16695540216900040839</stp>
        <tr r="C347" s="2"/>
      </tp>
      <tp t="s">
        <v>#N/A N/A</v>
        <stp/>
        <stp>BDP|13419973584139787177</stp>
        <tr r="E865" s="2"/>
      </tp>
      <tp t="s">
        <v>#N/A N/A</v>
        <stp/>
        <stp>BDP|13628962862082359469</stp>
        <tr r="Q265" s="2"/>
      </tp>
      <tp t="s">
        <v>#N/A N/A</v>
        <stp/>
        <stp>BDP|15566506950456118939</stp>
        <tr r="H483" s="2"/>
      </tp>
      <tp t="s">
        <v>#N/A N/A</v>
        <stp/>
        <stp>BDP|17153849807102284776</stp>
        <tr r="T384" s="2"/>
      </tp>
      <tp t="s">
        <v>#N/A N/A</v>
        <stp/>
        <stp>BDP|14227630296005915490</stp>
        <tr r="J1687" s="2"/>
      </tp>
      <tp t="s">
        <v>#N/A N/A</v>
        <stp/>
        <stp>BDP|10173720082350053563</stp>
        <tr r="O405" s="2"/>
      </tp>
      <tp t="s">
        <v>#N/A N/A</v>
        <stp/>
        <stp>BDP|10005318483835260474</stp>
        <tr r="J1276" s="2"/>
      </tp>
      <tp t="s">
        <v>#N/A N/A</v>
        <stp/>
        <stp>BDP|13467117392196466747</stp>
        <tr r="J1474" s="2"/>
      </tp>
      <tp t="s">
        <v>#N/A N/A</v>
        <stp/>
        <stp>BDP|12338105531328455211</stp>
        <tr r="S1039" s="2"/>
      </tp>
      <tp t="s">
        <v>#N/A N/A</v>
        <stp/>
        <stp>BDP|13789162277478698776</stp>
        <tr r="E628" s="2"/>
      </tp>
      <tp t="s">
        <v>#N/A N/A</v>
        <stp/>
        <stp>BDP|15388869162294737571</stp>
        <tr r="G1594" s="2"/>
      </tp>
      <tp t="s">
        <v>#N/A N/A</v>
        <stp/>
        <stp>BDP|13015663177790010864</stp>
        <tr r="C689" s="2"/>
      </tp>
      <tp t="s">
        <v>#N/A N/A</v>
        <stp/>
        <stp>BDP|11876993930403250245</stp>
        <tr r="O697" s="2"/>
      </tp>
      <tp t="s">
        <v>#N/A N/A</v>
        <stp/>
        <stp>BDP|10738881141362034492</stp>
        <tr r="J1403" s="2"/>
      </tp>
      <tp t="s">
        <v>#N/A N/A</v>
        <stp/>
        <stp>BDP|10328881746655300395</stp>
        <tr r="G1211" s="2"/>
      </tp>
      <tp t="s">
        <v>#N/A N/A</v>
        <stp/>
        <stp>BDP|18003050733566606775</stp>
        <tr r="K818" s="2"/>
      </tp>
      <tp t="s">
        <v>#N/A N/A</v>
        <stp/>
        <stp>BDP|17387799311952507998</stp>
        <tr r="N493" s="2"/>
      </tp>
      <tp t="s">
        <v>#N/A N/A</v>
        <stp/>
        <stp>BDP|10608222893363537252</stp>
        <tr r="O975" s="2"/>
      </tp>
      <tp t="s">
        <v>#N/A N/A</v>
        <stp/>
        <stp>BDP|14221342780721517446</stp>
        <tr r="C886" s="2"/>
      </tp>
      <tp t="s">
        <v>#N/A N/A</v>
        <stp/>
        <stp>BDP|14424901043433946094</stp>
        <tr r="C1498" s="2"/>
      </tp>
      <tp t="s">
        <v>#N/A N/A</v>
        <stp/>
        <stp>BDP|11176202737452259832</stp>
        <tr r="R1617" s="2"/>
      </tp>
      <tp t="s">
        <v>#N/A N/A</v>
        <stp/>
        <stp>BDP|14443552579839611599</stp>
        <tr r="M1314" s="2"/>
      </tp>
      <tp t="s">
        <v>#N/A N/A</v>
        <stp/>
        <stp>BDP|16526895748652422275</stp>
        <tr r="M1614" s="2"/>
      </tp>
      <tp t="s">
        <v>#N/A N/A</v>
        <stp/>
        <stp>BDP|14758015287137349153</stp>
        <tr r="F1273" s="2"/>
      </tp>
      <tp t="s">
        <v>#N/A N/A</v>
        <stp/>
        <stp>BDP|10410241449164871860</stp>
        <tr r="J68" s="2"/>
      </tp>
      <tp t="s">
        <v>#N/A N/A</v>
        <stp/>
        <stp>BDP|10877589460900110960</stp>
        <tr r="E882" s="2"/>
      </tp>
      <tp t="s">
        <v>#N/A N/A</v>
        <stp/>
        <stp>BDP|10677712961439266232</stp>
        <tr r="E487" s="2"/>
      </tp>
      <tp t="s">
        <v>#N/A N/A</v>
        <stp/>
        <stp>BDP|16529617197682775131</stp>
        <tr r="A175" s="2"/>
      </tp>
      <tp t="s">
        <v>#N/A N/A</v>
        <stp/>
        <stp>BDP|18141077014217355461</stp>
        <tr r="J819" s="2"/>
      </tp>
      <tp t="s">
        <v>#N/A N/A</v>
        <stp/>
        <stp>BDP|11336920105856364408</stp>
        <tr r="J685" s="2"/>
      </tp>
      <tp t="s">
        <v>#N/A N/A</v>
        <stp/>
        <stp>BDP|15971680996550210027</stp>
        <tr r="A1456" s="2"/>
      </tp>
      <tp t="s">
        <v>#N/A N/A</v>
        <stp/>
        <stp>BDP|15212276416128043446</stp>
        <tr r="P432" s="2"/>
      </tp>
      <tp t="s">
        <v>#N/A N/A</v>
        <stp/>
        <stp>BDP|11122814967424615178</stp>
        <tr r="T364" s="2"/>
      </tp>
      <tp t="s">
        <v>#N/A N/A</v>
        <stp/>
        <stp>BDP|10359916343746791106</stp>
        <tr r="Q1169" s="2"/>
      </tp>
      <tp t="s">
        <v>#N/A N/A</v>
        <stp/>
        <stp>BDS|11893734078618613301</stp>
        <tr r="I1192" s="2"/>
      </tp>
      <tp t="s">
        <v>#N/A N/A</v>
        <stp/>
        <stp>BDP|14679525950837623943</stp>
        <tr r="J164" s="2"/>
      </tp>
      <tp t="s">
        <v>#N/A N/A</v>
        <stp/>
        <stp>BDP|13770995074782486587</stp>
        <tr r="F1754" s="2"/>
      </tp>
      <tp t="s">
        <v>#N/A N/A</v>
        <stp/>
        <stp>BDP|12090207709593746985</stp>
        <tr r="C401" s="2"/>
      </tp>
      <tp t="s">
        <v>#N/A N/A</v>
        <stp/>
        <stp>BDP|14063176248632156989</stp>
        <tr r="D1548" s="2"/>
      </tp>
      <tp t="s">
        <v>#N/A N/A</v>
        <stp/>
        <stp>BDP|11733434416558111659</stp>
        <tr r="E466" s="2"/>
      </tp>
      <tp t="s">
        <v>#N/A N/A</v>
        <stp/>
        <stp>BDS|10524866353144159349</stp>
        <tr r="I1568" s="2"/>
      </tp>
      <tp t="s">
        <v>#N/A N/A</v>
        <stp/>
        <stp>BDP|12102139585301119003</stp>
        <tr r="R38" s="2"/>
      </tp>
      <tp t="s">
        <v>#N/A N/A</v>
        <stp/>
        <stp>BDP|13309136698704816568</stp>
        <tr r="N1600" s="2"/>
      </tp>
      <tp t="s">
        <v>#N/A N/A</v>
        <stp/>
        <stp>BDP|13312046486964322544</stp>
        <tr r="K1734" s="2"/>
      </tp>
      <tp t="s">
        <v>#N/A N/A</v>
        <stp/>
        <stp>BDP|14059209792503622624</stp>
        <tr r="N381" s="2"/>
      </tp>
      <tp t="s">
        <v>#N/A N/A</v>
        <stp/>
        <stp>BDP|12836538588343121645</stp>
        <tr r="G538" s="2"/>
      </tp>
      <tp t="s">
        <v>#N/A N/A</v>
        <stp/>
        <stp>BDP|11657428520519445462</stp>
        <tr r="E577" s="2"/>
      </tp>
      <tp t="s">
        <v>#N/A N/A</v>
        <stp/>
        <stp>BDP|18440011630951435071</stp>
        <tr r="N1453" s="2"/>
      </tp>
      <tp t="s">
        <v>#N/A N/A</v>
        <stp/>
        <stp>BDP|14098111903039260660</stp>
        <tr r="G1480" s="2"/>
      </tp>
      <tp t="s">
        <v>#N/A N/A</v>
        <stp/>
        <stp>BDP|14208918463366512737</stp>
        <tr r="C51" s="2"/>
      </tp>
      <tp t="s">
        <v>#N/A N/A</v>
        <stp/>
        <stp>BDP|16267878826244361267</stp>
        <tr r="E1339" s="2"/>
      </tp>
      <tp t="s">
        <v>#N/A N/A</v>
        <stp/>
        <stp>BDP|13446173948945442996</stp>
        <tr r="N626" s="2"/>
      </tp>
      <tp t="s">
        <v>#N/A N/A</v>
        <stp/>
        <stp>BDP|15663334591670638544</stp>
        <tr r="S1109" s="2"/>
      </tp>
      <tp t="s">
        <v>#N/A N/A</v>
        <stp/>
        <stp>BDP|10031744981895144028</stp>
        <tr r="D1232" s="2"/>
      </tp>
      <tp t="s">
        <v>#N/A N/A</v>
        <stp/>
        <stp>BDP|10140254966959329778</stp>
        <tr r="M1752" s="2"/>
      </tp>
      <tp t="s">
        <v>#N/A N/A</v>
        <stp/>
        <stp>BDP|11177980729422216241</stp>
        <tr r="O1650" s="2"/>
      </tp>
      <tp t="s">
        <v>#N/A N/A</v>
        <stp/>
        <stp>BDP|10426813075774522137</stp>
        <tr r="K1008" s="2"/>
      </tp>
      <tp t="s">
        <v>#N/A N/A</v>
        <stp/>
        <stp>BDP|11640044048857489882</stp>
        <tr r="J1374" s="2"/>
      </tp>
      <tp t="s">
        <v>#N/A N/A</v>
        <stp/>
        <stp>BDP|10968775358668377030</stp>
        <tr r="C968" s="2"/>
      </tp>
      <tp t="s">
        <v>#N/A N/A</v>
        <stp/>
        <stp>BDP|13550281587080557393</stp>
        <tr r="R352" s="2"/>
      </tp>
      <tp t="s">
        <v>#N/A N/A</v>
        <stp/>
        <stp>BDP|15615251824708027717</stp>
        <tr r="C1681" s="2"/>
      </tp>
      <tp t="s">
        <v>#N/A N/A</v>
        <stp/>
        <stp>BDP|16172667053389420663</stp>
        <tr r="E461" s="2"/>
      </tp>
      <tp t="s">
        <v>#N/A N/A</v>
        <stp/>
        <stp>BDP|11666721592941690465</stp>
        <tr r="A78" s="2"/>
      </tp>
      <tp t="s">
        <v>#N/A N/A</v>
        <stp/>
        <stp>BDS|16504836440541033132</stp>
        <tr r="I1007" s="2"/>
      </tp>
      <tp t="s">
        <v>#N/A N/A</v>
        <stp/>
        <stp>BDP|14610863860429143973</stp>
        <tr r="C1282" s="2"/>
      </tp>
      <tp t="s">
        <v>#N/A N/A</v>
        <stp/>
        <stp>BDP|15363130596423870484</stp>
        <tr r="J96" s="2"/>
      </tp>
      <tp t="s">
        <v>#N/A N/A</v>
        <stp/>
        <stp>BDP|10632004993303658050</stp>
        <tr r="F851" s="2"/>
      </tp>
      <tp t="s">
        <v>#N/A N/A</v>
        <stp/>
        <stp>BDP|14741273755130654953</stp>
        <tr r="R560" s="2"/>
      </tp>
      <tp t="s">
        <v>#N/A N/A</v>
        <stp/>
        <stp>BDP|11986127088504459618</stp>
        <tr r="E418" s="2"/>
      </tp>
      <tp t="s">
        <v>#N/A N/A</v>
        <stp/>
        <stp>BDP|15546198984042794492</stp>
        <tr r="K1700" s="2"/>
      </tp>
      <tp t="s">
        <v>#N/A N/A</v>
        <stp/>
        <stp>BDP|10513528861130881987</stp>
        <tr r="K848" s="2"/>
      </tp>
      <tp t="s">
        <v>#N/A N/A</v>
        <stp/>
        <stp>BDP|15538621861066061903</stp>
        <tr r="H277" s="2"/>
      </tp>
      <tp t="s">
        <v>#N/A N/A</v>
        <stp/>
        <stp>BDP|12576825445923488705</stp>
        <tr r="C225" s="2"/>
      </tp>
      <tp t="s">
        <v>#N/A N/A</v>
        <stp/>
        <stp>BDP|11277842997869423339</stp>
        <tr r="C1475" s="2"/>
      </tp>
      <tp t="s">
        <v>#N/A N/A</v>
        <stp/>
        <stp>BDP|17950213183153895458</stp>
        <tr r="A1693" s="2"/>
      </tp>
      <tp t="s">
        <v>#N/A N/A</v>
        <stp/>
        <stp>BDP|12427756300067651817</stp>
        <tr r="T731" s="2"/>
      </tp>
      <tp t="s">
        <v>#N/A N/A</v>
        <stp/>
        <stp>BDP|15604488783281889234</stp>
        <tr r="C699" s="2"/>
      </tp>
      <tp t="s">
        <v>#N/A N/A</v>
        <stp/>
        <stp>BDP|17657617960515133801</stp>
        <tr r="K78" s="2"/>
      </tp>
      <tp t="s">
        <v>#N/A N/A</v>
        <stp/>
        <stp>BDP|16110265392897092030</stp>
        <tr r="F216" s="2"/>
      </tp>
      <tp t="s">
        <v>#N/A N/A</v>
        <stp/>
        <stp>BDP|10715683169799706370</stp>
        <tr r="K1362" s="2"/>
      </tp>
      <tp t="s">
        <v>#N/A N/A</v>
        <stp/>
        <stp>BDS|14441926329353926636</stp>
        <tr r="I693" s="2"/>
      </tp>
      <tp t="s">
        <v>#N/A N/A</v>
        <stp/>
        <stp>BDP|16080426995159387823</stp>
        <tr r="K947" s="2"/>
      </tp>
      <tp t="s">
        <v>#N/A N/A</v>
        <stp/>
        <stp>BDP|11251043880555159612</stp>
        <tr r="H875" s="2"/>
      </tp>
      <tp t="s">
        <v>#N/A N/A</v>
        <stp/>
        <stp>BDP|13448862605688801994</stp>
        <tr r="H1428" s="2"/>
      </tp>
      <tp t="s">
        <v>#N/A N/A</v>
        <stp/>
        <stp>BDP|17853203103467108939</stp>
        <tr r="N1544" s="2"/>
      </tp>
      <tp t="s">
        <v>#N/A N/A</v>
        <stp/>
        <stp>BDS|17951304882426384126</stp>
        <tr r="I177" s="2"/>
      </tp>
      <tp t="s">
        <v>#N/A N/A</v>
        <stp/>
        <stp>BDP|14153935284929909762</stp>
        <tr r="E1699" s="2"/>
      </tp>
      <tp t="s">
        <v>#N/A N/A</v>
        <stp/>
        <stp>BDP|10725181697917867497</stp>
        <tr r="S159" s="2"/>
      </tp>
      <tp t="s">
        <v>#N/A N/A</v>
        <stp/>
        <stp>BDP|14632953653942057197</stp>
        <tr r="K390" s="2"/>
      </tp>
      <tp t="s">
        <v>#N/A N/A</v>
        <stp/>
        <stp>BDP|13419080730203508808</stp>
        <tr r="F1211" s="2"/>
      </tp>
      <tp t="s">
        <v>#N/A N/A</v>
        <stp/>
        <stp>BDP|17404516985182943308</stp>
        <tr r="N657" s="2"/>
      </tp>
      <tp t="s">
        <v>#N/A N/A</v>
        <stp/>
        <stp>BDP|12706260646086994973</stp>
        <tr r="P1693" s="2"/>
      </tp>
      <tp t="s">
        <v>#N/A N/A</v>
        <stp/>
        <stp>BDP|14679745888503250318</stp>
        <tr r="N583" s="2"/>
      </tp>
      <tp t="s">
        <v>#N/A N/A</v>
        <stp/>
        <stp>BDP|16848565070627688816</stp>
        <tr r="H1195" s="2"/>
      </tp>
      <tp t="s">
        <v>#N/A N/A</v>
        <stp/>
        <stp>BDP|17408646899857321434</stp>
        <tr r="F437" s="2"/>
      </tp>
      <tp t="s">
        <v>#N/A N/A</v>
        <stp/>
        <stp>BDP|14945999150011112284</stp>
        <tr r="O533" s="2"/>
      </tp>
      <tp t="s">
        <v>#N/A N/A</v>
        <stp/>
        <stp>BDP|15028158281785961243</stp>
        <tr r="N1026" s="2"/>
      </tp>
      <tp t="s">
        <v>#N/A N/A</v>
        <stp/>
        <stp>BDP|10403789075003691868</stp>
        <tr r="M559" s="2"/>
      </tp>
      <tp t="s">
        <v>#N/A N/A</v>
        <stp/>
        <stp>BDP|13642181696166495652</stp>
        <tr r="R566" s="2"/>
      </tp>
      <tp t="s">
        <v>#N/A N/A</v>
        <stp/>
        <stp>BDP|10871954907784183623</stp>
        <tr r="R949" s="2"/>
      </tp>
      <tp t="s">
        <v>#N/A N/A</v>
        <stp/>
        <stp>BDP|11285212782833051389</stp>
        <tr r="J1583" s="2"/>
      </tp>
      <tp t="s">
        <v>#N/A N/A</v>
        <stp/>
        <stp>BDP|11081987115677647520</stp>
        <tr r="K1421" s="2"/>
      </tp>
      <tp t="s">
        <v>#N/A N/A</v>
        <stp/>
        <stp>BDP|10628641661402821929</stp>
        <tr r="S836" s="2"/>
      </tp>
      <tp t="s">
        <v>#N/A N/A</v>
        <stp/>
        <stp>BDP|14252281512734261839</stp>
        <tr r="R336" s="2"/>
      </tp>
      <tp t="s">
        <v>#N/A N/A</v>
        <stp/>
        <stp>BDP|18300789902060468443</stp>
        <tr r="O617" s="2"/>
      </tp>
      <tp t="s">
        <v>#N/A N/A</v>
        <stp/>
        <stp>BDP|12571186097106241718</stp>
        <tr r="S357" s="2"/>
      </tp>
      <tp t="s">
        <v>#N/A N/A</v>
        <stp/>
        <stp>BDP|13805585398202725669</stp>
        <tr r="E1480" s="2"/>
      </tp>
      <tp t="s">
        <v>#N/A N/A</v>
        <stp/>
        <stp>BDP|13980830864455074378</stp>
        <tr r="A675" s="2"/>
      </tp>
      <tp t="s">
        <v>#N/A N/A</v>
        <stp/>
        <stp>BDP|17334096434338718704</stp>
        <tr r="F1162" s="2"/>
      </tp>
      <tp t="s">
        <v>#N/A N/A</v>
        <stp/>
        <stp>BDP|12880678087313007410</stp>
        <tr r="Q1266" s="2"/>
      </tp>
      <tp t="s">
        <v>#N/A N/A</v>
        <stp/>
        <stp>BDP|12622134879718268775</stp>
        <tr r="F226" s="2"/>
      </tp>
      <tp t="s">
        <v>#N/A N/A</v>
        <stp/>
        <stp>BDP|13824641570408453110</stp>
        <tr r="N1048" s="2"/>
      </tp>
      <tp t="s">
        <v>#N/A N/A</v>
        <stp/>
        <stp>BDP|16702242943869835218</stp>
        <tr r="G595" s="2"/>
      </tp>
      <tp t="s">
        <v>#N/A N/A</v>
        <stp/>
        <stp>BDP|18266564909561223764</stp>
        <tr r="M655" s="2"/>
      </tp>
      <tp t="s">
        <v>#N/A N/A</v>
        <stp/>
        <stp>BDP|14291310068868764256</stp>
        <tr r="S873" s="2"/>
      </tp>
      <tp t="s">
        <v>#N/A N/A</v>
        <stp/>
        <stp>BDS|14997028220099623473</stp>
        <tr r="I35" s="2"/>
      </tp>
      <tp t="s">
        <v>#N/A N/A</v>
        <stp/>
        <stp>BDP|10736683984752362711</stp>
        <tr r="R820" s="2"/>
      </tp>
      <tp t="s">
        <v>#N/A N/A</v>
        <stp/>
        <stp>BDP|16738260289890196705</stp>
        <tr r="N1037" s="2"/>
      </tp>
      <tp t="s">
        <v>#N/A N/A</v>
        <stp/>
        <stp>BDP|17891721442878902787</stp>
        <tr r="S179" s="2"/>
      </tp>
      <tp t="s">
        <v>#N/A N/A</v>
        <stp/>
        <stp>BDP|14798603926242088986</stp>
        <tr r="A1050" s="2"/>
      </tp>
      <tp t="s">
        <v>#N/A N/A</v>
        <stp/>
        <stp>BDP|11378653827387052984</stp>
        <tr r="A1171" s="2"/>
      </tp>
      <tp t="s">
        <v>#N/A N/A</v>
        <stp/>
        <stp>BDP|16177225851448206293</stp>
        <tr r="O1582" s="2"/>
      </tp>
      <tp t="s">
        <v>#N/A N/A</v>
        <stp/>
        <stp>BDP|15132254643089655187</stp>
        <tr r="S1018" s="2"/>
      </tp>
      <tp t="s">
        <v>#N/A N/A</v>
        <stp/>
        <stp>BDP|13972503600924488941</stp>
        <tr r="G1612" s="2"/>
      </tp>
      <tp t="s">
        <v>#N/A N/A</v>
        <stp/>
        <stp>BDP|17408998653360166069</stp>
        <tr r="M187" s="2"/>
      </tp>
      <tp t="s">
        <v>#N/A N/A</v>
        <stp/>
        <stp>BDP|15467832619551275652</stp>
        <tr r="P1197" s="2"/>
      </tp>
      <tp t="s">
        <v>#N/A N/A</v>
        <stp/>
        <stp>BDP|12541414066572246995</stp>
        <tr r="E384" s="2"/>
      </tp>
      <tp t="s">
        <v>#N/A N/A</v>
        <stp/>
        <stp>BDP|16414397047458452273</stp>
        <tr r="Q1443" s="2"/>
      </tp>
      <tp t="s">
        <v>#N/A N/A</v>
        <stp/>
        <stp>BDP|11451055149439367739</stp>
        <tr r="K17" s="2"/>
      </tp>
      <tp t="s">
        <v>#N/A N/A</v>
        <stp/>
        <stp>BDP|13507284100558023258</stp>
        <tr r="T1332" s="2"/>
      </tp>
      <tp t="s">
        <v>#N/A N/A</v>
        <stp/>
        <stp>BDP|10567887907052798153</stp>
        <tr r="K1715" s="2"/>
      </tp>
      <tp t="s">
        <v>#N/A N/A</v>
        <stp/>
        <stp>BDP|15857404797753347049</stp>
        <tr r="E1421" s="2"/>
      </tp>
      <tp t="s">
        <v>#N/A N/A</v>
        <stp/>
        <stp>BDP|11176428003056969813</stp>
        <tr r="M814" s="2"/>
      </tp>
      <tp t="s">
        <v>#N/A N/A</v>
        <stp/>
        <stp>BDP|16013929236281456686</stp>
        <tr r="F1298" s="2"/>
      </tp>
      <tp t="s">
        <v>#N/A N/A</v>
        <stp/>
        <stp>BDP|10819474032938054450</stp>
        <tr r="R50" s="2"/>
      </tp>
      <tp t="s">
        <v>#N/A N/A</v>
        <stp/>
        <stp>BDP|17183283193380422763</stp>
        <tr r="P1474" s="2"/>
      </tp>
      <tp t="s">
        <v>#N/A N/A</v>
        <stp/>
        <stp>BDP|13851757924935005813</stp>
        <tr r="O185" s="2"/>
      </tp>
      <tp t="s">
        <v>#N/A N/A</v>
        <stp/>
        <stp>BDP|15495887503774512220</stp>
        <tr r="N820" s="2"/>
      </tp>
      <tp t="s">
        <v>#N/A N/A</v>
        <stp/>
        <stp>BDP|16550876914991821560</stp>
        <tr r="N1456" s="2"/>
      </tp>
      <tp t="s">
        <v>#N/A N/A</v>
        <stp/>
        <stp>BDS|12995404545551354845</stp>
        <tr r="I847" s="2"/>
      </tp>
      <tp t="s">
        <v>#N/A N/A</v>
        <stp/>
        <stp>BDP|16800350583774407228</stp>
        <tr r="N753" s="2"/>
      </tp>
      <tp t="s">
        <v>#N/A N/A</v>
        <stp/>
        <stp>BDP|12266638090710120684</stp>
        <tr r="J880" s="2"/>
      </tp>
      <tp t="s">
        <v>#N/A N/A</v>
        <stp/>
        <stp>BDP|11986671731079450633</stp>
        <tr r="G1488" s="2"/>
      </tp>
      <tp t="s">
        <v>#N/A N/A</v>
        <stp/>
        <stp>BDP|17948747826189657059</stp>
        <tr r="O1424" s="2"/>
      </tp>
      <tp t="s">
        <v>#N/A N/A</v>
        <stp/>
        <stp>BDP|18252042516163084183</stp>
        <tr r="C1720" s="2"/>
      </tp>
      <tp t="s">
        <v>#N/A N/A</v>
        <stp/>
        <stp>BDP|11841891445043895541</stp>
        <tr r="C209" s="2"/>
      </tp>
      <tp t="s">
        <v>#N/A N/A</v>
        <stp/>
        <stp>BDS|15282860678205760401</stp>
        <tr r="I1342" s="2"/>
      </tp>
      <tp t="s">
        <v>#N/A N/A</v>
        <stp/>
        <stp>BDP|10369259434923820928</stp>
        <tr r="P1319" s="2"/>
      </tp>
      <tp t="s">
        <v>#N/A N/A</v>
        <stp/>
        <stp>BDP|16672818559522200246</stp>
        <tr r="G1596" s="2"/>
      </tp>
      <tp t="s">
        <v>#N/A N/A</v>
        <stp/>
        <stp>BDP|12361972282459945178</stp>
        <tr r="J1355" s="2"/>
      </tp>
      <tp t="s">
        <v>#N/A N/A</v>
        <stp/>
        <stp>BDP|12751861769250280722</stp>
        <tr r="N201" s="2"/>
      </tp>
      <tp t="s">
        <v>#N/A N/A</v>
        <stp/>
        <stp>BDP|11603519273189525199</stp>
        <tr r="G316" s="2"/>
      </tp>
      <tp t="s">
        <v>#N/A N/A</v>
        <stp/>
        <stp>BDP|12652687916109927792</stp>
        <tr r="M1049" s="2"/>
      </tp>
      <tp t="s">
        <v>#N/A N/A</v>
        <stp/>
        <stp>BDP|15667826460494804447</stp>
        <tr r="C986" s="2"/>
      </tp>
      <tp t="s">
        <v>#N/A N/A</v>
        <stp/>
        <stp>BDP|17061307375611816955</stp>
        <tr r="A48" s="2"/>
      </tp>
      <tp t="s">
        <v>#N/A N/A</v>
        <stp/>
        <stp>BDP|10040213743485857824</stp>
        <tr r="R633" s="2"/>
      </tp>
      <tp t="s">
        <v>#N/A N/A</v>
        <stp/>
        <stp>BDP|12282679072870994862</stp>
        <tr r="S949" s="2"/>
      </tp>
      <tp t="s">
        <v>#N/A N/A</v>
        <stp/>
        <stp>BDP|15929805641950186217</stp>
        <tr r="K836" s="2"/>
      </tp>
      <tp t="s">
        <v>#N/A N/A</v>
        <stp/>
        <stp>BDS|10852010014623039961</stp>
        <tr r="I1290" s="2"/>
      </tp>
      <tp t="s">
        <v>#N/A N/A</v>
        <stp/>
        <stp>BDP|12420512254139177087</stp>
        <tr r="A1220" s="2"/>
      </tp>
      <tp t="s">
        <v>#N/A N/A</v>
        <stp/>
        <stp>BDP|12866968916988775971</stp>
        <tr r="E995" s="2"/>
      </tp>
      <tp t="s">
        <v>#N/A N/A</v>
        <stp/>
        <stp>BDP|13600699782903023552</stp>
        <tr r="M867" s="2"/>
      </tp>
      <tp t="s">
        <v>#N/A N/A</v>
        <stp/>
        <stp>BDP|18294516713975977216</stp>
        <tr r="G396" s="2"/>
      </tp>
      <tp t="s">
        <v>#N/A N/A</v>
        <stp/>
        <stp>BDP|18394339224817481586</stp>
        <tr r="O183" s="2"/>
      </tp>
      <tp t="s">
        <v>#N/A N/A</v>
        <stp/>
        <stp>BDS|16077880624260235750</stp>
        <tr r="I1676" s="2"/>
      </tp>
      <tp t="s">
        <v>#N/A N/A</v>
        <stp/>
        <stp>BDP|14758803409176507132</stp>
        <tr r="G928" s="2"/>
      </tp>
      <tp t="s">
        <v>#N/A N/A</v>
        <stp/>
        <stp>BDP|15638382413424631832</stp>
        <tr r="E681" s="2"/>
      </tp>
      <tp t="s">
        <v>#N/A N/A</v>
        <stp/>
        <stp>BDP|12229311031431351896</stp>
        <tr r="C542" s="2"/>
      </tp>
      <tp t="s">
        <v>#N/A N/A</v>
        <stp/>
        <stp>BDP|15797832394997047882</stp>
        <tr r="S1599" s="2"/>
      </tp>
      <tp t="s">
        <v>#N/A N/A</v>
        <stp/>
        <stp>BDP|11602607682007423381</stp>
        <tr r="Q1227" s="2"/>
      </tp>
      <tp t="s">
        <v>#N/A N/A</v>
        <stp/>
        <stp>BDP|14272747164177923937</stp>
        <tr r="H1340" s="2"/>
      </tp>
      <tp t="s">
        <v>#N/A N/A</v>
        <stp/>
        <stp>BDP|16104983222281129727</stp>
        <tr r="H465" s="2"/>
      </tp>
      <tp t="s">
        <v>#N/A N/A</v>
        <stp/>
        <stp>BDP|18398127573662135780</stp>
        <tr r="E712" s="2"/>
      </tp>
      <tp t="s">
        <v>#N/A N/A</v>
        <stp/>
        <stp>BDP|12030348058197780809</stp>
        <tr r="E329" s="2"/>
      </tp>
      <tp t="s">
        <v>#N/A N/A</v>
        <stp/>
        <stp>BDS|17993111666318641304</stp>
        <tr r="I1670" s="2"/>
      </tp>
      <tp t="s">
        <v>#N/A N/A</v>
        <stp/>
        <stp>BDS|14604088915489357702</stp>
        <tr r="I49" s="2"/>
      </tp>
      <tp t="s">
        <v>#N/A N/A</v>
        <stp/>
        <stp>BDP|11398657402028935467</stp>
        <tr r="S796" s="2"/>
      </tp>
      <tp t="s">
        <v>#N/A N/A</v>
        <stp/>
        <stp>BDS|18053265653895976145</stp>
        <tr r="I1474" s="2"/>
      </tp>
      <tp t="s">
        <v>#N/A N/A</v>
        <stp/>
        <stp>BDS|13527346648589029619</stp>
        <tr r="I1351" s="2"/>
      </tp>
      <tp t="s">
        <v>#N/A N/A</v>
        <stp/>
        <stp>BDP|13399600648299745376</stp>
        <tr r="M76" s="2"/>
      </tp>
      <tp t="s">
        <v>#N/A N/A</v>
        <stp/>
        <stp>BDP|17516846313977025294</stp>
        <tr r="G36" s="2"/>
      </tp>
      <tp t="s">
        <v>#N/A N/A</v>
        <stp/>
        <stp>BDP|11875468783062757412</stp>
        <tr r="S348" s="2"/>
      </tp>
      <tp t="s">
        <v>#N/A N/A</v>
        <stp/>
        <stp>BDP|12678403312204978869</stp>
        <tr r="K1375" s="2"/>
      </tp>
      <tp t="s">
        <v>#N/A N/A</v>
        <stp/>
        <stp>BDS|14215139789690969690</stp>
        <tr r="I26" s="2"/>
      </tp>
      <tp t="s">
        <v>#N/A N/A</v>
        <stp/>
        <stp>BDP|15962169194483317535</stp>
        <tr r="T850" s="2"/>
      </tp>
      <tp t="s">
        <v>#N/A N/A</v>
        <stp/>
        <stp>BDP|17463376411989864710</stp>
        <tr r="M667" s="2"/>
      </tp>
      <tp t="s">
        <v>#N/A N/A</v>
        <stp/>
        <stp>BDS|12768004896430998000</stp>
        <tr r="I265" s="2"/>
      </tp>
      <tp t="s">
        <v>#N/A N/A</v>
        <stp/>
        <stp>BDP|17015365319999063745</stp>
        <tr r="C788" s="2"/>
      </tp>
      <tp t="s">
        <v>#N/A N/A</v>
        <stp/>
        <stp>BDP|15650644078976535945</stp>
        <tr r="J137" s="2"/>
      </tp>
      <tp t="s">
        <v>#N/A N/A</v>
        <stp/>
        <stp>BDP|13171395476545788923</stp>
        <tr r="A933" s="2"/>
      </tp>
      <tp t="s">
        <v>#N/A N/A</v>
        <stp/>
        <stp>BDP|16899567094253329222</stp>
        <tr r="D1609" s="2"/>
      </tp>
      <tp t="s">
        <v>#N/A N/A</v>
        <stp/>
        <stp>BDS|17121399215739655735</stp>
        <tr r="I380" s="2"/>
      </tp>
      <tp t="s">
        <v>#N/A N/A</v>
        <stp/>
        <stp>BDP|10652697426869724654</stp>
        <tr r="S1129" s="2"/>
      </tp>
      <tp t="s">
        <v>#N/A N/A</v>
        <stp/>
        <stp>BDP|14639637940474781994</stp>
        <tr r="R1115" s="2"/>
      </tp>
      <tp t="s">
        <v>#N/A N/A</v>
        <stp/>
        <stp>BDP|14174528073275393888</stp>
        <tr r="M646" s="2"/>
      </tp>
      <tp t="s">
        <v>#N/A N/A</v>
        <stp/>
        <stp>BDS|15990808341770129217</stp>
        <tr r="I1054" s="2"/>
      </tp>
      <tp t="s">
        <v>#N/A N/A</v>
        <stp/>
        <stp>BDS|10948537581670176621</stp>
        <tr r="I1310" s="2"/>
      </tp>
      <tp t="s">
        <v>#N/A N/A</v>
        <stp/>
        <stp>BDP|17638747458057776960</stp>
        <tr r="A356" s="2"/>
      </tp>
      <tp t="s">
        <v>#N/A N/A</v>
        <stp/>
        <stp>BDS|16036893521140168714</stp>
        <tr r="I719" s="2"/>
      </tp>
      <tp t="s">
        <v>#N/A N/A</v>
        <stp/>
        <stp>BDP|15548406299177403430</stp>
        <tr r="O95" s="2"/>
      </tp>
      <tp t="s">
        <v>#N/A N/A</v>
        <stp/>
        <stp>BDP|12562809958991522537</stp>
        <tr r="G24" s="2"/>
      </tp>
      <tp t="s">
        <v>#N/A N/A</v>
        <stp/>
        <stp>BDP|13416623311619918657</stp>
        <tr r="R1006" s="2"/>
      </tp>
      <tp t="s">
        <v>#N/A N/A</v>
        <stp/>
        <stp>BDP|14186859173614521497</stp>
        <tr r="K1114" s="2"/>
      </tp>
      <tp t="s">
        <v>#N/A N/A</v>
        <stp/>
        <stp>BDP|17820293058758553371</stp>
        <tr r="M104" s="2"/>
      </tp>
      <tp t="s">
        <v>#N/A N/A</v>
        <stp/>
        <stp>BDP|10538359479388524779</stp>
        <tr r="Q1000" s="2"/>
      </tp>
      <tp t="s">
        <v>#N/A N/A</v>
        <stp/>
        <stp>BDP|17665910682745865865</stp>
        <tr r="S339" s="2"/>
      </tp>
      <tp t="s">
        <v>#N/A N/A</v>
        <stp/>
        <stp>BDP|18100352896319046094</stp>
        <tr r="O1069" s="2"/>
      </tp>
      <tp t="s">
        <v>#N/A N/A</v>
        <stp/>
        <stp>BDP|15532225189072630634</stp>
        <tr r="D1247" s="2"/>
      </tp>
      <tp t="s">
        <v>#N/A N/A</v>
        <stp/>
        <stp>BDP|10364783784473259764</stp>
        <tr r="T717" s="2"/>
      </tp>
      <tp t="s">
        <v>#N/A N/A</v>
        <stp/>
        <stp>BDS|13839932301038114930</stp>
        <tr r="I1594" s="2"/>
      </tp>
      <tp t="s">
        <v>#N/A N/A</v>
        <stp/>
        <stp>BDP|10768138819319188275</stp>
        <tr r="D237" s="2"/>
      </tp>
      <tp t="s">
        <v>#N/A N/A</v>
        <stp/>
        <stp>BDS|13988666283242086444</stp>
        <tr r="I1319" s="2"/>
      </tp>
      <tp t="s">
        <v>#N/A N/A</v>
        <stp/>
        <stp>BDP|10417992277465244033</stp>
        <tr r="N123" s="2"/>
      </tp>
      <tp t="s">
        <v>#N/A N/A</v>
        <stp/>
        <stp>BDP|14876845073410741032</stp>
        <tr r="G899" s="2"/>
      </tp>
      <tp t="s">
        <v>#N/A N/A</v>
        <stp/>
        <stp>BDP|16645840818934596043</stp>
        <tr r="M452" s="2"/>
      </tp>
      <tp t="s">
        <v>#N/A N/A</v>
        <stp/>
        <stp>BDP|10742986727601311102</stp>
        <tr r="D1558" s="2"/>
      </tp>
      <tp t="s">
        <v>#N/A N/A</v>
        <stp/>
        <stp>BDP|15071483360285028933</stp>
        <tr r="O66" s="2"/>
      </tp>
      <tp t="s">
        <v>#N/A N/A</v>
        <stp/>
        <stp>BDP|10527155857517907854</stp>
        <tr r="F364" s="2"/>
      </tp>
      <tp t="s">
        <v>#N/A N/A</v>
        <stp/>
        <stp>BDP|13478820324066037492</stp>
        <tr r="A1129" s="2"/>
      </tp>
      <tp t="s">
        <v>#N/A N/A</v>
        <stp/>
        <stp>BDP|15044551194500948231</stp>
        <tr r="O798" s="2"/>
      </tp>
      <tp t="s">
        <v>#N/A N/A</v>
        <stp/>
        <stp>BDP|14436930112705869267</stp>
        <tr r="H398" s="2"/>
      </tp>
      <tp t="s">
        <v>#N/A N/A</v>
        <stp/>
        <stp>BDP|12389427940329899021</stp>
        <tr r="M851" s="2"/>
      </tp>
      <tp t="s">
        <v>#N/A N/A</v>
        <stp/>
        <stp>BDP|11816530382662266505</stp>
        <tr r="O1385" s="2"/>
      </tp>
      <tp t="s">
        <v>#N/A N/A</v>
        <stp/>
        <stp>BDS|15246107352769873307</stp>
        <tr r="I1140" s="2"/>
      </tp>
      <tp t="s">
        <v>#N/A N/A</v>
        <stp/>
        <stp>BDP|18186274084599057087</stp>
        <tr r="C1460" s="2"/>
      </tp>
      <tp t="s">
        <v>#N/A N/A</v>
        <stp/>
        <stp>BDP|17185847154539282899</stp>
        <tr r="S1324" s="2"/>
      </tp>
      <tp t="s">
        <v>#N/A N/A</v>
        <stp/>
        <stp>BDP|16357855858070787032</stp>
        <tr r="H1613" s="2"/>
      </tp>
      <tp t="s">
        <v>#N/A N/A</v>
        <stp/>
        <stp>BDP|14838234282157658259</stp>
        <tr r="C708" s="2"/>
      </tp>
      <tp t="s">
        <v>#N/A N/A</v>
        <stp/>
        <stp>BDP|15311419703233893939</stp>
        <tr r="T846" s="2"/>
      </tp>
      <tp t="s">
        <v>#N/A N/A</v>
        <stp/>
        <stp>BDP|18231490315926031040</stp>
        <tr r="N836" s="2"/>
      </tp>
      <tp t="s">
        <v>#N/A N/A</v>
        <stp/>
        <stp>BDP|18044723024692406489</stp>
        <tr r="Q191" s="2"/>
      </tp>
      <tp t="s">
        <v>#N/A N/A</v>
        <stp/>
        <stp>BDP|18110629242004214591</stp>
        <tr r="D536" s="2"/>
      </tp>
      <tp t="s">
        <v>#N/A N/A</v>
        <stp/>
        <stp>BDP|16994212088612324597</stp>
        <tr r="F198" s="2"/>
      </tp>
      <tp t="s">
        <v>#N/A N/A</v>
        <stp/>
        <stp>BDP|17907799285480961364</stp>
        <tr r="Q1502" s="2"/>
      </tp>
      <tp t="s">
        <v>#N/A N/A</v>
        <stp/>
        <stp>BDP|12489751380221309785</stp>
        <tr r="K577" s="2"/>
      </tp>
      <tp t="s">
        <v>#N/A N/A</v>
        <stp/>
        <stp>BDP|18062213405234984571</stp>
        <tr r="A949" s="2"/>
      </tp>
      <tp t="s">
        <v>#N/A N/A</v>
        <stp/>
        <stp>BDP|16869868203891581420</stp>
        <tr r="H305" s="2"/>
      </tp>
      <tp t="s">
        <v>#N/A N/A</v>
        <stp/>
        <stp>BDP|15693346596915828169</stp>
        <tr r="J1678" s="2"/>
      </tp>
      <tp t="s">
        <v>#N/A N/A</v>
        <stp/>
        <stp>BDP|10772490570328502019</stp>
        <tr r="N1543" s="2"/>
      </tp>
      <tp t="s">
        <v>#N/A N/A</v>
        <stp/>
        <stp>BDP|13797512358821385976</stp>
        <tr r="N772" s="2"/>
      </tp>
      <tp t="s">
        <v>#N/A N/A</v>
        <stp/>
        <stp>BDP|15384664648158435433</stp>
        <tr r="K942" s="2"/>
      </tp>
      <tp t="s">
        <v>#N/A N/A</v>
        <stp/>
        <stp>BDP|12646657228009591446</stp>
        <tr r="S107" s="2"/>
      </tp>
      <tp t="s">
        <v>#N/A N/A</v>
        <stp/>
        <stp>BDP|15587449350129347688</stp>
        <tr r="H1386" s="2"/>
      </tp>
      <tp t="s">
        <v>#N/A N/A</v>
        <stp/>
        <stp>BDP|11934304495194499423</stp>
        <tr r="E549" s="2"/>
      </tp>
      <tp t="s">
        <v>#N/A N/A</v>
        <stp/>
        <stp>BDP|11147992292878041206</stp>
        <tr r="E1702" s="2"/>
      </tp>
      <tp t="s">
        <v>#N/A N/A</v>
        <stp/>
        <stp>BDP|16845861915563432750</stp>
        <tr r="M126" s="2"/>
      </tp>
      <tp t="s">
        <v>#N/A N/A</v>
        <stp/>
        <stp>BDP|12232483793731031537</stp>
        <tr r="H725" s="2"/>
      </tp>
      <tp t="s">
        <v>#N/A N/A</v>
        <stp/>
        <stp>BDP|11872360592364167471</stp>
        <tr r="H761" s="2"/>
      </tp>
      <tp t="s">
        <v>#N/A N/A</v>
        <stp/>
        <stp>BDP|17115342038748407437</stp>
        <tr r="E1592" s="2"/>
      </tp>
      <tp t="s">
        <v>#N/A N/A</v>
        <stp/>
        <stp>BDP|11023955942385557283</stp>
        <tr r="P1279" s="2"/>
      </tp>
      <tp t="s">
        <v>#N/A N/A</v>
        <stp/>
        <stp>BDP|13921509158819343185</stp>
        <tr r="O1648" s="2"/>
      </tp>
      <tp t="s">
        <v>#N/A N/A</v>
        <stp/>
        <stp>BDP|18024479068421144049</stp>
        <tr r="N760" s="2"/>
      </tp>
      <tp t="s">
        <v>#N/A N/A</v>
        <stp/>
        <stp>BDP|17677051148991583946</stp>
        <tr r="H526" s="2"/>
      </tp>
      <tp t="s">
        <v>#N/A N/A</v>
        <stp/>
        <stp>BDP|17107741152016469896</stp>
        <tr r="P1021" s="2"/>
      </tp>
      <tp t="s">
        <v>#N/A N/A</v>
        <stp/>
        <stp>BDP|13872062024402194819</stp>
        <tr r="K632" s="2"/>
      </tp>
      <tp t="s">
        <v>#N/A N/A</v>
        <stp/>
        <stp>BDP|10081911079153205609</stp>
        <tr r="M1419" s="2"/>
      </tp>
      <tp t="s">
        <v>#N/A N/A</v>
        <stp/>
        <stp>BDP|14990979977797574660</stp>
        <tr r="O1720" s="2"/>
      </tp>
      <tp t="s">
        <v>#N/A N/A</v>
        <stp/>
        <stp>BDP|17865232340989998384</stp>
        <tr r="K419" s="2"/>
      </tp>
      <tp t="s">
        <v>#N/A N/A</v>
        <stp/>
        <stp>BDP|13272972827451142292</stp>
        <tr r="K897" s="2"/>
      </tp>
      <tp t="s">
        <v>#N/A N/A</v>
        <stp/>
        <stp>BDP|16379974471107973463</stp>
        <tr r="T352" s="2"/>
      </tp>
      <tp t="s">
        <v>#N/A N/A</v>
        <stp/>
        <stp>BDP|12336644888663530404</stp>
        <tr r="Q1719" s="2"/>
      </tp>
      <tp t="s">
        <v>#N/A N/A</v>
        <stp/>
        <stp>BDP|13093766387231896632</stp>
        <tr r="T861" s="2"/>
      </tp>
      <tp t="s">
        <v>#N/A N/A</v>
        <stp/>
        <stp>BDP|10344367295715838422</stp>
        <tr r="P415" s="2"/>
      </tp>
      <tp t="s">
        <v>#N/A N/A</v>
        <stp/>
        <stp>BDP|16355734798597712450</stp>
        <tr r="F1541" s="2"/>
      </tp>
      <tp t="s">
        <v>#N/A N/A</v>
        <stp/>
        <stp>BDP|18438021036047950733</stp>
        <tr r="N834" s="2"/>
      </tp>
      <tp t="s">
        <v>#N/A N/A</v>
        <stp/>
        <stp>BDS|11967907026727319653</stp>
        <tr r="I319" s="2"/>
      </tp>
      <tp t="s">
        <v>#N/A N/A</v>
        <stp/>
        <stp>BDP|15870378974892118802</stp>
        <tr r="H973" s="2"/>
      </tp>
      <tp t="s">
        <v>#N/A N/A</v>
        <stp/>
        <stp>BDP|10712492767379624056</stp>
        <tr r="O590" s="2"/>
      </tp>
      <tp t="s">
        <v>#N/A N/A</v>
        <stp/>
        <stp>BDP|18044034439691838181</stp>
        <tr r="F383" s="2"/>
      </tp>
      <tp t="s">
        <v>#N/A N/A</v>
        <stp/>
        <stp>BDP|13808557248300609990</stp>
        <tr r="R1630" s="2"/>
      </tp>
      <tp t="s">
        <v>#N/A N/A</v>
        <stp/>
        <stp>BDP|14380592402439384312</stp>
        <tr r="S619" s="2"/>
      </tp>
      <tp t="s">
        <v>#N/A N/A</v>
        <stp/>
        <stp>BDP|16801920264001227319</stp>
        <tr r="M1465" s="2"/>
      </tp>
      <tp t="s">
        <v>#N/A N/A</v>
        <stp/>
        <stp>BDP|14851345004254314868</stp>
        <tr r="M1266" s="2"/>
      </tp>
      <tp t="s">
        <v>#N/A N/A</v>
        <stp/>
        <stp>BDP|14393762085744545483</stp>
        <tr r="H544" s="2"/>
      </tp>
      <tp t="s">
        <v>#N/A N/A</v>
        <stp/>
        <stp>BDP|18198190781902092843</stp>
        <tr r="M1036" s="2"/>
      </tp>
      <tp t="s">
        <v>#N/A N/A</v>
        <stp/>
        <stp>BDP|11177281885113949389</stp>
        <tr r="E416" s="2"/>
      </tp>
      <tp t="s">
        <v>#N/A N/A</v>
        <stp/>
        <stp>BDP|18277830504038897304</stp>
        <tr r="N1239" s="2"/>
      </tp>
      <tp t="s">
        <v>#N/A N/A</v>
        <stp/>
        <stp>BDS|12449745926378006488</stp>
        <tr r="I1646" s="2"/>
      </tp>
      <tp t="s">
        <v>#N/A N/A</v>
        <stp/>
        <stp>BDP|16201340250288219399</stp>
        <tr r="R632" s="2"/>
      </tp>
      <tp t="s">
        <v>#N/A N/A</v>
        <stp/>
        <stp>BDP|16312099916344047816</stp>
        <tr r="C1401" s="2"/>
      </tp>
      <tp t="s">
        <v>#N/A N/A</v>
        <stp/>
        <stp>BDP|16527828043722816314</stp>
        <tr r="P406" s="2"/>
      </tp>
      <tp t="s">
        <v>#N/A N/A</v>
        <stp/>
        <stp>BDP|17543642280873957154</stp>
        <tr r="C1338" s="2"/>
      </tp>
      <tp t="s">
        <v>#N/A N/A</v>
        <stp/>
        <stp>BDP|11058249988648955880</stp>
        <tr r="M244" s="2"/>
      </tp>
      <tp t="s">
        <v>#N/A N/A</v>
        <stp/>
        <stp>BDP|10257310754758880524</stp>
        <tr r="T1261" s="2"/>
      </tp>
      <tp t="s">
        <v>#N/A N/A</v>
        <stp/>
        <stp>BDP|11574970602607885457</stp>
        <tr r="Q786" s="2"/>
      </tp>
      <tp t="s">
        <v>#N/A N/A</v>
        <stp/>
        <stp>BDP|12395077613391974937</stp>
        <tr r="T91" s="2"/>
      </tp>
      <tp t="s">
        <v>#N/A N/A</v>
        <stp/>
        <stp>BDP|15041752395236893650</stp>
        <tr r="A1134" s="2"/>
      </tp>
      <tp t="s">
        <v>#N/A N/A</v>
        <stp/>
        <stp>BDP|11271264488930472051</stp>
        <tr r="C73" s="2"/>
      </tp>
      <tp t="s">
        <v>#N/A N/A</v>
        <stp/>
        <stp>BDP|15598199721735898882</stp>
        <tr r="Q961" s="2"/>
      </tp>
      <tp t="s">
        <v>#N/A N/A</v>
        <stp/>
        <stp>BDP|12758365589601376363</stp>
        <tr r="R1689" s="2"/>
      </tp>
      <tp t="s">
        <v>#N/A N/A</v>
        <stp/>
        <stp>BDP|12830243079295056986</stp>
        <tr r="D1035" s="2"/>
      </tp>
      <tp t="s">
        <v>#N/A N/A</v>
        <stp/>
        <stp>BDP|14724484857277420917</stp>
        <tr r="S1206" s="2"/>
      </tp>
      <tp t="s">
        <v>#N/A N/A</v>
        <stp/>
        <stp>BDP|17704282100586259803</stp>
        <tr r="N208" s="2"/>
      </tp>
      <tp t="s">
        <v>#N/A N/A</v>
        <stp/>
        <stp>BDP|18011033030376850664</stp>
        <tr r="C1417" s="2"/>
      </tp>
      <tp t="s">
        <v>#N/A N/A</v>
        <stp/>
        <stp>BDP|15326442639679067030</stp>
        <tr r="N659" s="2"/>
      </tp>
      <tp t="s">
        <v>#N/A N/A</v>
        <stp/>
        <stp>BDP|13944912863660407727</stp>
        <tr r="J88" s="2"/>
      </tp>
      <tp t="s">
        <v>#N/A N/A</v>
        <stp/>
        <stp>BDP|10454010748786723977</stp>
        <tr r="R752" s="2"/>
      </tp>
      <tp t="s">
        <v>#N/A N/A</v>
        <stp/>
        <stp>BDP|14672874362836657789</stp>
        <tr r="K1240" s="2"/>
      </tp>
      <tp t="s">
        <v>#N/A N/A</v>
        <stp/>
        <stp>BDP|16555074100648915561</stp>
        <tr r="J1397" s="2"/>
      </tp>
      <tp t="s">
        <v>#N/A N/A</v>
        <stp/>
        <stp>BDP|10460820516407468592</stp>
        <tr r="F554" s="2"/>
      </tp>
      <tp t="s">
        <v>#N/A N/A</v>
        <stp/>
        <stp>BDP|12080899812914574439</stp>
        <tr r="F91" s="2"/>
      </tp>
      <tp t="s">
        <v>#N/A N/A</v>
        <stp/>
        <stp>BDP|15624711391394238495</stp>
        <tr r="P332" s="2"/>
      </tp>
      <tp t="s">
        <v>#N/A N/A</v>
        <stp/>
        <stp>BDP|18165992504772421857</stp>
        <tr r="E373" s="2"/>
      </tp>
      <tp t="s">
        <v>#N/A N/A</v>
        <stp/>
        <stp>BDP|13071355027909788086</stp>
        <tr r="G1481" s="2"/>
      </tp>
      <tp t="s">
        <v>#N/A N/A</v>
        <stp/>
        <stp>BDP|18194682230941306777</stp>
        <tr r="G1067" s="2"/>
      </tp>
      <tp t="s">
        <v>#N/A N/A</v>
        <stp/>
        <stp>BDP|14865605889797849644</stp>
        <tr r="R19" s="2"/>
      </tp>
      <tp t="s">
        <v>#N/A N/A</v>
        <stp/>
        <stp>BDP|17932070784532523620</stp>
        <tr r="F704" s="2"/>
      </tp>
      <tp t="s">
        <v>#N/A N/A</v>
        <stp/>
        <stp>BDS|14900882020642997769</stp>
        <tr r="I1112" s="2"/>
      </tp>
      <tp t="s">
        <v>#N/A N/A</v>
        <stp/>
        <stp>BDP|14044300369888464211</stp>
        <tr r="D1434" s="2"/>
      </tp>
      <tp t="s">
        <v>#N/A N/A</v>
        <stp/>
        <stp>BDP|10692621457118820070</stp>
        <tr r="S1066" s="2"/>
      </tp>
      <tp t="s">
        <v>#N/A N/A</v>
        <stp/>
        <stp>BDP|18280182201085357745</stp>
        <tr r="T1085" s="2"/>
      </tp>
      <tp t="s">
        <v>#N/A N/A</v>
        <stp/>
        <stp>BDP|15223741495820803071</stp>
        <tr r="H1579" s="2"/>
      </tp>
      <tp t="s">
        <v>#N/A N/A</v>
        <stp/>
        <stp>BDS|16738528194671702094</stp>
        <tr r="I542" s="2"/>
      </tp>
      <tp t="s">
        <v>#N/A N/A</v>
        <stp/>
        <stp>BDP|10532196983506515468</stp>
        <tr r="T1214" s="2"/>
      </tp>
      <tp t="s">
        <v>#N/A N/A</v>
        <stp/>
        <stp>BDP|14494460402149897248</stp>
        <tr r="S1194" s="2"/>
      </tp>
      <tp t="s">
        <v>#N/A N/A</v>
        <stp/>
        <stp>BDP|12194072936389401380</stp>
        <tr r="E257" s="2"/>
      </tp>
      <tp t="s">
        <v>#N/A N/A</v>
        <stp/>
        <stp>BDP|14353845209966750154</stp>
        <tr r="H1306" s="2"/>
      </tp>
      <tp t="s">
        <v>#N/A N/A</v>
        <stp/>
        <stp>BDP|11086593168671532886</stp>
        <tr r="N18" s="2"/>
      </tp>
      <tp t="s">
        <v>#N/A N/A</v>
        <stp/>
        <stp>BDP|12439440589725792022</stp>
        <tr r="Q774" s="2"/>
      </tp>
      <tp t="s">
        <v>#N/A N/A</v>
        <stp/>
        <stp>BDP|15288832560814982445</stp>
        <tr r="R554" s="2"/>
      </tp>
      <tp t="s">
        <v>#N/A N/A</v>
        <stp/>
        <stp>BDP|17540978116093166795</stp>
        <tr r="K1570" s="2"/>
      </tp>
      <tp t="s">
        <v>#N/A N/A</v>
        <stp/>
        <stp>BDP|14352664195972854242</stp>
        <tr r="T1492" s="2"/>
      </tp>
      <tp t="s">
        <v>#N/A N/A</v>
        <stp/>
        <stp>BDP|15551211476013687883</stp>
        <tr r="T906" s="2"/>
      </tp>
      <tp t="s">
        <v>#N/A N/A</v>
        <stp/>
        <stp>BDP|12058919518463239274</stp>
        <tr r="F18" s="2"/>
      </tp>
      <tp t="s">
        <v>#N/A N/A</v>
        <stp/>
        <stp>BDP|10355794161063088977</stp>
        <tr r="O138" s="2"/>
      </tp>
      <tp t="s">
        <v>#N/A N/A</v>
        <stp/>
        <stp>BDP|10841501120225398970</stp>
        <tr r="C1323" s="2"/>
      </tp>
      <tp t="s">
        <v>#N/A N/A</v>
        <stp/>
        <stp>BDP|12046102269698483615</stp>
        <tr r="A278" s="2"/>
      </tp>
      <tp t="s">
        <v>#N/A N/A</v>
        <stp/>
        <stp>BDP|11718447329769295545</stp>
        <tr r="R1149" s="2"/>
      </tp>
      <tp t="s">
        <v>#N/A N/A</v>
        <stp/>
        <stp>BDP|14800299976413235992</stp>
        <tr r="T976" s="2"/>
      </tp>
      <tp t="s">
        <v>#N/A N/A</v>
        <stp/>
        <stp>BDP|17712315266908587199</stp>
        <tr r="E410" s="2"/>
      </tp>
      <tp t="s">
        <v>#N/A N/A</v>
        <stp/>
        <stp>BDP|18337591764901171130</stp>
        <tr r="O809" s="2"/>
      </tp>
      <tp t="s">
        <v>#N/A N/A</v>
        <stp/>
        <stp>BDP|10450815928103705262</stp>
        <tr r="C1263" s="2"/>
      </tp>
      <tp t="s">
        <v>#N/A N/A</v>
        <stp/>
        <stp>BDS|10894628206098504562</stp>
        <tr r="I1247" s="2"/>
      </tp>
      <tp t="s">
        <v>#N/A N/A</v>
        <stp/>
        <stp>BDP|18443480861655638472</stp>
        <tr r="F183" s="2"/>
      </tp>
      <tp t="s">
        <v>#N/A N/A</v>
        <stp/>
        <stp>BDP|18098830855957246987</stp>
        <tr r="A20" s="2"/>
      </tp>
      <tp t="s">
        <v>#N/A N/A</v>
        <stp/>
        <stp>BDP|18335605988485107861</stp>
        <tr r="C1051" s="2"/>
      </tp>
      <tp t="s">
        <v>#N/A N/A</v>
        <stp/>
        <stp>BDP|16879723820449360154</stp>
        <tr r="J564" s="2"/>
      </tp>
      <tp t="s">
        <v>#N/A N/A</v>
        <stp/>
        <stp>BDP|16160055787155684098</stp>
        <tr r="G911" s="2"/>
      </tp>
      <tp t="s">
        <v>#N/A N/A</v>
        <stp/>
        <stp>BDP|12602430020789029697</stp>
        <tr r="K772" s="2"/>
      </tp>
      <tp t="s">
        <v>#N/A N/A</v>
        <stp/>
        <stp>BDP|11640540378470689809</stp>
        <tr r="S51" s="2"/>
      </tp>
      <tp t="s">
        <v>#N/A N/A</v>
        <stp/>
        <stp>BDP|18256433158556048456</stp>
        <tr r="C312" s="2"/>
      </tp>
      <tp t="s">
        <v>#N/A N/A</v>
        <stp/>
        <stp>BDP|13966906014280738060</stp>
        <tr r="O1202" s="2"/>
      </tp>
      <tp t="s">
        <v>#N/A N/A</v>
        <stp/>
        <stp>BDP|11785799883575353026</stp>
        <tr r="H1554" s="2"/>
      </tp>
      <tp t="s">
        <v>#N/A N/A</v>
        <stp/>
        <stp>BDS|10011734041288441094</stp>
        <tr r="I1682" s="2"/>
      </tp>
      <tp t="s">
        <v>#N/A N/A</v>
        <stp/>
        <stp>BDP|11625913977757862347</stp>
        <tr r="N416" s="2"/>
      </tp>
      <tp t="s">
        <v>#N/A N/A</v>
        <stp/>
        <stp>BDP|17792181482603810698</stp>
        <tr r="P414" s="2"/>
      </tp>
      <tp t="s">
        <v>#N/A N/A</v>
        <stp/>
        <stp>BDP|14276690796356568644</stp>
        <tr r="S1373" s="2"/>
      </tp>
      <tp t="s">
        <v>#N/A N/A</v>
        <stp/>
        <stp>BDP|13114924903469502897</stp>
        <tr r="A788" s="2"/>
      </tp>
      <tp t="s">
        <v>#N/A N/A</v>
        <stp/>
        <stp>BDP|10484815979217796370</stp>
        <tr r="O1081" s="2"/>
      </tp>
      <tp t="s">
        <v>#N/A N/A</v>
        <stp/>
        <stp>BDP|13359790998363822562</stp>
        <tr r="J1722" s="2"/>
      </tp>
      <tp t="s">
        <v>#N/A N/A</v>
        <stp/>
        <stp>BDP|13907169145319173478</stp>
        <tr r="E753" s="2"/>
      </tp>
      <tp t="s">
        <v>#N/A N/A</v>
        <stp/>
        <stp>BDP|18175549883827818922</stp>
        <tr r="G466" s="2"/>
      </tp>
      <tp t="s">
        <v>#N/A N/A</v>
        <stp/>
        <stp>BDP|17665820568524741672</stp>
        <tr r="A987" s="2"/>
      </tp>
      <tp t="s">
        <v>#N/A N/A</v>
        <stp/>
        <stp>BDP|16808869858892254280</stp>
        <tr r="O1647" s="2"/>
      </tp>
      <tp t="s">
        <v>#N/A N/A</v>
        <stp/>
        <stp>BDP|18056650110393125780</stp>
        <tr r="P84" s="2"/>
      </tp>
      <tp t="s">
        <v>#N/A N/A</v>
        <stp/>
        <stp>BDP|13406391350507077917</stp>
        <tr r="J1289" s="2"/>
      </tp>
      <tp t="s">
        <v>#N/A N/A</v>
        <stp/>
        <stp>BDP|14490721283189344996</stp>
        <tr r="F1449" s="2"/>
      </tp>
      <tp t="s">
        <v>#N/A N/A</v>
        <stp/>
        <stp>BDP|16608336728094498864</stp>
        <tr r="Q301" s="2"/>
      </tp>
      <tp t="s">
        <v>#N/A N/A</v>
        <stp/>
        <stp>BDP|14929022492111738718</stp>
        <tr r="S806" s="2"/>
      </tp>
      <tp t="s">
        <v>#N/A N/A</v>
        <stp/>
        <stp>BDP|16098771951407005896</stp>
        <tr r="T81" s="2"/>
      </tp>
      <tp t="s">
        <v>#N/A N/A</v>
        <stp/>
        <stp>BDS|17196794495317325526</stp>
        <tr r="I825" s="2"/>
      </tp>
      <tp t="s">
        <v>#N/A N/A</v>
        <stp/>
        <stp>BDP|12045529088002617636</stp>
        <tr r="P1510" s="2"/>
      </tp>
      <tp t="s">
        <v>#N/A N/A</v>
        <stp/>
        <stp>BDS|14614388273038007313</stp>
        <tr r="I1493" s="2"/>
      </tp>
      <tp t="s">
        <v>#N/A N/A</v>
        <stp/>
        <stp>BDP|12728044259278282475</stp>
        <tr r="G1324" s="2"/>
      </tp>
      <tp t="s">
        <v>#N/A N/A</v>
        <stp/>
        <stp>BDP|17974448574008747712</stp>
        <tr r="A1448" s="2"/>
      </tp>
      <tp t="s">
        <v>#N/A N/A</v>
        <stp/>
        <stp>BDP|18075021523971831065</stp>
        <tr r="N793" s="2"/>
      </tp>
      <tp t="s">
        <v>#N/A N/A</v>
        <stp/>
        <stp>BDP|14838637704878467145</stp>
        <tr r="M483" s="2"/>
      </tp>
      <tp t="s">
        <v>#N/A N/A</v>
        <stp/>
        <stp>BDP|18186519259990474320</stp>
        <tr r="A311" s="2"/>
      </tp>
      <tp t="s">
        <v>#N/A N/A</v>
        <stp/>
        <stp>BDP|15394197756959010339</stp>
        <tr r="C362" s="2"/>
      </tp>
      <tp t="s">
        <v>#N/A N/A</v>
        <stp/>
        <stp>BDP|12910073256209473538</stp>
        <tr r="M577" s="2"/>
      </tp>
      <tp t="s">
        <v>#N/A N/A</v>
        <stp/>
        <stp>BDP|12910079031092276821</stp>
        <tr r="N576" s="2"/>
      </tp>
      <tp t="s">
        <v>#N/A N/A</v>
        <stp/>
        <stp>BDP|15877001196113700469</stp>
        <tr r="M1711" s="2"/>
      </tp>
      <tp t="s">
        <v>#N/A N/A</v>
        <stp/>
        <stp>BDP|16924839865774229720</stp>
        <tr r="O956" s="2"/>
      </tp>
      <tp t="s">
        <v>#N/A N/A</v>
        <stp/>
        <stp>BDP|15551790213001598951</stp>
        <tr r="P470" s="2"/>
      </tp>
      <tp t="s">
        <v>#N/A N/A</v>
        <stp/>
        <stp>BDP|14250451138231880983</stp>
        <tr r="P890" s="2"/>
      </tp>
      <tp t="s">
        <v>#N/A N/A</v>
        <stp/>
        <stp>BDP|10011896029098634998</stp>
        <tr r="O1569" s="2"/>
      </tp>
      <tp t="s">
        <v>#N/A N/A</v>
        <stp/>
        <stp>BDP|15691394111138486458</stp>
        <tr r="A1555" s="2"/>
      </tp>
      <tp t="s">
        <v>#N/A N/A</v>
        <stp/>
        <stp>BDP|15271937608852288543</stp>
        <tr r="A694" s="2"/>
      </tp>
      <tp t="s">
        <v>#N/A N/A</v>
        <stp/>
        <stp>BDP|15117986879185771582</stp>
        <tr r="C1008" s="2"/>
      </tp>
      <tp t="s">
        <v>#N/A N/A</v>
        <stp/>
        <stp>BDP|15228137496424148296</stp>
        <tr r="T1393" s="2"/>
      </tp>
      <tp t="s">
        <v>#N/A N/A</v>
        <stp/>
        <stp>BDP|17788748651307962947</stp>
        <tr r="N147" s="2"/>
      </tp>
      <tp t="s">
        <v>#N/A N/A</v>
        <stp/>
        <stp>BDP|17999404576528529758</stp>
        <tr r="T454" s="2"/>
      </tp>
      <tp t="s">
        <v>#N/A N/A</v>
        <stp/>
        <stp>BDP|10723451795502104494</stp>
        <tr r="K778" s="2"/>
      </tp>
      <tp t="s">
        <v>#N/A N/A</v>
        <stp/>
        <stp>BDP|17878472160426258826</stp>
        <tr r="Q259" s="2"/>
      </tp>
      <tp t="s">
        <v>#N/A N/A</v>
        <stp/>
        <stp>BDS|16927410847475764841</stp>
        <tr r="I552" s="2"/>
      </tp>
      <tp t="s">
        <v>#N/A N/A</v>
        <stp/>
        <stp>BDP|10793719218304504942</stp>
        <tr r="M1080" s="2"/>
      </tp>
      <tp t="s">
        <v>#N/A N/A</v>
        <stp/>
        <stp>BDS|16827820570002566035</stp>
        <tr r="I141" s="2"/>
      </tp>
      <tp t="s">
        <v>#N/A N/A</v>
        <stp/>
        <stp>BDP|16817012085497558263</stp>
        <tr r="A1041" s="2"/>
      </tp>
      <tp t="s">
        <v>#N/A N/A</v>
        <stp/>
        <stp>BDP|17004099442169695120</stp>
        <tr r="J967" s="2"/>
      </tp>
      <tp t="s">
        <v>#N/A N/A</v>
        <stp/>
        <stp>BDP|11145439157993878823</stp>
        <tr r="K889" s="2"/>
      </tp>
      <tp t="s">
        <v>#N/A N/A</v>
        <stp/>
        <stp>BDP|14010837568126734734</stp>
        <tr r="J1405" s="2"/>
      </tp>
      <tp t="s">
        <v>#N/A N/A</v>
        <stp/>
        <stp>BDP|12519559877499037288</stp>
        <tr r="J1227" s="2"/>
      </tp>
      <tp t="s">
        <v>#N/A N/A</v>
        <stp/>
        <stp>BDP|16642886842270209117</stp>
        <tr r="Q983" s="2"/>
      </tp>
      <tp t="s">
        <v>#N/A N/A</v>
        <stp/>
        <stp>BDP|15871466142646253815</stp>
        <tr r="Q741" s="2"/>
      </tp>
      <tp t="s">
        <v>#N/A N/A</v>
        <stp/>
        <stp>BDP|10611946628884689431</stp>
        <tr r="E1607" s="2"/>
      </tp>
      <tp t="s">
        <v>#N/A N/A</v>
        <stp/>
        <stp>BDP|13012680197042051502</stp>
        <tr r="P661" s="2"/>
      </tp>
      <tp t="s">
        <v>#N/A N/A</v>
        <stp/>
        <stp>BDP|15141332328498116746</stp>
        <tr r="D698" s="2"/>
      </tp>
      <tp t="s">
        <v>#N/A N/A</v>
        <stp/>
        <stp>BDP|16901905272162468107</stp>
        <tr r="E547" s="2"/>
      </tp>
      <tp t="s">
        <v>#N/A N/A</v>
        <stp/>
        <stp>BDP|16569102764773856963</stp>
        <tr r="H528" s="2"/>
      </tp>
      <tp t="s">
        <v>#N/A N/A</v>
        <stp/>
        <stp>BDP|10355084884635977695</stp>
        <tr r="E507" s="2"/>
      </tp>
      <tp t="s">
        <v>#N/A N/A</v>
        <stp/>
        <stp>BDP|13541163501319801051</stp>
        <tr r="T220" s="2"/>
      </tp>
      <tp t="s">
        <v>#N/A N/A</v>
        <stp/>
        <stp>BDP|18091804034639863138</stp>
        <tr r="J1577" s="2"/>
      </tp>
      <tp t="s">
        <v>#N/A N/A</v>
        <stp/>
        <stp>BDP|12137840109255710445</stp>
        <tr r="E1674" s="2"/>
      </tp>
      <tp t="s">
        <v>#N/A N/A</v>
        <stp/>
        <stp>BDP|16028332971328471191</stp>
        <tr r="Q1135" s="2"/>
      </tp>
      <tp t="s">
        <v>#N/A N/A</v>
        <stp/>
        <stp>BDP|12557694950849746356</stp>
        <tr r="Q1738" s="2"/>
      </tp>
      <tp t="s">
        <v>#N/A N/A</v>
        <stp/>
        <stp>BDS|18148924539128484132</stp>
        <tr r="I1495" s="2"/>
      </tp>
      <tp t="s">
        <v>#N/A N/A</v>
        <stp/>
        <stp>BDS|17431939358673360311</stp>
        <tr r="I1466" s="2"/>
      </tp>
      <tp t="s">
        <v>#N/A N/A</v>
        <stp/>
        <stp>BDP|12936126694999116807</stp>
        <tr r="C266" s="2"/>
      </tp>
      <tp t="s">
        <v>#N/A N/A</v>
        <stp/>
        <stp>BDP|10148887900787087476</stp>
        <tr r="A1662" s="2"/>
      </tp>
      <tp t="s">
        <v>#N/A N/A</v>
        <stp/>
        <stp>BDP|17479889436333555412</stp>
        <tr r="A1493" s="2"/>
      </tp>
      <tp t="s">
        <v>#N/A N/A</v>
        <stp/>
        <stp>BDP|17485519508979020030</stp>
        <tr r="K1310" s="2"/>
      </tp>
      <tp t="s">
        <v>#N/A N/A</v>
        <stp/>
        <stp>BDP|13195255477348803555</stp>
        <tr r="S1401" s="2"/>
      </tp>
      <tp t="s">
        <v>#N/A N/A</v>
        <stp/>
        <stp>BDP|15378728519960264849</stp>
        <tr r="P620" s="2"/>
      </tp>
      <tp t="s">
        <v>#N/A N/A</v>
        <stp/>
        <stp>BDP|11170354179498081636</stp>
        <tr r="R761" s="2"/>
      </tp>
      <tp t="s">
        <v>#N/A N/A</v>
        <stp/>
        <stp>BDP|16211957250470091192</stp>
        <tr r="G1564" s="2"/>
      </tp>
      <tp t="s">
        <v>#N/A N/A</v>
        <stp/>
        <stp>BDP|15370333298840321457</stp>
        <tr r="M223" s="2"/>
      </tp>
      <tp t="s">
        <v>#N/A N/A</v>
        <stp/>
        <stp>BDP|16705567775867342893</stp>
        <tr r="N22" s="2"/>
      </tp>
      <tp t="s">
        <v>#N/A N/A</v>
        <stp/>
        <stp>BDP|13602414004758885453</stp>
        <tr r="H1325" s="2"/>
      </tp>
      <tp t="s">
        <v>#N/A N/A</v>
        <stp/>
        <stp>BDP|15735134672871866901</stp>
        <tr r="J1738" s="2"/>
      </tp>
      <tp t="s">
        <v>#N/A N/A</v>
        <stp/>
        <stp>BDP|18402513963886011682</stp>
        <tr r="A1685" s="2"/>
      </tp>
      <tp t="s">
        <v>#N/A N/A</v>
        <stp/>
        <stp>BDP|16910378160449760174</stp>
        <tr r="K565" s="2"/>
      </tp>
      <tp t="s">
        <v>#N/A N/A</v>
        <stp/>
        <stp>BDP|12722198315460465917</stp>
        <tr r="A1093" s="2"/>
      </tp>
      <tp t="s">
        <v>#N/A N/A</v>
        <stp/>
        <stp>BDP|18211399102141459132</stp>
        <tr r="A1469" s="2"/>
      </tp>
      <tp t="s">
        <v>#N/A N/A</v>
        <stp/>
        <stp>BDP|15799966321777823264</stp>
        <tr r="E866" s="2"/>
      </tp>
      <tp t="s">
        <v>#N/A N/A</v>
        <stp/>
        <stp>BDP|12232616934815901903</stp>
        <tr r="F566" s="2"/>
      </tp>
      <tp t="s">
        <v>#N/A N/A</v>
        <stp/>
        <stp>BDP|10408523799044951388</stp>
        <tr r="P762" s="2"/>
      </tp>
      <tp t="s">
        <v>#N/A N/A</v>
        <stp/>
        <stp>BDP|15216138970128918067</stp>
        <tr r="T1501" s="2"/>
      </tp>
      <tp t="s">
        <v>#N/A N/A</v>
        <stp/>
        <stp>BDS|16080410148704192958</stp>
        <tr r="I645" s="2"/>
      </tp>
      <tp t="s">
        <v>#N/A N/A</v>
        <stp/>
        <stp>BDP|17539528825269802244</stp>
        <tr r="P991" s="2"/>
      </tp>
      <tp t="s">
        <v>#N/A N/A</v>
        <stp/>
        <stp>BDP|10850103657987658877</stp>
        <tr r="N229" s="2"/>
      </tp>
      <tp t="s">
        <v>#N/A N/A</v>
        <stp/>
        <stp>BDS|11151721991205784182</stp>
        <tr r="I210" s="2"/>
      </tp>
      <tp t="s">
        <v>#N/A N/A</v>
        <stp/>
        <stp>BDP|14447539198946901588</stp>
        <tr r="C642" s="2"/>
      </tp>
      <tp t="s">
        <v>#N/A N/A</v>
        <stp/>
        <stp>BDP|16097481817840948888</stp>
        <tr r="C920" s="2"/>
      </tp>
      <tp t="s">
        <v>#N/A N/A</v>
        <stp/>
        <stp>BDP|16725326819738643744</stp>
        <tr r="P74" s="2"/>
      </tp>
      <tp t="s">
        <v>#N/A N/A</v>
        <stp/>
        <stp>BDP|16950653602178856381</stp>
        <tr r="E1485" s="2"/>
      </tp>
      <tp t="s">
        <v>#N/A N/A</v>
        <stp/>
        <stp>BDP|17446041378753769816</stp>
        <tr r="T1076" s="2"/>
      </tp>
      <tp t="s">
        <v>#N/A N/A</v>
        <stp/>
        <stp>BDP|12878558358340997927</stp>
        <tr r="H1047" s="2"/>
      </tp>
      <tp t="s">
        <v>#N/A N/A</v>
        <stp/>
        <stp>BDS|12917942202683067321</stp>
        <tr r="I202" s="2"/>
      </tp>
      <tp t="s">
        <v>#N/A N/A</v>
        <stp/>
        <stp>BDP|14530954968229039964</stp>
        <tr r="N1573" s="2"/>
      </tp>
      <tp t="s">
        <v>#N/A N/A</v>
        <stp/>
        <stp>BDP|11950884942031412791</stp>
        <tr r="C1542" s="2"/>
      </tp>
      <tp t="s">
        <v>#N/A N/A</v>
        <stp/>
        <stp>BDP|14842057592495406356</stp>
        <tr r="A1147" s="2"/>
      </tp>
      <tp t="s">
        <v>#N/A N/A</v>
        <stp/>
        <stp>BDS|12534935183780077881</stp>
        <tr r="I97" s="2"/>
      </tp>
      <tp t="s">
        <v>#N/A N/A</v>
        <stp/>
        <stp>BDP|18274688970506258468</stp>
        <tr r="T613" s="2"/>
      </tp>
      <tp t="s">
        <v>#N/A N/A</v>
        <stp/>
        <stp>BDP|13562075204468199098</stp>
        <tr r="A682" s="2"/>
      </tp>
      <tp t="s">
        <v>#N/A N/A</v>
        <stp/>
        <stp>BDP|14888239496723568766</stp>
        <tr r="C685" s="2"/>
      </tp>
      <tp t="s">
        <v>#N/A N/A</v>
        <stp/>
        <stp>BDP|18211937639138752114</stp>
        <tr r="G1311" s="2"/>
      </tp>
      <tp t="s">
        <v>#N/A N/A</v>
        <stp/>
        <stp>BDP|17272290896200285718</stp>
        <tr r="R1265" s="2"/>
      </tp>
      <tp t="s">
        <v>#N/A N/A</v>
        <stp/>
        <stp>BDP|11462272047998813429</stp>
        <tr r="O1461" s="2"/>
      </tp>
      <tp t="s">
        <v>#N/A N/A</v>
        <stp/>
        <stp>BDP|13479605574230737996</stp>
        <tr r="P1496" s="2"/>
      </tp>
      <tp t="s">
        <v>#N/A N/A</v>
        <stp/>
        <stp>BDP|15686567082591997256</stp>
        <tr r="O1404" s="2"/>
      </tp>
      <tp t="s">
        <v>#N/A N/A</v>
        <stp/>
        <stp>BDP|10845152301559619347</stp>
        <tr r="Q784" s="2"/>
      </tp>
      <tp t="s">
        <v>#N/A N/A</v>
        <stp/>
        <stp>BDP|12414813698670034832</stp>
        <tr r="E409" s="2"/>
      </tp>
      <tp t="s">
        <v>#N/A N/A</v>
        <stp/>
        <stp>BDP|11247874306817885555</stp>
        <tr r="A589" s="2"/>
      </tp>
      <tp t="s">
        <v>#N/A N/A</v>
        <stp/>
        <stp>BDP|14191461439201495947</stp>
        <tr r="A1711" s="2"/>
      </tp>
      <tp t="s">
        <v>#N/A N/A</v>
        <stp/>
        <stp>BDP|18322329309780846013</stp>
        <tr r="J1249" s="2"/>
      </tp>
      <tp t="s">
        <v>#N/A N/A</v>
        <stp/>
        <stp>BDP|11519952031577290724</stp>
        <tr r="A1743" s="2"/>
      </tp>
      <tp t="s">
        <v>#N/A N/A</v>
        <stp/>
        <stp>BDP|17914356280035584284</stp>
        <tr r="R1116" s="2"/>
      </tp>
      <tp t="s">
        <v>#N/A N/A</v>
        <stp/>
        <stp>BDP|10704571138824015993</stp>
        <tr r="F748" s="2"/>
      </tp>
      <tp t="s">
        <v>#N/A N/A</v>
        <stp/>
        <stp>BDP|11765909905633630050</stp>
        <tr r="Q1264" s="2"/>
      </tp>
      <tp t="s">
        <v>#N/A N/A</v>
        <stp/>
        <stp>BDP|11921352091468878849</stp>
        <tr r="H1693" s="2"/>
      </tp>
      <tp t="s">
        <v>#N/A N/A</v>
        <stp/>
        <stp>BDP|11314505417317247979</stp>
        <tr r="C757" s="2"/>
      </tp>
      <tp t="s">
        <v>#N/A N/A</v>
        <stp/>
        <stp>BDP|10970336753519967418</stp>
        <tr r="K435" s="2"/>
      </tp>
      <tp t="s">
        <v>#N/A N/A</v>
        <stp/>
        <stp>BDP|12922968061136802071</stp>
        <tr r="R76" s="2"/>
      </tp>
      <tp t="s">
        <v>#N/A N/A</v>
        <stp/>
        <stp>BDP|17919841661817520583</stp>
        <tr r="Q860" s="2"/>
      </tp>
      <tp t="s">
        <v>#N/A N/A</v>
        <stp/>
        <stp>BDP|16797509944438596474</stp>
        <tr r="K1359" s="2"/>
      </tp>
      <tp t="s">
        <v>#N/A N/A</v>
        <stp/>
        <stp>BDP|16601127641709612128</stp>
        <tr r="C98" s="2"/>
      </tp>
      <tp t="s">
        <v>#N/A N/A</v>
        <stp/>
        <stp>BDP|15616553237629043158</stp>
        <tr r="F1177" s="2"/>
      </tp>
      <tp t="s">
        <v>#N/A N/A</v>
        <stp/>
        <stp>BDP|16161683401949954201</stp>
        <tr r="R1002" s="2"/>
      </tp>
      <tp t="s">
        <v>#N/A N/A</v>
        <stp/>
        <stp>BDP|18200963165858020401</stp>
        <tr r="S1389" s="2"/>
      </tp>
      <tp t="s">
        <v>#N/A N/A</v>
        <stp/>
        <stp>BDP|12235735425995339964</stp>
        <tr r="F363" s="2"/>
      </tp>
      <tp t="s">
        <v>#N/A N/A</v>
        <stp/>
        <stp>BDP|12341532757299792012</stp>
        <tr r="E1739" s="2"/>
      </tp>
      <tp t="s">
        <v>#N/A N/A</v>
        <stp/>
        <stp>BDP|14196835320396771347</stp>
        <tr r="E878" s="2"/>
      </tp>
      <tp t="s">
        <v>#N/A N/A</v>
        <stp/>
        <stp>BDP|14300827735732398666</stp>
        <tr r="Q1679" s="2"/>
      </tp>
      <tp t="s">
        <v>#N/A N/A</v>
        <stp/>
        <stp>BDP|11288322786251655012</stp>
        <tr r="D1622" s="2"/>
      </tp>
      <tp t="s">
        <v>#N/A N/A</v>
        <stp/>
        <stp>BDS|10663987872976812366</stp>
        <tr r="I499" s="2"/>
      </tp>
      <tp t="s">
        <v>#N/A N/A</v>
        <stp/>
        <stp>BDP|16733835027620384717</stp>
        <tr r="E150" s="2"/>
      </tp>
      <tp t="s">
        <v>#N/A N/A</v>
        <stp/>
        <stp>BDP|16645888545343928233</stp>
        <tr r="O1334" s="2"/>
      </tp>
      <tp t="s">
        <v>#N/A N/A</v>
        <stp/>
        <stp>BDS|10684367632059832282</stp>
        <tr r="I1074" s="2"/>
      </tp>
      <tp t="s">
        <v>#N/A N/A</v>
        <stp/>
        <stp>BDP|11267626430359592644</stp>
        <tr r="F705" s="2"/>
      </tp>
      <tp t="s">
        <v>#N/A N/A</v>
        <stp/>
        <stp>BDP|16573118104708073411</stp>
        <tr r="J1265" s="2"/>
      </tp>
      <tp t="s">
        <v>#N/A N/A</v>
        <stp/>
        <stp>BDP|18036794391165093891</stp>
        <tr r="J394" s="2"/>
      </tp>
      <tp t="s">
        <v>#N/A N/A</v>
        <stp/>
        <stp>BDP|12501368083221401354</stp>
        <tr r="F557" s="2"/>
      </tp>
      <tp t="s">
        <v>#N/A N/A</v>
        <stp/>
        <stp>BDP|15366665185817354720</stp>
        <tr r="Q945" s="2"/>
      </tp>
      <tp t="s">
        <v>#N/A N/A</v>
        <stp/>
        <stp>BDP|12500448861263733864</stp>
        <tr r="F64" s="2"/>
      </tp>
      <tp t="s">
        <v>#N/A N/A</v>
        <stp/>
        <stp>BDP|17074081479258398330</stp>
        <tr r="E1120" s="2"/>
      </tp>
      <tp t="s">
        <v>#N/A N/A</v>
        <stp/>
        <stp>BDP|17099515896447749711</stp>
        <tr r="M574" s="2"/>
      </tp>
      <tp t="s">
        <v>#N/A N/A</v>
        <stp/>
        <stp>BDP|10454844325665780432</stp>
        <tr r="H1191" s="2"/>
      </tp>
      <tp t="s">
        <v>#N/A N/A</v>
        <stp/>
        <stp>BDP|18297503863966978699</stp>
        <tr r="F715" s="2"/>
      </tp>
      <tp t="s">
        <v>#N/A N/A</v>
        <stp/>
        <stp>BDP|10160822931135789540</stp>
        <tr r="G1470" s="2"/>
      </tp>
      <tp t="s">
        <v>#N/A N/A</v>
        <stp/>
        <stp>BDP|13098238838689387093</stp>
        <tr r="R1674" s="2"/>
      </tp>
      <tp t="s">
        <v>#N/A N/A</v>
        <stp/>
        <stp>BDP|10552618296570162422</stp>
        <tr r="F1581" s="2"/>
      </tp>
      <tp t="s">
        <v>#N/A N/A</v>
        <stp/>
        <stp>BDS|15256774633738696223</stp>
        <tr r="I24" s="2"/>
      </tp>
      <tp t="s">
        <v>#N/A N/A</v>
        <stp/>
        <stp>BDP|18107282917470938069</stp>
        <tr r="H1234" s="2"/>
      </tp>
      <tp t="s">
        <v>#N/A N/A</v>
        <stp/>
        <stp>BDP|15901559399646155456</stp>
        <tr r="J293" s="2"/>
      </tp>
      <tp t="s">
        <v>#N/A N/A</v>
        <stp/>
        <stp>BDS|14238009327864561927</stp>
        <tr r="I1356" s="2"/>
      </tp>
      <tp t="s">
        <v>#N/A N/A</v>
        <stp/>
        <stp>BDS|10039332295539178850</stp>
        <tr r="I1453" s="2"/>
      </tp>
      <tp t="s">
        <v>#N/A N/A</v>
        <stp/>
        <stp>BDS|15159557294151072326</stp>
        <tr r="I1718" s="2"/>
      </tp>
      <tp t="s">
        <v>#N/A N/A</v>
        <stp/>
        <stp>BDP|11642917710392375055</stp>
        <tr r="J601" s="2"/>
      </tp>
      <tp t="s">
        <v>#N/A N/A</v>
        <stp/>
        <stp>BDP|13192590928428762769</stp>
        <tr r="T212" s="2"/>
      </tp>
      <tp t="s">
        <v>#N/A N/A</v>
        <stp/>
        <stp>BDP|11274774892742022664</stp>
        <tr r="K1223" s="2"/>
      </tp>
      <tp t="s">
        <v>#N/A N/A</v>
        <stp/>
        <stp>BDP|14529342223006642855</stp>
        <tr r="T1042" s="2"/>
      </tp>
      <tp t="s">
        <v>#N/A N/A</v>
        <stp/>
        <stp>BDP|12213367466499118522</stp>
        <tr r="P335" s="2"/>
      </tp>
      <tp t="s">
        <v>#N/A N/A</v>
        <stp/>
        <stp>BDP|14748849519001249799</stp>
        <tr r="A10" s="2"/>
      </tp>
      <tp t="s">
        <v>#N/A N/A</v>
        <stp/>
        <stp>BDP|16924165941430613895</stp>
        <tr r="T676" s="2"/>
      </tp>
      <tp t="s">
        <v>#N/A N/A</v>
        <stp/>
        <stp>BDP|16096975150808208943</stp>
        <tr r="O38" s="2"/>
      </tp>
      <tp t="s">
        <v>#N/A N/A</v>
        <stp/>
        <stp>BDP|14748503821330109863</stp>
        <tr r="H213" s="2"/>
      </tp>
      <tp t="s">
        <v>#N/A N/A</v>
        <stp/>
        <stp>BDP|15380915403450196717</stp>
        <tr r="J1485" s="2"/>
      </tp>
      <tp t="s">
        <v>#N/A N/A</v>
        <stp/>
        <stp>BDP|11994614279499493246</stp>
        <tr r="K1655" s="2"/>
      </tp>
      <tp t="s">
        <v>#N/A N/A</v>
        <stp/>
        <stp>BDP|14305616882227646676</stp>
        <tr r="O743" s="2"/>
      </tp>
      <tp t="s">
        <v>#N/A N/A</v>
        <stp/>
        <stp>BDP|13900921250586872225</stp>
        <tr r="E917" s="2"/>
      </tp>
      <tp t="s">
        <v>#N/A N/A</v>
        <stp/>
        <stp>BDP|10775261544059494409</stp>
        <tr r="P1274" s="2"/>
      </tp>
      <tp t="s">
        <v>#N/A N/A</v>
        <stp/>
        <stp>BDP|16417448136278475239</stp>
        <tr r="F1716" s="2"/>
      </tp>
      <tp t="s">
        <v>#N/A N/A</v>
        <stp/>
        <stp>BDP|10373931846131448736</stp>
        <tr r="H315" s="2"/>
      </tp>
      <tp t="s">
        <v>#N/A N/A</v>
        <stp/>
        <stp>BDP|18368465126732189739</stp>
        <tr r="E1377" s="2"/>
      </tp>
      <tp t="s">
        <v>#N/A N/A</v>
        <stp/>
        <stp>BDP|10313344884969710959</stp>
        <tr r="Q477" s="2"/>
      </tp>
      <tp t="s">
        <v>#N/A N/A</v>
        <stp/>
        <stp>BDP|17124535780985074423</stp>
        <tr r="H336" s="2"/>
      </tp>
      <tp t="s">
        <v>#N/A N/A</v>
        <stp/>
        <stp>BDP|11961509689917398035</stp>
        <tr r="F1537" s="2"/>
      </tp>
      <tp t="s">
        <v>#N/A N/A</v>
        <stp/>
        <stp>BDP|13780125810409016152</stp>
        <tr r="J748" s="2"/>
      </tp>
      <tp t="s">
        <v>#N/A N/A</v>
        <stp/>
        <stp>BDP|17811457797953229287</stp>
        <tr r="Q66" s="2"/>
      </tp>
      <tp t="s">
        <v>#N/A N/A</v>
        <stp/>
        <stp>BDP|11123897715956806556</stp>
        <tr r="N1507" s="2"/>
      </tp>
      <tp t="s">
        <v>#N/A N/A</v>
        <stp/>
        <stp>BDP|18065737398634269998</stp>
        <tr r="Q1627" s="2"/>
      </tp>
      <tp t="s">
        <v>#N/A N/A</v>
        <stp/>
        <stp>BDP|10225819586129047256</stp>
        <tr r="T507" s="2"/>
      </tp>
      <tp t="s">
        <v>#N/A N/A</v>
        <stp/>
        <stp>BDP|10442798280167553380</stp>
        <tr r="N1693" s="2"/>
      </tp>
      <tp t="s">
        <v>#N/A N/A</v>
        <stp/>
        <stp>BDS|18256857303209084270</stp>
        <tr r="I1416" s="2"/>
      </tp>
      <tp t="s">
        <v>#N/A N/A</v>
        <stp/>
        <stp>BDP|16050849435582850493</stp>
        <tr r="A371" s="2"/>
      </tp>
      <tp t="s">
        <v>#N/A N/A</v>
        <stp/>
        <stp>BDP|15279061900298532618</stp>
        <tr r="R1713" s="2"/>
      </tp>
      <tp t="s">
        <v>#N/A N/A</v>
        <stp/>
        <stp>BDP|13180973600306610706</stp>
        <tr r="M1681" s="2"/>
      </tp>
      <tp t="s">
        <v>#N/A N/A</v>
        <stp/>
        <stp>BDP|17975939259985183521</stp>
        <tr r="H23" s="2"/>
      </tp>
      <tp t="s">
        <v>#N/A N/A</v>
        <stp/>
        <stp>BDP|16386034970982038808</stp>
        <tr r="H102" s="2"/>
      </tp>
      <tp t="s">
        <v>#N/A N/A</v>
        <stp/>
        <stp>BDP|12821999336903756009</stp>
        <tr r="H1056" s="2"/>
      </tp>
      <tp t="s">
        <v>#N/A N/A</v>
        <stp/>
        <stp>BDP|12816899929062944111</stp>
        <tr r="D1351" s="2"/>
      </tp>
      <tp t="s">
        <v>#N/A N/A</v>
        <stp/>
        <stp>BDP|13412524835777378908</stp>
        <tr r="J675" s="2"/>
      </tp>
      <tp t="s">
        <v>#N/A N/A</v>
        <stp/>
        <stp>BDP|17362513960738795757</stp>
        <tr r="N673" s="2"/>
      </tp>
      <tp t="s">
        <v>#N/A N/A</v>
        <stp/>
        <stp>BDP|11867698706004418833</stp>
        <tr r="M955" s="2"/>
      </tp>
      <tp t="s">
        <v>#N/A N/A</v>
        <stp/>
        <stp>BDP|18177853945708207730</stp>
        <tr r="J1616" s="2"/>
      </tp>
      <tp t="s">
        <v>#N/A N/A</v>
        <stp/>
        <stp>BDP|14382931474886324770</stp>
        <tr r="M942" s="2"/>
      </tp>
      <tp t="s">
        <v>#N/A N/A</v>
        <stp/>
        <stp>BDP|15636183255552858832</stp>
        <tr r="H929" s="2"/>
      </tp>
      <tp t="s">
        <v>#N/A N/A</v>
        <stp/>
        <stp>BDP|10641632485111971492</stp>
        <tr r="J1161" s="2"/>
      </tp>
      <tp t="s">
        <v>#N/A N/A</v>
        <stp/>
        <stp>BDP|14950440779699151557</stp>
        <tr r="S71" s="2"/>
      </tp>
      <tp t="s">
        <v>#N/A N/A</v>
        <stp/>
        <stp>BDP|17005483450574118996</stp>
        <tr r="H1327" s="2"/>
      </tp>
      <tp t="s">
        <v>#N/A N/A</v>
        <stp/>
        <stp>BDP|14958736027273417991</stp>
        <tr r="O544" s="2"/>
      </tp>
      <tp t="s">
        <v>#N/A N/A</v>
        <stp/>
        <stp>BDP|10873497449563047880</stp>
        <tr r="G540" s="2"/>
      </tp>
      <tp t="s">
        <v>#N/A N/A</v>
        <stp/>
        <stp>BDP|13542452389561124580</stp>
        <tr r="N1585" s="2"/>
      </tp>
      <tp t="s">
        <v>#N/A N/A</v>
        <stp/>
        <stp>BDP|17120866877110933396</stp>
        <tr r="R1092" s="2"/>
      </tp>
      <tp t="s">
        <v>#N/A N/A</v>
        <stp/>
        <stp>BDP|10419305092802049368</stp>
        <tr r="N1498" s="2"/>
      </tp>
      <tp t="s">
        <v>#N/A N/A</v>
        <stp/>
        <stp>BDP|13392864407967350711</stp>
        <tr r="N495" s="2"/>
      </tp>
      <tp t="s">
        <v>#N/A N/A</v>
        <stp/>
        <stp>BDP|10911276768736647904</stp>
        <tr r="M29" s="2"/>
      </tp>
      <tp t="s">
        <v>#N/A N/A</v>
        <stp/>
        <stp>BDP|14637547573325752862</stp>
        <tr r="J1486" s="2"/>
      </tp>
      <tp t="s">
        <v>#N/A N/A</v>
        <stp/>
        <stp>BDP|18109905757927534838</stp>
        <tr r="T1688" s="2"/>
      </tp>
      <tp t="s">
        <v>#N/A N/A</v>
        <stp/>
        <stp>BDP|14579198081553999544</stp>
        <tr r="N585" s="2"/>
      </tp>
      <tp t="s">
        <v>#N/A N/A</v>
        <stp/>
        <stp>BDP|11202546490466307055</stp>
        <tr r="K644" s="2"/>
      </tp>
      <tp t="s">
        <v>#N/A N/A</v>
        <stp/>
        <stp>BDP|11491132213649436309</stp>
        <tr r="C1319" s="2"/>
      </tp>
      <tp t="s">
        <v>#N/A N/A</v>
        <stp/>
        <stp>BDP|11929959555965869313</stp>
        <tr r="C651" s="2"/>
      </tp>
      <tp t="s">
        <v>#N/A N/A</v>
        <stp/>
        <stp>BDP|16870767580653678187</stp>
        <tr r="E172" s="2"/>
      </tp>
      <tp t="s">
        <v>#N/A N/A</v>
        <stp/>
        <stp>BDP|15918665689727308755</stp>
        <tr r="R601" s="2"/>
      </tp>
      <tp t="s">
        <v>#N/A N/A</v>
        <stp/>
        <stp>BDP|12343355113659105241</stp>
        <tr r="K1564" s="2"/>
      </tp>
      <tp t="s">
        <v>#N/A N/A</v>
        <stp/>
        <stp>BDP|16944343381014870245</stp>
        <tr r="A1496" s="2"/>
      </tp>
      <tp t="s">
        <v>#N/A N/A</v>
        <stp/>
        <stp>BDP|12674317132008568102</stp>
        <tr r="F175" s="2"/>
      </tp>
      <tp t="s">
        <v>#N/A N/A</v>
        <stp/>
        <stp>BDP|13853445394095961012</stp>
        <tr r="P1493" s="2"/>
      </tp>
      <tp t="s">
        <v>#N/A N/A</v>
        <stp/>
        <stp>BDP|17188519293846194624</stp>
        <tr r="G537" s="2"/>
      </tp>
      <tp t="s">
        <v>#N/A N/A</v>
        <stp/>
        <stp>BDP|15826189150258742246</stp>
        <tr r="D1205" s="2"/>
      </tp>
      <tp t="s">
        <v>#N/A N/A</v>
        <stp/>
        <stp>BDP|17349232022668522448</stp>
        <tr r="C1736" s="2"/>
      </tp>
      <tp t="s">
        <v>#N/A N/A</v>
        <stp/>
        <stp>BDS|11251285335733889875</stp>
        <tr r="I976" s="2"/>
      </tp>
      <tp t="s">
        <v>#N/A N/A</v>
        <stp/>
        <stp>BDP|17612608467435441963</stp>
        <tr r="P628" s="2"/>
      </tp>
      <tp t="s">
        <v>#N/A N/A</v>
        <stp/>
        <stp>BDP|17131725250389785774</stp>
        <tr r="P459" s="2"/>
      </tp>
      <tp t="s">
        <v>#N/A N/A</v>
        <stp/>
        <stp>BDP|14369778803170363870</stp>
        <tr r="C1664" s="2"/>
      </tp>
      <tp t="s">
        <v>#N/A N/A</v>
        <stp/>
        <stp>BDP|10663206330058606239</stp>
        <tr r="F430" s="2"/>
      </tp>
      <tp t="s">
        <v>#N/A N/A</v>
        <stp/>
        <stp>BDP|13921379900229488298</stp>
        <tr r="Q711" s="2"/>
      </tp>
      <tp t="s">
        <v>#N/A N/A</v>
        <stp/>
        <stp>BDP|17011124910869770562</stp>
        <tr r="O842" s="2"/>
      </tp>
      <tp t="s">
        <v>#N/A N/A</v>
        <stp/>
        <stp>BDS|10760999047685192388</stp>
        <tr r="I529" s="2"/>
      </tp>
      <tp t="s">
        <v>#N/A N/A</v>
        <stp/>
        <stp>BDP|11440583936384981804</stp>
        <tr r="F638" s="2"/>
      </tp>
      <tp t="s">
        <v>#N/A N/A</v>
        <stp/>
        <stp>BDP|16784702791353466017</stp>
        <tr r="O1147" s="2"/>
      </tp>
      <tp t="s">
        <v>#N/A N/A</v>
        <stp/>
        <stp>BDP|10547264657854306840</stp>
        <tr r="O880" s="2"/>
      </tp>
      <tp t="s">
        <v>#N/A N/A</v>
        <stp/>
        <stp>BDP|16589953064411330343</stp>
        <tr r="M1147" s="2"/>
      </tp>
      <tp t="s">
        <v>#N/A N/A</v>
        <stp/>
        <stp>BDP|17970635827930671883</stp>
        <tr r="C1103" s="2"/>
      </tp>
      <tp t="s">
        <v>#N/A N/A</v>
        <stp/>
        <stp>BDP|13780513252598363046</stp>
        <tr r="K122" s="2"/>
      </tp>
      <tp t="s">
        <v>#N/A N/A</v>
        <stp/>
        <stp>BDP|12211373434138243109</stp>
        <tr r="A1243" s="2"/>
      </tp>
      <tp t="s">
        <v>#N/A N/A</v>
        <stp/>
        <stp>BDP|13226991678590218629</stp>
        <tr r="A713" s="2"/>
      </tp>
      <tp t="s">
        <v>#N/A N/A</v>
        <stp/>
        <stp>BDP|16999984867715248773</stp>
        <tr r="D1096" s="2"/>
      </tp>
      <tp t="s">
        <v>#N/A N/A</v>
        <stp/>
        <stp>BDP|11517937369360885540</stp>
        <tr r="K719" s="2"/>
      </tp>
      <tp t="s">
        <v>#N/A N/A</v>
        <stp/>
        <stp>BDP|13493458740859711155</stp>
        <tr r="T168" s="2"/>
      </tp>
      <tp t="s">
        <v>#N/A N/A</v>
        <stp/>
        <stp>BDP|11269859127696229617</stp>
        <tr r="E992" s="2"/>
      </tp>
      <tp t="s">
        <v>#N/A N/A</v>
        <stp/>
        <stp>BDP|12222769782560766624</stp>
        <tr r="J148" s="2"/>
      </tp>
      <tp t="s">
        <v>#N/A N/A</v>
        <stp/>
        <stp>BDP|16465378082001562774</stp>
        <tr r="T128" s="2"/>
      </tp>
      <tp t="s">
        <v>#N/A N/A</v>
        <stp/>
        <stp>BDP|18441701495705118830</stp>
        <tr r="A1675" s="2"/>
      </tp>
      <tp t="s">
        <v>#N/A N/A</v>
        <stp/>
        <stp>BDP|11959955224974283592</stp>
        <tr r="P424" s="2"/>
      </tp>
      <tp t="s">
        <v>#N/A N/A</v>
        <stp/>
        <stp>BDP|12767171784072648210</stp>
        <tr r="M505" s="2"/>
      </tp>
      <tp t="s">
        <v>#N/A N/A</v>
        <stp/>
        <stp>BDP|13265862748785850175</stp>
        <tr r="O999" s="2"/>
      </tp>
      <tp t="s">
        <v>#N/A N/A</v>
        <stp/>
        <stp>BDP|12510360501693919985</stp>
        <tr r="C911" s="2"/>
      </tp>
      <tp t="s">
        <v>#N/A N/A</v>
        <stp/>
        <stp>BDP|13553844081629036136</stp>
        <tr r="E26" s="2"/>
      </tp>
      <tp t="s">
        <v>#N/A N/A</v>
        <stp/>
        <stp>BDP|13191140377778045618</stp>
        <tr r="N261" s="2"/>
      </tp>
      <tp t="s">
        <v>#N/A N/A</v>
        <stp/>
        <stp>BDP|13988697660019282116</stp>
        <tr r="G1502" s="2"/>
      </tp>
      <tp t="s">
        <v>#N/A N/A</v>
        <stp/>
        <stp>BDP|15651348896945023177</stp>
        <tr r="E1616" s="2"/>
      </tp>
      <tp t="s">
        <v>#N/A N/A</v>
        <stp/>
        <stp>BDP|11778847421106514641</stp>
        <tr r="Q21" s="2"/>
      </tp>
      <tp t="s">
        <v>#N/A N/A</v>
        <stp/>
        <stp>BDP|13152821323433219110</stp>
        <tr r="P1050" s="2"/>
      </tp>
      <tp t="s">
        <v>#N/A N/A</v>
        <stp/>
        <stp>BDS|18108392449107657377</stp>
        <tr r="I2" s="2"/>
      </tp>
      <tp t="s">
        <v>#N/A N/A</v>
        <stp/>
        <stp>BDP|17862219336495836848</stp>
        <tr r="E1121" s="2"/>
      </tp>
      <tp t="s">
        <v>#N/A N/A</v>
        <stp/>
        <stp>BDP|10575545856018238361</stp>
        <tr r="A1586" s="2"/>
      </tp>
      <tp t="s">
        <v>#N/A N/A</v>
        <stp/>
        <stp>BDP|11283209374506431917</stp>
        <tr r="K1384" s="2"/>
      </tp>
      <tp t="s">
        <v>#N/A N/A</v>
        <stp/>
        <stp>BDP|16201031493114756065</stp>
        <tr r="D569" s="2"/>
      </tp>
      <tp t="s">
        <v>#N/A N/A</v>
        <stp/>
        <stp>BDP|16233560096085539440</stp>
        <tr r="A72" s="2"/>
      </tp>
      <tp t="s">
        <v>#N/A N/A</v>
        <stp/>
        <stp>BDP|10594788368358214244</stp>
        <tr r="R534" s="2"/>
      </tp>
      <tp t="s">
        <v>#N/A N/A</v>
        <stp/>
        <stp>BDS|14779122000567139944</stp>
        <tr r="I1249" s="2"/>
      </tp>
      <tp t="s">
        <v>#N/A N/A</v>
        <stp/>
        <stp>BDP|17474653665368318440</stp>
        <tr r="C1416" s="2"/>
      </tp>
      <tp t="s">
        <v>#N/A N/A</v>
        <stp/>
        <stp>BDP|13609067747575579913</stp>
        <tr r="S1284" s="2"/>
      </tp>
      <tp t="s">
        <v>#N/A N/A</v>
        <stp/>
        <stp>BDS|14086717471268299721</stp>
        <tr r="I1619" s="2"/>
      </tp>
      <tp t="s">
        <v>#N/A N/A</v>
        <stp/>
        <stp>BDP|11514412078660617991</stp>
        <tr r="R987" s="2"/>
      </tp>
      <tp t="s">
        <v>#N/A N/A</v>
        <stp/>
        <stp>BDP|15025804886197321960</stp>
        <tr r="H223" s="2"/>
      </tp>
      <tp t="s">
        <v>#N/A N/A</v>
        <stp/>
        <stp>BDP|13127697082234003292</stp>
        <tr r="D341" s="2"/>
      </tp>
      <tp t="s">
        <v>#N/A N/A</v>
        <stp/>
        <stp>BDP|12412796586662868403</stp>
        <tr r="E579" s="2"/>
      </tp>
      <tp t="s">
        <v>#N/A N/A</v>
        <stp/>
        <stp>BDP|10013312241369752541</stp>
        <tr r="A1232" s="2"/>
      </tp>
      <tp t="s">
        <v>#N/A N/A</v>
        <stp/>
        <stp>BDP|13516712235549615543</stp>
        <tr r="O431" s="2"/>
      </tp>
      <tp t="s">
        <v>#N/A N/A</v>
        <stp/>
        <stp>BDP|13961040013449818048</stp>
        <tr r="P585" s="2"/>
      </tp>
      <tp t="s">
        <v>#N/A N/A</v>
        <stp/>
        <stp>BDP|10684945731422960384</stp>
        <tr r="F966" s="2"/>
      </tp>
      <tp t="s">
        <v>#N/A N/A</v>
        <stp/>
        <stp>BDP|13767681678640187942</stp>
        <tr r="F132" s="2"/>
      </tp>
      <tp t="s">
        <v>#N/A N/A</v>
        <stp/>
        <stp>BDP|10697454984292133545</stp>
        <tr r="P610" s="2"/>
      </tp>
      <tp t="s">
        <v>#N/A N/A</v>
        <stp/>
        <stp>BDP|16043778596462739143</stp>
        <tr r="A1180" s="2"/>
      </tp>
      <tp t="s">
        <v>#N/A N/A</v>
        <stp/>
        <stp>BDP|12181965756742770745</stp>
        <tr r="P18" s="2"/>
      </tp>
      <tp t="s">
        <v>#N/A N/A</v>
        <stp/>
        <stp>BDP|10074800645992111560</stp>
        <tr r="T1379" s="2"/>
      </tp>
      <tp t="s">
        <v>#N/A N/A</v>
        <stp/>
        <stp>BDP|11206522910138786654</stp>
        <tr r="C769" s="2"/>
      </tp>
      <tp t="s">
        <v>#N/A N/A</v>
        <stp/>
        <stp>BDP|11853398570166704843</stp>
        <tr r="C1273" s="2"/>
      </tp>
      <tp t="s">
        <v>#N/A N/A</v>
        <stp/>
        <stp>BDP|16162058994405776153</stp>
        <tr r="Q816" s="2"/>
      </tp>
      <tp t="s">
        <v>#N/A N/A</v>
        <stp/>
        <stp>BDP|15468730781262635329</stp>
        <tr r="C105" s="2"/>
      </tp>
      <tp t="s">
        <v>#N/A N/A</v>
        <stp/>
        <stp>BDP|12415268786395404624</stp>
        <tr r="F519" s="2"/>
      </tp>
      <tp t="s">
        <v>#N/A N/A</v>
        <stp/>
        <stp>BDP|13311832292091795877</stp>
        <tr r="D1534" s="2"/>
      </tp>
      <tp t="s">
        <v>#N/A N/A</v>
        <stp/>
        <stp>BDS|10831359080658543895</stp>
        <tr r="I747" s="2"/>
      </tp>
      <tp t="s">
        <v>#N/A N/A</v>
        <stp/>
        <stp>BDP|11372016289284068698</stp>
        <tr r="S1035" s="2"/>
      </tp>
      <tp t="s">
        <v>#N/A N/A</v>
        <stp/>
        <stp>BDP|14743755896906128777</stp>
        <tr r="T1125" s="2"/>
      </tp>
      <tp t="s">
        <v>#N/A N/A</v>
        <stp/>
        <stp>BDP|13540311614532187835</stp>
        <tr r="G754" s="2"/>
      </tp>
      <tp t="s">
        <v>#N/A N/A</v>
        <stp/>
        <stp>BDP|17925573489194383564</stp>
        <tr r="K1434" s="2"/>
      </tp>
      <tp t="s">
        <v>#N/A N/A</v>
        <stp/>
        <stp>BDP|15221147863998115161</stp>
        <tr r="H976" s="2"/>
      </tp>
      <tp t="s">
        <v>#N/A N/A</v>
        <stp/>
        <stp>BDP|11274776313304265868</stp>
        <tr r="C770" s="2"/>
      </tp>
      <tp t="s">
        <v>#N/A N/A</v>
        <stp/>
        <stp>BDP|13755225544217059934</stp>
        <tr r="R1692" s="2"/>
      </tp>
      <tp t="s">
        <v>#N/A N/A</v>
        <stp/>
        <stp>BDP|13211232292285002613</stp>
        <tr r="J773" s="2"/>
      </tp>
      <tp t="s">
        <v>#N/A N/A</v>
        <stp/>
        <stp>BDP|15511611186003708372</stp>
        <tr r="P1717" s="2"/>
      </tp>
      <tp t="s">
        <v>#N/A N/A</v>
        <stp/>
        <stp>BDP|10442940343025306326</stp>
        <tr r="F976" s="2"/>
      </tp>
      <tp t="s">
        <v>#N/A N/A</v>
        <stp/>
        <stp>BDP|11350117903913598860</stp>
        <tr r="E394" s="2"/>
      </tp>
      <tp t="s">
        <v>#N/A N/A</v>
        <stp/>
        <stp>BDP|13940637485307569187</stp>
        <tr r="C1293" s="2"/>
      </tp>
      <tp t="s">
        <v>#N/A N/A</v>
        <stp/>
        <stp>BDP|11079198147148475788</stp>
        <tr r="S662" s="2"/>
      </tp>
      <tp t="s">
        <v>#N/A N/A</v>
        <stp/>
        <stp>BDP|14362237283540011514</stp>
        <tr r="J582" s="2"/>
      </tp>
      <tp t="s">
        <v>#N/A N/A</v>
        <stp/>
        <stp>BDP|15073993679579464966</stp>
        <tr r="D920" s="2"/>
      </tp>
      <tp t="s">
        <v>#N/A N/A</v>
        <stp/>
        <stp>BDP|16621649354637180954</stp>
        <tr r="F714" s="2"/>
      </tp>
      <tp t="s">
        <v>#N/A N/A</v>
        <stp/>
        <stp>BDP|11472964050191353737</stp>
        <tr r="J131" s="2"/>
      </tp>
      <tp t="s">
        <v>#N/A N/A</v>
        <stp/>
        <stp>BDP|16737296852328715297</stp>
        <tr r="A661" s="2"/>
      </tp>
      <tp t="s">
        <v>#N/A N/A</v>
        <stp/>
        <stp>BDP|10226816530221099118</stp>
        <tr r="P288" s="2"/>
      </tp>
      <tp t="s">
        <v>#N/A N/A</v>
        <stp/>
        <stp>BDP|10601318179406837948</stp>
        <tr r="J111" s="2"/>
      </tp>
      <tp t="s">
        <v>#N/A N/A</v>
        <stp/>
        <stp>BDP|10907999626358454808</stp>
        <tr r="T1250" s="2"/>
      </tp>
      <tp t="s">
        <v>#N/A N/A</v>
        <stp/>
        <stp>BDP|17165872862362442025</stp>
        <tr r="Q439" s="2"/>
      </tp>
      <tp t="s">
        <v>#N/A N/A</v>
        <stp/>
        <stp>BDS|15374837847315415724</stp>
        <tr r="I1075" s="2"/>
      </tp>
      <tp t="s">
        <v>#N/A N/A</v>
        <stp/>
        <stp>BDS|17226148522138655738</stp>
        <tr r="I260" s="2"/>
      </tp>
      <tp t="s">
        <v>#N/A N/A</v>
        <stp/>
        <stp>BDP|10460762149460163880</stp>
        <tr r="K1496" s="2"/>
      </tp>
      <tp t="s">
        <v>#N/A N/A</v>
        <stp/>
        <stp>BDP|14548147169429288189</stp>
        <tr r="C44" s="2"/>
      </tp>
      <tp t="s">
        <v>#N/A N/A</v>
        <stp/>
        <stp>BDP|14561855956343401105</stp>
        <tr r="R1196" s="2"/>
      </tp>
      <tp t="s">
        <v>#N/A N/A</v>
        <stp/>
        <stp>BDP|18060961933329779006</stp>
        <tr r="F926" s="2"/>
      </tp>
      <tp t="s">
        <v>#N/A N/A</v>
        <stp/>
        <stp>BDP|14017368585887916384</stp>
        <tr r="G944" s="2"/>
      </tp>
      <tp t="s">
        <v>#N/A N/A</v>
        <stp/>
        <stp>BDP|13571684109668219640</stp>
        <tr r="A320" s="2"/>
      </tp>
      <tp t="s">
        <v>#N/A N/A</v>
        <stp/>
        <stp>BDP|17641255491192554551</stp>
        <tr r="A1635" s="2"/>
      </tp>
      <tp t="s">
        <v>#N/A N/A</v>
        <stp/>
        <stp>BDS|17912083781755034112</stp>
        <tr r="I1224" s="2"/>
      </tp>
      <tp t="s">
        <v>#N/A N/A</v>
        <stp/>
        <stp>BDP|18240970205119193338</stp>
        <tr r="O1242" s="2"/>
      </tp>
      <tp t="s">
        <v>#N/A N/A</v>
        <stp/>
        <stp>BDP|16672027830838165605</stp>
        <tr r="H1490" s="2"/>
      </tp>
      <tp t="s">
        <v>#N/A N/A</v>
        <stp/>
        <stp>BDP|16867636680280701399</stp>
        <tr r="K1274" s="2"/>
      </tp>
      <tp t="s">
        <v>#N/A N/A</v>
        <stp/>
        <stp>BDP|10133218584276746766</stp>
        <tr r="G830" s="2"/>
      </tp>
      <tp t="s">
        <v>#N/A N/A</v>
        <stp/>
        <stp>BDP|13177256860819640577</stp>
        <tr r="H1479" s="2"/>
      </tp>
      <tp t="s">
        <v>#N/A N/A</v>
        <stp/>
        <stp>BDP|16369842518817930336</stp>
        <tr r="O1540" s="2"/>
      </tp>
      <tp t="s">
        <v>#N/A N/A</v>
        <stp/>
        <stp>BDS|14408170575321191813</stp>
        <tr r="I1052" s="2"/>
      </tp>
      <tp t="s">
        <v>#N/A N/A</v>
        <stp/>
        <stp>BDP|11885821840747735185</stp>
        <tr r="N247" s="2"/>
      </tp>
      <tp t="s">
        <v>#N/A N/A</v>
        <stp/>
        <stp>BDP|15361479960035027915</stp>
        <tr r="K204" s="2"/>
      </tp>
      <tp t="s">
        <v>#N/A N/A</v>
        <stp/>
        <stp>BDP|16700540198707779698</stp>
        <tr r="G515" s="2"/>
      </tp>
      <tp t="s">
        <v>#N/A N/A</v>
        <stp/>
        <stp>BDP|17249169698097117384</stp>
        <tr r="A803" s="2"/>
      </tp>
      <tp t="s">
        <v>#N/A N/A</v>
        <stp/>
        <stp>BDP|17598481098154557553</stp>
        <tr r="M540" s="2"/>
      </tp>
      <tp t="s">
        <v>#N/A N/A</v>
        <stp/>
        <stp>BDP|15190864151546571560</stp>
        <tr r="F593" s="2"/>
      </tp>
      <tp t="s">
        <v>#N/A N/A</v>
        <stp/>
        <stp>BDP|14620554990760468328</stp>
        <tr r="C755" s="2"/>
      </tp>
      <tp t="s">
        <v>#N/A N/A</v>
        <stp/>
        <stp>BDP|16121147594897471204</stp>
        <tr r="A1290" s="2"/>
      </tp>
      <tp t="s">
        <v>#N/A N/A</v>
        <stp/>
        <stp>BDP|14594114381185625360</stp>
        <tr r="O325" s="2"/>
      </tp>
      <tp t="s">
        <v>#N/A N/A</v>
        <stp/>
        <stp>BDP|11455400991927078005</stp>
        <tr r="T1584" s="2"/>
      </tp>
      <tp t="s">
        <v>#N/A N/A</v>
        <stp/>
        <stp>BDP|13340582532806893849</stp>
        <tr r="R486" s="2"/>
      </tp>
      <tp t="s">
        <v>#N/A N/A</v>
        <stp/>
        <stp>BDP|13117956373841602741</stp>
        <tr r="G413" s="2"/>
      </tp>
      <tp t="s">
        <v>#N/A N/A</v>
        <stp/>
        <stp>BDP|17398145799552345680</stp>
        <tr r="K1379" s="2"/>
      </tp>
      <tp t="s">
        <v>#N/A N/A</v>
        <stp/>
        <stp>BDP|16756824978902824007</stp>
        <tr r="H1018" s="2"/>
      </tp>
      <tp t="s">
        <v>#N/A N/A</v>
        <stp/>
        <stp>BDP|10655106438459330089</stp>
        <tr r="P525" s="2"/>
      </tp>
      <tp t="s">
        <v>#N/A N/A</v>
        <stp/>
        <stp>BDP|14761213347231185852</stp>
        <tr r="E1354" s="2"/>
      </tp>
      <tp t="s">
        <v>#N/A N/A</v>
        <stp/>
        <stp>BDP|14806083475979865181</stp>
        <tr r="F472" s="2"/>
      </tp>
      <tp t="s">
        <v>#N/A N/A</v>
        <stp/>
        <stp>BDP|15661418007462574800</stp>
        <tr r="F1594" s="2"/>
      </tp>
      <tp t="s">
        <v>#N/A N/A</v>
        <stp/>
        <stp>BDS|10103776687522783607</stp>
        <tr r="I1028" s="2"/>
      </tp>
      <tp t="s">
        <v>#N/A N/A</v>
        <stp/>
        <stp>BDP|11202277192531676049</stp>
        <tr r="K978" s="2"/>
      </tp>
      <tp t="s">
        <v>#N/A N/A</v>
        <stp/>
        <stp>BDP|16022338120164413826</stp>
        <tr r="D1460" s="2"/>
      </tp>
      <tp t="s">
        <v>#N/A N/A</v>
        <stp/>
        <stp>BDS|10266724683354195044</stp>
        <tr r="I217" s="2"/>
      </tp>
      <tp t="s">
        <v>#N/A N/A</v>
        <stp/>
        <stp>BDP|18407487643676969534</stp>
        <tr r="A1595" s="2"/>
      </tp>
      <tp t="s">
        <v>#N/A N/A</v>
        <stp/>
        <stp>BDP|17475850993978440539</stp>
        <tr r="D215" s="2"/>
      </tp>
      <tp t="s">
        <v>#N/A N/A</v>
        <stp/>
        <stp>BDP|17306908386838642567</stp>
        <tr r="H794" s="2"/>
      </tp>
      <tp t="s">
        <v>#N/A N/A</v>
        <stp/>
        <stp>BDP|17834441259648914596</stp>
        <tr r="F399" s="2"/>
      </tp>
      <tp t="s">
        <v>#N/A N/A</v>
        <stp/>
        <stp>BDP|12462282184486805552</stp>
        <tr r="G915" s="2"/>
      </tp>
      <tp t="s">
        <v>#N/A N/A</v>
        <stp/>
        <stp>BDP|13201093094591309094</stp>
        <tr r="R1287" s="2"/>
      </tp>
      <tp t="s">
        <v>#N/A N/A</v>
        <stp/>
        <stp>BDP|14569268972462797831</stp>
        <tr r="D1058" s="2"/>
      </tp>
      <tp t="s">
        <v>#N/A N/A</v>
        <stp/>
        <stp>BDP|16417916222123476563</stp>
        <tr r="F1187" s="2"/>
      </tp>
      <tp t="s">
        <v>#N/A N/A</v>
        <stp/>
        <stp>BDP|10879073298761630341</stp>
        <tr r="E1333" s="2"/>
      </tp>
      <tp t="s">
        <v>#N/A N/A</v>
        <stp/>
        <stp>BDP|16380019131798109677</stp>
        <tr r="G877" s="2"/>
      </tp>
      <tp t="s">
        <v>#N/A N/A</v>
        <stp/>
        <stp>BDP|10929402312567610984</stp>
        <tr r="A1676" s="2"/>
      </tp>
      <tp t="s">
        <v>#N/A N/A</v>
        <stp/>
        <stp>BDP|10353370791254848583</stp>
        <tr r="P135" s="2"/>
      </tp>
      <tp t="s">
        <v>#N/A N/A</v>
        <stp/>
        <stp>BDP|15548721694328756813</stp>
        <tr r="N236" s="2"/>
      </tp>
      <tp t="s">
        <v>#N/A N/A</v>
        <stp/>
        <stp>BDP|16210334025475976986</stp>
        <tr r="F1536" s="2"/>
      </tp>
      <tp t="s">
        <v>#N/A N/A</v>
        <stp/>
        <stp>BDS|13012877304589205974</stp>
        <tr r="I924" s="2"/>
      </tp>
      <tp t="s">
        <v>#N/A N/A</v>
        <stp/>
        <stp>BDP|18380622762205079668</stp>
        <tr r="T1511" s="2"/>
      </tp>
      <tp t="s">
        <v>#N/A N/A</v>
        <stp/>
        <stp>BDP|12222335664488767472</stp>
        <tr r="R162" s="2"/>
      </tp>
      <tp t="s">
        <v>#N/A N/A</v>
        <stp/>
        <stp>BDP|18009715614964983193</stp>
        <tr r="A1487" s="2"/>
      </tp>
      <tp t="s">
        <v>#N/A N/A</v>
        <stp/>
        <stp>BDP|12905094386026672754</stp>
        <tr r="A1401" s="2"/>
      </tp>
      <tp t="s">
        <v>#N/A N/A</v>
        <stp/>
        <stp>BDP|14137050697263617507</stp>
        <tr r="O1738" s="2"/>
      </tp>
      <tp t="s">
        <v>#N/A N/A</v>
        <stp/>
        <stp>BDP|11093462037948165553</stp>
        <tr r="S1665" s="2"/>
      </tp>
      <tp t="s">
        <v>#N/A N/A</v>
        <stp/>
        <stp>BDP|12158461208249389498</stp>
        <tr r="P1675" s="2"/>
      </tp>
      <tp t="s">
        <v>#N/A N/A</v>
        <stp/>
        <stp>BDP|17613987955843924379</stp>
        <tr r="O616" s="2"/>
      </tp>
      <tp t="s">
        <v>#N/A N/A</v>
        <stp/>
        <stp>BDP|11537990808615728662</stp>
        <tr r="P1363" s="2"/>
      </tp>
      <tp t="s">
        <v>#N/A N/A</v>
        <stp/>
        <stp>BDP|11793339347118757511</stp>
        <tr r="C909" s="2"/>
      </tp>
      <tp t="s">
        <v>#N/A N/A</v>
        <stp/>
        <stp>BDP|16141570333049516250</stp>
        <tr r="D1346" s="2"/>
      </tp>
      <tp t="s">
        <v>#N/A N/A</v>
        <stp/>
        <stp>BDP|15322151002609305621</stp>
        <tr r="H1535" s="2"/>
      </tp>
      <tp t="s">
        <v>#N/A N/A</v>
        <stp/>
        <stp>BDP|15632976280817406809</stp>
        <tr r="D690" s="2"/>
      </tp>
      <tp t="s">
        <v>#N/A N/A</v>
        <stp/>
        <stp>BDP|14042116313418536721</stp>
        <tr r="D373" s="2"/>
      </tp>
      <tp t="s">
        <v>#N/A N/A</v>
        <stp/>
        <stp>BDP|18262414874459241919</stp>
        <tr r="N57" s="2"/>
      </tp>
      <tp t="s">
        <v>#N/A N/A</v>
        <stp/>
        <stp>BDP|13805813936003918029</stp>
        <tr r="H396" s="2"/>
      </tp>
      <tp t="s">
        <v>#N/A N/A</v>
        <stp/>
        <stp>BDP|16654072110365588905</stp>
        <tr r="O964" s="2"/>
      </tp>
      <tp t="s">
        <v>#N/A N/A</v>
        <stp/>
        <stp>BDP|16282903976623679063</stp>
        <tr r="G384" s="2"/>
      </tp>
      <tp t="s">
        <v>#N/A N/A</v>
        <stp/>
        <stp>BDP|10599401251932786871</stp>
        <tr r="H1313" s="2"/>
      </tp>
      <tp t="s">
        <v>#N/A N/A</v>
        <stp/>
        <stp>BDP|17686319855849471326</stp>
        <tr r="F1198" s="2"/>
      </tp>
      <tp t="s">
        <v>#N/A N/A</v>
        <stp/>
        <stp>BDP|17281541683523602274</stp>
        <tr r="J337" s="2"/>
      </tp>
      <tp t="s">
        <v>#N/A N/A</v>
        <stp/>
        <stp>BDP|11340964491883628965</stp>
        <tr r="G1292" s="2"/>
      </tp>
      <tp t="s">
        <v>#N/A N/A</v>
        <stp/>
        <stp>BDP|12396015550525215947</stp>
        <tr r="G986" s="2"/>
      </tp>
      <tp t="s">
        <v>#N/A N/A</v>
        <stp/>
        <stp>BDP|16121298795624812212</stp>
        <tr r="E1100" s="2"/>
      </tp>
      <tp t="s">
        <v>#N/A N/A</v>
        <stp/>
        <stp>BDP|15468968975243005333</stp>
        <tr r="R305" s="2"/>
      </tp>
      <tp t="s">
        <v>#N/A N/A</v>
        <stp/>
        <stp>BDP|16969825037323989517</stp>
        <tr r="E412" s="2"/>
      </tp>
      <tp t="s">
        <v>#N/A N/A</v>
        <stp/>
        <stp>BDP|18071739918374642197</stp>
        <tr r="H607" s="2"/>
      </tp>
      <tp t="s">
        <v>#N/A N/A</v>
        <stp/>
        <stp>BDP|11568270426239836389</stp>
        <tr r="R793" s="2"/>
      </tp>
      <tp t="s">
        <v>#N/A N/A</v>
        <stp/>
        <stp>BDP|10287480963728444195</stp>
        <tr r="P1273" s="2"/>
      </tp>
      <tp t="s">
        <v>#N/A N/A</v>
        <stp/>
        <stp>BDP|13625119534422097878</stp>
        <tr r="J56" s="2"/>
      </tp>
      <tp t="s">
        <v>#N/A N/A</v>
        <stp/>
        <stp>BDP|14302068555618645227</stp>
        <tr r="H590" s="2"/>
      </tp>
      <tp t="s">
        <v>#N/A N/A</v>
        <stp/>
        <stp>BDP|14276856930450705449</stp>
        <tr r="M122" s="2"/>
      </tp>
      <tp t="s">
        <v>#N/A N/A</v>
        <stp/>
        <stp>BDP|14871175399290245708</stp>
        <tr r="K79" s="2"/>
      </tp>
      <tp t="s">
        <v>#N/A N/A</v>
        <stp/>
        <stp>BDP|18194362648104355083</stp>
        <tr r="G333" s="2"/>
      </tp>
      <tp t="s">
        <v>#N/A N/A</v>
        <stp/>
        <stp>BDP|12914465518619186526</stp>
        <tr r="K767" s="2"/>
      </tp>
      <tp t="s">
        <v>#N/A N/A</v>
        <stp/>
        <stp>BDP|10815897113897042569</stp>
        <tr r="C1593" s="2"/>
      </tp>
      <tp t="s">
        <v>#N/A N/A</v>
        <stp/>
        <stp>BDP|12209026291940240078</stp>
        <tr r="H116" s="2"/>
      </tp>
      <tp t="s">
        <v>#N/A N/A</v>
        <stp/>
        <stp>BDP|13685968938402544093</stp>
        <tr r="S221" s="2"/>
      </tp>
      <tp t="s">
        <v>#N/A N/A</v>
        <stp/>
        <stp>BDP|10763001396525278776</stp>
        <tr r="O1195" s="2"/>
      </tp>
      <tp t="s">
        <v>#N/A N/A</v>
        <stp/>
        <stp>BDP|16205111090585259052</stp>
        <tr r="J130" s="2"/>
      </tp>
      <tp t="s">
        <v>#N/A N/A</v>
        <stp/>
        <stp>BDP|10031365216758173154</stp>
        <tr r="D323" s="2"/>
      </tp>
      <tp t="s">
        <v>#N/A N/A</v>
        <stp/>
        <stp>BDP|13013163187461706024</stp>
        <tr r="J665" s="2"/>
      </tp>
      <tp t="s">
        <v>#N/A N/A</v>
        <stp/>
        <stp>BDP|12387277541178988787</stp>
        <tr r="H1454" s="2"/>
      </tp>
      <tp t="s">
        <v>#N/A N/A</v>
        <stp/>
        <stp>BDP|14315555349679878734</stp>
        <tr r="T732" s="2"/>
      </tp>
      <tp t="s">
        <v>#N/A N/A</v>
        <stp/>
        <stp>BDP|12292460553398286013</stp>
        <tr r="T119" s="2"/>
      </tp>
      <tp t="s">
        <v>#N/A N/A</v>
        <stp/>
        <stp>BDP|12753332371279567442</stp>
        <tr r="E1331" s="2"/>
      </tp>
      <tp t="s">
        <v>#N/A N/A</v>
        <stp/>
        <stp>BDP|13986104609221572818</stp>
        <tr r="J1529" s="2"/>
      </tp>
      <tp t="s">
        <v>#N/A N/A</v>
        <stp/>
        <stp>BDP|18440407575117607733</stp>
        <tr r="C1608" s="2"/>
      </tp>
      <tp t="s">
        <v>#N/A N/A</v>
        <stp/>
        <stp>BDP|10508890915936408499</stp>
        <tr r="O1186" s="2"/>
      </tp>
      <tp t="s">
        <v>#N/A N/A</v>
        <stp/>
        <stp>BDP|15558137090591405767</stp>
        <tr r="J737" s="2"/>
      </tp>
      <tp t="s">
        <v>#N/A N/A</v>
        <stp/>
        <stp>BDP|15821312128038644734</stp>
        <tr r="K1265" s="2"/>
      </tp>
      <tp t="s">
        <v>#N/A N/A</v>
        <stp/>
        <stp>BDP|13465136082060506147</stp>
        <tr r="Q1404" s="2"/>
      </tp>
      <tp t="s">
        <v>#N/A N/A</v>
        <stp/>
        <stp>BDP|17853522214621225984</stp>
        <tr r="H354" s="2"/>
      </tp>
      <tp t="s">
        <v>#N/A N/A</v>
        <stp/>
        <stp>BDP|14954546519038122316</stp>
        <tr r="A161" s="2"/>
      </tp>
      <tp t="s">
        <v>#N/A N/A</v>
        <stp/>
        <stp>BDP|10324665022657502866</stp>
        <tr r="M1636" s="2"/>
      </tp>
      <tp t="s">
        <v>#N/A N/A</v>
        <stp/>
        <stp>BDP|10861983014672604164</stp>
        <tr r="K1208" s="2"/>
      </tp>
      <tp t="s">
        <v>#N/A N/A</v>
        <stp/>
        <stp>BDP|15397884536362888710</stp>
        <tr r="M23" s="2"/>
      </tp>
      <tp t="s">
        <v>#N/A N/A</v>
        <stp/>
        <stp>BDP|16065351248078028293</stp>
        <tr r="S1521" s="2"/>
      </tp>
      <tp t="s">
        <v>#N/A N/A</v>
        <stp/>
        <stp>BDP|17636830374907552409</stp>
        <tr r="M491" s="2"/>
      </tp>
      <tp t="s">
        <v>#N/A N/A</v>
        <stp/>
        <stp>BDP|12441324237650060956</stp>
        <tr r="E1422" s="2"/>
      </tp>
      <tp t="s">
        <v>#N/A N/A</v>
        <stp/>
        <stp>BDP|11485840314512614169</stp>
        <tr r="K631" s="2"/>
      </tp>
      <tp t="s">
        <v>#N/A N/A</v>
        <stp/>
        <stp>BDP|13561191093009816932</stp>
        <tr r="P595" s="2"/>
      </tp>
      <tp t="s">
        <v>#N/A N/A</v>
        <stp/>
        <stp>BDP|14779811342654049700</stp>
        <tr r="F1126" s="2"/>
      </tp>
      <tp t="s">
        <v>#N/A N/A</v>
        <stp/>
        <stp>BDP|18326121118312525186</stp>
        <tr r="A1474" s="2"/>
      </tp>
      <tp t="s">
        <v>#N/A N/A</v>
        <stp/>
        <stp>BDP|17097637991150104344</stp>
        <tr r="H1672" s="2"/>
      </tp>
      <tp t="s">
        <v>#N/A N/A</v>
        <stp/>
        <stp>BDP|18132758053057359635</stp>
        <tr r="F860" s="2"/>
      </tp>
      <tp t="s">
        <v>#N/A N/A</v>
        <stp/>
        <stp>BDP|17314848338045139291</stp>
        <tr r="A1070" s="2"/>
      </tp>
      <tp t="s">
        <v>#N/A N/A</v>
        <stp/>
        <stp>BDP|11650954298178884243</stp>
        <tr r="O671" s="2"/>
      </tp>
      <tp t="s">
        <v>#N/A N/A</v>
        <stp/>
        <stp>BDP|16303506415631785863</stp>
        <tr r="P1615" s="2"/>
      </tp>
      <tp t="s">
        <v>#N/A N/A</v>
        <stp/>
        <stp>BDP|11903297711990472923</stp>
        <tr r="A626" s="2"/>
      </tp>
      <tp t="s">
        <v>#N/A N/A</v>
        <stp/>
        <stp>BDP|11899907974710348487</stp>
        <tr r="O517" s="2"/>
      </tp>
      <tp t="s">
        <v>#N/A N/A</v>
        <stp/>
        <stp>BDP|18131803290505577738</stp>
        <tr r="J606" s="2"/>
      </tp>
      <tp t="s">
        <v>#N/A N/A</v>
        <stp/>
        <stp>BDP|11583228294634277568</stp>
        <tr r="D514" s="2"/>
      </tp>
      <tp t="s">
        <v>#N/A N/A</v>
        <stp/>
        <stp>BDP|14140914146303496153</stp>
        <tr r="S1025" s="2"/>
      </tp>
      <tp t="s">
        <v>#N/A N/A</v>
        <stp/>
        <stp>BDP|13245521607725627869</stp>
        <tr r="N240" s="2"/>
      </tp>
      <tp t="s">
        <v>#N/A N/A</v>
        <stp/>
        <stp>BDP|14151675686442092374</stp>
        <tr r="S384" s="2"/>
      </tp>
      <tp t="s">
        <v>#N/A N/A</v>
        <stp/>
        <stp>BDP|10639427855873725917</stp>
        <tr r="Q1657" s="2"/>
      </tp>
      <tp t="s">
        <v>#N/A N/A</v>
        <stp/>
        <stp>BDP|11263968804387261452</stp>
        <tr r="C285" s="2"/>
      </tp>
      <tp t="s">
        <v>#N/A N/A</v>
        <stp/>
        <stp>BDP|12779603495404000258</stp>
        <tr r="E339" s="2"/>
      </tp>
      <tp t="s">
        <v>#N/A N/A</v>
        <stp/>
        <stp>BDP|14869747172996978907</stp>
        <tr r="O720" s="2"/>
      </tp>
      <tp t="s">
        <v>#N/A N/A</v>
        <stp/>
        <stp>BDP|10859310808548191076</stp>
        <tr r="N378" s="2"/>
      </tp>
      <tp t="s">
        <v>#N/A N/A</v>
        <stp/>
        <stp>BDP|12488915987650102844</stp>
        <tr r="C747" s="2"/>
      </tp>
      <tp t="s">
        <v>#N/A N/A</v>
        <stp/>
        <stp>BDP|15890408198251652219</stp>
        <tr r="K1105" s="2"/>
      </tp>
      <tp t="s">
        <v>#N/A N/A</v>
        <stp/>
        <stp>BDP|15755905346230355358</stp>
        <tr r="D1029" s="2"/>
      </tp>
      <tp t="s">
        <v>#N/A N/A</v>
        <stp/>
        <stp>BDP|14096882224215237095</stp>
        <tr r="Q1215" s="2"/>
      </tp>
      <tp t="s">
        <v>#N/A N/A</v>
        <stp/>
        <stp>BDP|15883177189646654173</stp>
        <tr r="A910" s="2"/>
      </tp>
      <tp t="s">
        <v>#N/A N/A</v>
        <stp/>
        <stp>BDP|12041829409133558297</stp>
        <tr r="S1426" s="2"/>
      </tp>
      <tp t="s">
        <v>#N/A N/A</v>
        <stp/>
        <stp>BDP|16615805232886267014</stp>
        <tr r="M868" s="2"/>
      </tp>
      <tp t="s">
        <v>#N/A N/A</v>
        <stp/>
        <stp>BDP|13996290501768160276</stp>
        <tr r="M405" s="2"/>
      </tp>
      <tp t="s">
        <v>#N/A N/A</v>
        <stp/>
        <stp>BDP|11489887738362043335</stp>
        <tr r="C792" s="2"/>
      </tp>
      <tp t="s">
        <v>#N/A N/A</v>
        <stp/>
        <stp>BDP|14303388064728947216</stp>
        <tr r="R1084" s="2"/>
      </tp>
      <tp t="s">
        <v>#N/A N/A</v>
        <stp/>
        <stp>BDP|13265909251404557013</stp>
        <tr r="O407" s="2"/>
      </tp>
      <tp t="s">
        <v>#N/A N/A</v>
        <stp/>
        <stp>BDP|14676065771829253142</stp>
        <tr r="D254" s="2"/>
      </tp>
      <tp t="s">
        <v>#N/A N/A</v>
        <stp/>
        <stp>BDP|12713625734294532839</stp>
        <tr r="J414" s="2"/>
      </tp>
      <tp t="s">
        <v>#N/A N/A</v>
        <stp/>
        <stp>BDP|13694872936431107213</stp>
        <tr r="J613" s="2"/>
      </tp>
      <tp t="s">
        <v>#N/A N/A</v>
        <stp/>
        <stp>BDP|11742829239106348784</stp>
        <tr r="D316" s="2"/>
      </tp>
      <tp t="s">
        <v>#N/A N/A</v>
        <stp/>
        <stp>BDP|10669356358708591592</stp>
        <tr r="S866" s="2"/>
      </tp>
      <tp t="s">
        <v>#N/A N/A</v>
        <stp/>
        <stp>BDP|10288943242124014238</stp>
        <tr r="O1735" s="2"/>
      </tp>
      <tp t="s">
        <v>#N/A N/A</v>
        <stp/>
        <stp>BDP|15596808730104009123</stp>
        <tr r="S1671" s="2"/>
      </tp>
      <tp t="s">
        <v>#N/A N/A</v>
        <stp/>
        <stp>BDP|17669787854949421799</stp>
        <tr r="P308" s="2"/>
      </tp>
      <tp t="s">
        <v>#N/A N/A</v>
        <stp/>
        <stp>BDP|12113772301736435844</stp>
        <tr r="N647" s="2"/>
      </tp>
      <tp t="s">
        <v>#N/A N/A</v>
        <stp/>
        <stp>BDP|16297725996955257632</stp>
        <tr r="T677" s="2"/>
      </tp>
      <tp t="s">
        <v>#N/A N/A</v>
        <stp/>
        <stp>BDP|11428420026329563525</stp>
        <tr r="O651" s="2"/>
      </tp>
      <tp t="s">
        <v>#N/A N/A</v>
        <stp/>
        <stp>BDP|14200279752438891086</stp>
        <tr r="C1220" s="2"/>
      </tp>
      <tp t="s">
        <v>#N/A N/A</v>
        <stp/>
        <stp>BDP|10982898219617637587</stp>
        <tr r="P1368" s="2"/>
      </tp>
      <tp t="s">
        <v>#N/A N/A</v>
        <stp/>
        <stp>BDP|14295403272048080470</stp>
        <tr r="O308" s="2"/>
      </tp>
      <tp t="s">
        <v>#N/A N/A</v>
        <stp/>
        <stp>BDP|16911849315897828370</stp>
        <tr r="P923" s="2"/>
      </tp>
      <tp t="s">
        <v>#N/A N/A</v>
        <stp/>
        <stp>BDS|11642967752725039366</stp>
        <tr r="I1430" s="2"/>
      </tp>
      <tp t="s">
        <v>#N/A N/A</v>
        <stp/>
        <stp>BDP|17906912902740843550</stp>
        <tr r="J1139" s="2"/>
      </tp>
      <tp t="s">
        <v>#N/A N/A</v>
        <stp/>
        <stp>BDP|15002413759107650896</stp>
        <tr r="O1629" s="2"/>
      </tp>
      <tp t="s">
        <v>#N/A N/A</v>
        <stp/>
        <stp>BDP|10111166276288310554</stp>
        <tr r="O523" s="2"/>
      </tp>
      <tp t="s">
        <v>#N/A N/A</v>
        <stp/>
        <stp>BDP|13385139041785184879</stp>
        <tr r="J1695" s="2"/>
      </tp>
      <tp t="s">
        <v>#N/A N/A</v>
        <stp/>
        <stp>BDP|12742811473387664147</stp>
        <tr r="O1155" s="2"/>
      </tp>
      <tp t="s">
        <v>#N/A N/A</v>
        <stp/>
        <stp>BDP|17601976466415225627</stp>
        <tr r="J1509" s="2"/>
      </tp>
      <tp t="s">
        <v>#N/A N/A</v>
        <stp/>
        <stp>BDP|16830887464092560164</stp>
        <tr r="M649" s="2"/>
      </tp>
      <tp t="s">
        <v>#N/A N/A</v>
        <stp/>
        <stp>BDP|17518532453259705557</stp>
        <tr r="F73" s="2"/>
      </tp>
      <tp t="s">
        <v>#N/A N/A</v>
        <stp/>
        <stp>BDP|13109304251619122766</stp>
        <tr r="A1466" s="2"/>
      </tp>
      <tp t="s">
        <v>#N/A N/A</v>
        <stp/>
        <stp>BDP|13510583059071051931</stp>
        <tr r="N1369" s="2"/>
      </tp>
      <tp t="s">
        <v>#N/A N/A</v>
        <stp/>
        <stp>BDP|18330355511304615562</stp>
        <tr r="P1184" s="2"/>
      </tp>
      <tp t="s">
        <v>#N/A N/A</v>
        <stp/>
        <stp>BDP|15731850353695064666</stp>
        <tr r="P4" s="2"/>
      </tp>
      <tp t="s">
        <v>#N/A N/A</v>
        <stp/>
        <stp>BDP|17450652644047508973</stp>
        <tr r="E887" s="2"/>
      </tp>
      <tp t="s">
        <v>#N/A N/A</v>
        <stp/>
        <stp>BDP|15105951745521385258</stp>
        <tr r="J1073" s="2"/>
      </tp>
      <tp t="s">
        <v>#N/A N/A</v>
        <stp/>
        <stp>BDP|16996989255796478774</stp>
        <tr r="D1019" s="2"/>
      </tp>
      <tp t="s">
        <v>#N/A N/A</v>
        <stp/>
        <stp>BDP|12020872775253520504</stp>
        <tr r="N771" s="2"/>
      </tp>
      <tp t="s">
        <v>#N/A N/A</v>
        <stp/>
        <stp>BDP|12043480282326861355</stp>
        <tr r="G145" s="2"/>
      </tp>
      <tp t="s">
        <v>#N/A N/A</v>
        <stp/>
        <stp>BDP|17538606282857671571</stp>
        <tr r="D820" s="2"/>
      </tp>
      <tp t="s">
        <v>#N/A N/A</v>
        <stp/>
        <stp>BDP|14673393268989433355</stp>
        <tr r="M433" s="2"/>
      </tp>
      <tp t="s">
        <v>#N/A N/A</v>
        <stp/>
        <stp>BDP|10790845450633433512</stp>
        <tr r="K49" s="2"/>
      </tp>
      <tp t="s">
        <v>#N/A N/A</v>
        <stp/>
        <stp>BDP|18393311217071765045</stp>
        <tr r="R403" s="2"/>
      </tp>
      <tp t="s">
        <v>#N/A N/A</v>
        <stp/>
        <stp>BDP|15285429214929447267</stp>
        <tr r="M1379" s="2"/>
      </tp>
      <tp t="s">
        <v>#N/A N/A</v>
        <stp/>
        <stp>BDP|10970424545983917811</stp>
        <tr r="K149" s="2"/>
      </tp>
      <tp t="s">
        <v>#N/A N/A</v>
        <stp/>
        <stp>BDP|12944393384025050728</stp>
        <tr r="E826" s="2"/>
      </tp>
      <tp t="s">
        <v>#N/A N/A</v>
        <stp/>
        <stp>BDP|17044103619375794987</stp>
        <tr r="K1612" s="2"/>
      </tp>
      <tp t="s">
        <v>#N/A N/A</v>
        <stp/>
        <stp>BDP|11338605282042465639</stp>
        <tr r="P1741" s="2"/>
      </tp>
      <tp t="s">
        <v>#N/A N/A</v>
        <stp/>
        <stp>BDP|17282892556223840235</stp>
        <tr r="C782" s="2"/>
      </tp>
      <tp t="s">
        <v>#N/A N/A</v>
        <stp/>
        <stp>BDP|11087118098645890776</stp>
        <tr r="O344" s="2"/>
      </tp>
      <tp t="s">
        <v>#N/A N/A</v>
        <stp/>
        <stp>BDP|15477753972978334666</stp>
        <tr r="G583" s="2"/>
      </tp>
      <tp t="s">
        <v>#N/A N/A</v>
        <stp/>
        <stp>BDP|15770541261715798830</stp>
        <tr r="H1709" s="2"/>
      </tp>
      <tp t="s">
        <v>#N/A N/A</v>
        <stp/>
        <stp>BDP|17247849200010765473</stp>
        <tr r="S247" s="2"/>
      </tp>
      <tp t="s">
        <v>#N/A N/A</v>
        <stp/>
        <stp>BDP|18440410642126894594</stp>
        <tr r="E1539" s="2"/>
      </tp>
      <tp t="s">
        <v>#N/A N/A</v>
        <stp/>
        <stp>BDP|18294072167712159756</stp>
        <tr r="H1049" s="2"/>
      </tp>
      <tp t="s">
        <v>#N/A N/A</v>
        <stp/>
        <stp>BDP|11950847437544504598</stp>
        <tr r="H92" s="2"/>
      </tp>
      <tp t="s">
        <v>#N/A N/A</v>
        <stp/>
        <stp>BDP|17145992554119315999</stp>
        <tr r="C400" s="2"/>
      </tp>
      <tp t="s">
        <v>#N/A N/A</v>
        <stp/>
        <stp>BDP|11308951612894606646</stp>
        <tr r="J599" s="2"/>
      </tp>
      <tp t="s">
        <v>#N/A N/A</v>
        <stp/>
        <stp>BDP|14152568198141106283</stp>
        <tr r="K941" s="2"/>
      </tp>
      <tp t="s">
        <v>#N/A N/A</v>
        <stp/>
        <stp>BDP|17447782714749880367</stp>
        <tr r="O430" s="2"/>
      </tp>
      <tp t="s">
        <v>#N/A N/A</v>
        <stp/>
        <stp>BDP|17628109673133219915</stp>
        <tr r="K1031" s="2"/>
      </tp>
      <tp t="s">
        <v>#N/A N/A</v>
        <stp/>
        <stp>BDP|15695857126491030534</stp>
        <tr r="H1121" s="2"/>
      </tp>
      <tp t="s">
        <v>#N/A N/A</v>
        <stp/>
        <stp>BDP|12456989617280557187</stp>
        <tr r="H158" s="2"/>
      </tp>
      <tp t="s">
        <v>#N/A N/A</v>
        <stp/>
        <stp>BDP|10289786679709121247</stp>
        <tr r="K1108" s="2"/>
      </tp>
      <tp t="s">
        <v>#N/A N/A</v>
        <stp/>
        <stp>BDP|18236678341657509671</stp>
        <tr r="E5" s="2"/>
      </tp>
      <tp t="s">
        <v>#N/A N/A</v>
        <stp/>
        <stp>BDP|10563404191084726253</stp>
        <tr r="S380" s="2"/>
      </tp>
      <tp t="s">
        <v>#N/A N/A</v>
        <stp/>
        <stp>BDP|16348331983052328464</stp>
        <tr r="D31" s="2"/>
      </tp>
      <tp t="s">
        <v>#N/A N/A</v>
        <stp/>
        <stp>BDP|15270811735360527554</stp>
        <tr r="T1481" s="2"/>
      </tp>
      <tp t="s">
        <v>#N/A N/A</v>
        <stp/>
        <stp>BDP|17139996728682160576</stp>
        <tr r="Q1555" s="2"/>
      </tp>
      <tp t="s">
        <v>#N/A N/A</v>
        <stp/>
        <stp>BDP|14977183241648230242</stp>
        <tr r="F58" s="2"/>
      </tp>
      <tp t="s">
        <v>#N/A N/A</v>
        <stp/>
        <stp>BDP|12628981261564840210</stp>
        <tr r="N1705" s="2"/>
      </tp>
      <tp t="s">
        <v>#N/A N/A</v>
        <stp/>
        <stp>BDS|16510479777986375834</stp>
        <tr r="I801" s="2"/>
      </tp>
      <tp t="s">
        <v>#N/A N/A</v>
        <stp/>
        <stp>BDP|11650146984313528050</stp>
        <tr r="A678" s="2"/>
      </tp>
      <tp t="s">
        <v>#N/A N/A</v>
        <stp/>
        <stp>BDP|15140143372760967884</stp>
        <tr r="S1728" s="2"/>
      </tp>
      <tp t="s">
        <v>#N/A N/A</v>
        <stp/>
        <stp>BDP|15125098075889314082</stp>
        <tr r="M1415" s="2"/>
      </tp>
      <tp t="s">
        <v>#N/A N/A</v>
        <stp/>
        <stp>BDP|10748506265509223165</stp>
        <tr r="R1121" s="2"/>
      </tp>
      <tp t="s">
        <v>#N/A N/A</v>
        <stp/>
        <stp>BDP|13649920261243276411</stp>
        <tr r="K1155" s="2"/>
      </tp>
      <tp t="s">
        <v>#N/A N/A</v>
        <stp/>
        <stp>BDP|17701541036323555967</stp>
        <tr r="T627" s="2"/>
      </tp>
      <tp t="s">
        <v>#N/A N/A</v>
        <stp/>
        <stp>BDP|15927507598564097679</stp>
        <tr r="H940" s="2"/>
      </tp>
      <tp t="s">
        <v>#N/A N/A</v>
        <stp/>
        <stp>BDS|16854137270413609881</stp>
        <tr r="I1364" s="2"/>
      </tp>
      <tp t="s">
        <v>#N/A N/A</v>
        <stp/>
        <stp>BDP|16860367221718938402</stp>
        <tr r="A1687" s="2"/>
      </tp>
      <tp t="s">
        <v>#N/A N/A</v>
        <stp/>
        <stp>BDP|14071725568469877746</stp>
        <tr r="N1124" s="2"/>
      </tp>
      <tp t="s">
        <v>#N/A N/A</v>
        <stp/>
        <stp>BDP|16210224845193629850</stp>
        <tr r="D616" s="2"/>
      </tp>
      <tp t="s">
        <v>#N/A N/A</v>
        <stp/>
        <stp>BDP|14660129203879664777</stp>
        <tr r="O604" s="2"/>
      </tp>
      <tp t="s">
        <v>#N/A N/A</v>
        <stp/>
        <stp>BDS|10227954768491918535</stp>
        <tr r="I933" s="2"/>
      </tp>
      <tp t="s">
        <v>#N/A N/A</v>
        <stp/>
        <stp>BDP|11752291631132989908</stp>
        <tr r="F906" s="2"/>
      </tp>
      <tp t="s">
        <v>#N/A N/A</v>
        <stp/>
        <stp>BDP|12292078878198968623</stp>
        <tr r="J113" s="2"/>
      </tp>
      <tp t="s">
        <v>#N/A N/A</v>
        <stp/>
        <stp>BDP|15248752580818788963</stp>
        <tr r="Q312" s="2"/>
      </tp>
      <tp t="s">
        <v>#N/A N/A</v>
        <stp/>
        <stp>BDP|11024651912249508444</stp>
        <tr r="P1109" s="2"/>
      </tp>
      <tp t="s">
        <v>#N/A N/A</v>
        <stp/>
        <stp>BDP|15304597148649344671</stp>
        <tr r="S764" s="2"/>
      </tp>
      <tp t="s">
        <v>#N/A N/A</v>
        <stp/>
        <stp>BDP|18024378477877226044</stp>
        <tr r="H793" s="2"/>
      </tp>
      <tp t="s">
        <v>#N/A N/A</v>
        <stp/>
        <stp>BDP|13948416373828005021</stp>
        <tr r="S535" s="2"/>
      </tp>
      <tp t="s">
        <v>#N/A N/A</v>
        <stp/>
        <stp>BDP|10016627748683420979</stp>
        <tr r="Q812" s="2"/>
      </tp>
      <tp t="s">
        <v>#N/A N/A</v>
        <stp/>
        <stp>BDP|10698602147883990911</stp>
        <tr r="N14" s="2"/>
      </tp>
      <tp t="s">
        <v>#N/A N/A</v>
        <stp/>
        <stp>BDP|14676701781402896161</stp>
        <tr r="T504" s="2"/>
      </tp>
      <tp t="s">
        <v>#N/A N/A</v>
        <stp/>
        <stp>BDP|12591032215922812929</stp>
        <tr r="F242" s="2"/>
      </tp>
      <tp t="s">
        <v>#N/A N/A</v>
        <stp/>
        <stp>BDP|16174255880952904642</stp>
        <tr r="Q170" s="2"/>
      </tp>
      <tp t="s">
        <v>#N/A N/A</v>
        <stp/>
        <stp>BDP|17550384083976543224</stp>
        <tr r="E575" s="2"/>
      </tp>
      <tp t="s">
        <v>#N/A N/A</v>
        <stp/>
        <stp>BDP|16158882534906191358</stp>
        <tr r="T1399" s="2"/>
      </tp>
      <tp t="s">
        <v>#N/A N/A</v>
        <stp/>
        <stp>BDP|13779939300534956642</stp>
        <tr r="R1403" s="2"/>
      </tp>
      <tp t="s">
        <v>#N/A N/A</v>
        <stp/>
        <stp>BDP|16698814618145790219</stp>
        <tr r="Q540" s="2"/>
      </tp>
      <tp t="s">
        <v>#N/A N/A</v>
        <stp/>
        <stp>BDP|11444398096727322415</stp>
        <tr r="E1376" s="2"/>
      </tp>
      <tp t="s">
        <v>#N/A N/A</v>
        <stp/>
        <stp>BDP|15386350498432751505</stp>
        <tr r="H329" s="2"/>
      </tp>
      <tp t="s">
        <v>#N/A N/A</v>
        <stp/>
        <stp>BDP|12231973894639007385</stp>
        <tr r="M604" s="2"/>
      </tp>
      <tp t="s">
        <v>#N/A N/A</v>
        <stp/>
        <stp>BDP|13162897647695627206</stp>
        <tr r="Q1219" s="2"/>
      </tp>
      <tp t="s">
        <v>#N/A N/A</v>
        <stp/>
        <stp>BDP|16802949114165823399</stp>
        <tr r="A439" s="2"/>
      </tp>
      <tp t="s">
        <v>#N/A N/A</v>
        <stp/>
        <stp>BDS|12484783082903354674</stp>
        <tr r="I923" s="2"/>
      </tp>
      <tp t="s">
        <v>#N/A N/A</v>
        <stp/>
        <stp>BDP|17565372539088445762</stp>
        <tr r="N264" s="2"/>
      </tp>
      <tp t="s">
        <v>#N/A N/A</v>
        <stp/>
        <stp>BDP|17419725753505530890</stp>
        <tr r="J1056" s="2"/>
      </tp>
      <tp t="s">
        <v>#N/A N/A</v>
        <stp/>
        <stp>BDP|10831796598384124216</stp>
        <tr r="C1726" s="2"/>
      </tp>
      <tp t="s">
        <v>#N/A N/A</v>
        <stp/>
        <stp>BDP|16600159783564065398</stp>
        <tr r="D1061" s="2"/>
      </tp>
      <tp t="s">
        <v>#N/A N/A</v>
        <stp/>
        <stp>BDP|14331106192856192296</stp>
        <tr r="S1530" s="2"/>
      </tp>
      <tp t="s">
        <v>#N/A N/A</v>
        <stp/>
        <stp>BDP|17264677179007763925</stp>
        <tr r="F750" s="2"/>
      </tp>
      <tp t="s">
        <v>#N/A N/A</v>
        <stp/>
        <stp>BDP|17838023191543613545</stp>
        <tr r="S640" s="2"/>
      </tp>
      <tp t="s">
        <v>#N/A N/A</v>
        <stp/>
        <stp>BDP|13891838964667217247</stp>
        <tr r="R684" s="2"/>
      </tp>
      <tp t="s">
        <v>#N/A N/A</v>
        <stp/>
        <stp>BDP|17134892620317502243</stp>
        <tr r="A1617" s="2"/>
      </tp>
      <tp t="s">
        <v>#N/A N/A</v>
        <stp/>
        <stp>BDP|13750365812748252182</stp>
        <tr r="G1203" s="2"/>
      </tp>
      <tp t="s">
        <v>#N/A N/A</v>
        <stp/>
        <stp>BDP|15308721609448270232</stp>
        <tr r="S735" s="2"/>
      </tp>
      <tp t="s">
        <v>#N/A N/A</v>
        <stp/>
        <stp>BDP|13300884637276234675</stp>
        <tr r="G1494" s="2"/>
      </tp>
      <tp t="s">
        <v>#N/A N/A</v>
        <stp/>
        <stp>BDP|13520169119703155829</stp>
        <tr r="P1372" s="2"/>
      </tp>
      <tp t="s">
        <v>#N/A N/A</v>
        <stp/>
        <stp>BDP|11809375697396441552</stp>
        <tr r="H1308" s="2"/>
      </tp>
      <tp t="s">
        <v>#N/A N/A</v>
        <stp/>
        <stp>BDP|12933443695011971680</stp>
        <tr r="M1172" s="2"/>
      </tp>
      <tp t="s">
        <v>#N/A N/A</v>
        <stp/>
        <stp>BDP|12423869538908520967</stp>
        <tr r="M1083" s="2"/>
      </tp>
      <tp t="s">
        <v>#N/A N/A</v>
        <stp/>
        <stp>BDP|11403150998128148912</stp>
        <tr r="E176" s="2"/>
      </tp>
      <tp t="s">
        <v>#N/A N/A</v>
        <stp/>
        <stp>BDP|13923884582722977931</stp>
        <tr r="M1416" s="2"/>
      </tp>
      <tp t="s">
        <v>#N/A N/A</v>
        <stp/>
        <stp>BDP|12340034447639909770</stp>
        <tr r="M450" s="2"/>
      </tp>
      <tp t="s">
        <v>#N/A N/A</v>
        <stp/>
        <stp>BDP|14929818405182378679</stp>
        <tr r="H653" s="2"/>
      </tp>
      <tp t="s">
        <v>#N/A N/A</v>
        <stp/>
        <stp>BDP|17590015552792877879</stp>
        <tr r="O1673" s="2"/>
      </tp>
      <tp t="s">
        <v>#N/A N/A</v>
        <stp/>
        <stp>BDP|15541988334973784478</stp>
        <tr r="N1270" s="2"/>
      </tp>
      <tp t="s">
        <v>#N/A N/A</v>
        <stp/>
        <stp>BDP|10401852919269912885</stp>
        <tr r="Q657" s="2"/>
      </tp>
      <tp t="s">
        <v>#N/A N/A</v>
        <stp/>
        <stp>BDP|10146278472555849859</stp>
        <tr r="M167" s="2"/>
      </tp>
      <tp t="s">
        <v>#N/A N/A</v>
        <stp/>
        <stp>BDP|11969196451618054587</stp>
        <tr r="T1510" s="2"/>
      </tp>
      <tp t="s">
        <v>#N/A N/A</v>
        <stp/>
        <stp>BDP|15307977929873013555</stp>
        <tr r="M886" s="2"/>
      </tp>
      <tp t="s">
        <v>#N/A N/A</v>
        <stp/>
        <stp>BDS|15398807401182802714</stp>
        <tr r="I1195" s="2"/>
      </tp>
      <tp t="s">
        <v>#N/A N/A</v>
        <stp/>
        <stp>BDP|11876554446851238912</stp>
        <tr r="S646" s="2"/>
      </tp>
      <tp t="s">
        <v>#N/A N/A</v>
        <stp/>
        <stp>BDP|12922879974174179137</stp>
        <tr r="R1707" s="2"/>
      </tp>
      <tp t="s">
        <v>#N/A N/A</v>
        <stp/>
        <stp>BDP|11360896813182099211</stp>
        <tr r="K740" s="2"/>
      </tp>
      <tp t="s">
        <v>#N/A N/A</v>
        <stp/>
        <stp>BDP|11443059227208767391</stp>
        <tr r="M859" s="2"/>
      </tp>
      <tp t="s">
        <v>#N/A N/A</v>
        <stp/>
        <stp>BDP|10455505826488997735</stp>
        <tr r="P1107" s="2"/>
      </tp>
      <tp t="s">
        <v>#N/A N/A</v>
        <stp/>
        <stp>BDP|11396801538315460775</stp>
        <tr r="P1386" s="2"/>
      </tp>
      <tp t="s">
        <v>#N/A N/A</v>
        <stp/>
        <stp>BDP|12365444563650429889</stp>
        <tr r="R1383" s="2"/>
      </tp>
      <tp t="s">
        <v>#N/A N/A</v>
        <stp/>
        <stp>BDP|16800199528788892599</stp>
        <tr r="J1409" s="2"/>
      </tp>
      <tp t="s">
        <v>#N/A N/A</v>
        <stp/>
        <stp>BDP|13461100249527398964</stp>
        <tr r="N1356" s="2"/>
      </tp>
      <tp t="s">
        <v>#N/A N/A</v>
        <stp/>
        <stp>BDP|13849349797647200615</stp>
        <tr r="F104" s="2"/>
      </tp>
      <tp t="s">
        <v>#N/A N/A</v>
        <stp/>
        <stp>BDP|14682143645580818971</stp>
        <tr r="M320" s="2"/>
      </tp>
      <tp t="s">
        <v>#N/A N/A</v>
        <stp/>
        <stp>BDP|18131759373463620392</stp>
        <tr r="N738" s="2"/>
      </tp>
      <tp t="s">
        <v>#N/A N/A</v>
        <stp/>
        <stp>BDP|18394994919430860832</stp>
        <tr r="F536" s="2"/>
      </tp>
      <tp t="s">
        <v>#N/A N/A</v>
        <stp/>
        <stp>BDP|15918952202432727619</stp>
        <tr r="M1658" s="2"/>
      </tp>
      <tp t="s">
        <v>#N/A N/A</v>
        <stp/>
        <stp>BDP|12859410229368895403</stp>
        <tr r="J132" s="2"/>
      </tp>
      <tp t="s">
        <v>#N/A N/A</v>
        <stp/>
        <stp>BDP|10571185696696385600</stp>
        <tr r="R1509" s="2"/>
      </tp>
      <tp t="s">
        <v>#N/A N/A</v>
        <stp/>
        <stp>BDP|14935279531568031570</stp>
        <tr r="A1589" s="2"/>
      </tp>
      <tp t="s">
        <v>#N/A N/A</v>
        <stp/>
        <stp>BDP|15599862909191194430</stp>
        <tr r="Q652" s="2"/>
      </tp>
      <tp t="s">
        <v>#N/A N/A</v>
        <stp/>
        <stp>BDP|16817002012757138834</stp>
        <tr r="O221" s="2"/>
      </tp>
      <tp t="s">
        <v>#N/A N/A</v>
        <stp/>
        <stp>BDS|13241183920411436952</stp>
        <tr r="I1335" s="2"/>
      </tp>
      <tp t="s">
        <v>#N/A N/A</v>
        <stp/>
        <stp>BDP|13108251402439958072</stp>
        <tr r="N1293" s="2"/>
      </tp>
      <tp t="s">
        <v>#N/A N/A</v>
        <stp/>
        <stp>BDP|11877955320764569602</stp>
        <tr r="C1179" s="2"/>
      </tp>
      <tp t="s">
        <v>#N/A N/A</v>
        <stp/>
        <stp>BDP|15807069792922010640</stp>
        <tr r="C1543" s="2"/>
      </tp>
      <tp t="s">
        <v>#N/A N/A</v>
        <stp/>
        <stp>BDP|13442534750152939962</stp>
        <tr r="G1094" s="2"/>
      </tp>
      <tp t="s">
        <v>#N/A N/A</v>
        <stp/>
        <stp>BDP|14265372389876299165</stp>
        <tr r="F137" s="2"/>
      </tp>
      <tp t="s">
        <v>#N/A N/A</v>
        <stp/>
        <stp>BDP|15276323287563994568</stp>
        <tr r="R796" s="2"/>
      </tp>
      <tp t="s">
        <v>#N/A N/A</v>
        <stp/>
        <stp>BDS|13029112000383243987</stp>
        <tr r="I1064" s="2"/>
      </tp>
      <tp t="s">
        <v>#N/A N/A</v>
        <stp/>
        <stp>BDP|10012499890822145703</stp>
        <tr r="M871" s="2"/>
      </tp>
      <tp t="s">
        <v>#N/A N/A</v>
        <stp/>
        <stp>BDP|16511375865693727887</stp>
        <tr r="N114" s="2"/>
      </tp>
      <tp t="s">
        <v>#N/A N/A</v>
        <stp/>
        <stp>BDP|18441010817388352995</stp>
        <tr r="E867" s="2"/>
      </tp>
      <tp t="s">
        <v>#N/A N/A</v>
        <stp/>
        <stp>BDP|15516660632279001195</stp>
        <tr r="K1145" s="2"/>
      </tp>
      <tp t="s">
        <v>#N/A N/A</v>
        <stp/>
        <stp>BDP|11733109469758421629</stp>
        <tr r="N1189" s="2"/>
      </tp>
      <tp t="s">
        <v>#N/A N/A</v>
        <stp/>
        <stp>BDP|11663320991623851050</stp>
        <tr r="A524" s="2"/>
      </tp>
      <tp t="s">
        <v>#N/A N/A</v>
        <stp/>
        <stp>BDP|18236552288545558824</stp>
        <tr r="G1089" s="2"/>
      </tp>
      <tp t="s">
        <v>#N/A N/A</v>
        <stp/>
        <stp>BDP|11763880945033718652</stp>
        <tr r="O1001" s="2"/>
      </tp>
      <tp t="s">
        <v>#N/A N/A</v>
        <stp/>
        <stp>BDP|14823133580593355605</stp>
        <tr r="R456" s="2"/>
      </tp>
      <tp t="s">
        <v>#N/A N/A</v>
        <stp/>
        <stp>BDP|12627898777830804586</stp>
        <tr r="K1126" s="2"/>
      </tp>
      <tp t="s">
        <v>#N/A N/A</v>
        <stp/>
        <stp>BDP|17066512265208462484</stp>
        <tr r="E245" s="2"/>
      </tp>
      <tp t="s">
        <v>#N/A N/A</v>
        <stp/>
        <stp>BDP|12521317195546025696</stp>
        <tr r="D410" s="2"/>
      </tp>
      <tp t="s">
        <v>#N/A N/A</v>
        <stp/>
        <stp>BDP|13161827751327345192</stp>
        <tr r="M5" s="2"/>
      </tp>
      <tp t="s">
        <v>#N/A N/A</v>
        <stp/>
        <stp>BDP|16131914260309152895</stp>
        <tr r="J1268" s="2"/>
      </tp>
      <tp t="s">
        <v>#N/A N/A</v>
        <stp/>
        <stp>BDP|17408562334738818160</stp>
        <tr r="D1145" s="2"/>
      </tp>
      <tp t="s">
        <v>#N/A N/A</v>
        <stp/>
        <stp>BDP|16549987620821408420</stp>
        <tr r="N765" s="2"/>
      </tp>
      <tp t="s">
        <v>#N/A N/A</v>
        <stp/>
        <stp>BDP|10053046729908450224</stp>
        <tr r="H969" s="2"/>
      </tp>
      <tp t="s">
        <v>#N/A N/A</v>
        <stp/>
        <stp>BDP|11528959901179352994</stp>
        <tr r="A538" s="2"/>
      </tp>
      <tp t="s">
        <v>#N/A N/A</v>
        <stp/>
        <stp>BDP|17311946477923300285</stp>
        <tr r="D824" s="2"/>
      </tp>
      <tp t="s">
        <v>#N/A N/A</v>
        <stp/>
        <stp>BDP|11288305832599248097</stp>
        <tr r="C1612" s="2"/>
      </tp>
      <tp t="s">
        <v>#N/A N/A</v>
        <stp/>
        <stp>BDP|12967011793430480340</stp>
        <tr r="M901" s="2"/>
      </tp>
      <tp t="s">
        <v>#N/A N/A</v>
        <stp/>
        <stp>BDP|17379708665426532882</stp>
        <tr r="H1615" s="2"/>
      </tp>
      <tp t="s">
        <v>#N/A N/A</v>
        <stp/>
        <stp>BDP|17436827831992828645</stp>
        <tr r="O1312" s="2"/>
      </tp>
      <tp t="s">
        <v>#N/A N/A</v>
        <stp/>
        <stp>BDP|13445523781636529099</stp>
        <tr r="C1432" s="2"/>
      </tp>
      <tp t="s">
        <v>#N/A N/A</v>
        <stp/>
        <stp>BDP|13160892010826556463</stp>
        <tr r="J1512" s="2"/>
      </tp>
      <tp t="s">
        <v>#N/A N/A</v>
        <stp/>
        <stp>BDP|11619101802011636999</stp>
        <tr r="N807" s="2"/>
      </tp>
      <tp t="s">
        <v>#N/A N/A</v>
        <stp/>
        <stp>BDP|13048323575219892645</stp>
        <tr r="H402" s="2"/>
      </tp>
      <tp t="s">
        <v>#N/A N/A</v>
        <stp/>
        <stp>BDP|10600043549944215822</stp>
        <tr r="H469" s="2"/>
      </tp>
      <tp t="s">
        <v>#N/A N/A</v>
        <stp/>
        <stp>BDP|14320937210336886237</stp>
        <tr r="H595" s="2"/>
      </tp>
      <tp t="s">
        <v>#N/A N/A</v>
        <stp/>
        <stp>BDP|12543548188526139132</stp>
        <tr r="N957" s="2"/>
      </tp>
      <tp t="s">
        <v>#N/A N/A</v>
        <stp/>
        <stp>BDP|15731305659793598800</stp>
        <tr r="G1154" s="2"/>
      </tp>
      <tp t="s">
        <v>#N/A N/A</v>
        <stp/>
        <stp>BDP|15990640824501142837</stp>
        <tr r="F489" s="2"/>
      </tp>
      <tp t="s">
        <v>#N/A N/A</v>
        <stp/>
        <stp>BDP|13393779699985534034</stp>
        <tr r="S785" s="2"/>
      </tp>
      <tp t="s">
        <v>#N/A N/A</v>
        <stp/>
        <stp>BDP|13682701471552928950</stp>
        <tr r="E1461" s="2"/>
      </tp>
      <tp t="s">
        <v>#N/A N/A</v>
        <stp/>
        <stp>BDP|16289782896554213450</stp>
        <tr r="S1398" s="2"/>
      </tp>
      <tp t="s">
        <v>#N/A N/A</v>
        <stp/>
        <stp>BDP|12923603891783593661</stp>
        <tr r="R404" s="2"/>
      </tp>
      <tp t="s">
        <v>#N/A N/A</v>
        <stp/>
        <stp>BDP|13783722517674941906</stp>
        <tr r="K425" s="2"/>
      </tp>
      <tp t="s">
        <v>#N/A N/A</v>
        <stp/>
        <stp>BDP|17821065231624594815</stp>
        <tr r="J360" s="2"/>
      </tp>
      <tp t="s">
        <v>#N/A N/A</v>
        <stp/>
        <stp>BDP|13051443906806149987</stp>
        <tr r="O1126" s="2"/>
      </tp>
      <tp t="s">
        <v>#N/A N/A</v>
        <stp/>
        <stp>BDP|11899794891875329284</stp>
        <tr r="F167" s="2"/>
      </tp>
      <tp t="s">
        <v>#N/A N/A</v>
        <stp/>
        <stp>BDP|12931281296440578192</stp>
        <tr r="S333" s="2"/>
      </tp>
      <tp t="s">
        <v>#N/A N/A</v>
        <stp/>
        <stp>BDS|12637769480253199692</stp>
        <tr r="I1728" s="2"/>
      </tp>
      <tp t="s">
        <v>#N/A N/A</v>
        <stp/>
        <stp>BDP|16954361357510438871</stp>
        <tr r="F791" s="2"/>
      </tp>
      <tp t="s">
        <v>#N/A N/A</v>
        <stp/>
        <stp>BDP|10188090665836556836</stp>
        <tr r="K523" s="2"/>
      </tp>
      <tp t="s">
        <v>#N/A N/A</v>
        <stp/>
        <stp>BDP|12978553820138048573</stp>
        <tr r="G322" s="2"/>
      </tp>
      <tp t="s">
        <v>#N/A N/A</v>
        <stp/>
        <stp>BDP|16815681897506400784</stp>
        <tr r="K575" s="2"/>
      </tp>
      <tp t="s">
        <v>#N/A N/A</v>
        <stp/>
        <stp>BDP|13217101916359801272</stp>
        <tr r="K1751" s="2"/>
      </tp>
      <tp t="s">
        <v>#N/A N/A</v>
        <stp/>
        <stp>BDP|18232437446522401280</stp>
        <tr r="H1127" s="2"/>
      </tp>
      <tp t="s">
        <v>#N/A N/A</v>
        <stp/>
        <stp>BDP|15289382520404490857</stp>
        <tr r="R386" s="2"/>
      </tp>
      <tp t="s">
        <v>#N/A N/A</v>
        <stp/>
        <stp>BDP|11163479977913914937</stp>
        <tr r="G149" s="2"/>
      </tp>
      <tp t="s">
        <v>#N/A N/A</v>
        <stp/>
        <stp>BDP|10109301229691529865</stp>
        <tr r="P490" s="2"/>
      </tp>
      <tp t="s">
        <v>#N/A N/A</v>
        <stp/>
        <stp>BDP|12398639758031158825</stp>
        <tr r="M889" s="2"/>
      </tp>
      <tp t="s">
        <v>#N/A N/A</v>
        <stp/>
        <stp>BDP|11670675597543976540</stp>
        <tr r="A877" s="2"/>
      </tp>
      <tp t="s">
        <v>#N/A N/A</v>
        <stp/>
        <stp>BDP|15804677442188028764</stp>
        <tr r="R941" s="2"/>
      </tp>
      <tp t="s">
        <v>#N/A N/A</v>
        <stp/>
        <stp>BDP|11602378588106104439</stp>
        <tr r="O1174" s="2"/>
      </tp>
      <tp t="s">
        <v>#N/A N/A</v>
        <stp/>
        <stp>BDP|11430757049423741943</stp>
        <tr r="F1723" s="2"/>
      </tp>
      <tp t="s">
        <v>#N/A N/A</v>
        <stp/>
        <stp>BDP|15670034580087742291</stp>
        <tr r="S1351" s="2"/>
      </tp>
      <tp t="s">
        <v>#N/A N/A</v>
        <stp/>
        <stp>BDP|15893539464278411605</stp>
        <tr r="C1203" s="2"/>
      </tp>
      <tp t="s">
        <v>#N/A N/A</v>
        <stp/>
        <stp>BDP|14815161050520109840</stp>
        <tr r="C636" s="2"/>
      </tp>
      <tp t="s">
        <v>#N/A N/A</v>
        <stp/>
        <stp>BDP|11806632810367831987</stp>
        <tr r="N441" s="2"/>
      </tp>
      <tp t="s">
        <v>#N/A N/A</v>
        <stp/>
        <stp>BDP|12497221189844427407</stp>
        <tr r="G271" s="2"/>
      </tp>
      <tp t="s">
        <v>#N/A N/A</v>
        <stp/>
        <stp>BDP|17562964159263730066</stp>
        <tr r="N431" s="2"/>
      </tp>
      <tp t="s">
        <v>#N/A N/A</v>
        <stp/>
        <stp>BDP|10411029199418305979</stp>
        <tr r="C384" s="2"/>
      </tp>
      <tp t="s">
        <v>#N/A N/A</v>
        <stp/>
        <stp>BDP|11174976359172539717</stp>
        <tr r="Q1621" s="2"/>
      </tp>
      <tp t="s">
        <v>#N/A N/A</v>
        <stp/>
        <stp>BDP|15890902276934628734</stp>
        <tr r="N48" s="2"/>
      </tp>
      <tp t="s">
        <v>#N/A N/A</v>
        <stp/>
        <stp>BDP|17541608458599445529</stp>
        <tr r="G43" s="2"/>
      </tp>
      <tp t="s">
        <v>#N/A N/A</v>
        <stp/>
        <stp>BDP|18074663862702774280</stp>
        <tr r="S19" s="2"/>
      </tp>
      <tp t="s">
        <v>#N/A N/A</v>
        <stp/>
        <stp>BDP|15414853607616599389</stp>
        <tr r="H198" s="2"/>
      </tp>
      <tp t="s">
        <v>#N/A N/A</v>
        <stp/>
        <stp>BDP|11967724449728174286</stp>
        <tr r="F726" s="2"/>
      </tp>
      <tp t="s">
        <v>#N/A N/A</v>
        <stp/>
        <stp>BDP|15879073650188724033</stp>
        <tr r="G1589" s="2"/>
      </tp>
      <tp t="s">
        <v>#N/A N/A</v>
        <stp/>
        <stp>BDP|18047687464462588234</stp>
        <tr r="N1737" s="2"/>
      </tp>
      <tp t="s">
        <v>#N/A N/A</v>
        <stp/>
        <stp>BDP|15206053396082386680</stp>
        <tr r="D147" s="2"/>
      </tp>
      <tp t="s">
        <v>#N/A N/A</v>
        <stp/>
        <stp>BDP|13144839816264848660</stp>
        <tr r="N67" s="2"/>
      </tp>
      <tp t="s">
        <v>#N/A N/A</v>
        <stp/>
        <stp>BDP|12336782465988704332</stp>
        <tr r="S34" s="2"/>
      </tp>
      <tp t="s">
        <v>#N/A N/A</v>
        <stp/>
        <stp>BDP|16925268794735748063</stp>
        <tr r="F412" s="2"/>
      </tp>
      <tp t="s">
        <v>#N/A N/A</v>
        <stp/>
        <stp>BDP|16474007068510071868</stp>
        <tr r="G838" s="2"/>
      </tp>
      <tp t="s">
        <v>#N/A N/A</v>
        <stp/>
        <stp>BDP|11880323761445733966</stp>
        <tr r="A605" s="2"/>
      </tp>
      <tp t="s">
        <v>#N/A N/A</v>
        <stp/>
        <stp>BDP|15887487416470814840</stp>
        <tr r="D1592" s="2"/>
      </tp>
      <tp t="s">
        <v>#N/A N/A</v>
        <stp/>
        <stp>BDP|12153836325948476894</stp>
        <tr r="E674" s="2"/>
      </tp>
      <tp t="s">
        <v>#N/A N/A</v>
        <stp/>
        <stp>BDP|16967794611809958127</stp>
        <tr r="C787" s="2"/>
      </tp>
      <tp t="s">
        <v>#N/A N/A</v>
        <stp/>
        <stp>BDP|14166792063964454950</stp>
        <tr r="R902" s="2"/>
      </tp>
      <tp t="s">
        <v>#N/A N/A</v>
        <stp/>
        <stp>BDP|16046487354938031761</stp>
        <tr r="G1110" s="2"/>
      </tp>
      <tp t="s">
        <v>#N/A N/A</v>
        <stp/>
        <stp>BDP|14145072151159483097</stp>
        <tr r="F341" s="2"/>
      </tp>
      <tp t="s">
        <v>#N/A N/A</v>
        <stp/>
        <stp>BDP|17219309460398938217</stp>
        <tr r="J1160" s="2"/>
      </tp>
      <tp t="s">
        <v>#N/A N/A</v>
        <stp/>
        <stp>BDP|16385004128024828891</stp>
        <tr r="Q87" s="2"/>
      </tp>
      <tp t="s">
        <v>#N/A N/A</v>
        <stp/>
        <stp>BDP|16950842244535441779</stp>
        <tr r="J354" s="2"/>
      </tp>
      <tp t="s">
        <v>#N/A N/A</v>
        <stp/>
        <stp>BDP|11523281616293980987</stp>
        <tr r="N1612" s="2"/>
      </tp>
      <tp t="s">
        <v>#N/A N/A</v>
        <stp/>
        <stp>BDP|11249048179448615637</stp>
        <tr r="D407" s="2"/>
      </tp>
      <tp t="s">
        <v>#N/A N/A</v>
        <stp/>
        <stp>BDP|10416277401229988312</stp>
        <tr r="H659" s="2"/>
      </tp>
      <tp t="s">
        <v>#N/A N/A</v>
        <stp/>
        <stp>BDP|16490916329507159271</stp>
        <tr r="A1577" s="2"/>
      </tp>
      <tp t="s">
        <v>#N/A N/A</v>
        <stp/>
        <stp>BDP|15602264181812975525</stp>
        <tr r="Q890" s="2"/>
      </tp>
      <tp t="s">
        <v>#N/A N/A</v>
        <stp/>
        <stp>BDP|15017413001198398194</stp>
        <tr r="Q1445" s="2"/>
      </tp>
      <tp t="s">
        <v>#N/A N/A</v>
        <stp/>
        <stp>BDP|16041960590429590797</stp>
        <tr r="K1400" s="2"/>
      </tp>
      <tp t="s">
        <v>#N/A N/A</v>
        <stp/>
        <stp>BDP|17735632888873455221</stp>
        <tr r="H418" s="2"/>
      </tp>
      <tp t="s">
        <v>#N/A N/A</v>
        <stp/>
        <stp>BDP|10988239533439391000</stp>
        <tr r="F1334" s="2"/>
      </tp>
      <tp t="s">
        <v>#N/A N/A</v>
        <stp/>
        <stp>BDP|16981346495480563470</stp>
        <tr r="T1300" s="2"/>
      </tp>
      <tp t="s">
        <v>#N/A N/A</v>
        <stp/>
        <stp>BDP|17084630200450168986</stp>
        <tr r="G848" s="2"/>
      </tp>
      <tp t="s">
        <v>#N/A N/A</v>
        <stp/>
        <stp>BDP|15440180171972176966</stp>
        <tr r="A1063" s="2"/>
      </tp>
      <tp t="s">
        <v>#N/A N/A</v>
        <stp/>
        <stp>BDP|13204795920429918783</stp>
        <tr r="K1732" s="2"/>
      </tp>
      <tp t="s">
        <v>#N/A N/A</v>
        <stp/>
        <stp>BDP|12096543439245494932</stp>
        <tr r="E1583" s="2"/>
      </tp>
      <tp t="s">
        <v>#N/A N/A</v>
        <stp/>
        <stp>BDP|14497791187837042406</stp>
        <tr r="M1186" s="2"/>
      </tp>
      <tp t="s">
        <v>#N/A N/A</v>
        <stp/>
        <stp>BDP|14703009997426288387</stp>
        <tr r="K179" s="2"/>
      </tp>
      <tp t="s">
        <v>#N/A N/A</v>
        <stp/>
        <stp>BDP|11894058506749246030</stp>
        <tr r="N250" s="2"/>
      </tp>
      <tp t="s">
        <v>#N/A N/A</v>
        <stp/>
        <stp>BDP|11329126694058821977</stp>
        <tr r="G1739" s="2"/>
      </tp>
      <tp t="s">
        <v>#N/A N/A</v>
        <stp/>
        <stp>BDP|10777281153288114774</stp>
        <tr r="K1206" s="2"/>
      </tp>
      <tp t="s">
        <v>#N/A N/A</v>
        <stp/>
        <stp>BDP|10587673295220583780</stp>
        <tr r="H731" s="2"/>
      </tp>
      <tp t="s">
        <v>#N/A N/A</v>
        <stp/>
        <stp>BDP|17471134879161178854</stp>
        <tr r="R284" s="2"/>
      </tp>
      <tp t="s">
        <v>#N/A N/A</v>
        <stp/>
        <stp>BDP|14186777800853879841</stp>
        <tr r="H695" s="2"/>
      </tp>
      <tp t="s">
        <v>#N/A N/A</v>
        <stp/>
        <stp>BDP|10957307589627828426</stp>
        <tr r="K421" s="2"/>
      </tp>
      <tp t="s">
        <v>#N/A N/A</v>
        <stp/>
        <stp>BDP|12482601066808935212</stp>
        <tr r="N1354" s="2"/>
      </tp>
      <tp t="s">
        <v>#N/A N/A</v>
        <stp/>
        <stp>BDP|16311087992291236617</stp>
        <tr r="O1485" s="2"/>
      </tp>
      <tp t="s">
        <v>#N/A N/A</v>
        <stp/>
        <stp>BDS|15118238953972176897</stp>
        <tr r="I1102" s="2"/>
      </tp>
      <tp t="s">
        <v>#N/A N/A</v>
        <stp/>
        <stp>BDP|14158983855728215847</stp>
        <tr r="M1704" s="2"/>
      </tp>
      <tp t="s">
        <v>#N/A N/A</v>
        <stp/>
        <stp>BDP|15454839409117021248</stp>
        <tr r="G151" s="2"/>
      </tp>
      <tp t="s">
        <v>#N/A N/A</v>
        <stp/>
        <stp>BDP|13011211599793050324</stp>
        <tr r="P589" s="2"/>
      </tp>
      <tp t="s">
        <v>#N/A N/A</v>
        <stp/>
        <stp>BDP|16347769489759697805</stp>
        <tr r="Q480" s="2"/>
      </tp>
      <tp t="s">
        <v>#N/A N/A</v>
        <stp/>
        <stp>BDP|13922151847256655871</stp>
        <tr r="D1041" s="2"/>
      </tp>
      <tp t="s">
        <v>#N/A N/A</v>
        <stp/>
        <stp>BDP|15949603392221009310</stp>
        <tr r="T44" s="2"/>
      </tp>
      <tp t="s">
        <v>#N/A N/A</v>
        <stp/>
        <stp>BDP|14440191261609570231</stp>
        <tr r="S519" s="2"/>
      </tp>
      <tp t="s">
        <v>#N/A N/A</v>
        <stp/>
        <stp>BDP|10407283666308267422</stp>
        <tr r="N1025" s="2"/>
      </tp>
      <tp t="s">
        <v>#N/A N/A</v>
        <stp/>
        <stp>BDP|15608813757290820027</stp>
        <tr r="S1269" s="2"/>
      </tp>
      <tp t="s">
        <v>#N/A N/A</v>
        <stp/>
        <stp>BDP|16947662750785530879</stp>
        <tr r="Q256" s="2"/>
      </tp>
      <tp t="s">
        <v>#N/A N/A</v>
        <stp/>
        <stp>BDP|10421498562509575373</stp>
        <tr r="D1137" s="2"/>
      </tp>
      <tp t="s">
        <v>#N/A N/A</v>
        <stp/>
        <stp>BDP|11393295995650411261</stp>
        <tr r="R409" s="2"/>
      </tp>
      <tp t="s">
        <v>#N/A N/A</v>
        <stp/>
        <stp>BDP|10719941989888003172</stp>
        <tr r="P363" s="2"/>
      </tp>
      <tp t="s">
        <v>#N/A N/A</v>
        <stp/>
        <stp>BDP|17260121148359740329</stp>
        <tr r="N1689" s="2"/>
      </tp>
      <tp t="s">
        <v>#N/A N/A</v>
        <stp/>
        <stp>BDP|17178268859831675959</stp>
        <tr r="Q1212" s="2"/>
      </tp>
      <tp t="s">
        <v>#N/A N/A</v>
        <stp/>
        <stp>BDP|17900960962317891782</stp>
        <tr r="Q617" s="2"/>
      </tp>
      <tp t="s">
        <v>#N/A N/A</v>
        <stp/>
        <stp>BDP|18054389703615463624</stp>
        <tr r="P1651" s="2"/>
      </tp>
      <tp t="s">
        <v>#N/A N/A</v>
        <stp/>
        <stp>BDP|10814724597805572352</stp>
        <tr r="H1610" s="2"/>
      </tp>
      <tp t="s">
        <v>#N/A N/A</v>
        <stp/>
        <stp>BDP|10154856667696659088</stp>
        <tr r="D780" s="2"/>
      </tp>
      <tp t="s">
        <v>#N/A N/A</v>
        <stp/>
        <stp>BDP|15874828626591216634</stp>
        <tr r="O981" s="2"/>
      </tp>
      <tp t="s">
        <v>#N/A N/A</v>
        <stp/>
        <stp>BDP|10198885750292093748</stp>
        <tr r="K173" s="2"/>
      </tp>
      <tp t="s">
        <v>#N/A N/A</v>
        <stp/>
        <stp>BDP|17918035714856158826</stp>
        <tr r="C1684" s="2"/>
      </tp>
      <tp t="s">
        <v>#N/A N/A</v>
        <stp/>
        <stp>BDP|15103621382605508699</stp>
        <tr r="G252" s="2"/>
      </tp>
      <tp t="s">
        <v>#N/A N/A</v>
        <stp/>
        <stp>BDP|17807327792463243679</stp>
        <tr r="G866" s="2"/>
      </tp>
      <tp t="s">
        <v>#N/A N/A</v>
        <stp/>
        <stp>BDP|17028942622864317084</stp>
        <tr r="Q845" s="2"/>
      </tp>
      <tp t="s">
        <v>#N/A N/A</v>
        <stp/>
        <stp>BDP|13088714049671366961</stp>
        <tr r="K1600" s="2"/>
      </tp>
      <tp t="s">
        <v>#N/A N/A</v>
        <stp/>
        <stp>BDP|10820796780741866648</stp>
        <tr r="M378" s="2"/>
      </tp>
      <tp t="s">
        <v>#N/A N/A</v>
        <stp/>
        <stp>BDP|12088827838573063271</stp>
        <tr r="P510" s="2"/>
      </tp>
      <tp t="s">
        <v>#N/A N/A</v>
        <stp/>
        <stp>BDP|10513549528316074941</stp>
        <tr r="A924" s="2"/>
      </tp>
      <tp t="s">
        <v>#N/A N/A</v>
        <stp/>
        <stp>BDP|16714808037892451798</stp>
        <tr r="Q156" s="2"/>
      </tp>
      <tp t="s">
        <v>#N/A N/A</v>
        <stp/>
        <stp>BDP|10416957762261612689</stp>
        <tr r="H1089" s="2"/>
      </tp>
      <tp t="s">
        <v>#N/A N/A</v>
        <stp/>
        <stp>BDP|11582752888892085456</stp>
        <tr r="K925" s="2"/>
      </tp>
      <tp t="s">
        <v>#N/A N/A</v>
        <stp/>
        <stp>BDP|16730921414385543396</stp>
        <tr r="G1461" s="2"/>
      </tp>
      <tp t="s">
        <v>#N/A N/A</v>
        <stp/>
        <stp>BDP|13571213902230255990</stp>
        <tr r="H941" s="2"/>
      </tp>
      <tp t="s">
        <v>#N/A N/A</v>
        <stp/>
        <stp>BDP|14040881454945966489</stp>
        <tr r="Q1446" s="2"/>
      </tp>
      <tp t="s">
        <v>#N/A N/A</v>
        <stp/>
        <stp>BDP|14481991082955359817</stp>
        <tr r="J1371" s="2"/>
      </tp>
      <tp t="s">
        <v>#N/A N/A</v>
        <stp/>
        <stp>BDP|14976422277699039612</stp>
        <tr r="Q103" s="2"/>
      </tp>
      <tp t="s">
        <v>#N/A N/A</v>
        <stp/>
        <stp>BDP|11294879209371066017</stp>
        <tr r="S49" s="2"/>
      </tp>
      <tp t="s">
        <v>#N/A N/A</v>
        <stp/>
        <stp>BDP|11770759791927914074</stp>
        <tr r="O663" s="2"/>
      </tp>
      <tp t="s">
        <v>#N/A N/A</v>
        <stp/>
        <stp>BDP|17822045251489745376</stp>
        <tr r="F471" s="2"/>
      </tp>
      <tp t="s">
        <v>#N/A N/A</v>
        <stp/>
        <stp>BDP|14321993713610319477</stp>
        <tr r="A707" s="2"/>
      </tp>
      <tp t="s">
        <v>#N/A N/A</v>
        <stp/>
        <stp>BDP|12815460273469160012</stp>
        <tr r="T946" s="2"/>
      </tp>
      <tp t="s">
        <v>#N/A N/A</v>
        <stp/>
        <stp>BDP|18292050813565043498</stp>
        <tr r="J1352" s="2"/>
      </tp>
      <tp t="s">
        <v>#N/A N/A</v>
        <stp/>
        <stp>BDP|11478363201878755299</stp>
        <tr r="E611" s="2"/>
      </tp>
      <tp t="s">
        <v>#N/A N/A</v>
        <stp/>
        <stp>BDP|14374865329764975282</stp>
        <tr r="G167" s="2"/>
      </tp>
      <tp t="s">
        <v>#N/A N/A</v>
        <stp/>
        <stp>BDP|10223204029770432822</stp>
        <tr r="J245" s="2"/>
      </tp>
      <tp t="s">
        <v>#N/A N/A</v>
        <stp/>
        <stp>BDP|17975715645454907896</stp>
        <tr r="F1514" s="2"/>
      </tp>
      <tp t="s">
        <v>#N/A N/A</v>
        <stp/>
        <stp>BDP|16900608247388396405</stp>
        <tr r="C453" s="2"/>
      </tp>
      <tp t="s">
        <v>#N/A N/A</v>
        <stp/>
        <stp>BDP|17728197896284597309</stp>
        <tr r="Q1428" s="2"/>
      </tp>
      <tp t="s">
        <v>#N/A N/A</v>
        <stp/>
        <stp>BDP|15952616045518688769</stp>
        <tr r="O128" s="2"/>
      </tp>
      <tp t="s">
        <v>#N/A N/A</v>
        <stp/>
        <stp>BDP|10646619929669053539</stp>
        <tr r="A1580" s="2"/>
      </tp>
      <tp t="s">
        <v>#N/A N/A</v>
        <stp/>
        <stp>BDP|14970731096712151003</stp>
        <tr r="D238" s="2"/>
      </tp>
      <tp t="s">
        <v>#N/A N/A</v>
        <stp/>
        <stp>BDP|15349078472108922229</stp>
        <tr r="G1611" s="2"/>
      </tp>
      <tp t="s">
        <v>#N/A N/A</v>
        <stp/>
        <stp>BDP|15431632180694996738</stp>
        <tr r="T1385" s="2"/>
      </tp>
      <tp t="s">
        <v>#N/A N/A</v>
        <stp/>
        <stp>BDP|16928365563013473856</stp>
        <tr r="G415" s="2"/>
      </tp>
      <tp t="s">
        <v>#N/A N/A</v>
        <stp/>
        <stp>BDP|13780806905670974369</stp>
        <tr r="D1569" s="2"/>
      </tp>
      <tp t="s">
        <v>#N/A N/A</v>
        <stp/>
        <stp>BDP|15267390312258355777</stp>
        <tr r="M663" s="2"/>
      </tp>
      <tp t="s">
        <v>#N/A N/A</v>
        <stp/>
        <stp>BDP|14038307954152125881</stp>
        <tr r="Q1211" s="2"/>
      </tp>
      <tp t="s">
        <v>#N/A N/A</v>
        <stp/>
        <stp>BDP|12925230410230551923</stp>
        <tr r="P614" s="2"/>
      </tp>
      <tp t="s">
        <v>#N/A N/A</v>
        <stp/>
        <stp>BDP|10331274888031667374</stp>
        <tr r="N1611" s="2"/>
      </tp>
      <tp t="s">
        <v>#N/A N/A</v>
        <stp/>
        <stp>BDP|14093812444940832004</stp>
        <tr r="S561" s="2"/>
      </tp>
      <tp t="s">
        <v>#N/A N/A</v>
        <stp/>
        <stp>BDP|11906387170048420580</stp>
        <tr r="D1735" s="2"/>
      </tp>
      <tp t="s">
        <v>#N/A N/A</v>
        <stp/>
        <stp>BDP|15531024030368395698</stp>
        <tr r="R1599" s="2"/>
      </tp>
      <tp t="s">
        <v>#N/A N/A</v>
        <stp/>
        <stp>BDP|14432991531782412450</stp>
        <tr r="K32" s="2"/>
      </tp>
      <tp t="s">
        <v>#N/A N/A</v>
        <stp/>
        <stp>BDP|10976492199983311679</stp>
        <tr r="H1317" s="2"/>
      </tp>
      <tp t="s">
        <v>#N/A N/A</v>
        <stp/>
        <stp>BDP|14742981843713245232</stp>
        <tr r="Q727" s="2"/>
      </tp>
      <tp t="s">
        <v>#N/A N/A</v>
        <stp/>
        <stp>BDP|15312721915113962803</stp>
        <tr r="S664" s="2"/>
      </tp>
      <tp t="s">
        <v>#N/A N/A</v>
        <stp/>
        <stp>BDP|13723593193002625567</stp>
        <tr r="P433" s="2"/>
      </tp>
      <tp t="s">
        <v>#N/A N/A</v>
        <stp/>
        <stp>BDP|16724034037399962468</stp>
        <tr r="F925" s="2"/>
      </tp>
      <tp t="s">
        <v>#N/A N/A</v>
        <stp/>
        <stp>BDP|18285364438361142111</stp>
        <tr r="R204" s="2"/>
      </tp>
      <tp t="s">
        <v>#N/A N/A</v>
        <stp/>
        <stp>BDP|14925132756970501853</stp>
        <tr r="D1638" s="2"/>
      </tp>
      <tp t="s">
        <v>#N/A N/A</v>
        <stp/>
        <stp>BDP|15621147568878045263</stp>
        <tr r="O179" s="2"/>
      </tp>
      <tp t="s">
        <v>#N/A N/A</v>
        <stp/>
        <stp>BDP|16611522822861919830</stp>
        <tr r="R518" s="2"/>
      </tp>
      <tp t="s">
        <v>#N/A N/A</v>
        <stp/>
        <stp>BDP|16134165288543203419</stp>
        <tr r="C990" s="2"/>
      </tp>
      <tp t="s">
        <v>#N/A N/A</v>
        <stp/>
        <stp>BDP|10917875102889304935</stp>
        <tr r="O570" s="2"/>
      </tp>
      <tp t="s">
        <v>#N/A N/A</v>
        <stp/>
        <stp>BDP|17354857328526491367</stp>
        <tr r="G1092" s="2"/>
      </tp>
      <tp t="s">
        <v>#N/A N/A</v>
        <stp/>
        <stp>BDP|10938168659079865525</stp>
        <tr r="C124" s="2"/>
      </tp>
      <tp t="s">
        <v>#N/A N/A</v>
        <stp/>
        <stp>BDP|10884016255105504857</stp>
        <tr r="O633" s="2"/>
      </tp>
      <tp t="s">
        <v>#N/A N/A</v>
        <stp/>
        <stp>BDP|11989172523448693278</stp>
        <tr r="J1491" s="2"/>
      </tp>
      <tp t="s">
        <v>#N/A N/A</v>
        <stp/>
        <stp>BDP|18328806322569880357</stp>
        <tr r="D66" s="2"/>
      </tp>
      <tp t="s">
        <v>#N/A N/A</v>
        <stp/>
        <stp>BDP|12882943833412230212</stp>
        <tr r="R955" s="2"/>
      </tp>
      <tp t="s">
        <v>#N/A N/A</v>
        <stp/>
        <stp>BDP|14368311149078419338</stp>
        <tr r="K414" s="2"/>
      </tp>
      <tp t="s">
        <v>#N/A N/A</v>
        <stp/>
        <stp>BDP|16194548921330096986</stp>
        <tr r="S413" s="2"/>
      </tp>
      <tp t="s">
        <v>#N/A N/A</v>
        <stp/>
        <stp>BDP|15715891340050288105</stp>
        <tr r="E1216" s="2"/>
      </tp>
      <tp t="s">
        <v>#N/A N/A</v>
        <stp/>
        <stp>BDP|16914079577521407810</stp>
        <tr r="M1067" s="2"/>
      </tp>
      <tp t="s">
        <v>#N/A N/A</v>
        <stp/>
        <stp>BDP|13577948044810197683</stp>
        <tr r="O656" s="2"/>
      </tp>
      <tp t="s">
        <v>#N/A N/A</v>
        <stp/>
        <stp>BDP|11645593677972757937</stp>
        <tr r="H386" s="2"/>
      </tp>
      <tp t="s">
        <v>#N/A N/A</v>
        <stp/>
        <stp>BDP|11359773541598031293</stp>
        <tr r="R1363" s="2"/>
      </tp>
      <tp t="s">
        <v>#N/A N/A</v>
        <stp/>
        <stp>BDP|15945568480135576569</stp>
        <tr r="N1607" s="2"/>
      </tp>
      <tp t="s">
        <v>#N/A N/A</v>
        <stp/>
        <stp>BDP|13951813515740111203</stp>
        <tr r="A1404" s="2"/>
      </tp>
      <tp t="s">
        <v>#N/A N/A</v>
        <stp/>
        <stp>BDS|15337397784605732362</stp>
        <tr r="I641" s="2"/>
      </tp>
      <tp t="s">
        <v>#N/A N/A</v>
        <stp/>
        <stp>BDP|10567827600315257595</stp>
        <tr r="R63" s="2"/>
      </tp>
      <tp t="s">
        <v>#N/A N/A</v>
        <stp/>
        <stp>BDP|10019871844322765687</stp>
        <tr r="M430" s="2"/>
      </tp>
      <tp t="s">
        <v>#N/A N/A</v>
        <stp/>
        <stp>BDP|18035219439054192551</stp>
        <tr r="O983" s="2"/>
      </tp>
      <tp t="s">
        <v>#N/A N/A</v>
        <stp/>
        <stp>BDS|17658496587345031672</stp>
        <tr r="I1449" s="2"/>
      </tp>
      <tp t="s">
        <v>#N/A N/A</v>
        <stp/>
        <stp>BDP|16079471365114759893</stp>
        <tr r="R1192" s="2"/>
      </tp>
      <tp t="s">
        <v>#N/A N/A</v>
        <stp/>
        <stp>BDP|14846256993194639340</stp>
        <tr r="O1387" s="2"/>
      </tp>
      <tp t="s">
        <v>#N/A N/A</v>
        <stp/>
        <stp>BDP|11611819699218423068</stp>
        <tr r="K1609" s="2"/>
      </tp>
      <tp t="s">
        <v>#N/A N/A</v>
        <stp/>
        <stp>BDP|16816807413576052176</stp>
        <tr r="J1510" s="2"/>
      </tp>
      <tp t="s">
        <v>#N/A N/A</v>
        <stp/>
        <stp>BDP|16429048546252964839</stp>
        <tr r="P848" s="2"/>
      </tp>
      <tp t="s">
        <v>#N/A N/A</v>
        <stp/>
        <stp>BDP|10367920524271140287</stp>
        <tr r="Q446" s="2"/>
      </tp>
      <tp t="s">
        <v>#N/A N/A</v>
        <stp/>
        <stp>BDP|18050304184222801904</stp>
        <tr r="G1227" s="2"/>
      </tp>
      <tp t="s">
        <v>#N/A N/A</v>
        <stp/>
        <stp>BDS|12733144510779423384</stp>
        <tr r="I1366" s="2"/>
      </tp>
      <tp t="s">
        <v>#N/A N/A</v>
        <stp/>
        <stp>BDP|12087358798247858792</stp>
        <tr r="H1128" s="2"/>
      </tp>
      <tp t="s">
        <v>#N/A N/A</v>
        <stp/>
        <stp>BDP|10513165218340406832</stp>
        <tr r="M1473" s="2"/>
      </tp>
      <tp t="s">
        <v>#N/A N/A</v>
        <stp/>
        <stp>BDP|14331010730838505780</stp>
        <tr r="K689" s="2"/>
      </tp>
      <tp t="s">
        <v>#N/A N/A</v>
        <stp/>
        <stp>BDP|15856828036043261510</stp>
        <tr r="E680" s="2"/>
      </tp>
      <tp t="s">
        <v>#N/A N/A</v>
        <stp/>
        <stp>BDP|12259210578339692625</stp>
        <tr r="C1568" s="2"/>
      </tp>
      <tp t="s">
        <v>#N/A N/A</v>
        <stp/>
        <stp>BDP|14559960826097985037</stp>
        <tr r="K1663" s="2"/>
      </tp>
      <tp t="s">
        <v>#N/A N/A</v>
        <stp/>
        <stp>BDP|10657090683596624658</stp>
        <tr r="H53" s="2"/>
      </tp>
      <tp t="s">
        <v>#N/A N/A</v>
        <stp/>
        <stp>BDP|14634617385575898752</stp>
        <tr r="H1482" s="2"/>
      </tp>
      <tp t="s">
        <v>#N/A N/A</v>
        <stp/>
        <stp>BDP|17016527613423601888</stp>
        <tr r="J1592" s="2"/>
      </tp>
      <tp t="s">
        <v>#N/A N/A</v>
        <stp/>
        <stp>BDP|11130266260805940813</stp>
        <tr r="O18" s="2"/>
      </tp>
      <tp t="s">
        <v>#N/A N/A</v>
        <stp/>
        <stp>BDP|11335287621978169142</stp>
        <tr r="G1396" s="2"/>
      </tp>
      <tp t="s">
        <v>#N/A N/A</v>
        <stp/>
        <stp>BDP|10348966019844307403</stp>
        <tr r="A159" s="2"/>
      </tp>
      <tp t="s">
        <v>#N/A N/A</v>
        <stp/>
        <stp>BDP|14526577948258360568</stp>
        <tr r="N1206" s="2"/>
      </tp>
      <tp t="s">
        <v>#N/A N/A</v>
        <stp/>
        <stp>BDP|17174609024198217387</stp>
        <tr r="E1594" s="2"/>
      </tp>
      <tp t="s">
        <v>#N/A N/A</v>
        <stp/>
        <stp>BDP|14084894977477152405</stp>
        <tr r="F531" s="2"/>
      </tp>
      <tp t="s">
        <v>#N/A N/A</v>
        <stp/>
        <stp>BDP|17151796314420778948</stp>
        <tr r="N142" s="2"/>
      </tp>
      <tp t="s">
        <v>#N/A N/A</v>
        <stp/>
        <stp>BDP|16471065272411887876</stp>
        <tr r="F1056" s="2"/>
      </tp>
      <tp t="s">
        <v>#N/A N/A</v>
        <stp/>
        <stp>BDP|14949829770330549312</stp>
        <tr r="K363" s="2"/>
      </tp>
      <tp t="s">
        <v>#N/A N/A</v>
        <stp/>
        <stp>BDP|12908378237438026261</stp>
        <tr r="Q1376" s="2"/>
      </tp>
      <tp t="s">
        <v>#N/A N/A</v>
        <stp/>
        <stp>BDP|14913809461422300043</stp>
        <tr r="C181" s="2"/>
      </tp>
      <tp t="s">
        <v>#N/A N/A</v>
        <stp/>
        <stp>BDP|14997090788126267251</stp>
        <tr r="P174" s="2"/>
      </tp>
      <tp t="s">
        <v>#N/A N/A</v>
        <stp/>
        <stp>BDP|17600530837471938848</stp>
        <tr r="G1395" s="2"/>
      </tp>
      <tp t="s">
        <v>#N/A N/A</v>
        <stp/>
        <stp>BDP|12613599774718103050</stp>
        <tr r="A250" s="2"/>
      </tp>
      <tp t="s">
        <v>#N/A N/A</v>
        <stp/>
        <stp>BDP|13166042228901313812</stp>
        <tr r="O1233" s="2"/>
      </tp>
      <tp t="s">
        <v>#N/A N/A</v>
        <stp/>
        <stp>BDP|15828594898307627609</stp>
        <tr r="O397" s="2"/>
      </tp>
      <tp t="s">
        <v>#N/A N/A</v>
        <stp/>
        <stp>BDP|11789496984502641731</stp>
        <tr r="Q1482" s="2"/>
      </tp>
      <tp t="s">
        <v>#N/A N/A</v>
        <stp/>
        <stp>BDP|13608171866154999814</stp>
        <tr r="R1318" s="2"/>
      </tp>
      <tp t="s">
        <v>#N/A N/A</v>
        <stp/>
        <stp>BDP|13837306584335586563</stp>
        <tr r="E910" s="2"/>
      </tp>
      <tp t="s">
        <v>#N/A N/A</v>
        <stp/>
        <stp>BDP|15180578151755923818</stp>
        <tr r="K1251" s="2"/>
      </tp>
      <tp t="s">
        <v>#N/A N/A</v>
        <stp/>
        <stp>BDP|13649979367201163585</stp>
        <tr r="M1104" s="2"/>
      </tp>
      <tp t="s">
        <v>#N/A N/A</v>
        <stp/>
        <stp>BDP|15429929267103633185</stp>
        <tr r="N312" s="2"/>
      </tp>
      <tp t="s">
        <v>#N/A N/A</v>
        <stp/>
        <stp>BDP|13000778529927954988</stp>
        <tr r="K1244" s="2"/>
      </tp>
      <tp t="s">
        <v>#N/A N/A</v>
        <stp/>
        <stp>BDP|17308257177042908876</stp>
        <tr r="G202" s="2"/>
      </tp>
      <tp t="s">
        <v>#N/A N/A</v>
        <stp/>
        <stp>BDS|17829876573619738970</stp>
        <tr r="I1205" s="2"/>
      </tp>
      <tp t="s">
        <v>#N/A N/A</v>
        <stp/>
        <stp>BDP|17318988653472755108</stp>
        <tr r="S1548" s="2"/>
      </tp>
      <tp t="s">
        <v>#N/A N/A</v>
        <stp/>
        <stp>BDP|16082354899554495070</stp>
        <tr r="E1126" s="2"/>
      </tp>
      <tp t="s">
        <v>#N/A N/A</v>
        <stp/>
        <stp>BDP|12376853430406177787</stp>
        <tr r="O72" s="2"/>
      </tp>
      <tp t="s">
        <v>#N/A N/A</v>
        <stp/>
        <stp>BDP|14713883918342923714</stp>
        <tr r="Q631" s="2"/>
      </tp>
      <tp t="s">
        <v>#N/A N/A</v>
        <stp/>
        <stp>BDP|17814670486176632704</stp>
        <tr r="G417" s="2"/>
      </tp>
      <tp t="s">
        <v>#N/A N/A</v>
        <stp/>
        <stp>BDP|16677218406709994576</stp>
        <tr r="M177" s="2"/>
      </tp>
      <tp t="s">
        <v>#N/A N/A</v>
        <stp/>
        <stp>BDP|17315197938395474895</stp>
        <tr r="S314" s="2"/>
      </tp>
      <tp t="s">
        <v>#N/A N/A</v>
        <stp/>
        <stp>BDP|17309951566508877875</stp>
        <tr r="A280" s="2"/>
      </tp>
      <tp t="s">
        <v>#N/A N/A</v>
        <stp/>
        <stp>BDP|12217267138498175323</stp>
        <tr r="M265" s="2"/>
      </tp>
      <tp t="s">
        <v>#N/A N/A</v>
        <stp/>
        <stp>BDP|11642060335948921239</stp>
        <tr r="S256" s="2"/>
      </tp>
      <tp t="s">
        <v>#N/A N/A</v>
        <stp/>
        <stp>BDP|11311946999180816991</stp>
        <tr r="T1240" s="2"/>
      </tp>
      <tp t="s">
        <v>#N/A N/A</v>
        <stp/>
        <stp>BDS|15505106530236140985</stp>
        <tr r="I1031" s="2"/>
      </tp>
      <tp t="s">
        <v>#N/A N/A</v>
        <stp/>
        <stp>BDP|15662688911973731970</stp>
        <tr r="J1563" s="2"/>
      </tp>
      <tp t="s">
        <v>#N/A N/A</v>
        <stp/>
        <stp>BDP|17890155432728102500</stp>
        <tr r="O709" s="2"/>
      </tp>
      <tp t="s">
        <v>#N/A N/A</v>
        <stp/>
        <stp>BDP|14828663991953047017</stp>
        <tr r="J1053" s="2"/>
      </tp>
      <tp t="s">
        <v>#N/A N/A</v>
        <stp/>
        <stp>BDP|10864922580201286864</stp>
        <tr r="K1437" s="2"/>
      </tp>
      <tp t="s">
        <v>#N/A N/A</v>
        <stp/>
        <stp>BDS|16372823501274587284</stp>
        <tr r="I813" s="2"/>
      </tp>
      <tp t="s">
        <v>#N/A N/A</v>
        <stp/>
        <stp>BDP|10193487308475711981</stp>
        <tr r="C1570" s="2"/>
      </tp>
      <tp t="s">
        <v>#N/A N/A</v>
        <stp/>
        <stp>BDP|14610136881270958539</stp>
        <tr r="G449" s="2"/>
      </tp>
      <tp t="s">
        <v>#N/A N/A</v>
        <stp/>
        <stp>BDP|14475890762981748363</stp>
        <tr r="M590" s="2"/>
      </tp>
      <tp t="s">
        <v>#N/A N/A</v>
        <stp/>
        <stp>BDP|12652292894352151349</stp>
        <tr r="H1499" s="2"/>
      </tp>
      <tp t="s">
        <v>#N/A N/A</v>
        <stp/>
        <stp>BDP|12878782844130959939</stp>
        <tr r="S783" s="2"/>
      </tp>
      <tp t="s">
        <v>#N/A N/A</v>
        <stp/>
        <stp>BDP|13230288628163556897</stp>
        <tr r="T1094" s="2"/>
      </tp>
      <tp t="s">
        <v>#N/A N/A</v>
        <stp/>
        <stp>BDP|10325492589762594686</stp>
        <tr r="O189" s="2"/>
      </tp>
      <tp t="s">
        <v>#N/A N/A</v>
        <stp/>
        <stp>BDS|16321257975502670988</stp>
        <tr r="I523" s="2"/>
      </tp>
      <tp t="s">
        <v>#N/A N/A</v>
        <stp/>
        <stp>BDP|16525895515115583221</stp>
        <tr r="S1203" s="2"/>
      </tp>
      <tp t="s">
        <v>#N/A N/A</v>
        <stp/>
        <stp>BDP|14720914976844972677</stp>
        <tr r="H1664" s="2"/>
      </tp>
      <tp t="s">
        <v>#N/A N/A</v>
        <stp/>
        <stp>BDP|15623043265029067299</stp>
        <tr r="F805" s="2"/>
      </tp>
      <tp t="s">
        <v>#N/A N/A</v>
        <stp/>
        <stp>BDP|17131206186370181580</stp>
        <tr r="Q512" s="2"/>
      </tp>
      <tp t="s">
        <v>#N/A N/A</v>
        <stp/>
        <stp>BDP|11128105257119984413</stp>
        <tr r="K1010" s="2"/>
      </tp>
      <tp t="s">
        <v>#N/A N/A</v>
        <stp/>
        <stp>BDP|13697612220207841810</stp>
        <tr r="G921" s="2"/>
      </tp>
      <tp t="s">
        <v>#N/A N/A</v>
        <stp/>
        <stp>BDP|16012289327166033817</stp>
        <tr r="G104" s="2"/>
      </tp>
      <tp t="s">
        <v>#N/A N/A</v>
        <stp/>
        <stp>BDP|13641900868827308331</stp>
        <tr r="K1356" s="2"/>
      </tp>
      <tp t="s">
        <v>#N/A N/A</v>
        <stp/>
        <stp>BDS|16097281985664231021</stp>
        <tr r="I636" s="2"/>
      </tp>
      <tp t="s">
        <v>#N/A N/A</v>
        <stp/>
        <stp>BDP|13504819748731416663</stp>
        <tr r="J1197" s="2"/>
      </tp>
      <tp t="s">
        <v>#N/A N/A</v>
        <stp/>
        <stp>BDP|17915420797103374114</stp>
        <tr r="S329" s="2"/>
      </tp>
      <tp t="s">
        <v>#N/A N/A</v>
        <stp/>
        <stp>BDP|14561125543701957833</stp>
        <tr r="S1407" s="2"/>
      </tp>
      <tp t="s">
        <v>#N/A N/A</v>
        <stp/>
        <stp>BDP|12328813902805883763</stp>
        <tr r="F1379" s="2"/>
      </tp>
      <tp t="s">
        <v>#N/A N/A</v>
        <stp/>
        <stp>BDP|18151287464091363505</stp>
        <tr r="S826" s="2"/>
      </tp>
      <tp t="s">
        <v>#N/A N/A</v>
        <stp/>
        <stp>BDP|10437926924541891248</stp>
        <tr r="J1625" s="2"/>
      </tp>
      <tp t="s">
        <v>#N/A N/A</v>
        <stp/>
        <stp>BDP|11788783220489895597</stp>
        <tr r="T445" s="2"/>
      </tp>
      <tp t="s">
        <v>#N/A N/A</v>
        <stp/>
        <stp>BDP|13713091401673746863</stp>
        <tr r="D867" s="2"/>
      </tp>
      <tp t="s">
        <v>#N/A N/A</v>
        <stp/>
        <stp>BDP|12830458793751752678</stp>
        <tr r="F211" s="2"/>
      </tp>
      <tp t="s">
        <v>#N/A N/A</v>
        <stp/>
        <stp>BDP|15979229517957554972</stp>
        <tr r="C278" s="2"/>
      </tp>
      <tp t="s">
        <v>#N/A N/A</v>
        <stp/>
        <stp>BDP|14947613820561003962</stp>
        <tr r="S1047" s="2"/>
      </tp>
      <tp t="s">
        <v>#N/A N/A</v>
        <stp/>
        <stp>BDP|12936609690391319448</stp>
        <tr r="M1571" s="2"/>
      </tp>
      <tp t="s">
        <v>#N/A N/A</v>
        <stp/>
        <stp>BDP|16075561891892013098</stp>
        <tr r="Q1590" s="2"/>
      </tp>
      <tp t="s">
        <v>#N/A N/A</v>
        <stp/>
        <stp>BDP|11361199287000400078</stp>
        <tr r="Q157" s="2"/>
      </tp>
      <tp t="s">
        <v>#N/A N/A</v>
        <stp/>
        <stp>BDP|12903647283637600366</stp>
        <tr r="M1560" s="2"/>
      </tp>
      <tp t="s">
        <v>#N/A N/A</v>
        <stp/>
        <stp>BDP|10239837273310907751</stp>
        <tr r="A1038" s="2"/>
      </tp>
      <tp t="s">
        <v>#N/A N/A</v>
        <stp/>
        <stp>BDP|11812292373794837841</stp>
        <tr r="F600" s="2"/>
      </tp>
      <tp t="s">
        <v>#N/A N/A</v>
        <stp/>
        <stp>BDP|12914710783783095659</stp>
        <tr r="D512" s="2"/>
      </tp>
      <tp t="s">
        <v>#N/A N/A</v>
        <stp/>
        <stp>BDP|11046195066168978681</stp>
        <tr r="S1041" s="2"/>
      </tp>
      <tp t="s">
        <v>#N/A N/A</v>
        <stp/>
        <stp>BDP|12865648292606387336</stp>
        <tr r="A1356" s="2"/>
      </tp>
      <tp t="s">
        <v>#N/A N/A</v>
        <stp/>
        <stp>BDP|13342432148799174273</stp>
        <tr r="J974" s="2"/>
      </tp>
      <tp t="s">
        <v>#N/A N/A</v>
        <stp/>
        <stp>BDP|15816386466898983012</stp>
        <tr r="R1399" s="2"/>
      </tp>
      <tp t="s">
        <v>#N/A N/A</v>
        <stp/>
        <stp>BDP|17221096774310042816</stp>
        <tr r="H1173" s="2"/>
      </tp>
      <tp t="s">
        <v>#N/A N/A</v>
        <stp/>
        <stp>BDS|18064430639470241753</stp>
        <tr r="I1488" s="2"/>
      </tp>
      <tp t="s">
        <v>#N/A N/A</v>
        <stp/>
        <stp>BDP|10402773996042928424</stp>
        <tr r="N1416" s="2"/>
      </tp>
      <tp t="s">
        <v>#N/A N/A</v>
        <stp/>
        <stp>BDP|12016601320996982875</stp>
        <tr r="O324" s="2"/>
      </tp>
      <tp t="s">
        <v>#N/A N/A</v>
        <stp/>
        <stp>BDS|15427786291361148217</stp>
        <tr r="I159" s="2"/>
      </tp>
      <tp t="s">
        <v>#N/A N/A</v>
        <stp/>
        <stp>BDP|12210687485714712064</stp>
        <tr r="T173" s="2"/>
      </tp>
      <tp t="s">
        <v>#N/A N/A</v>
        <stp/>
        <stp>BDP|12349198193104152693</stp>
        <tr r="O249" s="2"/>
      </tp>
      <tp t="s">
        <v>#N/A N/A</v>
        <stp/>
        <stp>BDP|14295782105852790991</stp>
        <tr r="O1004" s="2"/>
      </tp>
      <tp t="s">
        <v>#N/A N/A</v>
        <stp/>
        <stp>BDP|13716278580975621478</stp>
        <tr r="A1603" s="2"/>
      </tp>
      <tp t="s">
        <v>#N/A N/A</v>
        <stp/>
        <stp>BDP|15042094722816260984</stp>
        <tr r="N625" s="2"/>
      </tp>
      <tp t="s">
        <v>#N/A N/A</v>
        <stp/>
        <stp>BDS|13390507019319940613</stp>
        <tr r="I849" s="2"/>
      </tp>
      <tp t="s">
        <v>#N/A N/A</v>
        <stp/>
        <stp>BDP|11184599466758697295</stp>
        <tr r="E1704" s="2"/>
      </tp>
      <tp t="s">
        <v>#N/A N/A</v>
        <stp/>
        <stp>BDP|11074553706858058420</stp>
        <tr r="F1489" s="2"/>
      </tp>
      <tp t="s">
        <v>#N/A N/A</v>
        <stp/>
        <stp>BDP|10134964411408029878</stp>
        <tr r="D1574" s="2"/>
      </tp>
      <tp t="s">
        <v>#N/A N/A</v>
        <stp/>
        <stp>BDP|13060964120193520328</stp>
        <tr r="N20" s="2"/>
      </tp>
      <tp t="s">
        <v>#N/A N/A</v>
        <stp/>
        <stp>BDP|14160858987354504875</stp>
        <tr r="R591" s="2"/>
      </tp>
      <tp t="s">
        <v>#N/A N/A</v>
        <stp/>
        <stp>BDP|11106308884383160155</stp>
        <tr r="E428" s="2"/>
      </tp>
      <tp t="s">
        <v>#N/A N/A</v>
        <stp/>
        <stp>BDP|16197888730813900611</stp>
        <tr r="O1741" s="2"/>
      </tp>
      <tp t="s">
        <v>#N/A N/A</v>
        <stp/>
        <stp>BDP|12497016135461773864</stp>
        <tr r="K491" s="2"/>
      </tp>
      <tp t="s">
        <v>#N/A N/A</v>
        <stp/>
        <stp>BDP|12904429629578418472</stp>
        <tr r="K846" s="2"/>
      </tp>
      <tp t="s">
        <v>#N/A N/A</v>
        <stp/>
        <stp>BDP|16864543425898073185</stp>
        <tr r="O137" s="2"/>
      </tp>
      <tp t="s">
        <v>#N/A N/A</v>
        <stp/>
        <stp>BDP|13358936901456890481</stp>
        <tr r="H146" s="2"/>
      </tp>
      <tp t="s">
        <v>#N/A N/A</v>
        <stp/>
        <stp>BDP|10107205339478185186</stp>
        <tr r="N1334" s="2"/>
      </tp>
      <tp t="s">
        <v>#N/A N/A</v>
        <stp/>
        <stp>BDP|13966014228830839997</stp>
        <tr r="T825" s="2"/>
      </tp>
      <tp t="s">
        <v>#N/A N/A</v>
        <stp/>
        <stp>BDP|16976119792197843135</stp>
        <tr r="M1585" s="2"/>
      </tp>
      <tp t="s">
        <v>#N/A N/A</v>
        <stp/>
        <stp>BDP|17614825501003723438</stp>
        <tr r="C1507" s="2"/>
      </tp>
      <tp t="s">
        <v>#N/A N/A</v>
        <stp/>
        <stp>BDP|17052161446803226933</stp>
        <tr r="F277" s="2"/>
      </tp>
      <tp t="s">
        <v>#N/A N/A</v>
        <stp/>
        <stp>BDP|10159917926607108468</stp>
        <tr r="N889" s="2"/>
      </tp>
      <tp t="s">
        <v>#N/A N/A</v>
        <stp/>
        <stp>BDP|11435589847599973134</stp>
        <tr r="N729" s="2"/>
      </tp>
      <tp t="s">
        <v>#N/A N/A</v>
        <stp/>
        <stp>BDP|16659952376385385570</stp>
        <tr r="O556" s="2"/>
      </tp>
      <tp t="s">
        <v>#N/A N/A</v>
        <stp/>
        <stp>BDP|10098620928569916521</stp>
        <tr r="A885" s="2"/>
      </tp>
      <tp t="s">
        <v>#N/A N/A</v>
        <stp/>
        <stp>BDP|10849935767410568780</stp>
        <tr r="P1144" s="2"/>
      </tp>
      <tp t="s">
        <v>#N/A N/A</v>
        <stp/>
        <stp>BDP|13066082889791980298</stp>
        <tr r="E1402" s="2"/>
      </tp>
      <tp t="s">
        <v>#N/A N/A</v>
        <stp/>
        <stp>BDP|16482816974196294725</stp>
        <tr r="K135" s="2"/>
      </tp>
      <tp t="s">
        <v>#N/A N/A</v>
        <stp/>
        <stp>BDP|12684741052509994186</stp>
        <tr r="C1242" s="2"/>
      </tp>
      <tp t="s">
        <v>#N/A N/A</v>
        <stp/>
        <stp>BDP|17367554537751647862</stp>
        <tr r="D519" s="2"/>
      </tp>
      <tp t="s">
        <v>#N/A N/A</v>
        <stp/>
        <stp>BDS|10172405907184083848</stp>
        <tr r="I1721" s="2"/>
      </tp>
      <tp t="s">
        <v>#N/A N/A</v>
        <stp/>
        <stp>BDP|18156013040287856393</stp>
        <tr r="K1331" s="2"/>
      </tp>
      <tp t="s">
        <v>#N/A N/A</v>
        <stp/>
        <stp>BDP|13873500426258948463</stp>
        <tr r="Q933" s="2"/>
      </tp>
      <tp t="s">
        <v>#N/A N/A</v>
        <stp/>
        <stp>BDP|11945699094712683430</stp>
        <tr r="T1717" s="2"/>
      </tp>
      <tp t="s">
        <v>#N/A N/A</v>
        <stp/>
        <stp>BDP|11247967259486576391</stp>
        <tr r="F1280" s="2"/>
      </tp>
      <tp t="s">
        <v>#N/A N/A</v>
        <stp/>
        <stp>BDP|14141317975470155853</stp>
        <tr r="A154" s="2"/>
      </tp>
      <tp t="s">
        <v>#N/A N/A</v>
        <stp/>
        <stp>BDP|17539187055989958208</stp>
        <tr r="E933" s="2"/>
      </tp>
      <tp t="s">
        <v>#N/A N/A</v>
        <stp/>
        <stp>BDP|18406106377967468169</stp>
        <tr r="O1542" s="2"/>
      </tp>
      <tp t="s">
        <v>#N/A N/A</v>
        <stp/>
        <stp>BDP|17095587876805958863</stp>
        <tr r="C354" s="2"/>
      </tp>
      <tp t="s">
        <v>#N/A N/A</v>
        <stp/>
        <stp>BDP|11563953233103237007</stp>
        <tr r="E75" s="2"/>
      </tp>
      <tp t="s">
        <v>#N/A N/A</v>
        <stp/>
        <stp>BDP|16214887162073822314</stp>
        <tr r="K868" s="2"/>
      </tp>
      <tp t="s">
        <v>#N/A N/A</v>
        <stp/>
        <stp>BDP|14664507530569205354</stp>
        <tr r="D611" s="2"/>
      </tp>
      <tp t="s">
        <v>#N/A N/A</v>
        <stp/>
        <stp>BDP|16353009585054299252</stp>
        <tr r="T25" s="2"/>
      </tp>
      <tp t="s">
        <v>#N/A N/A</v>
        <stp/>
        <stp>BDP|18307386302404803705</stp>
        <tr r="A1471" s="2"/>
      </tp>
      <tp t="s">
        <v>#N/A N/A</v>
        <stp/>
        <stp>BDP|17113257383747656203</stp>
        <tr r="Q276" s="2"/>
      </tp>
      <tp t="s">
        <v>#N/A N/A</v>
        <stp/>
        <stp>BDP|17179992869499155912</stp>
        <tr r="J1069" s="2"/>
      </tp>
      <tp t="s">
        <v>#N/A N/A</v>
        <stp/>
        <stp>BDP|18050700185556453903</stp>
        <tr r="D396" s="2"/>
      </tp>
      <tp t="s">
        <v>#N/A N/A</v>
        <stp/>
        <stp>BDP|15572724485145213715</stp>
        <tr r="H93" s="2"/>
      </tp>
      <tp t="s">
        <v>#N/A N/A</v>
        <stp/>
        <stp>BDP|17942102655373873854</stp>
        <tr r="H1632" s="2"/>
      </tp>
      <tp t="s">
        <v>#N/A N/A</v>
        <stp/>
        <stp>BDP|16386922311920359623</stp>
        <tr r="N736" s="2"/>
      </tp>
      <tp t="s">
        <v>#N/A N/A</v>
        <stp/>
        <stp>BDS|16496807956806816583</stp>
        <tr r="I629" s="2"/>
      </tp>
      <tp t="s">
        <v>#N/A N/A</v>
        <stp/>
        <stp>BDP|18148196920432811113</stp>
        <tr r="S1204" s="2"/>
      </tp>
      <tp t="s">
        <v>#N/A N/A</v>
        <stp/>
        <stp>BDP|13692103829409737186</stp>
        <tr r="S170" s="2"/>
      </tp>
      <tp t="s">
        <v>#N/A N/A</v>
        <stp/>
        <stp>BDS|13841805916815562785</stp>
        <tr r="I1039" s="2"/>
      </tp>
      <tp t="s">
        <v>#N/A N/A</v>
        <stp/>
        <stp>BDP|14798961946636008774</stp>
        <tr r="R1384" s="2"/>
      </tp>
      <tp t="s">
        <v>#N/A N/A</v>
        <stp/>
        <stp>BDP|15777102052078294176</stp>
        <tr r="C1637" s="2"/>
      </tp>
      <tp t="s">
        <v>#N/A N/A</v>
        <stp/>
        <stp>BDP|13081368302038191053</stp>
        <tr r="D305" s="2"/>
      </tp>
      <tp t="s">
        <v>#N/A N/A</v>
        <stp/>
        <stp>BDP|15693820606666013324</stp>
        <tr r="P1217" s="2"/>
      </tp>
      <tp t="s">
        <v>#N/A N/A</v>
        <stp/>
        <stp>BDP|14532936934544215208</stp>
        <tr r="C1304" s="2"/>
      </tp>
      <tp t="s">
        <v>#N/A N/A</v>
        <stp/>
        <stp>BDP|12315341245944592979</stp>
        <tr r="Q291" s="2"/>
      </tp>
      <tp t="s">
        <v>#N/A N/A</v>
        <stp/>
        <stp>BDP|17402896977368996834</stp>
        <tr r="K1130" s="2"/>
      </tp>
      <tp t="s">
        <v>#N/A N/A</v>
        <stp/>
        <stp>BDP|13058283298612384237</stp>
        <tr r="E1278" s="2"/>
      </tp>
      <tp t="s">
        <v>#N/A N/A</v>
        <stp/>
        <stp>BDP|12522531141368795306</stp>
        <tr r="R234" s="2"/>
      </tp>
      <tp t="s">
        <v>#N/A N/A</v>
        <stp/>
        <stp>BDS|17079129934419145440</stp>
        <tr r="I1297" s="2"/>
      </tp>
      <tp t="s">
        <v>#N/A N/A</v>
        <stp/>
        <stp>BDP|16869460739639654018</stp>
        <tr r="E1710" s="2"/>
      </tp>
      <tp t="s">
        <v>#N/A N/A</v>
        <stp/>
        <stp>BDP|14698620535500645975</stp>
        <tr r="E710" s="2"/>
      </tp>
      <tp t="s">
        <v>#N/A N/A</v>
        <stp/>
        <stp>BDP|10458333781921657207</stp>
        <tr r="J461" s="2"/>
      </tp>
      <tp t="s">
        <v>#N/A N/A</v>
        <stp/>
        <stp>BDP|16227802567804077452</stp>
        <tr r="F563" s="2"/>
      </tp>
      <tp t="s">
        <v>#N/A N/A</v>
        <stp/>
        <stp>BDP|18123365221917166675</stp>
        <tr r="A1084" s="2"/>
      </tp>
      <tp t="s">
        <v>#N/A N/A</v>
        <stp/>
        <stp>BDP|13630776682916297218</stp>
        <tr r="N176" s="2"/>
      </tp>
      <tp t="s">
        <v>#N/A N/A</v>
        <stp/>
        <stp>BDP|15657418364299622651</stp>
        <tr r="Q952" s="2"/>
      </tp>
      <tp t="s">
        <v>#N/A N/A</v>
        <stp/>
        <stp>BDP|13280890050203359583</stp>
        <tr r="G839" s="2"/>
      </tp>
      <tp t="s">
        <v>#N/A N/A</v>
        <stp/>
        <stp>BDP|15743505890841655010</stp>
        <tr r="E800" s="2"/>
      </tp>
      <tp t="s">
        <v>#N/A N/A</v>
        <stp/>
        <stp>BDP|15979830844439674888</stp>
        <tr r="D813" s="2"/>
      </tp>
      <tp t="s">
        <v>#N/A N/A</v>
        <stp/>
        <stp>BDP|14979290453888035330</stp>
        <tr r="T491" s="2"/>
      </tp>
      <tp t="s">
        <v>#N/A N/A</v>
        <stp/>
        <stp>BDP|11443029396050737072</stp>
        <tr r="A595" s="2"/>
      </tp>
      <tp t="s">
        <v>#N/A N/A</v>
        <stp/>
        <stp>BDP|13697455922395989884</stp>
        <tr r="H878" s="2"/>
      </tp>
      <tp t="s">
        <v>#N/A N/A</v>
        <stp/>
        <stp>BDP|17954425688510057333</stp>
        <tr r="K1067" s="2"/>
      </tp>
      <tp t="s">
        <v>#N/A N/A</v>
        <stp/>
        <stp>BDP|14714304167730550954</stp>
        <tr r="H1338" s="2"/>
      </tp>
      <tp t="s">
        <v>#N/A N/A</v>
        <stp/>
        <stp>BDP|13050054061539229464</stp>
        <tr r="H961" s="2"/>
      </tp>
      <tp t="s">
        <v>#N/A N/A</v>
        <stp/>
        <stp>BDP|14225032880216979287</stp>
        <tr r="T1346" s="2"/>
      </tp>
      <tp t="s">
        <v>#N/A N/A</v>
        <stp/>
        <stp>BDP|12282838679923196692</stp>
        <tr r="O732" s="2"/>
      </tp>
      <tp t="s">
        <v>#N/A N/A</v>
        <stp/>
        <stp>BDS|15477427767137550876</stp>
        <tr r="I1562" s="2"/>
      </tp>
      <tp t="s">
        <v>#N/A N/A</v>
        <stp/>
        <stp>BDP|11778824562301029673</stp>
        <tr r="R779" s="2"/>
      </tp>
      <tp t="s">
        <v>#N/A N/A</v>
        <stp/>
        <stp>BDP|14577944410446157203</stp>
        <tr r="G1070" s="2"/>
      </tp>
      <tp t="s">
        <v>#N/A N/A</v>
        <stp/>
        <stp>BDP|12687116081252641109</stp>
        <tr r="H1607" s="2"/>
      </tp>
      <tp t="s">
        <v>#N/A N/A</v>
        <stp/>
        <stp>BDP|14232888134393999470</stp>
        <tr r="K706" s="2"/>
      </tp>
      <tp t="s">
        <v>#N/A N/A</v>
        <stp/>
        <stp>BDP|15128263865048771156</stp>
        <tr r="R1373" s="2"/>
      </tp>
      <tp t="s">
        <v>#N/A N/A</v>
        <stp/>
        <stp>BDP|11822309696881675283</stp>
        <tr r="D1006" s="2"/>
      </tp>
      <tp t="s">
        <v>#N/A N/A</v>
        <stp/>
        <stp>BDP|10308966306398659957</stp>
        <tr r="A198" s="2"/>
      </tp>
      <tp t="s">
        <v>#N/A N/A</v>
        <stp/>
        <stp>BDP|11223071323553013861</stp>
        <tr r="T579" s="2"/>
      </tp>
      <tp t="s">
        <v>#N/A N/A</v>
        <stp/>
        <stp>BDP|13375223396326408632</stp>
        <tr r="E1152" s="2"/>
      </tp>
      <tp t="s">
        <v>#N/A N/A</v>
        <stp/>
        <stp>BDP|10745263473454713957</stp>
        <tr r="H360" s="2"/>
      </tp>
      <tp t="s">
        <v>#N/A N/A</v>
        <stp/>
        <stp>BDP|16132766774578541661</stp>
        <tr r="J1536" s="2"/>
      </tp>
      <tp t="s">
        <v>#N/A N/A</v>
        <stp/>
        <stp>BDP|12525400847392536877</stp>
        <tr r="M1304" s="2"/>
      </tp>
      <tp t="s">
        <v>#N/A N/A</v>
        <stp/>
        <stp>BDP|14708744252119252734</stp>
        <tr r="M1041" s="2"/>
      </tp>
      <tp t="s">
        <v>#N/A N/A</v>
        <stp/>
        <stp>BDP|17138345310628020556</stp>
        <tr r="F736" s="2"/>
      </tp>
      <tp t="s">
        <v>#N/A N/A</v>
        <stp/>
        <stp>BDP|17337196526024835842</stp>
        <tr r="M295" s="2"/>
      </tp>
      <tp t="s">
        <v>#N/A N/A</v>
        <stp/>
        <stp>BDP|13237235624359746225</stp>
        <tr r="Q750" s="2"/>
      </tp>
      <tp t="s">
        <v>#N/A N/A</v>
        <stp/>
        <stp>BDP|15848956742641497186</stp>
        <tr r="M1695" s="2"/>
      </tp>
      <tp t="s">
        <v>#N/A N/A</v>
        <stp/>
        <stp>BDP|15502328625004840897</stp>
        <tr r="J825" s="2"/>
      </tp>
      <tp t="s">
        <v>#N/A N/A</v>
        <stp/>
        <stp>BDP|16265970922897034246</stp>
        <tr r="T556" s="2"/>
      </tp>
      <tp t="s">
        <v>#N/A N/A</v>
        <stp/>
        <stp>BDP|18013378696022627840</stp>
        <tr r="S870" s="2"/>
      </tp>
      <tp t="s">
        <v>#N/A N/A</v>
        <stp/>
        <stp>BDP|15887564084318125886</stp>
        <tr r="A698" s="2"/>
      </tp>
      <tp t="s">
        <v>#N/A N/A</v>
        <stp/>
        <stp>BDP|13418404358169885376</stp>
        <tr r="C652" s="2"/>
      </tp>
      <tp t="s">
        <v>#N/A N/A</v>
        <stp/>
        <stp>BDS|11926519587200635490</stp>
        <tr r="I138" s="2"/>
      </tp>
      <tp t="s">
        <v>#N/A N/A</v>
        <stp/>
        <stp>BDP|13761802632020159079</stp>
        <tr r="N1712" s="2"/>
      </tp>
      <tp t="s">
        <v>#N/A N/A</v>
        <stp/>
        <stp>BDP|13262288681398947911</stp>
        <tr r="F12" s="2"/>
      </tp>
      <tp t="s">
        <v>#N/A N/A</v>
        <stp/>
        <stp>BDP|10476548101018032524</stp>
        <tr r="F213" s="2"/>
      </tp>
      <tp t="s">
        <v>#N/A N/A</v>
        <stp/>
        <stp>BDP|13147488106127442881</stp>
        <tr r="E136" s="2"/>
      </tp>
      <tp t="s">
        <v>#N/A N/A</v>
        <stp/>
        <stp>BDP|18371055564491880791</stp>
        <tr r="P739" s="2"/>
      </tp>
      <tp t="s">
        <v>#N/A N/A</v>
        <stp/>
        <stp>BDP|16681709267716305919</stp>
        <tr r="T151" s="2"/>
      </tp>
      <tp t="s">
        <v>#N/A N/A</v>
        <stp/>
        <stp>BDP|12649722888011796480</stp>
        <tr r="S1427" s="2"/>
      </tp>
      <tp t="s">
        <v>#N/A N/A</v>
        <stp/>
        <stp>BDP|15557112226839236732</stp>
        <tr r="C690" s="2"/>
      </tp>
      <tp t="s">
        <v>#N/A N/A</v>
        <stp/>
        <stp>BDP|16413429194341406255</stp>
        <tr r="J152" s="2"/>
      </tp>
      <tp t="s">
        <v>#N/A N/A</v>
        <stp/>
        <stp>BDS|10115189790157134784</stp>
        <tr r="I800" s="2"/>
      </tp>
      <tp t="s">
        <v>#N/A N/A</v>
        <stp/>
        <stp>BDP|13465515893003790427</stp>
        <tr r="S913" s="2"/>
      </tp>
      <tp t="s">
        <v>#N/A N/A</v>
        <stp/>
        <stp>BDP|14412023717464438968</stp>
        <tr r="R1076" s="2"/>
      </tp>
      <tp t="s">
        <v>#N/A N/A</v>
        <stp/>
        <stp>BDP|12686120012059714324</stp>
        <tr r="A1222" s="2"/>
      </tp>
      <tp t="s">
        <v>#N/A N/A</v>
        <stp/>
        <stp>BDP|16904842922492893642</stp>
        <tr r="G1289" s="2"/>
      </tp>
      <tp t="s">
        <v>#N/A N/A</v>
        <stp/>
        <stp>BDP|12425412831048788505</stp>
        <tr r="C186" s="2"/>
      </tp>
      <tp t="s">
        <v>#N/A N/A</v>
        <stp/>
        <stp>BDP|18084224807344619603</stp>
        <tr r="C1306" s="2"/>
      </tp>
      <tp t="s">
        <v>#N/A N/A</v>
        <stp/>
        <stp>BDS|12739518182531238660</stp>
        <tr r="I759" s="2"/>
      </tp>
      <tp t="s">
        <v>#N/A N/A</v>
        <stp/>
        <stp>BDP|14232446401999356175</stp>
        <tr r="T910" s="2"/>
      </tp>
      <tp t="s">
        <v>#N/A N/A</v>
        <stp/>
        <stp>BDP|12329245151399395461</stp>
        <tr r="S277" s="2"/>
      </tp>
      <tp t="s">
        <v>#N/A N/A</v>
        <stp/>
        <stp>BDP|12404447753843753876</stp>
        <tr r="T887" s="2"/>
      </tp>
      <tp t="s">
        <v>#N/A N/A</v>
        <stp/>
        <stp>BDP|16297931007433473417</stp>
        <tr r="J133" s="2"/>
      </tp>
      <tp t="s">
        <v>#N/A N/A</v>
        <stp/>
        <stp>BDP|10561549150528471061</stp>
        <tr r="O1509" s="2"/>
      </tp>
      <tp t="s">
        <v>#N/A N/A</v>
        <stp/>
        <stp>BDP|17384481199874380625</stp>
        <tr r="C929" s="2"/>
      </tp>
      <tp t="s">
        <v>#N/A N/A</v>
        <stp/>
        <stp>BDP|12629835458514951374</stp>
        <tr r="P957" s="2"/>
      </tp>
      <tp t="s">
        <v>#N/A N/A</v>
        <stp/>
        <stp>BDP|11952327558356608962</stp>
        <tr r="H1063" s="2"/>
      </tp>
      <tp t="s">
        <v>#N/A N/A</v>
        <stp/>
        <stp>BDP|10025677692703716410</stp>
        <tr r="H988" s="2"/>
      </tp>
      <tp t="s">
        <v>#N/A N/A</v>
        <stp/>
        <stp>BDP|12466565526704236954</stp>
        <tr r="M1344" s="2"/>
      </tp>
      <tp t="s">
        <v>#N/A N/A</v>
        <stp/>
        <stp>BDP|11316900631806223538</stp>
        <tr r="G73" s="2"/>
      </tp>
      <tp t="s">
        <v>#N/A N/A</v>
        <stp/>
        <stp>BDP|14353906665250658336</stp>
        <tr r="Q166" s="2"/>
      </tp>
      <tp t="s">
        <v>#N/A N/A</v>
        <stp/>
        <stp>BDP|11982416122959923607</stp>
        <tr r="Q734" s="2"/>
      </tp>
      <tp t="s">
        <v>#N/A N/A</v>
        <stp/>
        <stp>BDP|15275957456206272707</stp>
        <tr r="K881" s="2"/>
      </tp>
      <tp t="s">
        <v>#N/A N/A</v>
        <stp/>
        <stp>BDP|16108335596626462234</stp>
        <tr r="J976" s="2"/>
      </tp>
      <tp t="s">
        <v>#N/A N/A</v>
        <stp/>
        <stp>BDP|13107629986871757415</stp>
        <tr r="D742" s="2"/>
      </tp>
      <tp t="s">
        <v>#N/A N/A</v>
        <stp/>
        <stp>BDP|17713407032641147975</stp>
        <tr r="R1248" s="2"/>
      </tp>
      <tp t="s">
        <v>#N/A N/A</v>
        <stp/>
        <stp>BDP|13941396350494707946</stp>
        <tr r="N530" s="2"/>
      </tp>
      <tp t="s">
        <v>#N/A N/A</v>
        <stp/>
        <stp>BDP|16832886668339212997</stp>
        <tr r="N373" s="2"/>
      </tp>
      <tp t="s">
        <v>#N/A N/A</v>
        <stp/>
        <stp>BDP|11253416428196968914</stp>
        <tr r="O37" s="2"/>
      </tp>
      <tp t="s">
        <v>#N/A N/A</v>
        <stp/>
        <stp>BDP|12470821398893590880</stp>
        <tr r="T775" s="2"/>
      </tp>
      <tp t="s">
        <v>#N/A N/A</v>
        <stp/>
        <stp>BDP|14555321431189108542</stp>
        <tr r="R556" s="2"/>
      </tp>
      <tp t="s">
        <v>#N/A N/A</v>
        <stp/>
        <stp>BDP|10550767483217756042</stp>
        <tr r="R965" s="2"/>
      </tp>
      <tp t="s">
        <v>#N/A N/A</v>
        <stp/>
        <stp>BDP|11037941070507475037</stp>
        <tr r="O1408" s="2"/>
      </tp>
      <tp t="s">
        <v>#N/A N/A</v>
        <stp/>
        <stp>BDP|10197940095381052939</stp>
        <tr r="T1626" s="2"/>
      </tp>
      <tp t="s">
        <v>#N/A N/A</v>
        <stp/>
        <stp>BDP|16242356055459192109</stp>
        <tr r="S924" s="2"/>
      </tp>
      <tp t="s">
        <v>#N/A N/A</v>
        <stp/>
        <stp>BDP|10713939690819777101</stp>
        <tr r="D418" s="2"/>
      </tp>
      <tp t="s">
        <v>#N/A N/A</v>
        <stp/>
        <stp>BDP|15923039739266360839</stp>
        <tr r="O840" s="2"/>
      </tp>
      <tp t="s">
        <v>#N/A N/A</v>
        <stp/>
        <stp>BDP|10212773433619319560</stp>
        <tr r="E80" s="2"/>
      </tp>
      <tp t="s">
        <v>#N/A N/A</v>
        <stp/>
        <stp>BDP|13910123697751928262</stp>
        <tr r="J1122" s="2"/>
      </tp>
      <tp t="s">
        <v>#N/A N/A</v>
        <stp/>
        <stp>BDP|18114151585679350016</stp>
        <tr r="H353" s="2"/>
      </tp>
      <tp t="s">
        <v>#N/A N/A</v>
        <stp/>
        <stp>BDS|10906900897208712097</stp>
        <tr r="I871" s="2"/>
      </tp>
      <tp t="s">
        <v>#N/A N/A</v>
        <stp/>
        <stp>BDP|18313481813111335486</stp>
        <tr r="P458" s="2"/>
      </tp>
      <tp t="s">
        <v>#N/A N/A</v>
        <stp/>
        <stp>BDP|12772150886203202051</stp>
        <tr r="H935" s="2"/>
      </tp>
      <tp t="s">
        <v>#N/A N/A</v>
        <stp/>
        <stp>BDP|18168258241850034661</stp>
        <tr r="N361" s="2"/>
      </tp>
      <tp t="s">
        <v>#N/A N/A</v>
        <stp/>
        <stp>BDS|17327843577209085910</stp>
        <tr r="I419" s="2"/>
      </tp>
      <tp t="s">
        <v>#N/A N/A</v>
        <stp/>
        <stp>BDP|17802717199015693445</stp>
        <tr r="H446" s="2"/>
      </tp>
      <tp t="s">
        <v>#N/A N/A</v>
        <stp/>
        <stp>BDP|12585495248443441926</stp>
        <tr r="N407" s="2"/>
      </tp>
      <tp t="s">
        <v>#N/A N/A</v>
        <stp/>
        <stp>BDP|17376488188724627771</stp>
        <tr r="P997" s="2"/>
      </tp>
      <tp t="s">
        <v>#N/A N/A</v>
        <stp/>
        <stp>BDP|15615198422526968860</stp>
        <tr r="H1002" s="2"/>
      </tp>
      <tp t="s">
        <v>#N/A N/A</v>
        <stp/>
        <stp>BDP|15643110003524723819</stp>
        <tr r="A1618" s="2"/>
      </tp>
      <tp t="s">
        <v>#N/A N/A</v>
        <stp/>
        <stp>BDP|10475356070124783841</stp>
        <tr r="K1505" s="2"/>
      </tp>
      <tp t="s">
        <v>#N/A N/A</v>
        <stp/>
        <stp>BDP|12604498214158945704</stp>
        <tr r="P920" s="2"/>
      </tp>
      <tp t="s">
        <v>#N/A N/A</v>
        <stp/>
        <stp>BDP|17592473231558237035</stp>
        <tr r="A831" s="2"/>
      </tp>
      <tp t="s">
        <v>#N/A N/A</v>
        <stp/>
        <stp>BDP|12950918312375969710</stp>
        <tr r="T690" s="2"/>
      </tp>
      <tp t="s">
        <v>#N/A N/A</v>
        <stp/>
        <stp>BDP|17417735781882245260</stp>
        <tr r="N904" s="2"/>
      </tp>
      <tp t="s">
        <v>#N/A N/A</v>
        <stp/>
        <stp>BDP|13538310184517761758</stp>
        <tr r="M1313" s="2"/>
      </tp>
      <tp t="s">
        <v>#N/A N/A</v>
        <stp/>
        <stp>BDP|17481897708637150064</stp>
        <tr r="T1602" s="2"/>
      </tp>
      <tp t="s">
        <v>#N/A N/A</v>
        <stp/>
        <stp>BDP|14685165316594059845</stp>
        <tr r="D427" s="2"/>
      </tp>
      <tp t="s">
        <v>#N/A N/A</v>
        <stp/>
        <stp>BDP|18077967555149180501</stp>
        <tr r="O1698" s="2"/>
      </tp>
      <tp t="s">
        <v>#N/A N/A</v>
        <stp/>
        <stp>BDP|18283633544314071671</stp>
        <tr r="M1190" s="2"/>
      </tp>
      <tp t="s">
        <v>#N/A N/A</v>
        <stp/>
        <stp>BDP|13405844394968472224</stp>
        <tr r="S971" s="2"/>
      </tp>
      <tp t="s">
        <v>#N/A N/A</v>
        <stp/>
        <stp>BDP|15899293565290713914</stp>
        <tr r="E1533" s="2"/>
      </tp>
      <tp t="s">
        <v>#N/A N/A</v>
        <stp/>
        <stp>BDP|12592955441911287611</stp>
        <tr r="S890" s="2"/>
      </tp>
      <tp t="s">
        <v>#N/A N/A</v>
        <stp/>
        <stp>BDP|14161248190660054771</stp>
        <tr r="N1394" s="2"/>
      </tp>
      <tp t="s">
        <v>#N/A N/A</v>
        <stp/>
        <stp>BDP|10089984319504036439</stp>
        <tr r="T915" s="2"/>
      </tp>
      <tp t="s">
        <v>#N/A N/A</v>
        <stp/>
        <stp>BDP|17694818855154332630</stp>
        <tr r="M150" s="2"/>
      </tp>
      <tp t="s">
        <v>#N/A N/A</v>
        <stp/>
        <stp>BDP|13582869170537069310</stp>
        <tr r="Q1390" s="2"/>
      </tp>
      <tp t="s">
        <v>#N/A N/A</v>
        <stp/>
        <stp>BDP|13409576864488309060</stp>
        <tr r="E338" s="2"/>
      </tp>
      <tp t="s">
        <v>#N/A N/A</v>
        <stp/>
        <stp>BDP|15994067182826934367</stp>
        <tr r="Q1491" s="2"/>
      </tp>
      <tp t="s">
        <v>#N/A N/A</v>
        <stp/>
        <stp>BDP|16952628068818540643</stp>
        <tr r="K688" s="2"/>
      </tp>
      <tp t="s">
        <v>#N/A N/A</v>
        <stp/>
        <stp>BDP|13736299803170836979</stp>
        <tr r="G1630" s="2"/>
      </tp>
      <tp t="s">
        <v>#N/A N/A</v>
        <stp/>
        <stp>BDP|14656540690303145313</stp>
        <tr r="J216" s="2"/>
      </tp>
      <tp t="s">
        <v>#N/A N/A</v>
        <stp/>
        <stp>BDP|17732824436812792667</stp>
        <tr r="A165" s="2"/>
      </tp>
      <tp t="s">
        <v>#N/A N/A</v>
        <stp/>
        <stp>BDP|13354690284485894048</stp>
        <tr r="T1066" s="2"/>
      </tp>
      <tp t="s">
        <v>#N/A N/A</v>
        <stp/>
        <stp>BDP|16346815917514117362</stp>
        <tr r="O1027" s="2"/>
      </tp>
      <tp t="s">
        <v>#N/A N/A</v>
        <stp/>
        <stp>BDP|14244603503362639851</stp>
        <tr r="K1169" s="2"/>
      </tp>
      <tp t="s">
        <v>#N/A N/A</v>
        <stp/>
        <stp>BDP|14672292836029941427</stp>
        <tr r="N500" s="2"/>
      </tp>
      <tp t="s">
        <v>#N/A N/A</v>
        <stp/>
        <stp>BDP|14690512954194759869</stp>
        <tr r="S428" s="2"/>
      </tp>
      <tp t="s">
        <v>#N/A N/A</v>
        <stp/>
        <stp>BDP|13019813668350362581</stp>
        <tr r="K1033" s="2"/>
      </tp>
      <tp t="s">
        <v>#N/A N/A</v>
        <stp/>
        <stp>BDP|17335093005266876953</stp>
        <tr r="G1256" s="2"/>
      </tp>
      <tp t="s">
        <v>#N/A N/A</v>
        <stp/>
        <stp>BDP|16361572387432159100</stp>
        <tr r="E570" s="2"/>
      </tp>
      <tp t="s">
        <v>#N/A N/A</v>
        <stp/>
        <stp>BDP|17471269006345700818</stp>
        <tr r="M1382" s="2"/>
      </tp>
      <tp t="s">
        <v>#N/A N/A</v>
        <stp/>
        <stp>BDP|17593903436806323325</stp>
        <tr r="N365" s="2"/>
      </tp>
      <tp t="s">
        <v>#N/A N/A</v>
        <stp/>
        <stp>BDP|13570981036553173281</stp>
        <tr r="N650" s="2"/>
      </tp>
      <tp t="s">
        <v>#N/A N/A</v>
        <stp/>
        <stp>BDP|11727331911689064276</stp>
        <tr r="O610" s="2"/>
      </tp>
      <tp t="s">
        <v>#N/A N/A</v>
        <stp/>
        <stp>BDP|13481172337090190977</stp>
        <tr r="T1249" s="2"/>
      </tp>
      <tp t="s">
        <v>#N/A N/A</v>
        <stp/>
        <stp>BDP|16813166585184165384</stp>
        <tr r="K152" s="2"/>
      </tp>
      <tp t="s">
        <v>#N/A N/A</v>
        <stp/>
        <stp>BDP|12506287385023596385</stp>
        <tr r="C1284" s="2"/>
      </tp>
      <tp t="s">
        <v>#N/A N/A</v>
        <stp/>
        <stp>BDP|12135808705076255435</stp>
        <tr r="A1670" s="2"/>
      </tp>
      <tp t="s">
        <v>#N/A N/A</v>
        <stp/>
        <stp>BDP|15223947606953571701</stp>
        <tr r="R1009" s="2"/>
      </tp>
      <tp t="s">
        <v>#N/A N/A</v>
        <stp/>
        <stp>BDP|16918289936979326619</stp>
        <tr r="P1569" s="2"/>
      </tp>
      <tp t="s">
        <v>#N/A N/A</v>
        <stp/>
        <stp>BDP|15188624492891198354</stp>
        <tr r="P507" s="2"/>
      </tp>
      <tp t="s">
        <v>#N/A N/A</v>
        <stp/>
        <stp>BDP|18263915052088125458</stp>
        <tr r="P1271" s="2"/>
      </tp>
      <tp t="s">
        <v>#N/A N/A</v>
        <stp/>
        <stp>BDP|13434331886387511719</stp>
        <tr r="P911" s="2"/>
      </tp>
      <tp t="s">
        <v>#N/A N/A</v>
        <stp/>
        <stp>BDP|11681749456552597945</stp>
        <tr r="H735" s="2"/>
      </tp>
      <tp t="s">
        <v>#N/A N/A</v>
        <stp/>
        <stp>BDP|10058969605532279341</stp>
        <tr r="D1111" s="2"/>
      </tp>
      <tp t="s">
        <v>#N/A N/A</v>
        <stp/>
        <stp>BDP|16745069316259007620</stp>
        <tr r="P225" s="2"/>
      </tp>
      <tp t="s">
        <v>#N/A N/A</v>
        <stp/>
        <stp>BDP|10274335764258677568</stp>
        <tr r="G65" s="2"/>
      </tp>
      <tp t="s">
        <v>#N/A N/A</v>
        <stp/>
        <stp>BDP|15893466568169142625</stp>
        <tr r="J1447" s="2"/>
      </tp>
      <tp t="s">
        <v>#N/A N/A</v>
        <stp/>
        <stp>BDP|16083975537355548107</stp>
        <tr r="A874" s="2"/>
      </tp>
      <tp t="s">
        <v>#N/A N/A</v>
        <stp/>
        <stp>BDP|12150900202752493126</stp>
        <tr r="J412" s="2"/>
      </tp>
      <tp t="s">
        <v>#N/A N/A</v>
        <stp/>
        <stp>BDP|12294151584122410125</stp>
        <tr r="T1676" s="2"/>
      </tp>
      <tp t="s">
        <v>#N/A N/A</v>
        <stp/>
        <stp>BDP|17071382982907964366</stp>
        <tr r="Q1005" s="2"/>
      </tp>
      <tp t="s">
        <v>#N/A N/A</v>
        <stp/>
        <stp>BDP|10040090289617379769</stp>
        <tr r="T868" s="2"/>
      </tp>
      <tp t="s">
        <v>#N/A N/A</v>
        <stp/>
        <stp>BDP|10997794404877204839</stp>
        <tr r="J766" s="2"/>
      </tp>
      <tp t="s">
        <v>#N/A N/A</v>
        <stp/>
        <stp>BDP|14217044213928457545</stp>
        <tr r="M1474" s="2"/>
      </tp>
      <tp t="s">
        <v>#N/A N/A</v>
        <stp/>
        <stp>BDP|14923327086495817203</stp>
        <tr r="M254" s="2"/>
      </tp>
      <tp t="s">
        <v>#N/A N/A</v>
        <stp/>
        <stp>BDP|10612619183781947788</stp>
        <tr r="G1403" s="2"/>
      </tp>
      <tp t="s">
        <v>#N/A N/A</v>
        <stp/>
        <stp>BDP|13379377790120362124</stp>
        <tr r="K279" s="2"/>
      </tp>
      <tp t="s">
        <v>#N/A N/A</v>
        <stp/>
        <stp>BDP|11480831319696281694</stp>
        <tr r="M93" s="2"/>
      </tp>
      <tp t="s">
        <v>#N/A N/A</v>
        <stp/>
        <stp>BDP|11518284027000933965</stp>
        <tr r="F1483" s="2"/>
      </tp>
      <tp t="s">
        <v>#N/A N/A</v>
        <stp/>
        <stp>BDP|11329954810139243810</stp>
        <tr r="S372" s="2"/>
      </tp>
      <tp t="s">
        <v>#N/A N/A</v>
        <stp/>
        <stp>BDP|14417361721459635404</stp>
        <tr r="Q870" s="2"/>
      </tp>
      <tp t="s">
        <v>#N/A N/A</v>
        <stp/>
        <stp>BDS|17789009093370533673</stp>
        <tr r="I873" s="2"/>
      </tp>
      <tp t="s">
        <v>#N/A N/A</v>
        <stp/>
        <stp>BDP|13000545519789106690</stp>
        <tr r="A402" s="2"/>
      </tp>
      <tp t="s">
        <v>#N/A N/A</v>
        <stp/>
        <stp>BDP|15545227562691243823</stp>
        <tr r="D101" s="2"/>
      </tp>
      <tp t="s">
        <v>#N/A N/A</v>
        <stp/>
        <stp>BDP|11169216985066619560</stp>
        <tr r="D580" s="2"/>
      </tp>
      <tp t="s">
        <v>#N/A N/A</v>
        <stp/>
        <stp>BDP|13849971525544727483</stp>
        <tr r="C1043" s="2"/>
      </tp>
      <tp t="s">
        <v>#N/A N/A</v>
        <stp/>
        <stp>BDP|16810402195216804500</stp>
        <tr r="K218" s="2"/>
      </tp>
      <tp t="s">
        <v>#N/A N/A</v>
        <stp/>
        <stp>BDP|18433109151887200322</stp>
        <tr r="D1148" s="2"/>
      </tp>
      <tp t="s">
        <v>#N/A N/A</v>
        <stp/>
        <stp>BDS|15485677385011783277</stp>
        <tr r="I1540" s="2"/>
      </tp>
      <tp t="s">
        <v>#N/A N/A</v>
        <stp/>
        <stp>BDP|12975286796908193931</stp>
        <tr r="A1274" s="2"/>
      </tp>
      <tp t="s">
        <v>#N/A N/A</v>
        <stp/>
        <stp>BDP|16496906920831445454</stp>
        <tr r="Q327" s="2"/>
      </tp>
      <tp t="s">
        <v>#N/A N/A</v>
        <stp/>
        <stp>BDP|10627032506010272840</stp>
        <tr r="M291" s="2"/>
      </tp>
      <tp t="s">
        <v>#N/A N/A</v>
        <stp/>
        <stp>BDP|14935782172099040563</stp>
        <tr r="R1561" s="2"/>
      </tp>
      <tp t="s">
        <v>#N/A N/A</v>
        <stp/>
        <stp>BDP|16360361374283503913</stp>
        <tr r="R998" s="2"/>
      </tp>
      <tp t="s">
        <v>#N/A N/A</v>
        <stp/>
        <stp>BDP|15960559997814730591</stp>
        <tr r="T776" s="2"/>
      </tp>
      <tp t="s">
        <v>#N/A N/A</v>
        <stp/>
        <stp>BDP|13671735642129653142</stp>
        <tr r="M661" s="2"/>
      </tp>
      <tp t="s">
        <v>#N/A N/A</v>
        <stp/>
        <stp>BDP|11838030322862911941</stp>
        <tr r="Q888" s="2"/>
      </tp>
      <tp t="s">
        <v>#N/A N/A</v>
        <stp/>
        <stp>BDP|13615878245086231121</stp>
        <tr r="H1572" s="2"/>
      </tp>
      <tp t="s">
        <v>#N/A N/A</v>
        <stp/>
        <stp>BDP|14994800681225519991</stp>
        <tr r="G1637" s="2"/>
      </tp>
      <tp t="s">
        <v>#N/A N/A</v>
        <stp/>
        <stp>BDP|10687442483733056753</stp>
        <tr r="H300" s="2"/>
      </tp>
      <tp t="s">
        <v>#N/A N/A</v>
        <stp/>
        <stp>BDP|16521446812302241959</stp>
        <tr r="N1469" s="2"/>
      </tp>
      <tp t="s">
        <v>#N/A N/A</v>
        <stp/>
        <stp>BDP|11933070858675776958</stp>
        <tr r="H1394" s="2"/>
      </tp>
      <tp t="s">
        <v>#N/A N/A</v>
        <stp/>
        <stp>BDP|17696494789877671448</stp>
        <tr r="F424" s="2"/>
      </tp>
      <tp t="s">
        <v>#N/A N/A</v>
        <stp/>
        <stp>BDP|16529319387722349742</stp>
        <tr r="R184" s="2"/>
      </tp>
      <tp t="s">
        <v>#N/A N/A</v>
        <stp/>
        <stp>BDP|11978392466298499466</stp>
        <tr r="F577" s="2"/>
      </tp>
      <tp t="s">
        <v>#N/A N/A</v>
        <stp/>
        <stp>BDP|17235318137789244620</stp>
        <tr r="Q252" s="2"/>
      </tp>
      <tp t="s">
        <v>#N/A N/A</v>
        <stp/>
        <stp>BDP|11893065666046874943</stp>
        <tr r="H495" s="2"/>
      </tp>
      <tp t="s">
        <v>#N/A N/A</v>
        <stp/>
        <stp>BDP|16278500904923216807</stp>
        <tr r="F1079" s="2"/>
      </tp>
      <tp t="s">
        <v>#N/A N/A</v>
        <stp/>
        <stp>BDP|18342051102128553859</stp>
        <tr r="C1100" s="2"/>
      </tp>
      <tp t="s">
        <v>#N/A N/A</v>
        <stp/>
        <stp>BDP|18212303634703398313</stp>
        <tr r="T1114" s="2"/>
      </tp>
      <tp t="s">
        <v>#N/A N/A</v>
        <stp/>
        <stp>BDP|10593011630793904890</stp>
        <tr r="T517" s="2"/>
      </tp>
      <tp t="s">
        <v>#N/A N/A</v>
        <stp/>
        <stp>BDP|12239493587090160699</stp>
        <tr r="H854" s="2"/>
      </tp>
      <tp t="s">
        <v>#N/A N/A</v>
        <stp/>
        <stp>BDP|13189342201388116017</stp>
        <tr r="A594" s="2"/>
      </tp>
      <tp t="s">
        <v>#N/A N/A</v>
        <stp/>
        <stp>BDP|17383763295056148751</stp>
        <tr r="O1597" s="2"/>
      </tp>
      <tp t="s">
        <v>#N/A N/A</v>
        <stp/>
        <stp>BDP|12702108984646560526</stp>
        <tr r="T1751" s="2"/>
      </tp>
      <tp t="s">
        <v>#N/A N/A</v>
        <stp/>
        <stp>BDS|15078920058872470396</stp>
        <tr r="I680" s="2"/>
      </tp>
      <tp t="s">
        <v>#N/A N/A</v>
        <stp/>
        <stp>BDP|16950415997692908128</stp>
        <tr r="D683" s="2"/>
      </tp>
      <tp t="s">
        <v>#N/A N/A</v>
        <stp/>
        <stp>BDP|14497477853138567517</stp>
        <tr r="H429" s="2"/>
      </tp>
      <tp t="s">
        <v>#N/A N/A</v>
        <stp/>
        <stp>BDS|13244885788928467310</stp>
        <tr r="I1282" s="2"/>
      </tp>
      <tp t="s">
        <v>#N/A N/A</v>
        <stp/>
        <stp>BDP|14196804701556431207</stp>
        <tr r="K1701" s="2"/>
      </tp>
      <tp t="s">
        <v>#N/A N/A</v>
        <stp/>
        <stp>BDP|15195008077352795857</stp>
        <tr r="G627" s="2"/>
      </tp>
      <tp t="s">
        <v>#N/A N/A</v>
        <stp/>
        <stp>BDP|13941430685734874338</stp>
        <tr r="G1529" s="2"/>
      </tp>
      <tp t="s">
        <v>#N/A N/A</v>
        <stp/>
        <stp>BDP|10823001971897951842</stp>
        <tr r="P131" s="2"/>
      </tp>
      <tp t="s">
        <v>#N/A N/A</v>
        <stp/>
        <stp>BDP|14841317508808308768</stp>
        <tr r="Q692" s="2"/>
      </tp>
      <tp t="s">
        <v>#N/A N/A</v>
        <stp/>
        <stp>BDP|13675135681012200021</stp>
        <tr r="S1232" s="2"/>
      </tp>
      <tp t="s">
        <v>#N/A N/A</v>
        <stp/>
        <stp>BDP|18029721859066811470</stp>
        <tr r="R1434" s="2"/>
      </tp>
      <tp t="s">
        <v>#N/A N/A</v>
        <stp/>
        <stp>BDP|14275446608508322094</stp>
        <tr r="S1227" s="2"/>
      </tp>
      <tp t="s">
        <v>#N/A N/A</v>
        <stp/>
        <stp>BDP|12086971703334582750</stp>
        <tr r="G573" s="2"/>
      </tp>
      <tp t="s">
        <v>#N/A N/A</v>
        <stp/>
        <stp>BDP|18173041406488143867</stp>
        <tr r="J154" s="2"/>
      </tp>
      <tp t="s">
        <v>#N/A N/A</v>
        <stp/>
        <stp>BDP|10609159975126215808</stp>
        <tr r="K1334" s="2"/>
      </tp>
      <tp t="s">
        <v>#N/A N/A</v>
        <stp/>
        <stp>BDP|17435322250869409069</stp>
        <tr r="D1208" s="2"/>
      </tp>
      <tp t="s">
        <v>#N/A N/A</v>
        <stp/>
        <stp>BDS|17310303651268207170</stp>
        <tr r="I417" s="2"/>
      </tp>
      <tp t="s">
        <v>#N/A N/A</v>
        <stp/>
        <stp>BDP|14486328730104647845</stp>
        <tr r="D1413" s="2"/>
      </tp>
      <tp t="s">
        <v>#N/A N/A</v>
        <stp/>
        <stp>BDP|13273676399854917018</stp>
        <tr r="D1719" s="2"/>
      </tp>
      <tp t="s">
        <v>#N/A N/A</v>
        <stp/>
        <stp>BDP|16016286612648912576</stp>
        <tr r="J117" s="2"/>
      </tp>
      <tp t="s">
        <v>#N/A N/A</v>
        <stp/>
        <stp>BDP|17716923007520006661</stp>
        <tr r="H1470" s="2"/>
      </tp>
      <tp t="s">
        <v>#N/A N/A</v>
        <stp/>
        <stp>BDP|11062376901349402366</stp>
        <tr r="S1558" s="2"/>
      </tp>
      <tp t="s">
        <v>#N/A N/A</v>
        <stp/>
        <stp>BDP|13564091886906691582</stp>
        <tr r="C243" s="2"/>
      </tp>
      <tp t="s">
        <v>#N/A N/A</v>
        <stp/>
        <stp>BDP|16802122688572736511</stp>
        <tr r="A624" s="2"/>
      </tp>
      <tp t="s">
        <v>#N/A N/A</v>
        <stp/>
        <stp>BDP|17799330673988551360</stp>
        <tr r="A998" s="2"/>
      </tp>
      <tp t="s">
        <v>#N/A N/A</v>
        <stp/>
        <stp>BDP|14963288855938165315</stp>
        <tr r="A816" s="2"/>
      </tp>
      <tp t="s">
        <v>#N/A N/A</v>
        <stp/>
        <stp>BDS|10027149016980435815</stp>
        <tr r="I630" s="2"/>
      </tp>
      <tp t="s">
        <v>#N/A N/A</v>
        <stp/>
        <stp>BDP|17243708696964065507</stp>
        <tr r="D1238" s="2"/>
      </tp>
      <tp t="s">
        <v>#N/A N/A</v>
        <stp/>
        <stp>BDP|17404958514341294636</stp>
        <tr r="M284" s="2"/>
      </tp>
      <tp t="s">
        <v>#N/A N/A</v>
        <stp/>
        <stp>BDP|12591782625906944952</stp>
        <tr r="K1654" s="2"/>
      </tp>
      <tp t="s">
        <v>#N/A N/A</v>
        <stp/>
        <stp>BDP|14395422175599750640</stp>
        <tr r="J918" s="2"/>
      </tp>
      <tp t="s">
        <v>#N/A N/A</v>
        <stp/>
        <stp>BDP|17683034676789613121</stp>
        <tr r="O781" s="2"/>
      </tp>
      <tp t="s">
        <v>#N/A N/A</v>
        <stp/>
        <stp>BDP|15459354360540465829</stp>
        <tr r="T1420" s="2"/>
      </tp>
      <tp t="s">
        <v>#N/A N/A</v>
        <stp/>
        <stp>BDP|16407822431710077509</stp>
        <tr r="K353" s="2"/>
      </tp>
      <tp t="s">
        <v>#N/A N/A</v>
        <stp/>
        <stp>BDP|15651818505240714525</stp>
        <tr r="C1300" s="2"/>
      </tp>
      <tp t="s">
        <v>#N/A N/A</v>
        <stp/>
        <stp>BDP|14975909560676620581</stp>
        <tr r="S1098" s="2"/>
      </tp>
      <tp t="s">
        <v>#N/A N/A</v>
        <stp/>
        <stp>BDP|14002738169365523883</stp>
        <tr r="C944" s="2"/>
      </tp>
      <tp t="s">
        <v>#N/A N/A</v>
        <stp/>
        <stp>BDP|14510989114114839063</stp>
        <tr r="M732" s="2"/>
      </tp>
      <tp t="s">
        <v>#N/A N/A</v>
        <stp/>
        <stp>BDP|15474978019661449494</stp>
        <tr r="N694" s="2"/>
      </tp>
      <tp t="s">
        <v>#N/A N/A</v>
        <stp/>
        <stp>BDP|15929544313720802918</stp>
        <tr r="C852" s="2"/>
      </tp>
      <tp t="s">
        <v>#N/A N/A</v>
        <stp/>
        <stp>BDS|16513743845988523550</stp>
        <tr r="I908" s="2"/>
      </tp>
      <tp t="s">
        <v>#N/A N/A</v>
        <stp/>
        <stp>BDP|14226953947837189669</stp>
        <tr r="O1683" s="2"/>
      </tp>
      <tp t="s">
        <v>#N/A N/A</v>
        <stp/>
        <stp>BDP|16328517158357889956</stp>
        <tr r="P1115" s="2"/>
      </tp>
      <tp t="s">
        <v>#N/A N/A</v>
        <stp/>
        <stp>BDP|12580907864494477124</stp>
        <tr r="O1669" s="2"/>
      </tp>
      <tp t="s">
        <v>#N/A N/A</v>
        <stp/>
        <stp>BDS|11934758730335053885</stp>
        <tr r="I106" s="2"/>
      </tp>
      <tp t="s">
        <v>#N/A N/A</v>
        <stp/>
        <stp>BDP|11649709698314173386</stp>
        <tr r="N177" s="2"/>
      </tp>
      <tp t="s">
        <v>#N/A N/A</v>
        <stp/>
        <stp>BDP|10275563543988901192</stp>
        <tr r="K249" s="2"/>
      </tp>
      <tp t="s">
        <v>#N/A N/A</v>
        <stp/>
        <stp>BDP|16885785101549318056</stp>
        <tr r="P666" s="2"/>
      </tp>
      <tp t="s">
        <v>#N/A N/A</v>
        <stp/>
        <stp>BDP|15978223080204882341</stp>
        <tr r="M812" s="2"/>
      </tp>
      <tp t="s">
        <v>#N/A N/A</v>
        <stp/>
        <stp>BDP|17752105114969537615</stp>
        <tr r="A1520" s="2"/>
      </tp>
      <tp t="s">
        <v>#N/A N/A</v>
        <stp/>
        <stp>BDS|15517799886230843260</stp>
        <tr r="I1070" s="2"/>
      </tp>
      <tp t="s">
        <v>#N/A N/A</v>
        <stp/>
        <stp>BDP|11049319474449400467</stp>
        <tr r="N1361" s="2"/>
      </tp>
      <tp t="s">
        <v>#N/A N/A</v>
        <stp/>
        <stp>BDP|11942082030933194978</stp>
        <tr r="S709" s="2"/>
      </tp>
      <tp t="s">
        <v>#N/A N/A</v>
        <stp/>
        <stp>BDS|14468759236959526169</stp>
        <tr r="I1604" s="2"/>
      </tp>
      <tp t="s">
        <v>#N/A N/A</v>
        <stp/>
        <stp>BDP|14531496317891941854</stp>
        <tr r="J573" s="2"/>
      </tp>
      <tp t="s">
        <v>#N/A N/A</v>
        <stp/>
        <stp>BDP|12754574733845713935</stp>
        <tr r="Q1417" s="2"/>
      </tp>
      <tp t="s">
        <v>#N/A N/A</v>
        <stp/>
        <stp>BDP|12228571510797319919</stp>
        <tr r="N1424" s="2"/>
      </tp>
      <tp t="s">
        <v>#N/A N/A</v>
        <stp/>
        <stp>BDP|17481971471224730524</stp>
        <tr r="D1645" s="2"/>
      </tp>
      <tp t="s">
        <v>#N/A N/A</v>
        <stp/>
        <stp>BDP|13789147747258564668</stp>
        <tr r="J492" s="2"/>
      </tp>
      <tp t="s">
        <v>#N/A N/A</v>
        <stp/>
        <stp>BDS|14041365862180968995</stp>
        <tr r="I566" s="2"/>
      </tp>
      <tp t="s">
        <v>#N/A N/A</v>
        <stp/>
        <stp>BDS|14278828470505196650</stp>
        <tr r="I1365" s="2"/>
      </tp>
      <tp t="s">
        <v>#N/A N/A</v>
        <stp/>
        <stp>BDS|10071852409130952012</stp>
        <tr r="I489" s="2"/>
      </tp>
      <tp t="s">
        <v>#N/A N/A</v>
        <stp/>
        <stp>BDP|13382244506290553939</stp>
        <tr r="R1418" s="2"/>
      </tp>
      <tp t="s">
        <v>#N/A N/A</v>
        <stp/>
        <stp>BDP|10562833094899677038</stp>
        <tr r="C210" s="2"/>
      </tp>
      <tp t="s">
        <v>#N/A N/A</v>
        <stp/>
        <stp>BDP|15345824278470618287</stp>
        <tr r="T285" s="2"/>
      </tp>
      <tp t="s">
        <v>#N/A N/A</v>
        <stp/>
        <stp>BDP|14503412456058162546</stp>
        <tr r="A1110" s="2"/>
      </tp>
      <tp t="s">
        <v>#N/A N/A</v>
        <stp/>
        <stp>BDP|17352700697411216012</stp>
        <tr r="A646" s="2"/>
      </tp>
      <tp t="s">
        <v>#N/A N/A</v>
        <stp/>
        <stp>BDP|17844816294408878620</stp>
        <tr r="H1019" s="2"/>
      </tp>
      <tp t="s">
        <v>#N/A N/A</v>
        <stp/>
        <stp>BDP|13534417412156163802</stp>
        <tr r="M858" s="2"/>
      </tp>
      <tp t="s">
        <v>#N/A N/A</v>
        <stp/>
        <stp>BDP|10570321888572839100</stp>
        <tr r="D85" s="2"/>
      </tp>
      <tp t="s">
        <v>#N/A N/A</v>
        <stp/>
        <stp>BDS|18264870465689548714</stp>
        <tr r="I336" s="2"/>
      </tp>
      <tp t="s">
        <v>#N/A N/A</v>
        <stp/>
        <stp>BDP|17018740783588504854</stp>
        <tr r="S1669" s="2"/>
      </tp>
      <tp t="s">
        <v>#N/A N/A</v>
        <stp/>
        <stp>BDP|16794411000839135303</stp>
        <tr r="T1422" s="2"/>
      </tp>
      <tp t="s">
        <v>#N/A N/A</v>
        <stp/>
        <stp>BDP|13103205161339539622</stp>
        <tr r="N1625" s="2"/>
      </tp>
      <tp t="s">
        <v>#N/A N/A</v>
        <stp/>
        <stp>BDP|18117502919772675695</stp>
        <tr r="N140" s="2"/>
      </tp>
      <tp t="s">
        <v>#N/A N/A</v>
        <stp/>
        <stp>BDP|16694574390086136478</stp>
        <tr r="K121" s="2"/>
      </tp>
      <tp t="s">
        <v>#N/A N/A</v>
        <stp/>
        <stp>BDP|10565892343487045382</stp>
        <tr r="F1589" s="2"/>
      </tp>
      <tp t="s">
        <v>#N/A N/A</v>
        <stp/>
        <stp>BDP|15251816946222031324</stp>
        <tr r="G735" s="2"/>
      </tp>
      <tp t="s">
        <v>#N/A N/A</v>
        <stp/>
        <stp>BDP|17223823186116915987</stp>
        <tr r="K1385" s="2"/>
      </tp>
      <tp t="s">
        <v>#N/A N/A</v>
        <stp/>
        <stp>BDP|16528011434555138863</stp>
        <tr r="P686" s="2"/>
      </tp>
      <tp t="s">
        <v>#N/A N/A</v>
        <stp/>
        <stp>BDP|10581864857137599262</stp>
        <tr r="P331" s="2"/>
      </tp>
      <tp t="s">
        <v>#N/A N/A</v>
        <stp/>
        <stp>BDP|13518884304721977270</stp>
        <tr r="F486" s="2"/>
      </tp>
      <tp t="s">
        <v>#N/A N/A</v>
        <stp/>
        <stp>BDP|15521373246473233913</stp>
        <tr r="Q663" s="2"/>
      </tp>
      <tp t="s">
        <v>#N/A N/A</v>
        <stp/>
        <stp>BDP|16331003984075242320</stp>
        <tr r="S747" s="2"/>
      </tp>
      <tp t="s">
        <v>#N/A N/A</v>
        <stp/>
        <stp>BDP|14702376022299134443</stp>
        <tr r="Q757" s="2"/>
      </tp>
      <tp t="s">
        <v>#N/A N/A</v>
        <stp/>
        <stp>BDP|14812185962543530806</stp>
        <tr r="E700" s="2"/>
      </tp>
      <tp t="s">
        <v>#N/A N/A</v>
        <stp/>
        <stp>BDP|10951983373336289079</stp>
        <tr r="Q857" s="2"/>
      </tp>
      <tp t="s">
        <v>#N/A N/A</v>
        <stp/>
        <stp>BDP|16511089486624923258</stp>
        <tr r="F461" s="2"/>
      </tp>
      <tp t="s">
        <v>#N/A N/A</v>
        <stp/>
        <stp>BDP|13925679798814404057</stp>
        <tr r="J1456" s="2"/>
      </tp>
      <tp t="s">
        <v>#N/A N/A</v>
        <stp/>
        <stp>BDP|11008279994195166745</stp>
        <tr r="F970" s="2"/>
      </tp>
      <tp t="s">
        <v>#N/A N/A</v>
        <stp/>
        <stp>BDP|10687091523433819927</stp>
        <tr r="Q49" s="2"/>
      </tp>
      <tp t="s">
        <v>#N/A N/A</v>
        <stp/>
        <stp>BDP|10832098015570472962</stp>
        <tr r="C714" s="2"/>
      </tp>
      <tp t="s">
        <v>#N/A N/A</v>
        <stp/>
        <stp>BDP|10733561692971554505</stp>
        <tr r="O1140" s="2"/>
      </tp>
      <tp t="s">
        <v>#N/A N/A</v>
        <stp/>
        <stp>BDP|14843497879618898767</stp>
        <tr r="R433" s="2"/>
      </tp>
      <tp t="s">
        <v>#N/A N/A</v>
        <stp/>
        <stp>BDP|17396565113222647961</stp>
        <tr r="C1554" s="2"/>
      </tp>
      <tp t="s">
        <v>#N/A N/A</v>
        <stp/>
        <stp>BDS|16286916251525574727</stp>
        <tr r="I478" s="2"/>
      </tp>
      <tp t="s">
        <v>#N/A N/A</v>
        <stp/>
        <stp>BDP|14407006443929118104</stp>
        <tr r="H782" s="2"/>
      </tp>
      <tp t="s">
        <v>#N/A N/A</v>
        <stp/>
        <stp>BDP|11125167782181568168</stp>
        <tr r="D1291" s="2"/>
      </tp>
      <tp t="s">
        <v>#N/A N/A</v>
        <stp/>
        <stp>BDP|18217709462348465927</stp>
        <tr r="P70" s="2"/>
      </tp>
      <tp t="s">
        <v>#N/A N/A</v>
        <stp/>
        <stp>BDP|16964767243194290980</stp>
        <tr r="D1358" s="2"/>
      </tp>
      <tp t="s">
        <v>#N/A N/A</v>
        <stp/>
        <stp>BDP|16551139897027010175</stp>
        <tr r="T112" s="2"/>
      </tp>
      <tp t="s">
        <v>#N/A N/A</v>
        <stp/>
        <stp>BDP|16009452891851745256</stp>
        <tr r="A1533" s="2"/>
      </tp>
      <tp t="s">
        <v>#N/A N/A</v>
        <stp/>
        <stp>BDP|14904470950768079588</stp>
        <tr r="D1324" s="2"/>
      </tp>
      <tp t="s">
        <v>#N/A N/A</v>
        <stp/>
        <stp>BDP|12098221451618291578</stp>
        <tr r="T38" s="2"/>
      </tp>
      <tp t="s">
        <v>#N/A N/A</v>
        <stp/>
        <stp>BDP|12523535763850304900</stp>
        <tr r="T241" s="2"/>
      </tp>
      <tp t="s">
        <v>#N/A N/A</v>
        <stp/>
        <stp>BDP|10756099796246806761</stp>
        <tr r="D333" s="2"/>
      </tp>
      <tp t="s">
        <v>#N/A N/A</v>
        <stp/>
        <stp>BDP|11704351058956842943</stp>
        <tr r="E853" s="2"/>
      </tp>
      <tp t="s">
        <v>#N/A N/A</v>
        <stp/>
        <stp>BDS|14850999756718574873</stp>
        <tr r="I1115" s="2"/>
      </tp>
      <tp t="s">
        <v>#N/A N/A</v>
        <stp/>
        <stp>BDP|17429938571587649665</stp>
        <tr r="N746" s="2"/>
      </tp>
      <tp t="s">
        <v>#N/A N/A</v>
        <stp/>
        <stp>BDP|16847325423636890970</stp>
        <tr r="T271" s="2"/>
      </tp>
      <tp t="s">
        <v>#N/A N/A</v>
        <stp/>
        <stp>BDP|15509033340931030804</stp>
        <tr r="S313" s="2"/>
      </tp>
      <tp t="s">
        <v>#N/A N/A</v>
        <stp/>
        <stp>BDP|16911950006902940551</stp>
        <tr r="N406" s="2"/>
      </tp>
      <tp t="s">
        <v>#N/A N/A</v>
        <stp/>
        <stp>BDP|17080996345772805024</stp>
        <tr r="D1100" s="2"/>
      </tp>
      <tp t="s">
        <v>#N/A N/A</v>
        <stp/>
        <stp>BDP|16059216931046469929</stp>
        <tr r="O406" s="2"/>
      </tp>
      <tp t="s">
        <v>#N/A N/A</v>
        <stp/>
        <stp>BDP|15410817167941539210</stp>
        <tr r="K315" s="2"/>
      </tp>
      <tp t="s">
        <v>#N/A N/A</v>
        <stp/>
        <stp>BDP|18013268501585822792</stp>
        <tr r="K681" s="2"/>
      </tp>
      <tp t="s">
        <v>#N/A N/A</v>
        <stp/>
        <stp>BDP|11425466839127490990</stp>
        <tr r="K1414" s="2"/>
      </tp>
      <tp t="s">
        <v>#N/A N/A</v>
        <stp/>
        <stp>BDP|10588983513680026083</stp>
        <tr r="F941" s="2"/>
      </tp>
      <tp t="s">
        <v>#N/A N/A</v>
        <stp/>
        <stp>BDP|13295356016191652818</stp>
        <tr r="Q1661" s="2"/>
      </tp>
      <tp t="s">
        <v>#N/A N/A</v>
        <stp/>
        <stp>BDP|12760421697402432503</stp>
        <tr r="K1512" s="2"/>
      </tp>
      <tp t="s">
        <v>#N/A N/A</v>
        <stp/>
        <stp>BDP|15457143695651719443</stp>
        <tr r="A1563" s="2"/>
      </tp>
      <tp t="s">
        <v>#N/A N/A</v>
        <stp/>
        <stp>BDP|17332344517255317856</stp>
        <tr r="A956" s="2"/>
      </tp>
      <tp t="s">
        <v>#N/A N/A</v>
        <stp/>
        <stp>BDS|10033281983153849165</stp>
        <tr r="I1690" s="2"/>
      </tp>
      <tp t="s">
        <v>#N/A N/A</v>
        <stp/>
        <stp>BDP|15373735993134566704</stp>
        <tr r="G968" s="2"/>
      </tp>
      <tp t="s">
        <v>#N/A N/A</v>
        <stp/>
        <stp>BDP|15749413781025402456</stp>
        <tr r="E715" s="2"/>
      </tp>
      <tp t="s">
        <v>#N/A N/A</v>
        <stp/>
        <stp>BDP|16967326925716976911</stp>
        <tr r="J449" s="2"/>
      </tp>
      <tp t="s">
        <v>#N/A N/A</v>
        <stp/>
        <stp>BDP|13882583069089920168</stp>
        <tr r="A1053" s="2"/>
      </tp>
      <tp t="s">
        <v>#N/A N/A</v>
        <stp/>
        <stp>BDP|16561853297137916884</stp>
        <tr r="J69" s="2"/>
      </tp>
      <tp t="s">
        <v>#N/A N/A</v>
        <stp/>
        <stp>BDP|16233214599093577690</stp>
        <tr r="K1061" s="2"/>
      </tp>
      <tp t="s">
        <v>#N/A N/A</v>
        <stp/>
        <stp>BDP|13402443119616736886</stp>
        <tr r="F1182" s="2"/>
      </tp>
      <tp t="s">
        <v>#N/A N/A</v>
        <stp/>
        <stp>BDP|14249265861329400172</stp>
        <tr r="Q152" s="2"/>
      </tp>
      <tp t="s">
        <v>#N/A N/A</v>
        <stp/>
        <stp>BDP|16575587983776068586</stp>
        <tr r="G844" s="2"/>
      </tp>
      <tp t="s">
        <v>#N/A N/A</v>
        <stp/>
        <stp>BDP|14736500587351114076</stp>
        <tr r="M303" s="2"/>
      </tp>
      <tp t="s">
        <v>#N/A N/A</v>
        <stp/>
        <stp>BDS|17989822712941908754</stp>
        <tr r="I1302" s="2"/>
      </tp>
      <tp t="s">
        <v>#N/A N/A</v>
        <stp/>
        <stp>BDP|10927770213166247891</stp>
        <tr r="G674" s="2"/>
      </tp>
      <tp t="s">
        <v>#N/A N/A</v>
        <stp/>
        <stp>BDP|16352926086519147604</stp>
        <tr r="H800" s="2"/>
      </tp>
      <tp t="s">
        <v>#N/A N/A</v>
        <stp/>
        <stp>BDS|17339251291684022020</stp>
        <tr r="I750" s="2"/>
      </tp>
      <tp t="s">
        <v>#N/A N/A</v>
        <stp/>
        <stp>BDP|16610264096971234429</stp>
        <tr r="M1227" s="2"/>
      </tp>
      <tp t="s">
        <v>#N/A N/A</v>
        <stp/>
        <stp>BDP|13107514520689046563</stp>
        <tr r="P253" s="2"/>
      </tp>
      <tp t="s">
        <v>#N/A N/A</v>
        <stp/>
        <stp>BDP|12074054116488343366</stp>
        <tr r="H515" s="2"/>
      </tp>
      <tp t="s">
        <v>#N/A N/A</v>
        <stp/>
        <stp>BDP|17816796770698261752</stp>
        <tr r="F1425" s="2"/>
      </tp>
      <tp t="s">
        <v>#N/A N/A</v>
        <stp/>
        <stp>BDP|13021977371053730673</stp>
        <tr r="E1276" s="2"/>
      </tp>
      <tp t="s">
        <v>#N/A N/A</v>
        <stp/>
        <stp>BDP|14755054954391512856</stp>
        <tr r="N708" s="2"/>
      </tp>
      <tp t="s">
        <v>#N/A N/A</v>
        <stp/>
        <stp>BDP|17074718833362217969</stp>
        <tr r="N1493" s="2"/>
      </tp>
      <tp t="s">
        <v>#N/A N/A</v>
        <stp/>
        <stp>BDP|11062821993331524922</stp>
        <tr r="N332" s="2"/>
      </tp>
      <tp t="s">
        <v>#N/A N/A</v>
        <stp/>
        <stp>BDP|11191902238025699696</stp>
        <tr r="F502" s="2"/>
      </tp>
      <tp t="s">
        <v>#N/A N/A</v>
        <stp/>
        <stp>BDP|16874804793428860755</stp>
        <tr r="G1736" s="2"/>
      </tp>
      <tp t="s">
        <v>#N/A N/A</v>
        <stp/>
        <stp>BDP|16905522139579322171</stp>
        <tr r="A1320" s="2"/>
      </tp>
      <tp t="s">
        <v>#N/A N/A</v>
        <stp/>
        <stp>BDP|14294825143077264681</stp>
        <tr r="M1498" s="2"/>
      </tp>
      <tp t="s">
        <v>#N/A N/A</v>
        <stp/>
        <stp>BDP|12865308824068035257</stp>
        <tr r="M567" s="2"/>
      </tp>
      <tp t="s">
        <v>#N/A N/A</v>
        <stp/>
        <stp>BDP|13384900424208942974</stp>
        <tr r="K809" s="2"/>
      </tp>
      <tp t="s">
        <v>#N/A N/A</v>
        <stp/>
        <stp>BDP|16788057454538715282</stp>
        <tr r="O385" s="2"/>
      </tp>
      <tp t="s">
        <v>#N/A N/A</v>
        <stp/>
        <stp>BDP|10426223325040305998</stp>
        <tr r="H1282" s="2"/>
      </tp>
      <tp t="s">
        <v>#N/A N/A</v>
        <stp/>
        <stp>BDS|15658004459860043955</stp>
        <tr r="I411" s="2"/>
      </tp>
      <tp t="s">
        <v>#N/A N/A</v>
        <stp/>
        <stp>BDP|18160395463703780754</stp>
        <tr r="H13" s="2"/>
      </tp>
      <tp t="s">
        <v>#N/A N/A</v>
        <stp/>
        <stp>BDP|14861472265247289811</stp>
        <tr r="F676" s="2"/>
      </tp>
      <tp t="s">
        <v>#N/A N/A</v>
        <stp/>
        <stp>BDP|11686885717791304034</stp>
        <tr r="F968" s="2"/>
      </tp>
      <tp t="s">
        <v>#N/A N/A</v>
        <stp/>
        <stp>BDP|15829149090065605135</stp>
        <tr r="T682" s="2"/>
      </tp>
      <tp t="s">
        <v>#N/A N/A</v>
        <stp/>
        <stp>BDP|13281766086340874534</stp>
        <tr r="E1658" s="2"/>
      </tp>
      <tp t="s">
        <v>#N/A N/A</v>
        <stp/>
        <stp>BDP|17077730579138100628</stp>
        <tr r="G1714" s="2"/>
      </tp>
      <tp t="s">
        <v>#N/A N/A</v>
        <stp/>
        <stp>BDP|17655318499304222052</stp>
        <tr r="M98" s="2"/>
      </tp>
      <tp t="s">
        <v>#N/A N/A</v>
        <stp/>
        <stp>BDP|18339032247260771599</stp>
        <tr r="H1138" s="2"/>
      </tp>
      <tp t="s">
        <v>#N/A N/A</v>
        <stp/>
        <stp>BDP|15202009828599119721</stp>
        <tr r="A518" s="2"/>
      </tp>
      <tp t="s">
        <v>#N/A N/A</v>
        <stp/>
        <stp>BDP|10015441254798000094</stp>
        <tr r="R253" s="2"/>
      </tp>
      <tp t="s">
        <v>#N/A N/A</v>
        <stp/>
        <stp>BDP|18382388967361446514</stp>
        <tr r="H1591" s="2"/>
      </tp>
      <tp t="s">
        <v>#N/A N/A</v>
        <stp/>
        <stp>BDP|18387445830145664388</stp>
        <tr r="C832" s="2"/>
      </tp>
      <tp t="s">
        <v>#N/A N/A</v>
        <stp/>
        <stp>BDP|10956275199382844065</stp>
        <tr r="H1595" s="2"/>
      </tp>
      <tp t="s">
        <v>#N/A N/A</v>
        <stp/>
        <stp>BDP|14244721288396474453</stp>
        <tr r="H1145" s="2"/>
      </tp>
      <tp t="s">
        <v>#N/A N/A</v>
        <stp/>
        <stp>BDP|13124993111757231527</stp>
        <tr r="A692" s="2"/>
      </tp>
      <tp t="s">
        <v>#N/A N/A</v>
        <stp/>
        <stp>BDP|16352779922863660993</stp>
        <tr r="F1677" s="2"/>
      </tp>
      <tp t="s">
        <v>#N/A N/A</v>
        <stp/>
        <stp>BDP|12939681104744555991</stp>
        <tr r="E1160" s="2"/>
      </tp>
      <tp t="s">
        <v>#N/A N/A</v>
        <stp/>
        <stp>BDP|11317017686816477698</stp>
        <tr r="T1638" s="2"/>
      </tp>
      <tp t="s">
        <v>#N/A N/A</v>
        <stp/>
        <stp>BDP|16861816365478766923</stp>
        <tr r="S1468" s="2"/>
      </tp>
      <tp t="s">
        <v>#N/A N/A</v>
        <stp/>
        <stp>BDP|15004066688602310640</stp>
        <tr r="P465" s="2"/>
      </tp>
      <tp t="s">
        <v>#N/A N/A</v>
        <stp/>
        <stp>BDP|12611982913352327172</stp>
        <tr r="T1278" s="2"/>
      </tp>
      <tp t="s">
        <v>#N/A N/A</v>
        <stp/>
        <stp>BDP|14315640236518826006</stp>
        <tr r="E909" s="2"/>
      </tp>
      <tp t="s">
        <v>#N/A N/A</v>
        <stp/>
        <stp>BDP|17176830668846589660</stp>
        <tr r="N308" s="2"/>
      </tp>
      <tp t="s">
        <v>#N/A N/A</v>
        <stp/>
        <stp>BDP|14908113646158575022</stp>
        <tr r="P751" s="2"/>
      </tp>
      <tp t="s">
        <v>#N/A N/A</v>
        <stp/>
        <stp>BDP|11178377288006651512</stp>
        <tr r="T833" s="2"/>
      </tp>
      <tp t="s">
        <v>#N/A N/A</v>
        <stp/>
        <stp>BDP|14875027532456325821</stp>
        <tr r="S1213" s="2"/>
      </tp>
      <tp t="s">
        <v>#N/A N/A</v>
        <stp/>
        <stp>BDP|13988779965482464965</stp>
        <tr r="M410" s="2"/>
      </tp>
      <tp t="s">
        <v>#N/A N/A</v>
        <stp/>
        <stp>BDP|15646760456198825671</stp>
        <tr r="H194" s="2"/>
      </tp>
      <tp t="s">
        <v>#N/A N/A</v>
        <stp/>
        <stp>BDP|17056604389222642261</stp>
        <tr r="A1006" s="2"/>
      </tp>
      <tp t="s">
        <v>#N/A N/A</v>
        <stp/>
        <stp>BDP|10320627190987985111</stp>
        <tr r="D381" s="2"/>
      </tp>
      <tp t="s">
        <v>#N/A N/A</v>
        <stp/>
        <stp>BDP|12324743984186318295</stp>
        <tr r="F784" s="2"/>
      </tp>
      <tp t="s">
        <v>#N/A N/A</v>
        <stp/>
        <stp>BDP|10592486937376290811</stp>
        <tr r="H1602" s="2"/>
      </tp>
      <tp t="s">
        <v>#N/A N/A</v>
        <stp/>
        <stp>BDP|13922417898064070396</stp>
        <tr r="S467" s="2"/>
      </tp>
      <tp t="s">
        <v>#N/A N/A</v>
        <stp/>
        <stp>BDP|15977840437601321607</stp>
        <tr r="D228" s="2"/>
      </tp>
      <tp t="s">
        <v>#N/A N/A</v>
        <stp/>
        <stp>BDP|16822900370424740579</stp>
        <tr r="T1103" s="2"/>
      </tp>
      <tp t="s">
        <v>#N/A N/A</v>
        <stp/>
        <stp>BDP|15849942178422997051</stp>
        <tr r="K1291" s="2"/>
      </tp>
      <tp t="s">
        <v>#N/A N/A</v>
        <stp/>
        <stp>BDP|12945771817749702468</stp>
        <tr r="R711" s="2"/>
      </tp>
      <tp t="s">
        <v>#N/A N/A</v>
        <stp/>
        <stp>BDP|17710557440629283682</stp>
        <tr r="M1720" s="2"/>
      </tp>
      <tp t="s">
        <v>#N/A N/A</v>
        <stp/>
        <stp>BDP|11296622717277951866</stp>
        <tr r="G394" s="2"/>
      </tp>
      <tp t="s">
        <v>#N/A N/A</v>
        <stp/>
        <stp>BDP|14935592088346492641</stp>
        <tr r="O1289" s="2"/>
      </tp>
      <tp t="s">
        <v>#N/A N/A</v>
        <stp/>
        <stp>BDP|16566855809724691374</stp>
        <tr r="Q426" s="2"/>
      </tp>
      <tp t="s">
        <v>#N/A N/A</v>
        <stp/>
        <stp>BDS|16794623960647850860</stp>
        <tr r="I267" s="2"/>
      </tp>
      <tp t="s">
        <v>#N/A N/A</v>
        <stp/>
        <stp>BDP|16819704088560015088</stp>
        <tr r="M78" s="2"/>
      </tp>
      <tp t="s">
        <v>#N/A N/A</v>
        <stp/>
        <stp>BDP|17387851653040982348</stp>
        <tr r="S1060" s="2"/>
      </tp>
      <tp t="s">
        <v>#N/A N/A</v>
        <stp/>
        <stp>BDP|17119663928953565924</stp>
        <tr r="H821" s="2"/>
      </tp>
      <tp t="s">
        <v>#N/A N/A</v>
        <stp/>
        <stp>BDP|17486355971382059883</stp>
        <tr r="C1414" s="2"/>
      </tp>
      <tp t="s">
        <v>#N/A N/A</v>
        <stp/>
        <stp>BDP|14520486140398771528</stp>
        <tr r="A604" s="2"/>
      </tp>
      <tp t="s">
        <v>#N/A N/A</v>
        <stp/>
        <stp>BDP|12071530229818568471</stp>
        <tr r="G1486" s="2"/>
      </tp>
      <tp t="s">
        <v>#N/A N/A</v>
        <stp/>
        <stp>BDP|16960939342621035305</stp>
        <tr r="P1118" s="2"/>
      </tp>
      <tp t="s">
        <v>#N/A N/A</v>
        <stp/>
        <stp>BDP|17775828033777621285</stp>
        <tr r="C1610" s="2"/>
      </tp>
      <tp t="s">
        <v>#N/A N/A</v>
        <stp/>
        <stp>BDP|17266866308814526214</stp>
        <tr r="N307" s="2"/>
      </tp>
      <tp t="s">
        <v>#N/A N/A</v>
        <stp/>
        <stp>BDP|17822152968650496992</stp>
        <tr r="G1530" s="2"/>
      </tp>
      <tp t="s">
        <v>#N/A N/A</v>
        <stp/>
        <stp>BDP|12921117490853814081</stp>
        <tr r="G201" s="2"/>
      </tp>
      <tp t="s">
        <v>#N/A N/A</v>
        <stp/>
        <stp>BDP|11754883024857112522</stp>
        <tr r="G1058" s="2"/>
      </tp>
      <tp t="s">
        <v>#N/A N/A</v>
        <stp/>
        <stp>BDP|18076818376188682695</stp>
        <tr r="D847" s="2"/>
      </tp>
      <tp t="s">
        <v>#N/A N/A</v>
        <stp/>
        <stp>BDP|18016310339371007001</stp>
        <tr r="J964" s="2"/>
      </tp>
      <tp t="s">
        <v>#N/A N/A</v>
        <stp/>
        <stp>BDP|15178315683380336781</stp>
        <tr r="R1339" s="2"/>
      </tp>
      <tp t="s">
        <v>#N/A N/A</v>
        <stp/>
        <stp>BDP|10742890626083517057</stp>
        <tr r="M995" s="2"/>
      </tp>
      <tp t="s">
        <v>#N/A N/A</v>
        <stp/>
        <stp>BDP|14743918253846844752</stp>
        <tr r="K417" s="2"/>
      </tp>
      <tp t="s">
        <v>#N/A N/A</v>
        <stp/>
        <stp>BDP|13729662306614649890</stp>
        <tr r="H836" s="2"/>
      </tp>
      <tp t="s">
        <v>#N/A N/A</v>
        <stp/>
        <stp>BDP|13790928215837193592</stp>
        <tr r="E788" s="2"/>
      </tp>
      <tp t="s">
        <v>#N/A N/A</v>
        <stp/>
        <stp>BDP|17765447825770905877</stp>
        <tr r="J891" s="2"/>
      </tp>
      <tp t="s">
        <v>#N/A N/A</v>
        <stp/>
        <stp>BDP|17165380251650708871</stp>
        <tr r="S690" s="2"/>
      </tp>
      <tp t="s">
        <v>#N/A N/A</v>
        <stp/>
        <stp>BDP|11396289367548051441</stp>
        <tr r="C1116" s="2"/>
      </tp>
      <tp t="s">
        <v>#N/A N/A</v>
        <stp/>
        <stp>BDP|16713665884470893159</stp>
        <tr r="H767" s="2"/>
      </tp>
      <tp t="s">
        <v>#N/A N/A</v>
        <stp/>
        <stp>BDP|14918425725583566837</stp>
        <tr r="O422" s="2"/>
      </tp>
      <tp t="s">
        <v>#N/A N/A</v>
        <stp/>
        <stp>BDP|18225713652690010391</stp>
        <tr r="M902" s="2"/>
      </tp>
      <tp t="s">
        <v>#N/A N/A</v>
        <stp/>
        <stp>BDP|11390636471958093198</stp>
        <tr r="H219" s="2"/>
      </tp>
      <tp t="s">
        <v>#N/A N/A</v>
        <stp/>
        <stp>BDP|11655479548011583943</stp>
        <tr r="E1314" s="2"/>
      </tp>
      <tp t="s">
        <v>#N/A N/A</v>
        <stp/>
        <stp>BDP|10321991430440764357</stp>
        <tr r="M1223" s="2"/>
      </tp>
      <tp t="s">
        <v>#N/A N/A</v>
        <stp/>
        <stp>BDP|10781117047804040895</stp>
        <tr r="O191" s="2"/>
      </tp>
      <tp t="s">
        <v>#N/A N/A</v>
        <stp/>
        <stp>BDP|17686360138838516657</stp>
        <tr r="D801" s="2"/>
      </tp>
      <tp t="s">
        <v>#N/A N/A</v>
        <stp/>
        <stp>BDP|13556850930485907414</stp>
        <tr r="O295" s="2"/>
      </tp>
      <tp t="s">
        <v>#N/A N/A</v>
        <stp/>
        <stp>BDP|15342845241566991679</stp>
        <tr r="T751" s="2"/>
      </tp>
      <tp t="s">
        <v>#N/A N/A</v>
        <stp/>
        <stp>BDP|14588840710003902733</stp>
        <tr r="R1585" s="2"/>
      </tp>
      <tp t="s">
        <v>#N/A N/A</v>
        <stp/>
        <stp>BDP|13983985929130366101</stp>
        <tr r="A107" s="2"/>
      </tp>
      <tp t="s">
        <v>#N/A N/A</v>
        <stp/>
        <stp>BDP|15084880276284131742</stp>
        <tr r="C1393" s="2"/>
      </tp>
      <tp t="s">
        <v>#N/A N/A</v>
        <stp/>
        <stp>BDP|13859095841327809938</stp>
        <tr r="G1515" s="2"/>
      </tp>
      <tp t="s">
        <v>#N/A N/A</v>
        <stp/>
        <stp>BDP|13622859007276874475</stp>
        <tr r="R1417" s="2"/>
      </tp>
      <tp t="s">
        <v>#N/A N/A</v>
        <stp/>
        <stp>BDP|13190060955389022693</stp>
        <tr r="R1584" s="2"/>
      </tp>
      <tp t="s">
        <v>#N/A N/A</v>
        <stp/>
        <stp>BDP|13119813219816337513</stp>
        <tr r="E1692" s="2"/>
      </tp>
      <tp t="s">
        <v>#N/A N/A</v>
        <stp/>
        <stp>BDP|15868827055736255769</stp>
        <tr r="N1258" s="2"/>
      </tp>
      <tp t="s">
        <v>#N/A N/A</v>
        <stp/>
        <stp>BDP|16099743500538941061</stp>
        <tr r="P243" s="2"/>
      </tp>
      <tp t="s">
        <v>#N/A N/A</v>
        <stp/>
        <stp>BDP|13845383980694822539</stp>
        <tr r="E1302" s="2"/>
      </tp>
      <tp t="s">
        <v>#N/A N/A</v>
        <stp/>
        <stp>BDP|14925204239128847439</stp>
        <tr r="R1423" s="2"/>
      </tp>
      <tp t="s">
        <v>#N/A N/A</v>
        <stp/>
        <stp>BDP|17467758848438161535</stp>
        <tr r="A291" s="2"/>
      </tp>
      <tp t="s">
        <v>#N/A N/A</v>
        <stp/>
        <stp>BDP|13897472657182341907</stp>
        <tr r="R1497" s="2"/>
      </tp>
      <tp t="s">
        <v>#N/A N/A</v>
        <stp/>
        <stp>BDP|14493042811505919937</stp>
        <tr r="O1247" s="2"/>
      </tp>
      <tp t="s">
        <v>#N/A N/A</v>
        <stp/>
        <stp>BDP|17425783594003268318</stp>
        <tr r="S1471" s="2"/>
      </tp>
      <tp t="s">
        <v>#N/A N/A</v>
        <stp/>
        <stp>BDP|15873445281624227449</stp>
        <tr r="M557" s="2"/>
      </tp>
      <tp t="s">
        <v>#N/A N/A</v>
        <stp/>
        <stp>BDP|16263169974380829930</stp>
        <tr r="Q1537" s="2"/>
      </tp>
      <tp t="s">
        <v>#N/A N/A</v>
        <stp/>
        <stp>BDP|15069372778940404800</stp>
        <tr r="F1507" s="2"/>
      </tp>
      <tp t="s">
        <v>#N/A N/A</v>
        <stp/>
        <stp>BDP|10015541108825042971</stp>
        <tr r="Q350" s="2"/>
      </tp>
      <tp t="s">
        <v>#N/A N/A</v>
        <stp/>
        <stp>BDP|14242888214440773422</stp>
        <tr r="D1464" s="2"/>
      </tp>
      <tp t="s">
        <v>#N/A N/A</v>
        <stp/>
        <stp>BDP|12213146947558981636</stp>
        <tr r="A1402" s="2"/>
      </tp>
      <tp t="s">
        <v>#N/A N/A</v>
        <stp/>
        <stp>BDP|14770755671058860508</stp>
        <tr r="G1365" s="2"/>
      </tp>
      <tp t="s">
        <v>#N/A N/A</v>
        <stp/>
        <stp>BDP|11999442187083132704</stp>
        <tr r="M1031" s="2"/>
      </tp>
      <tp t="s">
        <v>#N/A N/A</v>
        <stp/>
        <stp>BDP|11018625473608990138</stp>
        <tr r="G639" s="2"/>
      </tp>
      <tp t="s">
        <v>#N/A N/A</v>
        <stp/>
        <stp>BDS|17128271207635865910</stp>
        <tr r="I1067" s="2"/>
      </tp>
      <tp t="s">
        <v>#N/A N/A</v>
        <stp/>
        <stp>BDP|13776652271082929914</stp>
        <tr r="P1077" s="2"/>
      </tp>
      <tp t="s">
        <v>#N/A N/A</v>
        <stp/>
        <stp>BDS|10312704784805778388</stp>
        <tr r="I1317" s="2"/>
      </tp>
      <tp t="s">
        <v>#N/A N/A</v>
        <stp/>
        <stp>BDP|12747402653002958861</stp>
        <tr r="M1593" s="2"/>
      </tp>
      <tp t="s">
        <v>#N/A N/A</v>
        <stp/>
        <stp>BDP|14229837133055845313</stp>
        <tr r="C275" s="2"/>
      </tp>
      <tp t="s">
        <v>#N/A N/A</v>
        <stp/>
        <stp>BDP|18218572219577667212</stp>
        <tr r="D1235" s="2"/>
      </tp>
      <tp t="s">
        <v>#N/A N/A</v>
        <stp/>
        <stp>BDP|12469355529522208814</stp>
        <tr r="E226" s="2"/>
      </tp>
      <tp t="s">
        <v>#N/A N/A</v>
        <stp/>
        <stp>BDP|15833040510099370445</stp>
        <tr r="S237" s="2"/>
      </tp>
      <tp t="s">
        <v>#N/A N/A</v>
        <stp/>
        <stp>BDP|18237984692090246112</stp>
        <tr r="G1379" s="2"/>
      </tp>
      <tp t="s">
        <v>#N/A N/A</v>
        <stp/>
        <stp>BDP|11668400173328946371</stp>
        <tr r="E818" s="2"/>
      </tp>
      <tp t="s">
        <v>#N/A N/A</v>
        <stp/>
        <stp>BDP|14843160573458094369</stp>
        <tr r="H892" s="2"/>
      </tp>
      <tp t="s">
        <v>#N/A N/A</v>
        <stp/>
        <stp>BDP|16947872356651576367</stp>
        <tr r="R241" s="2"/>
      </tp>
      <tp t="s">
        <v>#N/A N/A</v>
        <stp/>
        <stp>BDP|14368891224640098758</stp>
        <tr r="P813" s="2"/>
      </tp>
      <tp t="s">
        <v>#N/A N/A</v>
        <stp/>
        <stp>BDP|18217077039283674114</stp>
        <tr r="F666" s="2"/>
      </tp>
      <tp t="s">
        <v>#N/A N/A</v>
        <stp/>
        <stp>BDP|17685063534978772582</stp>
        <tr r="M697" s="2"/>
      </tp>
      <tp t="s">
        <v>#N/A N/A</v>
        <stp/>
        <stp>BDP|18263028473981179797</stp>
        <tr r="E542" s="2"/>
      </tp>
      <tp t="s">
        <v>#N/A N/A</v>
        <stp/>
        <stp>BDP|10621480649071443881</stp>
        <tr r="E1074" s="2"/>
      </tp>
      <tp t="s">
        <v>#N/A N/A</v>
        <stp/>
        <stp>BDP|13421046388140251216</stp>
        <tr r="F1618" s="2"/>
      </tp>
      <tp t="s">
        <v>#N/A N/A</v>
        <stp/>
        <stp>BDP|16803082588252472571</stp>
        <tr r="R1747" s="2"/>
      </tp>
      <tp t="s">
        <v>#N/A N/A</v>
        <stp/>
        <stp>BDP|11904463328908447688</stp>
        <tr r="D687" s="2"/>
      </tp>
      <tp t="s">
        <v>#N/A N/A</v>
        <stp/>
        <stp>BDP|10576958379484489366</stp>
        <tr r="G187" s="2"/>
      </tp>
      <tp t="s">
        <v>#N/A N/A</v>
        <stp/>
        <stp>BDP|13538139179365558919</stp>
        <tr r="Q686" s="2"/>
      </tp>
      <tp t="s">
        <v>#N/A N/A</v>
        <stp/>
        <stp>BDP|10575061434942436889</stp>
        <tr r="A347" s="2"/>
      </tp>
      <tp t="s">
        <v>#N/A N/A</v>
        <stp/>
        <stp>BDP|16430097242018199359</stp>
        <tr r="J1135" s="2"/>
      </tp>
      <tp t="s">
        <v>#N/A N/A</v>
        <stp/>
        <stp>BDP|15180898851381655042</stp>
        <tr r="K1309" s="2"/>
      </tp>
      <tp t="s">
        <v>#N/A N/A</v>
        <stp/>
        <stp>BDP|11978879577362262510</stp>
        <tr r="F1268" s="2"/>
      </tp>
      <tp t="s">
        <v>#N/A N/A</v>
        <stp/>
        <stp>BDP|12970152295083563068</stp>
        <tr r="E238" s="2"/>
      </tp>
      <tp t="s">
        <v>#N/A N/A</v>
        <stp/>
        <stp>BDP|17041003475109756088</stp>
        <tr r="F112" s="2"/>
      </tp>
      <tp t="s">
        <v>#N/A N/A</v>
        <stp/>
        <stp>BDP|14165287485505765218</stp>
        <tr r="J452" s="2"/>
      </tp>
      <tp t="s">
        <v>#N/A N/A</v>
        <stp/>
        <stp>BDP|10528686948933745883</stp>
        <tr r="E114" s="2"/>
      </tp>
      <tp t="s">
        <v>#N/A N/A</v>
        <stp/>
        <stp>BDP|13949289748958447479</stp>
        <tr r="D1571" s="2"/>
      </tp>
      <tp t="s">
        <v>#N/A N/A</v>
        <stp/>
        <stp>BDP|18190509705556956279</stp>
        <tr r="O1102" s="2"/>
      </tp>
      <tp t="s">
        <v>#N/A N/A</v>
        <stp/>
        <stp>BDP|11986081387230830041</stp>
        <tr r="A854" s="2"/>
      </tp>
      <tp t="s">
        <v>#N/A N/A</v>
        <stp/>
        <stp>BDP|10563382883011653329</stp>
        <tr r="S1619" s="2"/>
      </tp>
      <tp t="s">
        <v>#N/A N/A</v>
        <stp/>
        <stp>BDP|14052744305259290392</stp>
        <tr r="R330" s="2"/>
      </tp>
      <tp t="s">
        <v>#N/A N/A</v>
        <stp/>
        <stp>BDP|13055759874549338382</stp>
        <tr r="C1701" s="2"/>
      </tp>
      <tp t="s">
        <v>#N/A N/A</v>
        <stp/>
        <stp>BDP|15954288025405655982</stp>
        <tr r="M1509" s="2"/>
      </tp>
      <tp t="s">
        <v>#N/A N/A</v>
        <stp/>
        <stp>BDP|17716388437526199838</stp>
        <tr r="O936" s="2"/>
      </tp>
      <tp t="s">
        <v>#N/A N/A</v>
        <stp/>
        <stp>BDP|15507038790282512796</stp>
        <tr r="R558" s="2"/>
      </tp>
      <tp t="s">
        <v>#N/A N/A</v>
        <stp/>
        <stp>BDP|17189644292480974142</stp>
        <tr r="K1473" s="2"/>
      </tp>
      <tp t="s">
        <v>#N/A N/A</v>
        <stp/>
        <stp>BDP|17079756105718230189</stp>
        <tr r="D508" s="2"/>
      </tp>
      <tp t="s">
        <v>#N/A N/A</v>
        <stp/>
        <stp>BDP|10412407871652824871</stp>
        <tr r="O203" s="2"/>
      </tp>
      <tp t="s">
        <v>#N/A N/A</v>
        <stp/>
        <stp>BDP|16267777583341523193</stp>
        <tr r="R1461" s="2"/>
      </tp>
      <tp t="s">
        <v>#N/A N/A</v>
        <stp/>
        <stp>BDP|15164383766511401813</stp>
        <tr r="M1221" s="2"/>
      </tp>
      <tp t="s">
        <v>#N/A N/A</v>
        <stp/>
        <stp>BDP|17190187386440385761</stp>
        <tr r="C66" s="2"/>
      </tp>
      <tp t="s">
        <v>#N/A N/A</v>
        <stp/>
        <stp>BDP|18137598015665582027</stp>
        <tr r="C805" s="2"/>
      </tp>
      <tp t="s">
        <v>#N/A N/A</v>
        <stp/>
        <stp>BDP|17939181742449105287</stp>
        <tr r="C531" s="2"/>
      </tp>
      <tp t="s">
        <v>#N/A N/A</v>
        <stp/>
        <stp>BDP|17138664165049964710</stp>
        <tr r="D1669" s="2"/>
      </tp>
      <tp t="s">
        <v>#N/A N/A</v>
        <stp/>
        <stp>BDP|13756261064946755889</stp>
        <tr r="C881" s="2"/>
      </tp>
      <tp t="s">
        <v>#N/A N/A</v>
        <stp/>
        <stp>BDP|14536972426101953774</stp>
        <tr r="D674" s="2"/>
      </tp>
      <tp t="s">
        <v>#N/A N/A</v>
        <stp/>
        <stp>BDP|16704345532427232893</stp>
        <tr r="T1347" s="2"/>
      </tp>
      <tp t="s">
        <v>#N/A N/A</v>
        <stp/>
        <stp>BDP|12919842287243902891</stp>
        <tr r="F1397" s="2"/>
      </tp>
      <tp t="s">
        <v>#N/A N/A</v>
        <stp/>
        <stp>BDP|11603982186471171831</stp>
        <tr r="R1754" s="2"/>
      </tp>
      <tp t="s">
        <v>#N/A N/A</v>
        <stp/>
        <stp>BDP|14087353998473268459</stp>
        <tr r="F865" s="2"/>
      </tp>
      <tp t="s">
        <v>#N/A N/A</v>
        <stp/>
        <stp>BDS|10266511733998179789</stp>
        <tr r="I1537" s="2"/>
      </tp>
      <tp t="s">
        <v>#N/A N/A</v>
        <stp/>
        <stp>BDP|13475216451734641982</stp>
        <tr r="H920" s="2"/>
      </tp>
      <tp t="s">
        <v>#N/A N/A</v>
        <stp/>
        <stp>BDP|10378867503299551890</stp>
        <tr r="K1709" s="2"/>
      </tp>
      <tp t="s">
        <v>#N/A N/A</v>
        <stp/>
        <stp>BDP|16887525113042097933</stp>
        <tr r="O378" s="2"/>
      </tp>
      <tp t="s">
        <v>#N/A N/A</v>
        <stp/>
        <stp>BDP|12116995187268725223</stp>
        <tr r="G982" s="2"/>
      </tp>
      <tp t="s">
        <v>#N/A N/A</v>
        <stp/>
        <stp>BDP|17722172618959485766</stp>
        <tr r="N1617" s="2"/>
      </tp>
      <tp t="s">
        <v>#N/A N/A</v>
        <stp/>
        <stp>BDP|10463837633517715593</stp>
        <tr r="N1174" s="2"/>
      </tp>
      <tp t="s">
        <v>#N/A N/A</v>
        <stp/>
        <stp>BDP|13363394215991498914</stp>
        <tr r="E1039" s="2"/>
      </tp>
      <tp t="s">
        <v>#N/A N/A</v>
        <stp/>
        <stp>BDP|18373513358654500557</stp>
        <tr r="E1490" s="2"/>
      </tp>
      <tp t="s">
        <v>#N/A N/A</v>
        <stp/>
        <stp>BDP|11354309131379138198</stp>
        <tr r="D182" s="2"/>
      </tp>
      <tp t="s">
        <v>#N/A N/A</v>
        <stp/>
        <stp>BDP|16511184265331346969</stp>
        <tr r="E1676" s="2"/>
      </tp>
      <tp t="s">
        <v>#N/A N/A</v>
        <stp/>
        <stp>BDP|10634564381822416685</stp>
        <tr r="P478" s="2"/>
      </tp>
      <tp t="s">
        <v>#N/A N/A</v>
        <stp/>
        <stp>BDP|17485685665849285766</stp>
        <tr r="M34" s="2"/>
      </tp>
      <tp t="s">
        <v>#N/A N/A</v>
        <stp/>
        <stp>BDP|11214881000943739300</stp>
        <tr r="D1433" s="2"/>
      </tp>
      <tp t="s">
        <v>#N/A N/A</v>
        <stp/>
        <stp>BDP|18240540789215046928</stp>
        <tr r="C766" s="2"/>
      </tp>
      <tp t="s">
        <v>#N/A N/A</v>
        <stp/>
        <stp>BDP|11592634083536965017</stp>
        <tr r="P301" s="2"/>
      </tp>
      <tp t="s">
        <v>#N/A N/A</v>
        <stp/>
        <stp>BDP|13188434858233023875</stp>
        <tr r="H939" s="2"/>
      </tp>
      <tp t="s">
        <v>#N/A N/A</v>
        <stp/>
        <stp>BDP|17792651256249871415</stp>
        <tr r="P409" s="2"/>
      </tp>
      <tp t="s">
        <v>#N/A N/A</v>
        <stp/>
        <stp>BDP|17790872799328223765</stp>
        <tr r="J524" s="2"/>
      </tp>
      <tp t="s">
        <v>#N/A N/A</v>
        <stp/>
        <stp>BDP|12009208290055445592</stp>
        <tr r="H565" s="2"/>
      </tp>
      <tp t="s">
        <v>#N/A N/A</v>
        <stp/>
        <stp>BDP|17607547616318134289</stp>
        <tr r="M1222" s="2"/>
      </tp>
      <tp t="s">
        <v>#N/A N/A</v>
        <stp/>
        <stp>BDP|10556317541747995912</stp>
        <tr r="M748" s="2"/>
      </tp>
      <tp t="s">
        <v>#N/A N/A</v>
        <stp/>
        <stp>BDP|10705678698191618736</stp>
        <tr r="O244" s="2"/>
      </tp>
      <tp t="s">
        <v>#N/A N/A</v>
        <stp/>
        <stp>BDP|11779287453167747868</stp>
        <tr r="G524" s="2"/>
      </tp>
      <tp t="s">
        <v>#N/A N/A</v>
        <stp/>
        <stp>BDS|18422707021943818730</stp>
        <tr r="I524" s="2"/>
      </tp>
      <tp t="s">
        <v>#N/A N/A</v>
        <stp/>
        <stp>BDP|12683241282321528085</stp>
        <tr r="S793" s="2"/>
      </tp>
      <tp t="s">
        <v>#N/A N/A</v>
        <stp/>
        <stp>BDS|14184770521360163881</stp>
        <tr r="I997" s="2"/>
      </tp>
      <tp t="s">
        <v>#N/A N/A</v>
        <stp/>
        <stp>BDP|16047827312371993745</stp>
        <tr r="R1580" s="2"/>
      </tp>
      <tp t="s">
        <v>#N/A N/A</v>
        <stp/>
        <stp>BDP|17953012941179170352</stp>
        <tr r="H293" s="2"/>
      </tp>
      <tp t="s">
        <v>#N/A N/A</v>
        <stp/>
        <stp>BDP|18084307873533795690</stp>
        <tr r="A1714" s="2"/>
      </tp>
      <tp t="s">
        <v>#N/A N/A</v>
        <stp/>
        <stp>BDP|11512890918766869713</stp>
        <tr r="J571" s="2"/>
      </tp>
      <tp t="s">
        <v>#N/A N/A</v>
        <stp/>
        <stp>BDP|13745706061722240993</stp>
        <tr r="E1158" s="2"/>
      </tp>
      <tp t="s">
        <v>#N/A N/A</v>
        <stp/>
        <stp>BDP|17492388855789635127</stp>
        <tr r="F735" s="2"/>
      </tp>
      <tp t="s">
        <v>#N/A N/A</v>
        <stp/>
        <stp>BDS|18011254076504926040</stp>
        <tr r="I1066" s="2"/>
      </tp>
      <tp t="s">
        <v>#N/A N/A</v>
        <stp/>
        <stp>BDP|12941263181543674257</stp>
        <tr r="K1479" s="2"/>
      </tp>
      <tp t="s">
        <v>#N/A N/A</v>
        <stp/>
        <stp>BDP|14183258629798960590</stp>
        <tr r="E1733" s="2"/>
      </tp>
      <tp t="s">
        <v>#N/A N/A</v>
        <stp/>
        <stp>BDP|12638057781130757381</stp>
        <tr r="F1511" s="2"/>
      </tp>
      <tp t="s">
        <v>#N/A N/A</v>
        <stp/>
        <stp>BDP|18256386430190201153</stp>
        <tr r="S220" s="2"/>
      </tp>
      <tp t="s">
        <v>#N/A N/A</v>
        <stp/>
        <stp>BDP|16601243741070677985</stp>
        <tr r="R584" s="2"/>
      </tp>
      <tp t="s">
        <v>#N/A N/A</v>
        <stp/>
        <stp>BDP|16420019368638193115</stp>
        <tr r="C254" s="2"/>
      </tp>
      <tp t="s">
        <v>#N/A N/A</v>
        <stp/>
        <stp>BDP|12416377648145610906</stp>
        <tr r="P532" s="2"/>
      </tp>
      <tp t="s">
        <v>#N/A N/A</v>
        <stp/>
        <stp>BDP|13870976317981109348</stp>
        <tr r="H1052" s="2"/>
      </tp>
      <tp t="s">
        <v>#N/A N/A</v>
        <stp/>
        <stp>BDP|11673873906331961136</stp>
        <tr r="O186" s="2"/>
      </tp>
      <tp t="s">
        <v>#N/A N/A</v>
        <stp/>
        <stp>BDP|17683548496071162381</stp>
        <tr r="R716" s="2"/>
      </tp>
      <tp t="s">
        <v>#N/A N/A</v>
        <stp/>
        <stp>BDP|17544997630545086118</stp>
        <tr r="N183" s="2"/>
      </tp>
      <tp t="s">
        <v>#N/A N/A</v>
        <stp/>
        <stp>BDP|15995612482634781603</stp>
        <tr r="C669" s="2"/>
      </tp>
      <tp t="s">
        <v>#N/A N/A</v>
        <stp/>
        <stp>BDP|14432462889832694305</stp>
        <tr r="S1450" s="2"/>
      </tp>
      <tp t="s">
        <v>#N/A N/A</v>
        <stp/>
        <stp>BDP|12227490581996081176</stp>
        <tr r="A1507" s="2"/>
      </tp>
      <tp t="s">
        <v>#N/A N/A</v>
        <stp/>
        <stp>BDP|17938886764411954111</stp>
        <tr r="S769" s="2"/>
      </tp>
      <tp t="s">
        <v>#N/A N/A</v>
        <stp/>
        <stp>BDP|13375466787393879570</stp>
        <tr r="C1016" s="2"/>
      </tp>
      <tp t="s">
        <v>#N/A N/A</v>
        <stp/>
        <stp>BDP|14009371981007882122</stp>
        <tr r="K1294" s="2"/>
      </tp>
      <tp t="s">
        <v>#N/A N/A</v>
        <stp/>
        <stp>BDP|15041899414777327222</stp>
        <tr r="R1012" s="2"/>
      </tp>
      <tp t="s">
        <v>#N/A N/A</v>
        <stp/>
        <stp>BDS|10646204226859804072</stp>
        <tr r="I1580" s="2"/>
      </tp>
      <tp t="s">
        <v>#N/A N/A</v>
        <stp/>
        <stp>BDP|12886126389216877471</stp>
        <tr r="F1553" s="2"/>
      </tp>
      <tp t="s">
        <v>#N/A N/A</v>
        <stp/>
        <stp>BDP|18307971463699997727</stp>
        <tr r="C1622" s="2"/>
      </tp>
      <tp t="s">
        <v>#N/A N/A</v>
        <stp/>
        <stp>BDP|16714288683385355036</stp>
        <tr r="M624" s="2"/>
      </tp>
      <tp t="s">
        <v>#N/A N/A</v>
        <stp/>
        <stp>BDP|13456497250769987284</stp>
        <tr r="M386" s="2"/>
      </tp>
      <tp t="s">
        <v>#N/A N/A</v>
        <stp/>
        <stp>BDP|17557504997120993271</stp>
        <tr r="K1065" s="2"/>
      </tp>
      <tp t="s">
        <v>#N/A N/A</v>
        <stp/>
        <stp>BDP|18122293376385530179</stp>
        <tr r="A377" s="2"/>
      </tp>
      <tp t="s">
        <v>#N/A N/A</v>
        <stp/>
        <stp>BDP|12189296096397427767</stp>
        <tr r="J62" s="2"/>
      </tp>
      <tp t="s">
        <v>#N/A N/A</v>
        <stp/>
        <stp>BDP|12062950050150089790</stp>
        <tr r="N776" s="2"/>
      </tp>
      <tp t="s">
        <v>#N/A N/A</v>
        <stp/>
        <stp>BDP|15524706919063295922</stp>
        <tr r="A1017" s="2"/>
      </tp>
      <tp t="s">
        <v>#N/A N/A</v>
        <stp/>
        <stp>BDP|17161053114567470888</stp>
        <tr r="J1479" s="2"/>
      </tp>
      <tp t="s">
        <v>#N/A N/A</v>
        <stp/>
        <stp>BDP|13014936308813207050</stp>
        <tr r="K1648" s="2"/>
      </tp>
      <tp t="s">
        <v>#N/A N/A</v>
        <stp/>
        <stp>BDP|14146746949507613968</stp>
        <tr r="C1055" s="2"/>
      </tp>
      <tp t="s">
        <v>#N/A N/A</v>
        <stp/>
        <stp>BDP|11924851819329153888</stp>
        <tr r="M709" s="2"/>
      </tp>
      <tp t="s">
        <v>#N/A N/A</v>
        <stp/>
        <stp>BDP|10267322975988179587</stp>
        <tr r="G272" s="2"/>
      </tp>
      <tp t="s">
        <v>#N/A N/A</v>
        <stp/>
        <stp>BDP|15749854502542993651</stp>
        <tr r="S1613" s="2"/>
      </tp>
      <tp t="s">
        <v>#N/A N/A</v>
        <stp/>
        <stp>BDP|10782972144537874305</stp>
        <tr r="A773" s="2"/>
      </tp>
      <tp t="s">
        <v>#N/A N/A</v>
        <stp/>
        <stp>BDP|12810208453474557825</stp>
        <tr r="O1055" s="2"/>
      </tp>
      <tp t="s">
        <v>#N/A N/A</v>
        <stp/>
        <stp>BDP|17062329296785869103</stp>
        <tr r="C983" s="2"/>
      </tp>
      <tp t="s">
        <v>#N/A N/A</v>
        <stp/>
        <stp>BDP|18347190111104784500</stp>
        <tr r="R1134" s="2"/>
      </tp>
      <tp t="s">
        <v>#N/A N/A</v>
        <stp/>
        <stp>BDS|18121789450425348657</stp>
        <tr r="I688" s="2"/>
      </tp>
      <tp t="s">
        <v>#N/A N/A</v>
        <stp/>
        <stp>BDP|12226916928166513628</stp>
        <tr r="R1376" s="2"/>
      </tp>
      <tp t="s">
        <v>#N/A N/A</v>
        <stp/>
        <stp>BDP|16986867363061225021</stp>
        <tr r="H1621" s="2"/>
      </tp>
      <tp t="s">
        <v>#N/A N/A</v>
        <stp/>
        <stp>BDP|15254281093841769629</stp>
        <tr r="O1262" s="2"/>
      </tp>
      <tp t="s">
        <v>#N/A N/A</v>
        <stp/>
        <stp>BDP|15456850531391831646</stp>
        <tr r="R429" s="2"/>
      </tp>
      <tp t="s">
        <v>#N/A N/A</v>
        <stp/>
        <stp>BDP|13238001224871900938</stp>
        <tr r="A444" s="2"/>
      </tp>
      <tp t="s">
        <v>#N/A N/A</v>
        <stp/>
        <stp>BDP|15617222338228209523</stp>
        <tr r="G730" s="2"/>
      </tp>
      <tp t="s">
        <v>#N/A N/A</v>
        <stp/>
        <stp>BDP|17072655819741634864</stp>
        <tr r="A341" s="2"/>
      </tp>
      <tp t="s">
        <v>#N/A N/A</v>
        <stp/>
        <stp>BDP|14997879606203210661</stp>
        <tr r="G684" s="2"/>
      </tp>
      <tp t="s">
        <v>#N/A N/A</v>
        <stp/>
        <stp>BDP|14845353692760218710</stp>
        <tr r="P1495" s="2"/>
      </tp>
      <tp t="s">
        <v>#N/A N/A</v>
        <stp/>
        <stp>BDP|12820692550098840055</stp>
        <tr r="D790" s="2"/>
      </tp>
      <tp t="s">
        <v>#N/A N/A</v>
        <stp/>
        <stp>BDP|11910217087516308402</stp>
        <tr r="O951" s="2"/>
      </tp>
      <tp t="s">
        <v>#N/A N/A</v>
        <stp/>
        <stp>BDS|18049262030604922403</stp>
        <tr r="I1202" s="2"/>
      </tp>
      <tp t="s">
        <v>#N/A N/A</v>
        <stp/>
        <stp>BDP|11383855556196455388</stp>
        <tr r="R825" s="2"/>
      </tp>
      <tp t="s">
        <v>#N/A N/A</v>
        <stp/>
        <stp>BDP|13564182551519945794</stp>
        <tr r="J989" s="2"/>
      </tp>
      <tp t="s">
        <v>#N/A N/A</v>
        <stp/>
        <stp>BDP|17253470138630056917</stp>
        <tr r="Q1282" s="2"/>
      </tp>
      <tp t="s">
        <v>#N/A N/A</v>
        <stp/>
        <stp>BDP|14828795018012439915</stp>
        <tr r="H1644" s="2"/>
      </tp>
      <tp t="s">
        <v>#N/A N/A</v>
        <stp/>
        <stp>BDS|10807324410218029354</stp>
        <tr r="I425" s="2"/>
      </tp>
      <tp t="s">
        <v>#N/A N/A</v>
        <stp/>
        <stp>BDP|15503411766018961677</stp>
        <tr r="F72" s="2"/>
      </tp>
      <tp t="s">
        <v>#N/A N/A</v>
        <stp/>
        <stp>BDP|12558596973481739844</stp>
        <tr r="K1170" s="2"/>
      </tp>
      <tp t="s">
        <v>#N/A N/A</v>
        <stp/>
        <stp>BDS|16209695998451935152</stp>
        <tr r="I536" s="2"/>
      </tp>
      <tp t="s">
        <v>#N/A N/A</v>
        <stp/>
        <stp>BDP|11651510223398160797</stp>
        <tr r="H745" s="2"/>
      </tp>
      <tp t="s">
        <v>#N/A N/A</v>
        <stp/>
        <stp>BDP|12476688193975772146</stp>
        <tr r="Q405" s="2"/>
      </tp>
      <tp t="s">
        <v>#N/A N/A</v>
        <stp/>
        <stp>BDP|16629723638058040303</stp>
        <tr r="K969" s="2"/>
      </tp>
      <tp t="s">
        <v>#N/A N/A</v>
        <stp/>
        <stp>BDP|14012412299056148652</stp>
        <tr r="M1428" s="2"/>
      </tp>
      <tp t="s">
        <v>#N/A N/A</v>
        <stp/>
        <stp>BDP|10840055096082613215</stp>
        <tr r="G1085" s="2"/>
      </tp>
      <tp t="s">
        <v>#N/A N/A</v>
        <stp/>
        <stp>BDP|12002323288467000762</stp>
        <tr r="Q1126" s="2"/>
      </tp>
      <tp t="s">
        <v>#N/A N/A</v>
        <stp/>
        <stp>BDP|13534911142912878528</stp>
        <tr r="P857" s="2"/>
      </tp>
      <tp t="s">
        <v>#N/A N/A</v>
        <stp/>
        <stp>BDP|14267027995170975403</stp>
        <tr r="G1635" s="2"/>
      </tp>
      <tp t="s">
        <v>#N/A N/A</v>
        <stp/>
        <stp>BDP|15923462691357725655</stp>
        <tr r="N380" s="2"/>
      </tp>
      <tp t="s">
        <v>#N/A N/A</v>
        <stp/>
        <stp>BDS|14519404998915387510</stp>
        <tr r="I1566" s="2"/>
      </tp>
      <tp t="s">
        <v>#N/A N/A</v>
        <stp/>
        <stp>BDP|15962141080227972286</stp>
        <tr r="O291" s="2"/>
      </tp>
      <tp t="s">
        <v>#N/A N/A</v>
        <stp/>
        <stp>BDP|10607062298294630418</stp>
        <tr r="G1523" s="2"/>
      </tp>
      <tp t="s">
        <v>#N/A N/A</v>
        <stp/>
        <stp>BDS|11683303488325662645</stp>
        <tr r="I1722" s="2"/>
      </tp>
      <tp t="s">
        <v>#N/A N/A</v>
        <stp/>
        <stp>BDP|18218156374126452189</stp>
        <tr r="D1611" s="2"/>
      </tp>
      <tp t="s">
        <v>#N/A N/A</v>
        <stp/>
        <stp>BDP|12458793036397377878</stp>
        <tr r="N284" s="2"/>
      </tp>
      <tp t="s">
        <v>#N/A N/A</v>
        <stp/>
        <stp>BDP|13536654229256092866</stp>
        <tr r="R598" s="2"/>
      </tp>
      <tp t="s">
        <v>#N/A N/A</v>
        <stp/>
        <stp>BDP|13671538456319838346</stp>
        <tr r="M528" s="2"/>
      </tp>
      <tp t="s">
        <v>#N/A N/A</v>
        <stp/>
        <stp>BDP|16722908873474870531</stp>
        <tr r="P1553" s="2"/>
      </tp>
      <tp t="s">
        <v>#N/A N/A</v>
        <stp/>
        <stp>BDP|18033777169480993081</stp>
        <tr r="K1539" s="2"/>
      </tp>
      <tp t="s">
        <v>#N/A N/A</v>
        <stp/>
        <stp>BDP|11003010839992545925</stp>
        <tr r="N933" s="2"/>
      </tp>
      <tp t="s">
        <v>#N/A N/A</v>
        <stp/>
        <stp>BDP|13597963631206891659</stp>
        <tr r="G1493" s="2"/>
      </tp>
      <tp t="s">
        <v>#N/A N/A</v>
        <stp/>
        <stp>BDP|17227410417662999922</stp>
        <tr r="T1053" s="2"/>
      </tp>
      <tp t="s">
        <v>#N/A N/A</v>
        <stp/>
        <stp>BDP|17449580372839916582</stp>
        <tr r="E1306" s="2"/>
      </tp>
      <tp t="s">
        <v>#N/A N/A</v>
        <stp/>
        <stp>BDP|14996712537300501957</stp>
        <tr r="S1245" s="2"/>
      </tp>
      <tp t="s">
        <v>#N/A N/A</v>
        <stp/>
        <stp>BDP|10496570238999280666</stp>
        <tr r="N599" s="2"/>
      </tp>
      <tp t="s">
        <v>#N/A N/A</v>
        <stp/>
        <stp>BDP|16773229007704918946</stp>
        <tr r="S124" s="2"/>
      </tp>
      <tp t="s">
        <v>#N/A N/A</v>
        <stp/>
        <stp>BDP|13184951630247902725</stp>
        <tr r="K6" s="2"/>
      </tp>
      <tp t="s">
        <v>#N/A N/A</v>
        <stp/>
        <stp>BDP|14892665737771005965</stp>
        <tr r="Q1174" s="2"/>
      </tp>
      <tp t="s">
        <v>#N/A N/A</v>
        <stp/>
        <stp>BDP|18201582261275648729</stp>
        <tr r="K29" s="2"/>
      </tp>
      <tp t="s">
        <v>#N/A N/A</v>
        <stp/>
        <stp>BDP|11321850230295990605</stp>
        <tr r="A656" s="2"/>
      </tp>
      <tp t="s">
        <v>#N/A N/A</v>
        <stp/>
        <stp>BDS|11449200694654890747</stp>
        <tr r="I1454" s="2"/>
      </tp>
      <tp t="s">
        <v>#N/A N/A</v>
        <stp/>
        <stp>BDS|14702784759849244684</stp>
        <tr r="I952" s="2"/>
      </tp>
      <tp t="s">
        <v>#N/A N/A</v>
        <stp/>
        <stp>BDP|12524146637229084092</stp>
        <tr r="Q219" s="2"/>
      </tp>
      <tp t="s">
        <v>#N/A N/A</v>
        <stp/>
        <stp>BDP|17315957214060439696</stp>
        <tr r="A1246" s="2"/>
      </tp>
      <tp t="s">
        <v>#N/A N/A</v>
        <stp/>
        <stp>BDP|12026862708340123302</stp>
        <tr r="D185" s="2"/>
      </tp>
      <tp t="s">
        <v>#N/A N/A</v>
        <stp/>
        <stp>BDP|14948093199446180279</stp>
        <tr r="G504" s="2"/>
      </tp>
      <tp t="s">
        <v>#N/A N/A</v>
        <stp/>
        <stp>BDP|17715803307923609599</stp>
        <tr r="K838" s="2"/>
      </tp>
      <tp t="s">
        <v>#N/A N/A</v>
        <stp/>
        <stp>BDP|12395018987162276185</stp>
        <tr r="G403" s="2"/>
      </tp>
      <tp t="s">
        <v>#N/A N/A</v>
        <stp/>
        <stp>BDP|10409813631165376787</stp>
        <tr r="D1366" s="2"/>
      </tp>
      <tp t="s">
        <v>#N/A N/A</v>
        <stp/>
        <stp>BDP|10827176782992196236</stp>
        <tr r="H1577" s="2"/>
      </tp>
      <tp t="s">
        <v>#N/A N/A</v>
        <stp/>
        <stp>BDP|16003706414381230894</stp>
        <tr r="Q131" s="2"/>
      </tp>
      <tp t="s">
        <v>#N/A N/A</v>
        <stp/>
        <stp>BDP|10599996111277077628</stp>
        <tr r="H1226" s="2"/>
      </tp>
      <tp t="s">
        <v>#N/A N/A</v>
        <stp/>
        <stp>BDP|16233083351433058940</stp>
        <tr r="D330" s="2"/>
      </tp>
      <tp t="s">
        <v>#N/A N/A</v>
        <stp/>
        <stp>BDP|10875262213753324910</stp>
        <tr r="M1625" s="2"/>
      </tp>
      <tp t="s">
        <v>#N/A N/A</v>
        <stp/>
        <stp>BDP|16791249248159075046</stp>
        <tr r="S509" s="2"/>
      </tp>
      <tp t="s">
        <v>#N/A N/A</v>
        <stp/>
        <stp>BDP|13264824599019522230</stp>
        <tr r="P695" s="2"/>
      </tp>
      <tp t="s">
        <v>#N/A N/A</v>
        <stp/>
        <stp>BDP|12895590846712883801</stp>
        <tr r="H131" s="2"/>
      </tp>
      <tp t="s">
        <v>#N/A N/A</v>
        <stp/>
        <stp>BDP|12173941468171358515</stp>
        <tr r="N335" s="2"/>
      </tp>
      <tp t="s">
        <v>#N/A N/A</v>
        <stp/>
        <stp>BDP|16311473876654906843</stp>
        <tr r="R563" s="2"/>
      </tp>
      <tp t="s">
        <v>#N/A N/A</v>
        <stp/>
        <stp>BDP|11674683209507141992</stp>
        <tr r="M24" s="2"/>
      </tp>
      <tp t="s">
        <v>#N/A N/A</v>
        <stp/>
        <stp>BDP|14528398361771083923</stp>
        <tr r="A557" s="2"/>
      </tp>
      <tp t="s">
        <v>#N/A N/A</v>
        <stp/>
        <stp>BDP|15124684989002794089</stp>
        <tr r="S1604" s="2"/>
      </tp>
      <tp t="s">
        <v>#N/A N/A</v>
        <stp/>
        <stp>BDP|16459824419445362335</stp>
        <tr r="Q1633" s="2"/>
      </tp>
      <tp t="s">
        <v>#N/A N/A</v>
        <stp/>
        <stp>BDP|14449382698487928025</stp>
        <tr r="G718" s="2"/>
      </tp>
      <tp t="s">
        <v>#N/A N/A</v>
        <stp/>
        <stp>BDP|15750499483596344618</stp>
        <tr r="F1145" s="2"/>
      </tp>
      <tp t="s">
        <v>#N/A N/A</v>
        <stp/>
        <stp>BDP|12792458397731829721</stp>
        <tr r="S368" s="2"/>
      </tp>
      <tp t="s">
        <v>#N/A N/A</v>
        <stp/>
        <stp>BDP|16040971073103295298</stp>
        <tr r="K652" s="2"/>
      </tp>
      <tp t="s">
        <v>#N/A N/A</v>
        <stp/>
        <stp>BDS|12720796258430919935</stp>
        <tr r="I1100" s="2"/>
      </tp>
      <tp t="s">
        <v>#N/A N/A</v>
        <stp/>
        <stp>BDP|16751503916918700384</stp>
        <tr r="Q956" s="2"/>
      </tp>
      <tp t="s">
        <v>#N/A N/A</v>
        <stp/>
        <stp>BDP|15873149691403008730</stp>
        <tr r="N1468" s="2"/>
      </tp>
      <tp t="s">
        <v>#N/A N/A</v>
        <stp/>
        <stp>BDP|15943837840010113058</stp>
        <tr r="E618" s="2"/>
      </tp>
      <tp t="s">
        <v>#N/A N/A</v>
        <stp/>
        <stp>BDP|10423488694655528134</stp>
        <tr r="O447" s="2"/>
      </tp>
      <tp t="s">
        <v>#N/A N/A</v>
        <stp/>
        <stp>BDP|14856090677222196894</stp>
        <tr r="T1367" s="2"/>
      </tp>
      <tp t="s">
        <v>#N/A N/A</v>
        <stp/>
        <stp>BDP|17218378251469201184</stp>
        <tr r="O1459" s="2"/>
      </tp>
      <tp t="s">
        <v>#N/A N/A</v>
        <stp/>
        <stp>BDP|13946018823259473111</stp>
        <tr r="C439" s="2"/>
      </tp>
      <tp t="s">
        <v>#N/A N/A</v>
        <stp/>
        <stp>BDP|12600791983617081320</stp>
        <tr r="A386" s="2"/>
      </tp>
      <tp t="s">
        <v>#N/A N/A</v>
        <stp/>
        <stp>BDP|16414586925809799109</stp>
        <tr r="J1505" s="2"/>
      </tp>
      <tp t="s">
        <v>#N/A N/A</v>
        <stp/>
        <stp>BDP|11890132555549467547</stp>
        <tr r="R1616" s="2"/>
      </tp>
      <tp t="s">
        <v>#N/A N/A</v>
        <stp/>
        <stp>BDP|13963926327833052222</stp>
        <tr r="C1276" s="2"/>
      </tp>
      <tp t="s">
        <v>#N/A N/A</v>
        <stp/>
        <stp>BDS|12861666926329644639</stp>
        <tr r="I83" s="2"/>
      </tp>
      <tp t="s">
        <v>#N/A N/A</v>
        <stp/>
        <stp>BDP|14816605634980543877</stp>
        <tr r="P564" s="2"/>
      </tp>
      <tp t="s">
        <v>#N/A N/A</v>
        <stp/>
        <stp>BDP|15517121522489880632</stp>
        <tr r="H947" s="2"/>
      </tp>
      <tp t="s">
        <v>#N/A N/A</v>
        <stp/>
        <stp>BDP|18163487387369243428</stp>
        <tr r="C1277" s="2"/>
      </tp>
      <tp t="s">
        <v>#N/A N/A</v>
        <stp/>
        <stp>BDP|10790821309565314412</stp>
        <tr r="G214" s="2"/>
      </tp>
      <tp t="s">
        <v>#N/A N/A</v>
        <stp/>
        <stp>BDP|16969261184897762227</stp>
        <tr r="R976" s="2"/>
      </tp>
      <tp t="s">
        <v>#N/A N/A</v>
        <stp/>
        <stp>BDP|14043283982350182751</stp>
        <tr r="F1434" s="2"/>
      </tp>
      <tp t="s">
        <v>#N/A N/A</v>
        <stp/>
        <stp>BDP|15731639743339129786</stp>
        <tr r="T1343" s="2"/>
      </tp>
      <tp t="s">
        <v>#N/A N/A</v>
        <stp/>
        <stp>BDS|10833541944668410018</stp>
        <tr r="I45" s="2"/>
      </tp>
      <tp t="s">
        <v>#N/A N/A</v>
        <stp/>
        <stp>BDP|14585475477196276896</stp>
        <tr r="H1480" s="2"/>
      </tp>
      <tp t="s">
        <v>#N/A N/A</v>
        <stp/>
        <stp>BDP|17521337599991748565</stp>
        <tr r="K757" s="2"/>
      </tp>
      <tp t="s">
        <v>#N/A N/A</v>
        <stp/>
        <stp>BDS|14748742564508378499</stp>
        <tr r="I38" s="2"/>
      </tp>
      <tp t="s">
        <v>#N/A N/A</v>
        <stp/>
        <stp>BDP|14276923470566755599</stp>
        <tr r="K1603" s="2"/>
      </tp>
      <tp t="s">
        <v>#N/A N/A</v>
        <stp/>
        <stp>BDS|17380615198025463436</stp>
        <tr r="I620" s="2"/>
      </tp>
      <tp t="s">
        <v>#N/A N/A</v>
        <stp/>
        <stp>BDP|17590874078140386179</stp>
        <tr r="O1119" s="2"/>
      </tp>
      <tp t="s">
        <v>#N/A N/A</v>
        <stp/>
        <stp>BDP|16795192937715200850</stp>
        <tr r="N638" s="2"/>
      </tp>
      <tp t="s">
        <v>#N/A N/A</v>
        <stp/>
        <stp>BDP|11715349355498006680</stp>
        <tr r="S731" s="2"/>
      </tp>
      <tp t="s">
        <v>#N/A N/A</v>
        <stp/>
        <stp>BDP|13866550995842052467</stp>
        <tr r="C234" s="2"/>
      </tp>
      <tp t="s">
        <v>#N/A N/A</v>
        <stp/>
        <stp>BDP|14865839155071051106</stp>
        <tr r="R177" s="2"/>
      </tp>
      <tp t="s">
        <v>#N/A N/A</v>
        <stp/>
        <stp>BDP|10552532799481063416</stp>
        <tr r="Q1734" s="2"/>
      </tp>
      <tp t="s">
        <v>#N/A N/A</v>
        <stp/>
        <stp>BDP|14805866306187607204</stp>
        <tr r="P223" s="2"/>
      </tp>
      <tp t="s">
        <v>#N/A N/A</v>
        <stp/>
        <stp>BDP|18151385916170766364</stp>
        <tr r="R335" s="2"/>
      </tp>
      <tp t="s">
        <v>#N/A N/A</v>
        <stp/>
        <stp>BDP|13687108696497960571</stp>
        <tr r="S1057" s="2"/>
      </tp>
      <tp t="s">
        <v>#N/A N/A</v>
        <stp/>
        <stp>BDP|10815851626615077652</stp>
        <tr r="M633" s="2"/>
      </tp>
      <tp t="s">
        <v>#N/A N/A</v>
        <stp/>
        <stp>BDP|14491095495360744418</stp>
        <tr r="E272" s="2"/>
      </tp>
      <tp t="s">
        <v>#N/A N/A</v>
        <stp/>
        <stp>BDP|17866980042433474086</stp>
        <tr r="P274" s="2"/>
      </tp>
      <tp t="s">
        <v>#N/A N/A</v>
        <stp/>
        <stp>BDP|17020106277931991907</stp>
        <tr r="A974" s="2"/>
      </tp>
      <tp t="s">
        <v>#N/A N/A</v>
        <stp/>
        <stp>BDP|10460601839615743947</stp>
        <tr r="T247" s="2"/>
      </tp>
      <tp t="s">
        <v>#N/A N/A</v>
        <stp/>
        <stp>BDP|13815437462218347042</stp>
        <tr r="S85" s="2"/>
      </tp>
      <tp t="s">
        <v>#N/A N/A</v>
        <stp/>
        <stp>BDP|14014632225541965812</stp>
        <tr r="R380" s="2"/>
      </tp>
      <tp t="s">
        <v>#N/A N/A</v>
        <stp/>
        <stp>BDP|17363298532859526635</stp>
        <tr r="G1667" s="2"/>
      </tp>
      <tp t="s">
        <v>#N/A N/A</v>
        <stp/>
        <stp>BDP|13972683093345450083</stp>
        <tr r="D1016" s="2"/>
      </tp>
      <tp t="s">
        <v>#N/A N/A</v>
        <stp/>
        <stp>BDS|12769886593129330322</stp>
        <tr r="I575" s="2"/>
      </tp>
      <tp t="s">
        <v>#N/A N/A</v>
        <stp/>
        <stp>BDP|16872211492964368069</stp>
        <tr r="S261" s="2"/>
      </tp>
      <tp t="s">
        <v>#N/A N/A</v>
        <stp/>
        <stp>BDP|17558356888297278246</stp>
        <tr r="F1022" s="2"/>
      </tp>
      <tp t="s">
        <v>#N/A N/A</v>
        <stp/>
        <stp>BDP|17999718089918889970</stp>
        <tr r="J851" s="2"/>
      </tp>
      <tp t="s">
        <v>#N/A N/A</v>
        <stp/>
        <stp>BDP|12848604284687083229</stp>
        <tr r="E1361" s="2"/>
      </tp>
      <tp t="s">
        <v>#N/A N/A</v>
        <stp/>
        <stp>BDP|16107895505707142021</stp>
        <tr r="D466" s="2"/>
      </tp>
      <tp t="s">
        <v>#N/A N/A</v>
        <stp/>
        <stp>BDP|10329757728094408843</stp>
        <tr r="G1677" s="2"/>
      </tp>
      <tp t="s">
        <v>#N/A N/A</v>
        <stp/>
        <stp>BDP|16406512190491228292</stp>
        <tr r="P347" s="2"/>
      </tp>
      <tp t="s">
        <v>#N/A N/A</v>
        <stp/>
        <stp>BDP|16104513414213951832</stp>
        <tr r="O63" s="2"/>
      </tp>
      <tp t="s">
        <v>#N/A N/A</v>
        <stp/>
        <stp>BDP|13522565494360013690</stp>
        <tr r="M55" s="2"/>
      </tp>
      <tp t="s">
        <v>#N/A N/A</v>
        <stp/>
        <stp>BDP|18150130207067909721</stp>
        <tr r="A550" s="2"/>
      </tp>
      <tp t="s">
        <v>#N/A N/A</v>
        <stp/>
        <stp>BDP|14766004997226822299</stp>
        <tr r="A470" s="2"/>
      </tp>
      <tp t="s">
        <v>#N/A N/A</v>
        <stp/>
        <stp>BDP|11132359635891893980</stp>
        <tr r="O557" s="2"/>
      </tp>
      <tp t="s">
        <v>#N/A N/A</v>
        <stp/>
        <stp>BDP|11471472716348044549</stp>
        <tr r="Q260" s="2"/>
      </tp>
      <tp t="s">
        <v>#N/A N/A</v>
        <stp/>
        <stp>BDP|14344232781080387734</stp>
        <tr r="T1118" s="2"/>
      </tp>
      <tp t="s">
        <v>#N/A N/A</v>
        <stp/>
        <stp>BDP|15638655167949773522</stp>
        <tr r="M1163" s="2"/>
      </tp>
      <tp t="s">
        <v>#N/A N/A</v>
        <stp/>
        <stp>BDP|15026819983905694951</stp>
        <tr r="C1369" s="2"/>
      </tp>
      <tp t="s">
        <v>#N/A N/A</v>
        <stp/>
        <stp>BDS|18188000870246251015</stp>
        <tr r="I1160" s="2"/>
      </tp>
      <tp t="s">
        <v>#N/A N/A</v>
        <stp/>
        <stp>BDP|15124193390883990709</stp>
        <tr r="G1049" s="2"/>
      </tp>
      <tp t="s">
        <v>#N/A N/A</v>
        <stp/>
        <stp>BDP|10625099569068353747</stp>
        <tr r="G164" s="2"/>
      </tp>
      <tp t="s">
        <v>#N/A N/A</v>
        <stp/>
        <stp>BDP|11041183787163965279</stp>
        <tr r="M978" s="2"/>
      </tp>
      <tp t="s">
        <v>#N/A N/A</v>
        <stp/>
        <stp>BDP|10891092381963622279</stp>
        <tr r="E588" s="2"/>
      </tp>
      <tp t="s">
        <v>#N/A N/A</v>
        <stp/>
        <stp>BDP|12251928672160717544</stp>
        <tr r="P1698" s="2"/>
      </tp>
      <tp t="s">
        <v>#N/A N/A</v>
        <stp/>
        <stp>BDS|11596057556164015947</stp>
        <tr r="I1492" s="2"/>
      </tp>
      <tp t="s">
        <v>#N/A N/A</v>
        <stp/>
        <stp>BDP|18288739560376691663</stp>
        <tr r="D650" s="2"/>
      </tp>
      <tp t="s">
        <v>#N/A N/A</v>
        <stp/>
        <stp>BDP|14483965686634731820</stp>
        <tr r="M621" s="2"/>
      </tp>
      <tp t="s">
        <v>#N/A N/A</v>
        <stp/>
        <stp>BDP|16678619242734218960</stp>
        <tr r="F384" s="2"/>
      </tp>
      <tp t="s">
        <v>#N/A N/A</v>
        <stp/>
        <stp>BDP|10371315963828538451</stp>
        <tr r="D691" s="2"/>
      </tp>
      <tp t="s">
        <v>#N/A N/A</v>
        <stp/>
        <stp>BDP|13193824576664712135</stp>
        <tr r="D1305" s="2"/>
      </tp>
      <tp t="s">
        <v>#N/A N/A</v>
        <stp/>
        <stp>BDP|17893929202884035395</stp>
        <tr r="H1659" s="2"/>
      </tp>
      <tp t="s">
        <v>#N/A N/A</v>
        <stp/>
        <stp>BDP|10383926254086039343</stp>
        <tr r="R133" s="2"/>
      </tp>
      <tp t="s">
        <v>#N/A N/A</v>
        <stp/>
        <stp>BDP|14044739606538478202</stp>
        <tr r="P1335" s="2"/>
      </tp>
      <tp t="s">
        <v>#N/A N/A</v>
        <stp/>
        <stp>BDP|17105800180848254620</stp>
        <tr r="C27" s="2"/>
      </tp>
      <tp t="s">
        <v>#N/A N/A</v>
        <stp/>
        <stp>BDP|12132945762480208440</stp>
        <tr r="C570" s="2"/>
      </tp>
      <tp t="s">
        <v>#N/A N/A</v>
        <stp/>
        <stp>BDS|10321326156619674637</stp>
        <tr r="I33" s="2"/>
      </tp>
      <tp t="s">
        <v>#N/A N/A</v>
        <stp/>
        <stp>BDP|10037329483436547458</stp>
        <tr r="J793" s="2"/>
      </tp>
      <tp t="s">
        <v>#N/A N/A</v>
        <stp/>
        <stp>BDP|18357765680757007945</stp>
        <tr r="P1116" s="2"/>
      </tp>
      <tp t="s">
        <v>#N/A N/A</v>
        <stp/>
        <stp>BDP|13157032285240418225</stp>
        <tr r="M671" s="2"/>
      </tp>
      <tp t="s">
        <v>#N/A N/A</v>
        <stp/>
        <stp>BDP|10850277602078579394</stp>
        <tr r="O898" s="2"/>
      </tp>
      <tp t="s">
        <v>#N/A N/A</v>
        <stp/>
        <stp>BDP|18293421547262035368</stp>
        <tr r="M976" s="2"/>
      </tp>
      <tp t="s">
        <v>#N/A N/A</v>
        <stp/>
        <stp>BDP|13429926893789537310</stp>
        <tr r="T124" s="2"/>
      </tp>
      <tp t="s">
        <v>#N/A N/A</v>
        <stp/>
        <stp>BDP|14471360857358439307</stp>
        <tr r="D439" s="2"/>
      </tp>
      <tp t="s">
        <v>#N/A N/A</v>
        <stp/>
        <stp>BDP|16724342094266722310</stp>
        <tr r="O1561" s="2"/>
      </tp>
      <tp t="s">
        <v>#N/A N/A</v>
        <stp/>
        <stp>BDP|11446371784355066660</stp>
        <tr r="J1081" s="2"/>
      </tp>
      <tp t="s">
        <v>#N/A N/A</v>
        <stp/>
        <stp>BDP|15413407524532513845</stp>
        <tr r="A937" s="2"/>
      </tp>
      <tp t="s">
        <v>#N/A N/A</v>
        <stp/>
        <stp>BDS|16679307827618528662</stp>
        <tr r="I498" s="2"/>
      </tp>
      <tp t="s">
        <v>#N/A N/A</v>
        <stp/>
        <stp>BDP|17938675520758803277</stp>
        <tr r="G1719" s="2"/>
      </tp>
      <tp t="s">
        <v>#N/A N/A</v>
        <stp/>
        <stp>BDP|14921094448170070996</stp>
        <tr r="E1619" s="2"/>
      </tp>
      <tp t="s">
        <v>#N/A N/A</v>
        <stp/>
        <stp>BDP|16348675353629307552</stp>
        <tr r="K527" s="2"/>
      </tp>
      <tp t="s">
        <v>#N/A N/A</v>
        <stp/>
        <stp>BDP|14821452381027425697</stp>
        <tr r="K1004" s="2"/>
      </tp>
      <tp t="s">
        <v>#N/A N/A</v>
        <stp/>
        <stp>BDP|15156043244470604867</stp>
        <tr r="T1305" s="2"/>
      </tp>
      <tp t="s">
        <v>#N/A N/A</v>
        <stp/>
        <stp>BDP|14645302395827137038</stp>
        <tr r="C1288" s="2"/>
      </tp>
      <tp t="s">
        <v>#N/A N/A</v>
        <stp/>
        <stp>BDP|13228353585874287515</stp>
        <tr r="P1424" s="2"/>
      </tp>
      <tp t="s">
        <v>#N/A N/A</v>
        <stp/>
        <stp>BDP|15247925898929852519</stp>
        <tr r="K373" s="2"/>
      </tp>
      <tp t="s">
        <v>#N/A N/A</v>
        <stp/>
        <stp>BDP|16798811316636982082</stp>
        <tr r="K298" s="2"/>
      </tp>
      <tp t="s">
        <v>#N/A N/A</v>
        <stp/>
        <stp>BDP|13931977612310563285</stp>
        <tr r="N486" s="2"/>
      </tp>
      <tp t="s">
        <v>#N/A N/A</v>
        <stp/>
        <stp>BDP|14816309335965834846</stp>
        <tr r="H1322" s="2"/>
      </tp>
      <tp t="s">
        <v>#N/A N/A</v>
        <stp/>
        <stp>BDP|13560614090446122340</stp>
        <tr r="K393" s="2"/>
      </tp>
      <tp t="s">
        <v>#N/A N/A</v>
        <stp/>
        <stp>BDP|15333145780433116677</stp>
        <tr r="J785" s="2"/>
      </tp>
      <tp t="s">
        <v>#N/A N/A</v>
        <stp/>
        <stp>BDP|17138026584467236159</stp>
        <tr r="S134" s="2"/>
      </tp>
      <tp t="s">
        <v>#N/A N/A</v>
        <stp/>
        <stp>BDP|17655509490481751316</stp>
        <tr r="E1491" s="2"/>
      </tp>
      <tp t="s">
        <v>#N/A N/A</v>
        <stp/>
        <stp>BDP|16147046491613290566</stp>
        <tr r="N1050" s="2"/>
      </tp>
      <tp t="s">
        <v>#N/A N/A</v>
        <stp/>
        <stp>BDP|10487130096097514643</stp>
        <tr r="H1247" s="2"/>
      </tp>
      <tp t="s">
        <v>#N/A N/A</v>
        <stp/>
        <stp>BDP|15251326040843324833</stp>
        <tr r="J958" s="2"/>
      </tp>
      <tp t="s">
        <v>#N/A N/A</v>
        <stp/>
        <stp>BDP|18070194874163534488</stp>
        <tr r="O1087" s="2"/>
      </tp>
      <tp t="s">
        <v>#N/A N/A</v>
        <stp/>
        <stp>BDP|10574690090233842548</stp>
        <tr r="E1186" s="2"/>
      </tp>
      <tp t="s">
        <v>#N/A N/A</v>
        <stp/>
        <stp>BDP|16958599668394003886</stp>
        <tr r="K555" s="2"/>
      </tp>
      <tp t="s">
        <v>#N/A N/A</v>
        <stp/>
        <stp>BDP|10146559470363677820</stp>
        <tr r="P1528" s="2"/>
      </tp>
      <tp t="s">
        <v>#N/A N/A</v>
        <stp/>
        <stp>BDP|17571857920924235022</stp>
        <tr r="F1028" s="2"/>
      </tp>
      <tp t="s">
        <v>#N/A N/A</v>
        <stp/>
        <stp>BDP|10078843601369478818</stp>
        <tr r="S956" s="2"/>
      </tp>
      <tp t="s">
        <v>#N/A N/A</v>
        <stp/>
        <stp>BDP|18101679623321335461</stp>
        <tr r="M1447" s="2"/>
      </tp>
      <tp t="s">
        <v>#N/A N/A</v>
        <stp/>
        <stp>BDP|17908371799942509620</stp>
        <tr r="R1572" s="2"/>
      </tp>
      <tp t="s">
        <v>#N/A N/A</v>
        <stp/>
        <stp>BDP|11222878776473663457</stp>
        <tr r="N750" s="2"/>
      </tp>
      <tp t="s">
        <v>#N/A N/A</v>
        <stp/>
        <stp>BDP|15965838037724566380</stp>
        <tr r="Q803" s="2"/>
      </tp>
      <tp t="s">
        <v>#N/A N/A</v>
        <stp/>
        <stp>BDP|10541993576033315499</stp>
        <tr r="S1453" s="2"/>
      </tp>
      <tp t="s">
        <v>#N/A N/A</v>
        <stp/>
        <stp>BDP|16088109344822557812</stp>
        <tr r="R1463" s="2"/>
      </tp>
      <tp t="s">
        <v>#N/A N/A</v>
        <stp/>
        <stp>BDP|17466713285399606868</stp>
        <tr r="G328" s="2"/>
      </tp>
      <tp t="s">
        <v>#N/A N/A</v>
        <stp/>
        <stp>BDP|16151600713729199136</stp>
        <tr r="O404" s="2"/>
      </tp>
      <tp t="s">
        <v>#N/A N/A</v>
        <stp/>
        <stp>BDP|15434033255201189837</stp>
        <tr r="D136" s="2"/>
      </tp>
      <tp t="s">
        <v>#N/A N/A</v>
        <stp/>
        <stp>BDP|13821248459089608437</stp>
        <tr r="R582" s="2"/>
      </tp>
      <tp t="s">
        <v>#N/A N/A</v>
        <stp/>
        <stp>BDP|10861888595251180949</stp>
        <tr r="K822" s="2"/>
      </tp>
      <tp t="s">
        <v>#N/A N/A</v>
        <stp/>
        <stp>BDP|11188851810676545716</stp>
        <tr r="R1501" s="2"/>
      </tp>
      <tp t="s">
        <v>#N/A N/A</v>
        <stp/>
        <stp>BDP|17161465600013697916</stp>
        <tr r="D959" s="2"/>
      </tp>
      <tp t="s">
        <v>#N/A N/A</v>
        <stp/>
        <stp>BDP|16296836465311683028</stp>
        <tr r="H1033" s="2"/>
      </tp>
      <tp t="s">
        <v>#N/A N/A</v>
        <stp/>
        <stp>BDP|11634325365995940888</stp>
        <tr r="C1362" s="2"/>
      </tp>
      <tp t="s">
        <v>#N/A N/A</v>
        <stp/>
        <stp>BDP|14410523066098459644</stp>
        <tr r="O178" s="2"/>
      </tp>
      <tp t="s">
        <v>#N/A N/A</v>
        <stp/>
        <stp>BDP|10461010115540930892</stp>
        <tr r="T283" s="2"/>
      </tp>
      <tp t="s">
        <v>#N/A N/A</v>
        <stp/>
        <stp>BDS|12102563796223016422</stp>
        <tr r="I1309" s="2"/>
      </tp>
      <tp t="s">
        <v>#N/A N/A</v>
        <stp/>
        <stp>BDP|12017944418272446181</stp>
        <tr r="T1600" s="2"/>
      </tp>
      <tp t="s">
        <v>#N/A N/A</v>
        <stp/>
        <stp>BDP|18225072220925007658</stp>
        <tr r="P1110" s="2"/>
      </tp>
      <tp t="s">
        <v>#N/A N/A</v>
        <stp/>
        <stp>BDP|15820728153449989706</stp>
        <tr r="D832" s="2"/>
      </tp>
      <tp t="s">
        <v>#N/A N/A</v>
        <stp/>
        <stp>BDP|12142071286794243726</stp>
        <tr r="C1147" s="2"/>
      </tp>
      <tp t="s">
        <v>#N/A N/A</v>
        <stp/>
        <stp>BDP|13705556477520467815</stp>
        <tr r="H236" s="2"/>
      </tp>
      <tp t="s">
        <v>#N/A N/A</v>
        <stp/>
        <stp>BDP|15266025773548401376</stp>
        <tr r="R1435" s="2"/>
      </tp>
      <tp t="s">
        <v>#N/A N/A</v>
        <stp/>
        <stp>BDP|16574918583758592621</stp>
        <tr r="G1613" s="2"/>
      </tp>
      <tp t="s">
        <v>#N/A N/A</v>
        <stp/>
        <stp>BDP|17477245597665145060</stp>
        <tr r="S1210" s="2"/>
      </tp>
      <tp t="s">
        <v>#N/A N/A</v>
        <stp/>
        <stp>BDP|17458316493240501436</stp>
        <tr r="G169" s="2"/>
      </tp>
      <tp t="s">
        <v>#N/A N/A</v>
        <stp/>
        <stp>BDP|11151223891850797350</stp>
        <tr r="M1317" s="2"/>
      </tp>
      <tp t="s">
        <v>#N/A N/A</v>
        <stp/>
        <stp>BDP|16341579104552171818</stp>
        <tr r="D1153" s="2"/>
      </tp>
      <tp t="s">
        <v>#N/A N/A</v>
        <stp/>
        <stp>BDP|15301031522057109937</stp>
        <tr r="A1551" s="2"/>
      </tp>
      <tp t="s">
        <v>#N/A N/A</v>
        <stp/>
        <stp>BDS|17334428743629227739</stp>
        <tr r="I164" s="2"/>
      </tp>
      <tp t="s">
        <v>#N/A N/A</v>
        <stp/>
        <stp>BDP|11056997492638271095</stp>
        <tr r="D533" s="2"/>
      </tp>
      <tp t="s">
        <v>#N/A N/A</v>
        <stp/>
        <stp>BDP|13169955650560209660</stp>
        <tr r="M1084" s="2"/>
      </tp>
      <tp t="s">
        <v>#N/A N/A</v>
        <stp/>
        <stp>BDP|16423218880763282670</stp>
        <tr r="G1527" s="2"/>
      </tp>
      <tp t="s">
        <v>#N/A N/A</v>
        <stp/>
        <stp>BDP|16139245820618708725</stp>
        <tr r="G1534" s="2"/>
      </tp>
      <tp t="s">
        <v>#N/A N/A</v>
        <stp/>
        <stp>BDP|18337471244022053302</stp>
        <tr r="D1679" s="2"/>
      </tp>
      <tp t="s">
        <v>#N/A N/A</v>
        <stp/>
        <stp>BDP|10912074395322822231</stp>
        <tr r="T300" s="2"/>
      </tp>
      <tp t="s">
        <v>#N/A N/A</v>
        <stp/>
        <stp>BDP|14295661345616134908</stp>
        <tr r="Q1457" s="2"/>
      </tp>
      <tp t="s">
        <v>#N/A N/A</v>
        <stp/>
        <stp>BDP|11095947762386384151</stp>
        <tr r="A1086" s="2"/>
      </tp>
      <tp t="s">
        <v>#N/A N/A</v>
        <stp/>
        <stp>BDP|10778087998779574924</stp>
        <tr r="H18" s="2"/>
      </tp>
      <tp t="s">
        <v>#N/A N/A</v>
        <stp/>
        <stp>BDP|17387688510889861005</stp>
        <tr r="P413" s="2"/>
      </tp>
      <tp t="s">
        <v>#N/A N/A</v>
        <stp/>
        <stp>BDP|13599872451317802082</stp>
        <tr r="K1348" s="2"/>
      </tp>
      <tp t="s">
        <v>#N/A N/A</v>
        <stp/>
        <stp>BDP|12097364846059673550</stp>
        <tr r="D463" s="2"/>
      </tp>
      <tp t="s">
        <v>#N/A N/A</v>
        <stp/>
        <stp>BDP|15563183048400292942</stp>
        <tr r="N1077" s="2"/>
      </tp>
      <tp t="s">
        <v>#N/A N/A</v>
        <stp/>
        <stp>BDP|16097041035504522876</stp>
        <tr r="G426" s="2"/>
      </tp>
      <tp t="s">
        <v>#N/A N/A</v>
        <stp/>
        <stp>BDP|16661178756823669828</stp>
        <tr r="P1704" s="2"/>
      </tp>
      <tp t="s">
        <v>#N/A N/A</v>
        <stp/>
        <stp>BDP|13649844815912036142</stp>
        <tr r="K953" s="2"/>
      </tp>
      <tp t="s">
        <v>#N/A N/A</v>
        <stp/>
        <stp>BDP|17450679770709654666</stp>
        <tr r="E782" s="2"/>
      </tp>
      <tp t="s">
        <v>#N/A N/A</v>
        <stp/>
        <stp>BDP|18034783636595997043</stp>
        <tr r="C1492" s="2"/>
      </tp>
      <tp t="s">
        <v>#N/A N/A</v>
        <stp/>
        <stp>BDP|12782512936544021932</stp>
        <tr r="T52" s="2"/>
      </tp>
      <tp t="s">
        <v>#N/A N/A</v>
        <stp/>
        <stp>BDS|13772122285430398337</stp>
        <tr r="I113" s="2"/>
      </tp>
      <tp t="s">
        <v>#N/A N/A</v>
        <stp/>
        <stp>BDP|14846989234761362643</stp>
        <tr r="D1276" s="2"/>
      </tp>
      <tp t="s">
        <v>#N/A N/A</v>
        <stp/>
        <stp>BDP|12658943375494641129</stp>
        <tr r="S553" s="2"/>
      </tp>
      <tp t="s">
        <v>#N/A N/A</v>
        <stp/>
        <stp>BDP|17384081758189267220</stp>
        <tr r="J1190" s="2"/>
      </tp>
      <tp t="s">
        <v>#N/A N/A</v>
        <stp/>
        <stp>BDP|18349428927786676132</stp>
        <tr r="T658" s="2"/>
      </tp>
      <tp t="s">
        <v>#N/A N/A</v>
        <stp/>
        <stp>BDP|17057978620365774037</stp>
        <tr r="N631" s="2"/>
      </tp>
      <tp t="s">
        <v>#N/A N/A</v>
        <stp/>
        <stp>BDP|12428330242979124574</stp>
        <tr r="P1084" s="2"/>
      </tp>
      <tp t="s">
        <v>#N/A N/A</v>
        <stp/>
        <stp>BDP|18239614682267681840</stp>
        <tr r="S765" s="2"/>
      </tp>
      <tp t="s">
        <v>#N/A N/A</v>
        <stp/>
        <stp>BDP|14094499117881816954</stp>
        <tr r="C456" s="2"/>
      </tp>
      <tp t="s">
        <v>#N/A N/A</v>
        <stp/>
        <stp>BDP|12470068755426212867</stp>
        <tr r="S845" s="2"/>
      </tp>
      <tp t="s">
        <v>#N/A N/A</v>
        <stp/>
        <stp>BDP|14053159396125307031</stp>
        <tr r="T643" s="2"/>
      </tp>
      <tp t="s">
        <v>#N/A N/A</v>
        <stp/>
        <stp>BDP|15157705276059484504</stp>
        <tr r="F1241" s="2"/>
      </tp>
      <tp t="s">
        <v>#N/A N/A</v>
        <stp/>
        <stp>BDP|13705946861221352422</stp>
        <tr r="P1130" s="2"/>
      </tp>
      <tp t="s">
        <v>#N/A N/A</v>
        <stp/>
        <stp>BDP|11840702508796242916</stp>
        <tr r="S1397" s="2"/>
      </tp>
      <tp t="s">
        <v>#N/A N/A</v>
        <stp/>
        <stp>BDP|16123025734574279866</stp>
        <tr r="M392" s="2"/>
      </tp>
      <tp t="s">
        <v>#N/A N/A</v>
        <stp/>
        <stp>BDP|12748879566380152548</stp>
        <tr r="K1568" s="2"/>
      </tp>
      <tp t="s">
        <v>#N/A N/A</v>
        <stp/>
        <stp>BDP|10745641793727116120</stp>
        <tr r="H1711" s="2"/>
      </tp>
      <tp t="s">
        <v>#N/A N/A</v>
        <stp/>
        <stp>BDP|14101967532950490724</stp>
        <tr r="R1286" s="2"/>
      </tp>
      <tp t="s">
        <v>#N/A N/A</v>
        <stp/>
        <stp>BDP|13957142538139679103</stp>
        <tr r="G284" s="2"/>
      </tp>
      <tp t="s">
        <v>#N/A N/A</v>
        <stp/>
        <stp>BDP|15658694030341897849</stp>
        <tr r="N210" s="2"/>
      </tp>
      <tp t="s">
        <v>#N/A N/A</v>
        <stp/>
        <stp>BDP|11708172967898402708</stp>
        <tr r="F914" s="2"/>
      </tp>
      <tp t="s">
        <v>#N/A N/A</v>
        <stp/>
        <stp>BDP|13496579099372153484</stp>
        <tr r="D535" s="2"/>
      </tp>
      <tp t="s">
        <v>#N/A N/A</v>
        <stp/>
        <stp>BDP|10440919757853375623</stp>
        <tr r="K1136" s="2"/>
      </tp>
      <tp t="s">
        <v>#N/A N/A</v>
        <stp/>
        <stp>BDP|12969994290778170322</stp>
        <tr r="E1195" s="2"/>
      </tp>
      <tp t="s">
        <v>#N/A N/A</v>
        <stp/>
        <stp>BDP|18365055464463572440</stp>
        <tr r="A403" s="2"/>
      </tp>
      <tp t="s">
        <v>#N/A N/A</v>
        <stp/>
        <stp>BDP|12207134432320088908</stp>
        <tr r="N1624" s="2"/>
      </tp>
      <tp t="s">
        <v>#N/A N/A</v>
        <stp/>
        <stp>BDP|17102760588493512293</stp>
        <tr r="P49" s="2"/>
      </tp>
      <tp t="s">
        <v>#N/A N/A</v>
        <stp/>
        <stp>BDP|10796844927916478535</stp>
        <tr r="C736" s="2"/>
      </tp>
      <tp t="s">
        <v>#N/A N/A</v>
        <stp/>
        <stp>BDP|15036994045091626090</stp>
        <tr r="Q1083" s="2"/>
      </tp>
      <tp t="s">
        <v>#N/A N/A</v>
        <stp/>
        <stp>BDP|18079334530722656364</stp>
        <tr r="J1684" s="2"/>
      </tp>
      <tp t="s">
        <v>#N/A N/A</v>
        <stp/>
        <stp>BDP|12769414982747484038</stp>
        <tr r="F1233" s="2"/>
      </tp>
      <tp t="s">
        <v>#N/A N/A</v>
        <stp/>
        <stp>BDP|16715123385766240014</stp>
        <tr r="H847" s="2"/>
      </tp>
      <tp t="s">
        <v>#N/A N/A</v>
        <stp/>
        <stp>BDP|16001856866973320239</stp>
        <tr r="E989" s="2"/>
      </tp>
      <tp t="s">
        <v>#N/A N/A</v>
        <stp/>
        <stp>BDP|13018860504491033312</stp>
        <tr r="T749" s="2"/>
      </tp>
      <tp t="s">
        <v>#N/A N/A</v>
        <stp/>
        <stp>BDP|14066832682025072827</stp>
        <tr r="H472" s="2"/>
      </tp>
      <tp t="s">
        <v>#N/A N/A</v>
        <stp/>
        <stp>BDP|11063281458878533768</stp>
        <tr r="G147" s="2"/>
      </tp>
      <tp t="s">
        <v>#N/A N/A</v>
        <stp/>
        <stp>BDP|12636675460039383205</stp>
        <tr r="P609" s="2"/>
      </tp>
      <tp t="s">
        <v>#N/A N/A</v>
        <stp/>
        <stp>BDP|12456681441899854073</stp>
        <tr r="M426" s="2"/>
      </tp>
      <tp t="s">
        <v>#N/A N/A</v>
        <stp/>
        <stp>BDP|13651416534869019410</stp>
        <tr r="A443" s="2"/>
      </tp>
      <tp t="s">
        <v>#N/A N/A</v>
        <stp/>
        <stp>BDP|11417327777318275418</stp>
        <tr r="G1547" s="2"/>
      </tp>
      <tp t="s">
        <v>#N/A N/A</v>
        <stp/>
        <stp>BDP|14600684514623010989</stp>
        <tr r="J896" s="2"/>
      </tp>
      <tp t="s">
        <v>#N/A N/A</v>
        <stp/>
        <stp>BDP|12510611487833001612</stp>
        <tr r="Q1422" s="2"/>
      </tp>
      <tp t="s">
        <v>#N/A N/A</v>
        <stp/>
        <stp>BDP|12753818950721527711</stp>
        <tr r="G1441" s="2"/>
      </tp>
      <tp t="s">
        <v>#N/A N/A</v>
        <stp/>
        <stp>BDP|15845422878268593754</stp>
        <tr r="Q150" s="2"/>
      </tp>
      <tp t="s">
        <v>#N/A N/A</v>
        <stp/>
        <stp>BDP|14007920244994229462</stp>
        <tr r="M1320" s="2"/>
      </tp>
      <tp t="s">
        <v>#N/A N/A</v>
        <stp/>
        <stp>BDS|11401368701513576873</stp>
        <tr r="I835" s="2"/>
      </tp>
      <tp t="s">
        <v>#N/A N/A</v>
        <stp/>
        <stp>BDP|15107916335993339544</stp>
        <tr r="C657" s="2"/>
      </tp>
      <tp t="s">
        <v>#N/A N/A</v>
        <stp/>
        <stp>BDP|15527849108774871033</stp>
        <tr r="G1366" s="2"/>
      </tp>
      <tp t="s">
        <v>#N/A N/A</v>
        <stp/>
        <stp>BDP|12139433775588285075</stp>
        <tr r="K1148" s="2"/>
      </tp>
      <tp t="s">
        <v>#N/A N/A</v>
        <stp/>
        <stp>BDP|10251332285592585035</stp>
        <tr r="G401" s="2"/>
      </tp>
      <tp t="s">
        <v>#N/A N/A</v>
        <stp/>
        <stp>BDS|10299269401038161359</stp>
        <tr r="I741" s="2"/>
      </tp>
      <tp t="s">
        <v>#N/A N/A</v>
        <stp/>
        <stp>BDP|17119982843994141791</stp>
        <tr r="A610" s="2"/>
      </tp>
      <tp t="s">
        <v>#N/A N/A</v>
        <stp/>
        <stp>BDS|10727809442471611421</stp>
        <tr r="I299" s="2"/>
      </tp>
      <tp t="s">
        <v>#N/A N/A</v>
        <stp/>
        <stp>BDP|12464630836666669859</stp>
        <tr r="E1371" s="2"/>
      </tp>
      <tp t="s">
        <v>#N/A N/A</v>
        <stp/>
        <stp>BDP|10179545583164693024</stp>
        <tr r="D451" s="2"/>
      </tp>
      <tp t="s">
        <v>#N/A N/A</v>
        <stp/>
        <stp>BDP|11681052791068511955</stp>
        <tr r="K326" s="2"/>
      </tp>
      <tp t="s">
        <v>#N/A N/A</v>
        <stp/>
        <stp>BDS|10187062954865786957</stp>
        <tr r="I480" s="2"/>
      </tp>
      <tp t="s">
        <v>#N/A N/A</v>
        <stp/>
        <stp>BDP|12654888259492116445</stp>
        <tr r="F553" s="2"/>
      </tp>
      <tp t="s">
        <v>#N/A N/A</v>
        <stp/>
        <stp>BDP|17731448986154104667</stp>
        <tr r="T1693" s="2"/>
      </tp>
      <tp t="s">
        <v>#N/A N/A</v>
        <stp/>
        <stp>BDP|15500346887564562319</stp>
        <tr r="C45" s="2"/>
      </tp>
      <tp t="s">
        <v>#N/A N/A</v>
        <stp/>
        <stp>BDP|17003811851330194337</stp>
        <tr r="G30" s="2"/>
      </tp>
      <tp t="s">
        <v>#N/A N/A</v>
        <stp/>
        <stp>BDP|14222557686819296918</stp>
        <tr r="N379" s="2"/>
      </tp>
      <tp t="s">
        <v>#N/A N/A</v>
        <stp/>
        <stp>BDS|15897390073170042830</stp>
        <tr r="I490" s="2"/>
      </tp>
      <tp t="s">
        <v>#N/A N/A</v>
        <stp/>
        <stp>BDP|16057025181495907287</stp>
        <tr r="S169" s="2"/>
      </tp>
      <tp t="s">
        <v>#N/A N/A</v>
        <stp/>
        <stp>BDP|11824719387884969356</stp>
        <tr r="J1627" s="2"/>
      </tp>
      <tp t="s">
        <v>#N/A N/A</v>
        <stp/>
        <stp>BDP|11196937447431217459</stp>
        <tr r="F68" s="2"/>
      </tp>
      <tp t="s">
        <v>#N/A N/A</v>
        <stp/>
        <stp>BDP|10237059981893724232</stp>
        <tr r="P1497" s="2"/>
      </tp>
      <tp t="s">
        <v>#N/A N/A</v>
        <stp/>
        <stp>BDP|13333965817507335531</stp>
        <tr r="E868" s="2"/>
      </tp>
      <tp t="s">
        <v>#N/A N/A</v>
        <stp/>
        <stp>BDP|18399617673908555863</stp>
        <tr r="G575" s="2"/>
      </tp>
      <tp t="s">
        <v>#N/A N/A</v>
        <stp/>
        <stp>BDP|11185818238010862327</stp>
        <tr r="T66" s="2"/>
      </tp>
      <tp t="s">
        <v>#N/A N/A</v>
        <stp/>
        <stp>BDP|13558911760460664506</stp>
        <tr r="P1367" s="2"/>
      </tp>
      <tp t="s">
        <v>#N/A N/A</v>
        <stp/>
        <stp>BDP|18231292530220159086</stp>
        <tr r="C1426" s="2"/>
      </tp>
      <tp t="s">
        <v>#N/A N/A</v>
        <stp/>
        <stp>BDP|15217840847406164623</stp>
        <tr r="A861" s="2"/>
      </tp>
      <tp t="s">
        <v>#N/A N/A</v>
        <stp/>
        <stp>BDP|15331967357410374037</stp>
        <tr r="C358" s="2"/>
      </tp>
      <tp t="s">
        <v>#N/A N/A</v>
        <stp/>
        <stp>BDP|11819694554193123866</stp>
        <tr r="N75" s="2"/>
      </tp>
      <tp t="s">
        <v>#N/A N/A</v>
        <stp/>
        <stp>BDP|10133956935131737240</stp>
        <tr r="G340" s="2"/>
      </tp>
      <tp t="s">
        <v>#N/A N/A</v>
        <stp/>
        <stp>BDP|10106335726818028068</stp>
        <tr r="N831" s="2"/>
      </tp>
      <tp t="s">
        <v>#N/A N/A</v>
        <stp/>
        <stp>BDP|10128916300826581673</stp>
        <tr r="K563" s="2"/>
      </tp>
      <tp t="s">
        <v>#N/A N/A</v>
        <stp/>
        <stp>BDP|18082725606654055269</stp>
        <tr r="T514" s="2"/>
      </tp>
      <tp t="s">
        <v>#N/A N/A</v>
        <stp/>
        <stp>BDP|11805858240842952662</stp>
        <tr r="Q383" s="2"/>
      </tp>
      <tp t="s">
        <v>#N/A N/A</v>
        <stp/>
        <stp>BDP|13712631018319951471</stp>
        <tr r="Q89" s="2"/>
      </tp>
      <tp t="s">
        <v>#N/A N/A</v>
        <stp/>
        <stp>BDP|11392448090696616330</stp>
        <tr r="M1053" s="2"/>
      </tp>
      <tp t="s">
        <v>#N/A N/A</v>
        <stp/>
        <stp>BDP|12129876555307263137</stp>
        <tr r="R609" s="2"/>
      </tp>
      <tp t="s">
        <v>#N/A N/A</v>
        <stp/>
        <stp>BDP|10719205084325563647</stp>
        <tr r="P86" s="2"/>
      </tp>
      <tp t="s">
        <v>#N/A N/A</v>
        <stp/>
        <stp>BDP|11132506746098274174</stp>
        <tr r="D891" s="2"/>
      </tp>
      <tp t="s">
        <v>#N/A N/A</v>
        <stp/>
        <stp>BDP|15887647287244925609</stp>
        <tr r="T743" s="2"/>
      </tp>
      <tp t="s">
        <v>#N/A N/A</v>
        <stp/>
        <stp>BDP|18002071487468524171</stp>
        <tr r="P1185" s="2"/>
      </tp>
      <tp t="s">
        <v>#N/A N/A</v>
        <stp/>
        <stp>BDS|17082235149051395982</stp>
        <tr r="I1198" s="2"/>
      </tp>
      <tp t="s">
        <v>#N/A N/A</v>
        <stp/>
        <stp>BDP|17286882026950901475</stp>
        <tr r="S524" s="2"/>
      </tp>
      <tp t="s">
        <v>#N/A N/A</v>
        <stp/>
        <stp>BDP|13220312708589183088</stp>
        <tr r="H406" s="2"/>
      </tp>
      <tp t="s">
        <v>#N/A N/A</v>
        <stp/>
        <stp>BDP|12605059574629199543</stp>
        <tr r="P341" s="2"/>
      </tp>
      <tp t="s">
        <v>#N/A N/A</v>
        <stp/>
        <stp>BDP|18119612470548772854</stp>
        <tr r="G1133" s="2"/>
      </tp>
      <tp t="s">
        <v>#N/A N/A</v>
        <stp/>
        <stp>BDP|14265970026451825795</stp>
        <tr r="H501" s="2"/>
      </tp>
      <tp t="s">
        <v>#N/A N/A</v>
        <stp/>
        <stp>BDP|16742807416154220215</stp>
        <tr r="K908" s="2"/>
      </tp>
      <tp t="s">
        <v>#N/A N/A</v>
        <stp/>
        <stp>BDP|11018622782272477462</stp>
        <tr r="Q1306" s="2"/>
      </tp>
      <tp t="s">
        <v>#N/A N/A</v>
        <stp/>
        <stp>BDP|12119797689623175723</stp>
        <tr r="H975" s="2"/>
      </tp>
      <tp t="s">
        <v>#N/A N/A</v>
        <stp/>
        <stp>BDP|18030607207493223476</stp>
        <tr r="K462" s="2"/>
      </tp>
      <tp t="s">
        <v>#N/A N/A</v>
        <stp/>
        <stp>BDP|11587689251083758890</stp>
        <tr r="S1691" s="2"/>
      </tp>
      <tp t="s">
        <v>#N/A N/A</v>
        <stp/>
        <stp>BDP|15563781089696514549</stp>
        <tr r="H74" s="2"/>
      </tp>
      <tp t="s">
        <v>#N/A N/A</v>
        <stp/>
        <stp>BDP|14190984149228427814</stp>
        <tr r="K1176" s="2"/>
      </tp>
      <tp t="s">
        <v>#N/A N/A</v>
        <stp/>
        <stp>BDP|15459814246931338152</stp>
        <tr r="D853" s="2"/>
      </tp>
      <tp t="s">
        <v>#N/A N/A</v>
        <stp/>
        <stp>BDP|12867007468085119849</stp>
        <tr r="Q899" s="2"/>
      </tp>
      <tp t="s">
        <v>#N/A N/A</v>
        <stp/>
        <stp>BDP|12300668921537136806</stp>
        <tr r="M1522" s="2"/>
      </tp>
      <tp t="s">
        <v>#N/A N/A</v>
        <stp/>
        <stp>BDP|17494900034014432012</stp>
        <tr r="N1680" s="2"/>
      </tp>
      <tp t="s">
        <v>#N/A N/A</v>
        <stp/>
        <stp>BDP|13302638994081605470</stp>
        <tr r="H191" s="2"/>
      </tp>
      <tp t="s">
        <v>#N/A N/A</v>
        <stp/>
        <stp>BDP|16760957306857640175</stp>
        <tr r="T1440" s="2"/>
      </tp>
      <tp t="s">
        <v>#N/A N/A</v>
        <stp/>
        <stp>BDS|11096029881166218678</stp>
        <tr r="I1109" s="2"/>
      </tp>
      <tp t="s">
        <v>#N/A N/A</v>
        <stp/>
        <stp>BDP|14954289681814790325</stp>
        <tr r="J567" s="2"/>
      </tp>
      <tp t="s">
        <v>#N/A N/A</v>
        <stp/>
        <stp>BDP|15079910412756761219</stp>
        <tr r="P1679" s="2"/>
      </tp>
      <tp t="s">
        <v>#N/A N/A</v>
        <stp/>
        <stp>BDP|18439324272117880291</stp>
        <tr r="J1475" s="2"/>
      </tp>
      <tp t="s">
        <v>#N/A N/A</v>
        <stp/>
        <stp>BDP|12382883952686536091</stp>
        <tr r="C818" s="2"/>
      </tp>
      <tp t="s">
        <v>#N/A N/A</v>
        <stp/>
        <stp>BDP|11740868774946093103</stp>
        <tr r="F960" s="2"/>
      </tp>
      <tp t="s">
        <v>#N/A N/A</v>
        <stp/>
        <stp>BDP|12868749798097825292</stp>
        <tr r="A1593" s="2"/>
      </tp>
      <tp t="s">
        <v>#N/A N/A</v>
        <stp/>
        <stp>BDP|16472629763888697761</stp>
        <tr r="R565" s="2"/>
      </tp>
      <tp t="s">
        <v>#N/A N/A</v>
        <stp/>
        <stp>BDP|11780299098886168521</stp>
        <tr r="C1588" s="2"/>
      </tp>
      <tp t="s">
        <v>#N/A N/A</v>
        <stp/>
        <stp>BDP|18016221923229796836</stp>
        <tr r="C1340" s="2"/>
      </tp>
      <tp t="s">
        <v>#N/A N/A</v>
        <stp/>
        <stp>BDP|13037678400045440962</stp>
        <tr r="G118" s="2"/>
      </tp>
      <tp t="s">
        <v>#N/A N/A</v>
        <stp/>
        <stp>BDP|12243962897353604809</stp>
        <tr r="R125" s="2"/>
      </tp>
      <tp t="s">
        <v>#N/A N/A</v>
        <stp/>
        <stp>BDP|14955524958894134976</stp>
        <tr r="D1503" s="2"/>
      </tp>
      <tp t="s">
        <v>#N/A N/A</v>
        <stp/>
        <stp>BDP|11405549943871289845</stp>
        <tr r="E594" s="2"/>
      </tp>
      <tp t="s">
        <v>#N/A N/A</v>
        <stp/>
        <stp>BDP|10578861525286428575</stp>
        <tr r="G435" s="2"/>
      </tp>
      <tp t="s">
        <v>#N/A N/A</v>
        <stp/>
        <stp>BDP|10170362672684853984</stp>
        <tr r="J1672" s="2"/>
      </tp>
      <tp t="s">
        <v>#N/A N/A</v>
        <stp/>
        <stp>BDP|12737924183408187229</stp>
        <tr r="F1286" s="2"/>
      </tp>
      <tp t="s">
        <v>#N/A N/A</v>
        <stp/>
        <stp>BDP|10913717005376824805</stp>
        <tr r="F607" s="2"/>
      </tp>
      <tp t="s">
        <v>#N/A N/A</v>
        <stp/>
        <stp>BDP|10274211286422336133</stp>
        <tr r="T1327" s="2"/>
      </tp>
      <tp t="s">
        <v>#N/A N/A</v>
        <stp/>
        <stp>BDP|12131252531432129816</stp>
        <tr r="C1638" s="2"/>
      </tp>
      <tp t="s">
        <v>#N/A N/A</v>
        <stp/>
        <stp>BDP|12674862314655351727</stp>
        <tr r="K1615" s="2"/>
      </tp>
      <tp t="s">
        <v>#N/A N/A</v>
        <stp/>
        <stp>BDP|10628616694646468025</stp>
        <tr r="N1198" s="2"/>
      </tp>
      <tp t="s">
        <v>#N/A N/A</v>
        <stp/>
        <stp>BDP|10775605842942727979</stp>
        <tr r="F587" s="2"/>
      </tp>
      <tp t="s">
        <v>#N/A N/A</v>
        <stp/>
        <stp>BDP|13538622224317615903</stp>
        <tr r="R729" s="2"/>
      </tp>
      <tp t="s">
        <v>#N/A N/A</v>
        <stp/>
        <stp>BDP|10426964656790417557</stp>
        <tr r="K784" s="2"/>
      </tp>
      <tp t="s">
        <v>#N/A N/A</v>
        <stp/>
        <stp>BDP|11391151141244490964</stp>
        <tr r="G1585" s="2"/>
      </tp>
      <tp t="s">
        <v>#N/A N/A</v>
        <stp/>
        <stp>BDP|15639071684016318234</stp>
        <tr r="M1527" s="2"/>
      </tp>
      <tp t="s">
        <v>#N/A N/A</v>
        <stp/>
        <stp>BDP|11280045434153380843</stp>
        <tr r="A43" s="2"/>
      </tp>
      <tp t="s">
        <v>#N/A N/A</v>
        <stp/>
        <stp>BDP|12015999475935936004</stp>
        <tr r="G1314" s="2"/>
      </tp>
      <tp t="s">
        <v>#N/A N/A</v>
        <stp/>
        <stp>BDP|13748972304454463751</stp>
        <tr r="A783" s="2"/>
      </tp>
      <tp t="s">
        <v>#N/A N/A</v>
        <stp/>
        <stp>BDP|17222723496592280219</stp>
        <tr r="N1346" s="2"/>
      </tp>
      <tp t="s">
        <v>#N/A N/A</v>
        <stp/>
        <stp>BDP|16822384330696138946</stp>
        <tr r="K668" s="2"/>
      </tp>
      <tp t="s">
        <v>#N/A N/A</v>
        <stp/>
        <stp>BDP|10936152800648968005</stp>
        <tr r="H755" s="2"/>
      </tp>
      <tp t="s">
        <v>#N/A N/A</v>
        <stp/>
        <stp>BDP|15612926613824268012</stp>
        <tr r="F182" s="2"/>
      </tp>
      <tp t="s">
        <v>#N/A N/A</v>
        <stp/>
        <stp>BDP|12501846045015699264</stp>
        <tr r="F979" s="2"/>
      </tp>
      <tp t="s">
        <v>#N/A N/A</v>
        <stp/>
        <stp>BDP|12749593993573802419</stp>
        <tr r="R98" s="2"/>
      </tp>
      <tp t="s">
        <v>#N/A N/A</v>
        <stp/>
        <stp>BDP|13285741400579749452</stp>
        <tr r="P117" s="2"/>
      </tp>
      <tp t="s">
        <v>#N/A N/A</v>
        <stp/>
        <stp>BDP|10135908125287125511</stp>
        <tr r="M899" s="2"/>
      </tp>
      <tp t="s">
        <v>#N/A N/A</v>
        <stp/>
        <stp>BDS|13135331981065500418</stp>
        <tr r="I497" s="2"/>
      </tp>
      <tp t="s">
        <v>#N/A N/A</v>
        <stp/>
        <stp>BDP|12933184518848537386</stp>
        <tr r="C955" s="2"/>
      </tp>
      <tp t="s">
        <v>#N/A N/A</v>
        <stp/>
        <stp>BDP|14598039442979992099</stp>
        <tr r="K519" s="2"/>
      </tp>
      <tp t="s">
        <v>#N/A N/A</v>
        <stp/>
        <stp>BDP|16249548092366065500</stp>
        <tr r="A1119" s="2"/>
      </tp>
      <tp t="s">
        <v>#N/A N/A</v>
        <stp/>
        <stp>BDP|13327511197864305222</stp>
        <tr r="J477" s="2"/>
      </tp>
      <tp t="s">
        <v>#N/A N/A</v>
        <stp/>
        <stp>BDS|10320949941656408255</stp>
        <tr r="I323" s="2"/>
      </tp>
      <tp t="s">
        <v>#N/A N/A</v>
        <stp/>
        <stp>BDP|13413991305046983550</stp>
        <tr r="A827" s="2"/>
      </tp>
      <tp t="s">
        <v>#N/A N/A</v>
        <stp/>
        <stp>BDP|16010542383357100528</stp>
        <tr r="C396" s="2"/>
      </tp>
      <tp t="s">
        <v>#N/A N/A</v>
        <stp/>
        <stp>BDP|17077195630288498491</stp>
        <tr r="N144" s="2"/>
      </tp>
      <tp t="s">
        <v>#N/A N/A</v>
        <stp/>
        <stp>BDP|18153160961744790254</stp>
        <tr r="E1467" s="2"/>
      </tp>
      <tp t="s">
        <v>#N/A N/A</v>
        <stp/>
        <stp>BDP|10873571609244630848</stp>
        <tr r="K780" s="2"/>
      </tp>
      <tp t="s">
        <v>#N/A N/A</v>
        <stp/>
        <stp>BDP|13597830645332042471</stp>
        <tr r="K258" s="2"/>
      </tp>
      <tp t="s">
        <v>#N/A N/A</v>
        <stp/>
        <stp>BDP|14495878652855104546</stp>
        <tr r="P653" s="2"/>
      </tp>
      <tp t="s">
        <v>#N/A N/A</v>
        <stp/>
        <stp>BDP|11994427677663009884</stp>
        <tr r="J1046" s="2"/>
      </tp>
      <tp t="s">
        <v>#N/A N/A</v>
        <stp/>
        <stp>BDP|14580550093140609115</stp>
        <tr r="G296" s="2"/>
      </tp>
      <tp t="s">
        <v>#N/A N/A</v>
        <stp/>
        <stp>BDP|17757818572071398038</stp>
        <tr r="T1654" s="2"/>
      </tp>
      <tp t="s">
        <v>#N/A N/A</v>
        <stp/>
        <stp>BDP|15081994875237026580</stp>
        <tr r="E685" s="2"/>
      </tp>
      <tp t="s">
        <v>#N/A N/A</v>
        <stp/>
        <stp>BDP|17696844973501047050</stp>
        <tr r="H81" s="2"/>
      </tp>
      <tp t="s">
        <v>#N/A N/A</v>
        <stp/>
        <stp>BDS|13025278898101939014</stp>
        <tr r="I100" s="2"/>
      </tp>
      <tp t="s">
        <v>#N/A N/A</v>
        <stp/>
        <stp>BDP|11195195728419324276</stp>
        <tr r="R101" s="2"/>
      </tp>
      <tp t="s">
        <v>#N/A N/A</v>
        <stp/>
        <stp>BDP|11440341011443669934</stp>
        <tr r="C1181" s="2"/>
      </tp>
      <tp t="s">
        <v>#N/A N/A</v>
        <stp/>
        <stp>BDP|11294727773460080871</stp>
        <tr r="T398" s="2"/>
      </tp>
      <tp t="s">
        <v>#N/A N/A</v>
        <stp/>
        <stp>BDP|14262352172239710064</stp>
        <tr r="M745" s="2"/>
      </tp>
      <tp t="s">
        <v>#N/A N/A</v>
        <stp/>
        <stp>BDP|15390772111499253338</stp>
        <tr r="A650" s="2"/>
      </tp>
      <tp t="s">
        <v>#N/A N/A</v>
        <stp/>
        <stp>BDP|10906392875545507846</stp>
        <tr r="J67" s="2"/>
      </tp>
      <tp t="s">
        <v>#N/A N/A</v>
        <stp/>
        <stp>BDP|17242826565027911782</stp>
        <tr r="T1430" s="2"/>
      </tp>
      <tp t="s">
        <v>#N/A N/A</v>
        <stp/>
        <stp>BDP|15107386149278607325</stp>
        <tr r="Q885" s="2"/>
      </tp>
      <tp t="s">
        <v>#N/A N/A</v>
        <stp/>
        <stp>BDP|17312196665430817933</stp>
        <tr r="A130" s="2"/>
      </tp>
      <tp t="s">
        <v>#N/A N/A</v>
        <stp/>
        <stp>BDP|15982786476594281813</stp>
        <tr r="J1362" s="2"/>
      </tp>
      <tp t="s">
        <v>#N/A N/A</v>
        <stp/>
        <stp>BDP|17348099998661796612</stp>
        <tr r="J850" s="2"/>
      </tp>
      <tp t="s">
        <v>#N/A N/A</v>
        <stp/>
        <stp>BDP|12030339466007584942</stp>
        <tr r="N818" s="2"/>
      </tp>
      <tp t="s">
        <v>#N/A N/A</v>
        <stp/>
        <stp>BDP|11701805854183419632</stp>
        <tr r="J1703" s="2"/>
      </tp>
      <tp t="s">
        <v>#N/A N/A</v>
        <stp/>
        <stp>BDP|14510350366388550070</stp>
        <tr r="A1746" s="2"/>
      </tp>
      <tp t="s">
        <v>#N/A N/A</v>
        <stp/>
        <stp>BDP|11657005393577062614</stp>
        <tr r="J114" s="2"/>
      </tp>
      <tp t="s">
        <v>#N/A N/A</v>
        <stp/>
        <stp>BDP|16827967555344634792</stp>
        <tr r="Q715" s="2"/>
      </tp>
      <tp t="s">
        <v>#N/A N/A</v>
        <stp/>
        <stp>BDP|11074940912617751752</stp>
        <tr r="M1324" s="2"/>
      </tp>
      <tp t="s">
        <v>#N/A N/A</v>
        <stp/>
        <stp>BDP|18152391038294791539</stp>
        <tr r="D811" s="2"/>
      </tp>
      <tp t="s">
        <v>#N/A N/A</v>
        <stp/>
        <stp>BDP|13936583240348777322</stp>
        <tr r="C175" s="2"/>
      </tp>
      <tp t="s">
        <v>#N/A N/A</v>
        <stp/>
        <stp>BDP|13457204663566555867</stp>
        <tr r="N1045" s="2"/>
      </tp>
      <tp t="s">
        <v>#N/A N/A</v>
        <stp/>
        <stp>BDP|13738985948591531665</stp>
        <tr r="E1327" s="2"/>
      </tp>
      <tp t="s">
        <v>#N/A N/A</v>
        <stp/>
        <stp>BDP|10930488341698100158</stp>
        <tr r="J1002" s="2"/>
      </tp>
      <tp t="s">
        <v>#N/A N/A</v>
        <stp/>
        <stp>BDP|16332251706995668828</stp>
        <tr r="F1067" s="2"/>
      </tp>
      <tp t="s">
        <v>#N/A N/A</v>
        <stp/>
        <stp>BDP|17106977934682273643</stp>
        <tr r="G501" s="2"/>
      </tp>
      <tp t="s">
        <v>#N/A N/A</v>
        <stp/>
        <stp>BDP|12673207104449640005</stp>
        <tr r="R1231" s="2"/>
      </tp>
      <tp t="s">
        <v>#N/A N/A</v>
        <stp/>
        <stp>BDP|11739261686046626454</stp>
        <tr r="F578" s="2"/>
      </tp>
      <tp t="s">
        <v>#N/A N/A</v>
        <stp/>
        <stp>BDP|11448916991970079808</stp>
        <tr r="J1137" s="2"/>
      </tp>
      <tp t="s">
        <v>#N/A N/A</v>
        <stp/>
        <stp>BDP|15456661933428464112</stp>
        <tr r="P1556" s="2"/>
      </tp>
      <tp t="s">
        <v>#N/A N/A</v>
        <stp/>
        <stp>BDP|13973869157194831348</stp>
        <tr r="D179" s="2"/>
      </tp>
      <tp t="s">
        <v>#N/A N/A</v>
        <stp/>
        <stp>BDP|15678039582194128016</stp>
        <tr r="R749" s="2"/>
      </tp>
      <tp t="s">
        <v>#N/A N/A</v>
        <stp/>
        <stp>BDP|11737123797938009852</stp>
        <tr r="M345" s="2"/>
      </tp>
      <tp t="s">
        <v>#N/A N/A</v>
        <stp/>
        <stp>BDP|10775290103873267882</stp>
        <tr r="F1207" s="2"/>
      </tp>
      <tp t="s">
        <v>#N/A N/A</v>
        <stp/>
        <stp>BDP|11668578885416785349</stp>
        <tr r="H253" s="2"/>
      </tp>
      <tp t="s">
        <v>#N/A N/A</v>
        <stp/>
        <stp>BDP|12153053839539882121</stp>
        <tr r="C1171" s="2"/>
      </tp>
      <tp t="s">
        <v>#N/A N/A</v>
        <stp/>
        <stp>BDP|14568251282862659530</stp>
        <tr r="F1354" s="2"/>
      </tp>
      <tp t="s">
        <v>#N/A N/A</v>
        <stp/>
        <stp>BDS|18377446897849367576</stp>
        <tr r="I179" s="2"/>
      </tp>
      <tp t="s">
        <v>#N/A N/A</v>
        <stp/>
        <stp>BDS|11568571680581289443</stp>
        <tr r="I394" s="2"/>
      </tp>
      <tp t="s">
        <v>#N/A N/A</v>
        <stp/>
        <stp>BDP|13447062125688086000</stp>
        <tr r="T1003" s="2"/>
      </tp>
      <tp t="s">
        <v>#N/A N/A</v>
        <stp/>
        <stp>BDP|15748539521312106936</stp>
        <tr r="J752" s="2"/>
      </tp>
      <tp t="s">
        <v>#N/A N/A</v>
        <stp/>
        <stp>BDP|13521243375256192922</stp>
        <tr r="O1194" s="2"/>
      </tp>
      <tp t="s">
        <v>#N/A N/A</v>
        <stp/>
        <stp>BDP|17291136483780048754</stp>
        <tr r="O808" s="2"/>
      </tp>
      <tp t="s">
        <v>#N/A N/A</v>
        <stp/>
        <stp>BDP|15885955588418206501</stp>
        <tr r="H635" s="2"/>
      </tp>
      <tp t="s">
        <v>#N/A N/A</v>
        <stp/>
        <stp>BDP|18055524172285550629</stp>
        <tr r="P1117" s="2"/>
      </tp>
      <tp t="s">
        <v>#N/A N/A</v>
        <stp/>
        <stp>BDP|13176922149262908548</stp>
        <tr r="E693" s="2"/>
      </tp>
      <tp t="s">
        <v>#N/A N/A</v>
        <stp/>
        <stp>BDP|13726944616971613340</stp>
        <tr r="E1737" s="2"/>
      </tp>
      <tp t="s">
        <v>#N/A N/A</v>
        <stp/>
        <stp>BDP|15006553560337685845</stp>
        <tr r="G423" s="2"/>
      </tp>
      <tp t="s">
        <v>#N/A N/A</v>
        <stp/>
        <stp>BDP|11150721040853196858</stp>
        <tr r="H1136" s="2"/>
      </tp>
      <tp t="s">
        <v>#N/A N/A</v>
        <stp/>
        <stp>BDP|12031912122877305774</stp>
        <tr r="T1326" s="2"/>
      </tp>
      <tp t="s">
        <v>#N/A N/A</v>
        <stp/>
        <stp>BDP|13212214735848536342</stp>
        <tr r="M906" s="2"/>
      </tp>
      <tp t="s">
        <v>#N/A N/A</v>
        <stp/>
        <stp>BDP|14944503686072886203</stp>
        <tr r="J1015" s="2"/>
      </tp>
      <tp t="s">
        <v>#N/A N/A</v>
        <stp/>
        <stp>BDP|11027862176227768007</stp>
        <tr r="T1376" s="2"/>
      </tp>
      <tp t="s">
        <v>#N/A N/A</v>
        <stp/>
        <stp>BDP|15328537953205608924</stp>
        <tr r="R1534" s="2"/>
      </tp>
      <tp t="s">
        <v>#N/A N/A</v>
        <stp/>
        <stp>BDP|14702934566805062759</stp>
        <tr r="K1577" s="2"/>
      </tp>
      <tp t="s">
        <v>#N/A N/A</v>
        <stp/>
        <stp>BDP|14824772712523817827</stp>
        <tr r="K901" s="2"/>
      </tp>
      <tp t="s">
        <v>#N/A N/A</v>
        <stp/>
        <stp>BDP|17642496945836999840</stp>
        <tr r="D49" s="2"/>
      </tp>
      <tp t="s">
        <v>#N/A N/A</v>
        <stp/>
        <stp>BDP|15287931911720483434</stp>
        <tr r="C1305" s="2"/>
      </tp>
      <tp t="s">
        <v>#N/A N/A</v>
        <stp/>
        <stp>BDP|15601352885123402451</stp>
        <tr r="C1630" s="2"/>
      </tp>
      <tp t="s">
        <v>#N/A N/A</v>
        <stp/>
        <stp>BDP|18402737085679313762</stp>
        <tr r="C891" s="2"/>
      </tp>
      <tp t="s">
        <v>#N/A N/A</v>
        <stp/>
        <stp>BDP|16719602051208266436</stp>
        <tr r="P8" s="2"/>
      </tp>
      <tp t="s">
        <v>#N/A N/A</v>
        <stp/>
        <stp>BDP|18107656911177056123</stp>
        <tr r="M1047" s="2"/>
      </tp>
      <tp t="s">
        <v>#N/A N/A</v>
        <stp/>
        <stp>BDP|16665625000488113127</stp>
        <tr r="D1218" s="2"/>
      </tp>
      <tp t="s">
        <v>#N/A N/A</v>
        <stp/>
        <stp>BDP|10294119520919611329</stp>
        <tr r="D420" s="2"/>
      </tp>
      <tp t="s">
        <v>#N/A N/A</v>
        <stp/>
        <stp>BDP|17227890918577714036</stp>
        <tr r="T340" s="2"/>
      </tp>
      <tp t="s">
        <v>#N/A N/A</v>
        <stp/>
        <stp>BDP|14894001588880605510</stp>
        <tr r="S891" s="2"/>
      </tp>
      <tp t="s">
        <v>#N/A N/A</v>
        <stp/>
        <stp>BDP|11382575563509199211</stp>
        <tr r="O1591" s="2"/>
      </tp>
      <tp t="s">
        <v>#N/A N/A</v>
        <stp/>
        <stp>BDP|12059175030311744870</stp>
        <tr r="S53" s="2"/>
      </tp>
      <tp t="s">
        <v>#N/A N/A</v>
        <stp/>
        <stp>BDS|15484868077287540441</stp>
        <tr r="I674" s="2"/>
      </tp>
      <tp t="s">
        <v>#N/A N/A</v>
        <stp/>
        <stp>BDP|10739263146518966794</stp>
        <tr r="N1457" s="2"/>
      </tp>
      <tp t="s">
        <v>#N/A N/A</v>
        <stp/>
        <stp>BDP|18387754979579871809</stp>
        <tr r="C1523" s="2"/>
      </tp>
      <tp t="s">
        <v>#N/A N/A</v>
        <stp/>
        <stp>BDP|13135983208157219447</stp>
        <tr r="K194" s="2"/>
      </tp>
      <tp t="s">
        <v>#N/A N/A</v>
        <stp/>
        <stp>BDP|10964298093732764039</stp>
        <tr r="G530" s="2"/>
      </tp>
      <tp t="s">
        <v>#N/A N/A</v>
        <stp/>
        <stp>BDP|15723142122099729614</stp>
        <tr r="D344" s="2"/>
      </tp>
      <tp t="s">
        <v>#N/A N/A</v>
        <stp/>
        <stp>BDP|16402828360866568743</stp>
        <tr r="R1565" s="2"/>
      </tp>
      <tp t="s">
        <v>#N/A N/A</v>
        <stp/>
        <stp>BDP|17749704981045745461</stp>
        <tr r="M176" s="2"/>
      </tp>
      <tp t="s">
        <v>#N/A N/A</v>
        <stp/>
        <stp>BDS|13634894429960595072</stp>
        <tr r="I450" s="2"/>
      </tp>
      <tp t="s">
        <v>#N/A N/A</v>
        <stp/>
        <stp>BDP|16456902273848134918</stp>
        <tr r="R1636" s="2"/>
      </tp>
      <tp t="s">
        <v>#N/A N/A</v>
        <stp/>
        <stp>BDP|16974583470265312853</stp>
        <tr r="J555" s="2"/>
      </tp>
      <tp t="s">
        <v>#N/A N/A</v>
        <stp/>
        <stp>BDP|10985921632036942579</stp>
        <tr r="G276" s="2"/>
      </tp>
      <tp t="s">
        <v>#N/A N/A</v>
        <stp/>
        <stp>BDP|16510451085143376012</stp>
        <tr r="A1275" s="2"/>
      </tp>
      <tp t="s">
        <v>#N/A N/A</v>
        <stp/>
        <stp>BDP|16377518813522592928</stp>
        <tr r="C1407" s="2"/>
      </tp>
      <tp t="s">
        <v>#N/A N/A</v>
        <stp/>
        <stp>BDP|11616506399276989206</stp>
        <tr r="P1507" s="2"/>
      </tp>
      <tp t="s">
        <v>#N/A N/A</v>
        <stp/>
        <stp>BDP|11099517488582634793</stp>
        <tr r="D1614" s="2"/>
      </tp>
      <tp t="s">
        <v>#N/A N/A</v>
        <stp/>
        <stp>BDS|10651488603138074580</stp>
        <tr r="I461" s="2"/>
      </tp>
      <tp t="s">
        <v>#N/A N/A</v>
        <stp/>
        <stp>BDP|17762010560971935996</stp>
        <tr r="T137" s="2"/>
      </tp>
      <tp t="s">
        <v>#N/A N/A</v>
        <stp/>
        <stp>BDP|13693942311200210272</stp>
        <tr r="Q432" s="2"/>
      </tp>
      <tp t="s">
        <v>#N/A N/A</v>
        <stp/>
        <stp>BDP|10768176224882078826</stp>
        <tr r="H242" s="2"/>
      </tp>
      <tp t="s">
        <v>#N/A N/A</v>
        <stp/>
        <stp>BDP|15680263453562055952</stp>
        <tr r="M1491" s="2"/>
      </tp>
      <tp t="s">
        <v>#N/A N/A</v>
        <stp/>
        <stp>BDP|12899737052190716987</stp>
        <tr r="H558" s="2"/>
      </tp>
      <tp t="s">
        <v>#N/A N/A</v>
        <stp/>
        <stp>BDP|11034372454947575906</stp>
        <tr r="A903" s="2"/>
      </tp>
      <tp t="s">
        <v>#N/A N/A</v>
        <stp/>
        <stp>BDP|16473175584712599444</stp>
        <tr r="F1470" s="2"/>
      </tp>
      <tp t="s">
        <v>#N/A N/A</v>
        <stp/>
        <stp>BDP|14745103127359059769</stp>
        <tr r="E1367" s="2"/>
      </tp>
      <tp t="s">
        <v>#N/A N/A</v>
        <stp/>
        <stp>BDP|13057986965227219298</stp>
        <tr r="F47" s="2"/>
      </tp>
      <tp t="s">
        <v>#N/A N/A</v>
        <stp/>
        <stp>BDP|10577910358517221288</stp>
        <tr r="S1597" s="2"/>
      </tp>
      <tp t="s">
        <v>#N/A N/A</v>
        <stp/>
        <stp>BDP|17504409594346463534</stp>
        <tr r="H631" s="2"/>
      </tp>
      <tp t="s">
        <v>#N/A N/A</v>
        <stp/>
        <stp>BDS|13272229361369676722</stp>
        <tr r="I48" s="2"/>
      </tp>
      <tp t="s">
        <v>#N/A N/A</v>
        <stp/>
        <stp>BDP|11339166314289691116</stp>
        <tr r="P946" s="2"/>
      </tp>
      <tp t="s">
        <v>#N/A N/A</v>
        <stp/>
        <stp>BDP|15374885959816260763</stp>
        <tr r="Q596" s="2"/>
      </tp>
      <tp t="s">
        <v>#N/A N/A</v>
        <stp/>
        <stp>BDP|13285841637582045377</stp>
        <tr r="C885" s="2"/>
      </tp>
      <tp t="s">
        <v>#N/A N/A</v>
        <stp/>
        <stp>BDP|17194599014959319397</stp>
        <tr r="G988" s="2"/>
      </tp>
      <tp t="s">
        <v>#N/A N/A</v>
        <stp/>
        <stp>BDP|11221244082036512479</stp>
        <tr r="M1228" s="2"/>
      </tp>
      <tp t="s">
        <v>#N/A N/A</v>
        <stp/>
        <stp>BDP|14209168842039272122</stp>
        <tr r="E884" s="2"/>
      </tp>
      <tp t="s">
        <v>#N/A N/A</v>
        <stp/>
        <stp>BDP|16172995629417338349</stp>
        <tr r="S912" s="2"/>
      </tp>
      <tp t="s">
        <v>#N/A N/A</v>
        <stp/>
        <stp>BDP|11059779084530726727</stp>
        <tr r="S20" s="2"/>
      </tp>
      <tp t="s">
        <v>#N/A N/A</v>
        <stp/>
        <stp>BDP|17094335748128497198</stp>
        <tr r="R1422" s="2"/>
      </tp>
      <tp t="s">
        <v>#N/A N/A</v>
        <stp/>
        <stp>BDP|15959859235023809470</stp>
        <tr r="T885" s="2"/>
      </tp>
      <tp t="s">
        <v>#N/A N/A</v>
        <stp/>
        <stp>BDS|16434624543804412942</stp>
        <tr r="I560" s="2"/>
      </tp>
      <tp t="s">
        <v>#N/A N/A</v>
        <stp/>
        <stp>BDP|16639019704969683638</stp>
        <tr r="F777" s="2"/>
      </tp>
      <tp t="s">
        <v>#N/A N/A</v>
        <stp/>
        <stp>BDP|11142983609499729812</stp>
        <tr r="T415" s="2"/>
      </tp>
      <tp t="s">
        <v>#N/A N/A</v>
        <stp/>
        <stp>BDP|10830110029672411827</stp>
        <tr r="C370" s="2"/>
      </tp>
      <tp t="s">
        <v>#N/A N/A</v>
        <stp/>
        <stp>BDP|11551464725036268825</stp>
        <tr r="H804" s="2"/>
      </tp>
      <tp t="s">
        <v>#N/A N/A</v>
        <stp/>
        <stp>BDP|10760531835387538825</stp>
        <tr r="R320" s="2"/>
      </tp>
      <tp t="s">
        <v>#N/A N/A</v>
        <stp/>
        <stp>BDP|10212066381463787249</stp>
        <tr r="F1300" s="2"/>
      </tp>
      <tp t="s">
        <v>#N/A N/A</v>
        <stp/>
        <stp>BDP|16143078230019193517</stp>
        <tr r="H1485" s="2"/>
      </tp>
      <tp t="s">
        <v>#N/A N/A</v>
        <stp/>
        <stp>BDP|13397598971600857853</stp>
        <tr r="M1728" s="2"/>
      </tp>
      <tp t="s">
        <v>#N/A N/A</v>
        <stp/>
        <stp>BDP|14004823969912426199</stp>
        <tr r="N1209" s="2"/>
      </tp>
      <tp t="s">
        <v>#N/A N/A</v>
        <stp/>
        <stp>BDP|10801669586913851464</stp>
        <tr r="S232" s="2"/>
      </tp>
      <tp t="s">
        <v>#N/A N/A</v>
        <stp/>
        <stp>BDP|16052646304259235043</stp>
        <tr r="A772" s="2"/>
      </tp>
      <tp t="s">
        <v>#N/A N/A</v>
        <stp/>
        <stp>BDP|10367761336539154446</stp>
        <tr r="F442" s="2"/>
      </tp>
      <tp t="s">
        <v>#N/A N/A</v>
        <stp/>
        <stp>BDP|11618866573027632034</stp>
        <tr r="O28" s="2"/>
      </tp>
      <tp t="s">
        <v>#N/A N/A</v>
        <stp/>
        <stp>BDP|17467934453335576776</stp>
        <tr r="A308" s="2"/>
      </tp>
      <tp t="s">
        <v>#N/A N/A</v>
        <stp/>
        <stp>BDP|17455144310257420921</stp>
        <tr r="C1140" s="2"/>
      </tp>
      <tp t="s">
        <v>#N/A N/A</v>
        <stp/>
        <stp>BDP|12326330987644927481</stp>
        <tr r="N573" s="2"/>
      </tp>
      <tp t="s">
        <v>#N/A N/A</v>
        <stp/>
        <stp>BDP|10656747155102719965</stp>
        <tr r="O905" s="2"/>
      </tp>
      <tp t="s">
        <v>#N/A N/A</v>
        <stp/>
        <stp>BDP|10379521027176927892</stp>
        <tr r="F611" s="2"/>
      </tp>
      <tp t="s">
        <v>#N/A N/A</v>
        <stp/>
        <stp>BDP|17358120233799755530</stp>
        <tr r="M960" s="2"/>
      </tp>
      <tp t="s">
        <v>#N/A N/A</v>
        <stp/>
        <stp>BDP|10266710298431563682</stp>
        <tr r="Q75" s="2"/>
      </tp>
      <tp t="s">
        <v>#N/A N/A</v>
        <stp/>
        <stp>BDP|13670927882563923892</stp>
        <tr r="A178" s="2"/>
      </tp>
      <tp t="s">
        <v>#N/A N/A</v>
        <stp/>
        <stp>BDP|12603483117088856673</stp>
        <tr r="O32" s="2"/>
      </tp>
      <tp t="s">
        <v>#N/A N/A</v>
        <stp/>
        <stp>BDP|17422273236567399808</stp>
        <tr r="H1726" s="2"/>
      </tp>
      <tp t="s">
        <v>#N/A N/A</v>
        <stp/>
        <stp>BDS|11124390869959791437</stp>
        <tr r="I1250" s="2"/>
      </tp>
      <tp t="s">
        <v>#N/A N/A</v>
        <stp/>
        <stp>BDP|16061714298557865674</stp>
        <tr r="G514" s="2"/>
      </tp>
      <tp t="s">
        <v>#N/A N/A</v>
        <stp/>
        <stp>BDP|13509462580586316063</stp>
        <tr r="J313" s="2"/>
      </tp>
      <tp t="s">
        <v>#N/A N/A</v>
        <stp/>
        <stp>BDP|13393286069259708739</stp>
        <tr r="G101" s="2"/>
      </tp>
      <tp t="s">
        <v>#N/A N/A</v>
        <stp/>
        <stp>BDP|14540556956524762975</stp>
        <tr r="O1425" s="2"/>
      </tp>
      <tp t="s">
        <v>#N/A N/A</v>
        <stp/>
        <stp>BDP|12438590566278560083</stp>
        <tr r="O332" s="2"/>
      </tp>
      <tp t="s">
        <v>#N/A N/A</v>
        <stp/>
        <stp>BDP|16028269492607789351</stp>
        <tr r="R1118" s="2"/>
      </tp>
      <tp t="s">
        <v>#N/A N/A</v>
        <stp/>
        <stp>BDP|10871401218369523533</stp>
        <tr r="C1605" s="2"/>
      </tp>
      <tp t="s">
        <v>#N/A N/A</v>
        <stp/>
        <stp>BDP|12558636211728908480</stp>
        <tr r="T562" s="2"/>
      </tp>
      <tp t="s">
        <v>#N/A N/A</v>
        <stp/>
        <stp>BDP|10910375830946065870</stp>
        <tr r="K1735" s="2"/>
      </tp>
      <tp t="s">
        <v>#N/A N/A</v>
        <stp/>
        <stp>BDP|16173126590794854429</stp>
        <tr r="F1102" s="2"/>
      </tp>
      <tp t="s">
        <v>#N/A N/A</v>
        <stp/>
        <stp>BDP|13447156009035493951</stp>
        <tr r="O830" s="2"/>
      </tp>
      <tp t="s">
        <v>#N/A N/A</v>
        <stp/>
        <stp>BDP|16296894413092636377</stp>
        <tr r="P269" s="2"/>
      </tp>
      <tp t="s">
        <v>#N/A N/A</v>
        <stp/>
        <stp>BDP|12864164543590087946</stp>
        <tr r="S1112" s="2"/>
      </tp>
      <tp t="s">
        <v>#N/A N/A</v>
        <stp/>
        <stp>BDP|15518135108888750200</stp>
        <tr r="N1703" s="2"/>
      </tp>
      <tp t="s">
        <v>#N/A N/A</v>
        <stp/>
        <stp>BDP|11461194290731140658</stp>
        <tr r="M470" s="2"/>
      </tp>
      <tp t="s">
        <v>#N/A N/A</v>
        <stp/>
        <stp>BDP|11340838858793954186</stp>
        <tr r="G1489" s="2"/>
      </tp>
      <tp t="s">
        <v>#N/A N/A</v>
        <stp/>
        <stp>BDP|10121912481906871906</stp>
        <tr r="R1055" s="2"/>
      </tp>
      <tp t="s">
        <v>#N/A N/A</v>
        <stp/>
        <stp>BDP|10735708475027272994</stp>
        <tr r="G159" s="2"/>
      </tp>
      <tp t="s">
        <v>#N/A N/A</v>
        <stp/>
        <stp>BDP|18443111345880818314</stp>
        <tr r="M90" s="2"/>
      </tp>
      <tp t="s">
        <v>#N/A N/A</v>
        <stp/>
        <stp>BDP|14870239596735625423</stp>
        <tr r="F1003" s="2"/>
      </tp>
      <tp t="s">
        <v>#N/A N/A</v>
        <stp/>
        <stp>BDP|13315459073198461680</stp>
        <tr r="M376" s="2"/>
      </tp>
      <tp t="s">
        <v>#N/A N/A</v>
        <stp/>
        <stp>BDP|13481166297655444083</stp>
        <tr r="P81" s="2"/>
      </tp>
      <tp t="s">
        <v>#N/A N/A</v>
        <stp/>
        <stp>BDP|11913977353097029449</stp>
        <tr r="D1441" s="2"/>
      </tp>
      <tp t="s">
        <v>#N/A N/A</v>
        <stp/>
        <stp>BDP|15940914926544590420</stp>
        <tr r="T174" s="2"/>
      </tp>
      <tp t="s">
        <v>#N/A N/A</v>
        <stp/>
        <stp>BDP|12916778182457266478</stp>
        <tr r="T610" s="2"/>
      </tp>
      <tp t="s">
        <v>#N/A N/A</v>
        <stp/>
        <stp>BDP|12908508483136380703</stp>
        <tr r="A1244" s="2"/>
      </tp>
      <tp t="s">
        <v>#N/A N/A</v>
        <stp/>
        <stp>BDP|18107004821183908707</stp>
        <tr r="C474" s="2"/>
      </tp>
      <tp t="s">
        <v>#N/A N/A</v>
        <stp/>
        <stp>BDP|12320328098905558354</stp>
        <tr r="M940" s="2"/>
      </tp>
      <tp t="s">
        <v>#N/A N/A</v>
        <stp/>
        <stp>BDP|12670349888054660359</stp>
        <tr r="E1275" s="2"/>
      </tp>
      <tp t="s">
        <v>#N/A N/A</v>
        <stp/>
        <stp>BDP|11278968188358340669</stp>
        <tr r="F169" s="2"/>
      </tp>
      <tp t="s">
        <v>#N/A N/A</v>
        <stp/>
        <stp>BDP|10223850338597063260</stp>
        <tr r="K91" s="2"/>
      </tp>
      <tp t="s">
        <v>#N/A N/A</v>
        <stp/>
        <stp>BDP|16804855408780542097</stp>
        <tr r="F1408" s="2"/>
      </tp>
      <tp t="s">
        <v>#N/A N/A</v>
        <stp/>
        <stp>BDP|10631910508010663704</stp>
        <tr r="F1464" s="2"/>
      </tp>
      <tp t="s">
        <v>#N/A N/A</v>
        <stp/>
        <stp>BDP|13612155279448197328</stp>
        <tr r="E683" s="2"/>
      </tp>
      <tp t="s">
        <v>#N/A N/A</v>
        <stp/>
        <stp>BDP|18294189962745547443</stp>
        <tr r="T592" s="2"/>
      </tp>
      <tp t="s">
        <v>#N/A N/A</v>
        <stp/>
        <stp>BDP|16804817524714198659</stp>
        <tr r="A1557" s="2"/>
      </tp>
      <tp t="s">
        <v>#N/A N/A</v>
        <stp/>
        <stp>BDP|14251861175534945115</stp>
        <tr r="J1453" s="2"/>
      </tp>
      <tp t="s">
        <v>#N/A N/A</v>
        <stp/>
        <stp>BDP|15423042291107107591</stp>
        <tr r="E1677" s="2"/>
      </tp>
      <tp t="s">
        <v>#N/A N/A</v>
        <stp/>
        <stp>BDP|15649849423863838206</stp>
        <tr r="M1753" s="2"/>
      </tp>
      <tp t="s">
        <v>#N/A N/A</v>
        <stp/>
        <stp>BDP|11441299593676796205</stp>
        <tr r="K456" s="2"/>
      </tp>
      <tp t="s">
        <v>#N/A N/A</v>
        <stp/>
        <stp>BDP|12404784793294624602</stp>
        <tr r="G1061" s="2"/>
      </tp>
      <tp t="s">
        <v>#N/A N/A</v>
        <stp/>
        <stp>BDP|14767334385955844409</stp>
        <tr r="D1647" s="2"/>
      </tp>
      <tp t="s">
        <v>#N/A N/A</v>
        <stp/>
        <stp>BDP|11913400274339426506</stp>
        <tr r="C555" s="2"/>
      </tp>
      <tp t="s">
        <v>#N/A N/A</v>
        <stp/>
        <stp>BDP|15121892412010650253</stp>
        <tr r="N27" s="2"/>
      </tp>
      <tp t="s">
        <v>#N/A N/A</v>
        <stp/>
        <stp>BDP|10103934057102803043</stp>
        <tr r="O1445" s="2"/>
      </tp>
      <tp t="s">
        <v>#N/A N/A</v>
        <stp/>
        <stp>BDP|10574658289399603969</stp>
        <tr r="F239" s="2"/>
      </tp>
      <tp t="s">
        <v>#N/A N/A</v>
        <stp/>
        <stp>BDP|13588291773661695903</stp>
        <tr r="T291" s="2"/>
      </tp>
      <tp t="s">
        <v>#N/A N/A</v>
        <stp/>
        <stp>BDP|14722457911056276987</stp>
        <tr r="J107" s="2"/>
      </tp>
      <tp t="s">
        <v>#N/A N/A</v>
        <stp/>
        <stp>BDP|12474530342018441586</stp>
        <tr r="E1427" s="2"/>
      </tp>
      <tp t="s">
        <v>#N/A N/A</v>
        <stp/>
        <stp>BDP|13031287675059753134</stp>
        <tr r="E1668" s="2"/>
      </tp>
      <tp t="s">
        <v>#N/A N/A</v>
        <stp/>
        <stp>BDP|11828783819101460843</stp>
        <tr r="C1465" s="2"/>
      </tp>
      <tp t="s">
        <v>#N/A N/A</v>
        <stp/>
        <stp>BDP|18340174710131458790</stp>
        <tr r="F1295" s="2"/>
      </tp>
      <tp t="s">
        <v>#N/A N/A</v>
        <stp/>
        <stp>BDP|14266386995554761417</stp>
        <tr r="M1338" s="2"/>
      </tp>
      <tp t="s">
        <v>#N/A N/A</v>
        <stp/>
        <stp>BDP|11181893250166760468</stp>
        <tr r="C32" s="2"/>
      </tp>
      <tp t="s">
        <v>#N/A N/A</v>
        <stp/>
        <stp>BDP|12973135464153046873</stp>
        <tr r="C1643" s="2"/>
      </tp>
      <tp t="s">
        <v>#N/A N/A</v>
        <stp/>
        <stp>BDP|10411664349745302909</stp>
        <tr r="N171" s="2"/>
      </tp>
      <tp t="s">
        <v>#N/A N/A</v>
        <stp/>
        <stp>BDP|15308222889571051009</stp>
        <tr r="G785" s="2"/>
      </tp>
      <tp t="s">
        <v>#N/A N/A</v>
        <stp/>
        <stp>BDP|11074729001550212891</stp>
        <tr r="C132" s="2"/>
      </tp>
      <tp t="s">
        <v>#N/A N/A</v>
        <stp/>
        <stp>BDP|13993477804520763957</stp>
        <tr r="R989" s="2"/>
      </tp>
      <tp t="s">
        <v>#N/A N/A</v>
        <stp/>
        <stp>BDP|12551358003859960629</stp>
        <tr r="C1298" s="2"/>
      </tp>
      <tp t="s">
        <v>#N/A N/A</v>
        <stp/>
        <stp>BDP|13982895408267166213</stp>
        <tr r="O752" s="2"/>
      </tp>
      <tp t="s">
        <v>#N/A N/A</v>
        <stp/>
        <stp>BDP|14072687636956608900</stp>
        <tr r="C1205" s="2"/>
      </tp>
      <tp t="s">
        <v>#N/A N/A</v>
        <stp/>
        <stp>BDP|12927710752699793754</stp>
        <tr r="G1157" s="2"/>
      </tp>
      <tp t="s">
        <v>#N/A N/A</v>
        <stp/>
        <stp>BDP|11406820139487098374</stp>
        <tr r="C1075" s="2"/>
      </tp>
      <tp t="s">
        <v>#N/A N/A</v>
        <stp/>
        <stp>BDP|17901538097152175747</stp>
        <tr r="A59" s="2"/>
      </tp>
      <tp t="s">
        <v>#N/A N/A</v>
        <stp/>
        <stp>BDP|11891803800202225522</stp>
        <tr r="M431" s="2"/>
      </tp>
      <tp t="s">
        <v>#N/A N/A</v>
        <stp/>
        <stp>BDP|12233568188077579614</stp>
        <tr r="E1102" s="2"/>
      </tp>
      <tp t="s">
        <v>#N/A N/A</v>
        <stp/>
        <stp>BDP|12670105261009687292</stp>
        <tr r="E747" s="2"/>
      </tp>
      <tp t="s">
        <v>#N/A N/A</v>
        <stp/>
        <stp>BDP|15552467628505470878</stp>
        <tr r="N492" s="2"/>
      </tp>
      <tp t="s">
        <v>#N/A N/A</v>
        <stp/>
        <stp>BDP|16715069409370808884</stp>
        <tr r="P155" s="2"/>
      </tp>
      <tp t="s">
        <v>#N/A N/A</v>
        <stp/>
        <stp>BDP|11863769695630539164</stp>
        <tr r="J1210" s="2"/>
      </tp>
      <tp t="s">
        <v>#N/A N/A</v>
        <stp/>
        <stp>BDP|12231064548888672026</stp>
        <tr r="T626" s="2"/>
      </tp>
      <tp t="s">
        <v>#N/A N/A</v>
        <stp/>
        <stp>BDP|17566975408583593371</stp>
        <tr r="O1392" s="2"/>
      </tp>
      <tp t="s">
        <v>#N/A N/A</v>
        <stp/>
        <stp>BDS|10298944679566235666</stp>
        <tr r="I879" s="2"/>
      </tp>
      <tp t="s">
        <v>#N/A N/A</v>
        <stp/>
        <stp>BDP|11917565972428140549</stp>
        <tr r="Q1018" s="2"/>
      </tp>
      <tp t="s">
        <v>#N/A N/A</v>
        <stp/>
        <stp>BDP|16078985970320159618</stp>
        <tr r="T238" s="2"/>
      </tp>
      <tp t="s">
        <v>#N/A N/A</v>
        <stp/>
        <stp>BDP|17200378462948646499</stp>
        <tr r="J767" s="2"/>
      </tp>
      <tp t="s">
        <v>#N/A N/A</v>
        <stp/>
        <stp>BDP|11288795661257382914</stp>
        <tr r="T1551" s="2"/>
      </tp>
      <tp t="s">
        <v>#N/A N/A</v>
        <stp/>
        <stp>BDP|16609898724577070539</stp>
        <tr r="F1727" s="2"/>
      </tp>
      <tp t="s">
        <v>#N/A N/A</v>
        <stp/>
        <stp>BDP|17732214599661725300</stp>
        <tr r="S1088" s="2"/>
      </tp>
      <tp t="s">
        <v>#N/A N/A</v>
        <stp/>
        <stp>BDP|17939917533687422473</stp>
        <tr r="C587" s="2"/>
      </tp>
      <tp t="s">
        <v>#N/A N/A</v>
        <stp/>
        <stp>BDP|11141756509270731820</stp>
        <tr r="C1034" s="2"/>
      </tp>
      <tp t="s">
        <v>#N/A N/A</v>
        <stp/>
        <stp>BDP|18016326877545802750</stp>
        <tr r="J1472" s="2"/>
      </tp>
      <tp t="s">
        <v>#N/A N/A</v>
        <stp/>
        <stp>BDP|13946636393376039410</stp>
        <tr r="J145" s="2"/>
      </tp>
      <tp t="s">
        <v>#N/A N/A</v>
        <stp/>
        <stp>BDP|12616017286837153389</stp>
        <tr r="S563" s="2"/>
      </tp>
      <tp t="s">
        <v>#N/A N/A</v>
        <stp/>
        <stp>BDP|14743059511672312988</stp>
        <tr r="A907" s="2"/>
      </tp>
      <tp t="s">
        <v>#N/A N/A</v>
        <stp/>
        <stp>BDP|13762686883025620623</stp>
        <tr r="P540" s="2"/>
      </tp>
      <tp t="s">
        <v>#N/A N/A</v>
        <stp/>
        <stp>BDS|11739752786039976967</stp>
        <tr r="I509" s="2"/>
      </tp>
      <tp t="s">
        <v>#N/A N/A</v>
        <stp/>
        <stp>BDP|12471942517550875476</stp>
        <tr r="J358" s="2"/>
      </tp>
      <tp t="s">
        <v>#N/A N/A</v>
        <stp/>
        <stp>BDP|11371711736079500297</stp>
        <tr r="E662" s="2"/>
      </tp>
      <tp t="s">
        <v>#N/A N/A</v>
        <stp/>
        <stp>BDP|15048563514287245880</stp>
        <tr r="G1389" s="2"/>
      </tp>
      <tp t="s">
        <v>#N/A N/A</v>
        <stp/>
        <stp>BDP|10250348788044740118</stp>
        <tr r="T797" s="2"/>
      </tp>
      <tp t="s">
        <v>#N/A N/A</v>
        <stp/>
        <stp>BDS|13660879958860744053</stp>
        <tr r="I1275" s="2"/>
      </tp>
      <tp t="s">
        <v>#N/A N/A</v>
        <stp/>
        <stp>BDP|14749210792033522291</stp>
        <tr r="D364" s="2"/>
      </tp>
      <tp t="s">
        <v>#N/A N/A</v>
        <stp/>
        <stp>BDP|10187610868189869788</stp>
        <tr r="J157" s="2"/>
      </tp>
      <tp t="s">
        <v>#N/A N/A</v>
        <stp/>
        <stp>BDP|10912730372989299726</stp>
        <tr r="E49" s="2"/>
      </tp>
      <tp t="s">
        <v>#N/A N/A</v>
        <stp/>
        <stp>BDP|13237927763913293192</stp>
        <tr r="R522" s="2"/>
      </tp>
      <tp t="s">
        <v>#N/A N/A</v>
        <stp/>
        <stp>BDP|15248631619554512854</stp>
        <tr r="D799" s="2"/>
      </tp>
      <tp t="s">
        <v>#N/A N/A</v>
        <stp/>
        <stp>BDP|16421130890652833273</stp>
        <tr r="S1525" s="2"/>
      </tp>
      <tp t="s">
        <v>#N/A N/A</v>
        <stp/>
        <stp>BDP|18109637333741017295</stp>
        <tr r="C1145" s="2"/>
      </tp>
      <tp t="s">
        <v>#N/A N/A</v>
        <stp/>
        <stp>BDP|17120489146519428007</stp>
        <tr r="O371" s="2"/>
      </tp>
      <tp t="s">
        <v>#N/A N/A</v>
        <stp/>
        <stp>BDP|13943071173329094364</stp>
        <tr r="O163" s="2"/>
      </tp>
      <tp t="s">
        <v>#N/A N/A</v>
        <stp/>
        <stp>BDP|10264784166206522929</stp>
        <tr r="S573" s="2"/>
      </tp>
      <tp t="s">
        <v>#N/A N/A</v>
        <stp/>
        <stp>BDP|13984065761612659934</stp>
        <tr r="P441" s="2"/>
      </tp>
      <tp t="s">
        <v>#N/A N/A</v>
        <stp/>
        <stp>BDP|16710007486304992436</stp>
        <tr r="P1089" s="2"/>
      </tp>
      <tp t="s">
        <v>#N/A N/A</v>
        <stp/>
        <stp>BDP|15436957569354279019</stp>
        <tr r="F782" s="2"/>
      </tp>
      <tp t="s">
        <v>#N/A N/A</v>
        <stp/>
        <stp>BDP|12992159324328522768</stp>
        <tr r="J1546" s="2"/>
      </tp>
      <tp t="s">
        <v>#N/A N/A</v>
        <stp/>
        <stp>BDP|16901363491865023750</stp>
        <tr r="F1518" s="2"/>
      </tp>
      <tp t="s">
        <v>#N/A N/A</v>
        <stp/>
        <stp>BDP|15817737302754683840</stp>
        <tr r="A71" s="2"/>
      </tp>
      <tp t="s">
        <v>#N/A N/A</v>
        <stp/>
        <stp>BDP|10983101390403411564</stp>
        <tr r="S1566" s="2"/>
      </tp>
      <tp t="s">
        <v>#N/A N/A</v>
        <stp/>
        <stp>BDP|11192264950431917957</stp>
        <tr r="H542" s="2"/>
      </tp>
      <tp t="s">
        <v>#N/A N/A</v>
        <stp/>
        <stp>BDP|15012714456369410088</stp>
        <tr r="N37" s="2"/>
      </tp>
      <tp t="s">
        <v>#N/A N/A</v>
        <stp/>
        <stp>BDP|15377464722814423986</stp>
        <tr r="T673" s="2"/>
      </tp>
      <tp t="s">
        <v>#N/A N/A</v>
        <stp/>
        <stp>BDP|10902808671432273315</stp>
        <tr r="G1562" s="2"/>
      </tp>
      <tp t="s">
        <v>#N/A N/A</v>
        <stp/>
        <stp>BDP|15959206740815512877</stp>
        <tr r="K1439" s="2"/>
      </tp>
      <tp t="s">
        <v>#N/A N/A</v>
        <stp/>
        <stp>BDP|13949719430130347905</stp>
        <tr r="C128" s="2"/>
      </tp>
      <tp t="s">
        <v>#N/A N/A</v>
        <stp/>
        <stp>BDP|12030971845471884012</stp>
        <tr r="K1503" s="2"/>
      </tp>
      <tp t="s">
        <v>#N/A N/A</v>
        <stp/>
        <stp>BDP|15678988300085549707</stp>
        <tr r="C1138" s="2"/>
      </tp>
      <tp t="s">
        <v>#N/A N/A</v>
        <stp/>
        <stp>BDP|12493782096674052614</stp>
        <tr r="O2" s="2"/>
      </tp>
      <tp t="s">
        <v>#N/A N/A</v>
        <stp/>
        <stp>BDP|16851077950414789932</stp>
        <tr r="F1194" s="2"/>
      </tp>
      <tp t="s">
        <v>#N/A N/A</v>
        <stp/>
        <stp>BDP|17746799694917534044</stp>
        <tr r="J1380" s="2"/>
      </tp>
      <tp t="s">
        <v>#N/A N/A</v>
        <stp/>
        <stp>BDP|15490940221241991131</stp>
        <tr r="K669" s="2"/>
      </tp>
      <tp t="s">
        <v>#N/A N/A</v>
        <stp/>
        <stp>BDP|18112786078641810723</stp>
        <tr r="G549" s="2"/>
      </tp>
      <tp t="s">
        <v>#N/A N/A</v>
        <stp/>
        <stp>BDP|17616607075268010086</stp>
        <tr r="D259" s="2"/>
      </tp>
      <tp t="s">
        <v>#N/A N/A</v>
        <stp/>
        <stp>BDP|13354860550329861963</stp>
        <tr r="J1209" s="2"/>
      </tp>
      <tp t="s">
        <v>#N/A N/A</v>
        <stp/>
        <stp>BDP|11843710857939065459</stp>
        <tr r="C1371" s="2"/>
      </tp>
      <tp t="s">
        <v>#N/A N/A</v>
        <stp/>
        <stp>BDP|16369766185695358282</stp>
        <tr r="R1146" s="2"/>
      </tp>
      <tp t="s">
        <v>#N/A N/A</v>
        <stp/>
        <stp>BDP|10913424380952252028</stp>
        <tr r="D1179" s="2"/>
      </tp>
      <tp t="s">
        <v>#N/A N/A</v>
        <stp/>
        <stp>BDP|12266135604748717594</stp>
        <tr r="A868" s="2"/>
      </tp>
      <tp t="s">
        <v>#N/A N/A</v>
        <stp/>
        <stp>BDP|17662849134906871450</stp>
        <tr r="C286" s="2"/>
      </tp>
      <tp t="s">
        <v>#N/A N/A</v>
        <stp/>
        <stp>BDP|17130186630889498264</stp>
        <tr r="C1572" s="2"/>
      </tp>
      <tp t="s">
        <v>#N/A N/A</v>
        <stp/>
        <stp>BDP|16507904964545826224</stp>
        <tr r="F1283" s="2"/>
      </tp>
      <tp t="s">
        <v>#N/A N/A</v>
        <stp/>
        <stp>BDP|15682995667676253219</stp>
        <tr r="P886" s="2"/>
      </tp>
      <tp t="s">
        <v>#N/A N/A</v>
        <stp/>
        <stp>BDP|13670835845499222893</stp>
        <tr r="P1609" s="2"/>
      </tp>
      <tp t="s">
        <v>#N/A N/A</v>
        <stp/>
        <stp>BDP|13631958278142554159</stp>
        <tr r="K769" s="2"/>
      </tp>
      <tp t="s">
        <v>#N/A N/A</v>
        <stp/>
        <stp>BDP|17131707312898929718</stp>
        <tr r="G550" s="2"/>
      </tp>
      <tp t="s">
        <v>#N/A N/A</v>
        <stp/>
        <stp>BDP|14664953200056142594</stp>
        <tr r="M1531" s="2"/>
      </tp>
      <tp t="s">
        <v>#N/A N/A</v>
        <stp/>
        <stp>BDP|18087208969493787159</stp>
        <tr r="T60" s="2"/>
      </tp>
      <tp t="s">
        <v>#N/A N/A</v>
        <stp/>
        <stp>BDP|12911122683076109327</stp>
        <tr r="F840" s="2"/>
      </tp>
      <tp t="s">
        <v>#N/A N/A</v>
        <stp/>
        <stp>BDP|12888905248774999527</stp>
        <tr r="N533" s="2"/>
      </tp>
      <tp t="s">
        <v>#N/A N/A</v>
        <stp/>
        <stp>BDP|11992237146370750913</stp>
        <tr r="T981" s="2"/>
      </tp>
      <tp t="s">
        <v>#N/A N/A</v>
        <stp/>
        <stp>BDP|10442975796937640997</stp>
        <tr r="G840" s="2"/>
      </tp>
      <tp t="s">
        <v>#N/A N/A</v>
        <stp/>
        <stp>BDP|17028818715606933675</stp>
        <tr r="K837" s="2"/>
      </tp>
      <tp t="s">
        <v>#N/A N/A</v>
        <stp/>
        <stp>BDP|10803438097357058464</stp>
        <tr r="R1458" s="2"/>
      </tp>
      <tp t="s">
        <v>#N/A N/A</v>
        <stp/>
        <stp>BDP|18444975949998321330</stp>
        <tr r="Q1397" s="2"/>
      </tp>
      <tp t="s">
        <v>#N/A N/A</v>
        <stp/>
        <stp>BDP|17385069424849835230</stp>
        <tr r="S736" s="2"/>
      </tp>
      <tp t="s">
        <v>#N/A N/A</v>
        <stp/>
        <stp>BDP|15423644293906173282</stp>
        <tr r="H1646" s="2"/>
      </tp>
      <tp t="s">
        <v>#N/A N/A</v>
        <stp/>
        <stp>BDP|13225488541555105806</stp>
        <tr r="H715" s="2"/>
      </tp>
      <tp t="s">
        <v>#N/A N/A</v>
        <stp/>
        <stp>BDP|11609729497281948007</stp>
        <tr r="F118" s="2"/>
      </tp>
      <tp t="s">
        <v>#N/A N/A</v>
        <stp/>
        <stp>BDP|13948343495820631744</stp>
        <tr r="H811" s="2"/>
      </tp>
      <tp t="s">
        <v>#N/A N/A</v>
        <stp/>
        <stp>BDP|11164141549152763818</stp>
        <tr r="N886" s="2"/>
      </tp>
      <tp t="s">
        <v>#N/A N/A</v>
        <stp/>
        <stp>BDP|11908958007400128606</stp>
        <tr r="J1674" s="2"/>
      </tp>
      <tp t="s">
        <v>#N/A N/A</v>
        <stp/>
        <stp>BDP|18187506504470868373</stp>
        <tr r="M67" s="2"/>
      </tp>
      <tp t="s">
        <v>#N/A N/A</v>
        <stp/>
        <stp>BDP|12353919235506945042</stp>
        <tr r="R313" s="2"/>
      </tp>
      <tp t="s">
        <v>#N/A N/A</v>
        <stp/>
        <stp>BDP|14964932505657055458</stp>
        <tr r="M375" s="2"/>
      </tp>
      <tp t="s">
        <v>#N/A N/A</v>
        <stp/>
        <stp>BDP|17695682589254560381</stp>
        <tr r="R669" s="2"/>
      </tp>
      <tp t="s">
        <v>#N/A N/A</v>
        <stp/>
        <stp>BDP|13927007364373195861</stp>
        <tr r="A1727" s="2"/>
      </tp>
      <tp t="s">
        <v>#N/A N/A</v>
        <stp/>
        <stp>BDP|11445809438954014068</stp>
        <tr r="G1124" s="2"/>
      </tp>
      <tp t="s">
        <v>#N/A N/A</v>
        <stp/>
        <stp>BDP|16445090092119608839</stp>
        <tr r="F1340" s="2"/>
      </tp>
      <tp t="s">
        <v>#N/A N/A</v>
        <stp/>
        <stp>BDP|18245567233148493897</stp>
        <tr r="J1163" s="2"/>
      </tp>
      <tp t="s">
        <v>#N/A N/A</v>
        <stp/>
        <stp>BDP|15454900221016608696</stp>
        <tr r="K1674" s="2"/>
      </tp>
      <tp t="s">
        <v>#N/A N/A</v>
        <stp/>
        <stp>BDP|14762372579497664955</stp>
        <tr r="C740" s="2"/>
      </tp>
      <tp t="s">
        <v>#N/A N/A</v>
        <stp/>
        <stp>BDP|10586871149503266139</stp>
        <tr r="D880" s="2"/>
      </tp>
      <tp t="s">
        <v>#N/A N/A</v>
        <stp/>
        <stp>BDP|14294729019279272516</stp>
        <tr r="J241" s="2"/>
      </tp>
      <tp t="s">
        <v>#N/A N/A</v>
        <stp/>
        <stp>BDP|11999161763478773019</stp>
        <tr r="M252" s="2"/>
      </tp>
      <tp t="s">
        <v>#N/A N/A</v>
        <stp/>
        <stp>BDS|15903961674377308210</stp>
        <tr r="I316" s="2"/>
      </tp>
      <tp t="s">
        <v>#N/A N/A</v>
        <stp/>
        <stp>BDP|12550702761199768491</stp>
        <tr r="G234" s="2"/>
      </tp>
      <tp t="s">
        <v>#N/A N/A</v>
        <stp/>
        <stp>BDP|17653181515670232930</stp>
        <tr r="C1532" s="2"/>
      </tp>
      <tp t="s">
        <v>#N/A N/A</v>
        <stp/>
        <stp>BDS|11907724283817399725</stp>
        <tr r="I1315" s="2"/>
      </tp>
      <tp t="s">
        <v>#N/A N/A</v>
        <stp/>
        <stp>BDP|13838493336728537284</stp>
        <tr r="A608" s="2"/>
      </tp>
      <tp t="s">
        <v>#N/A N/A</v>
        <stp/>
        <stp>BDP|13324362299745169271</stp>
        <tr r="F1609" s="2"/>
      </tp>
      <tp t="s">
        <v>#N/A N/A</v>
        <stp/>
        <stp>BDS|15059418673838956020</stp>
        <tr r="I1085" s="2"/>
      </tp>
      <tp t="s">
        <v>#N/A N/A</v>
        <stp/>
        <stp>BDP|13078181997086068350</stp>
        <tr r="T847" s="2"/>
      </tp>
      <tp t="s">
        <v>#N/A N/A</v>
        <stp/>
        <stp>BDP|14225407837449947462</stp>
        <tr r="R1220" s="2"/>
      </tp>
      <tp t="s">
        <v>#N/A N/A</v>
        <stp/>
        <stp>BDP|12489801651945760481</stp>
        <tr r="J1038" s="2"/>
      </tp>
      <tp t="s">
        <v>#N/A N/A</v>
        <stp/>
        <stp>BDP|13718384104998334628</stp>
        <tr r="N1702" s="2"/>
      </tp>
      <tp t="s">
        <v>#N/A N/A</v>
        <stp/>
        <stp>BDP|12677398691220187653</stp>
        <tr r="M1267" s="2"/>
      </tp>
      <tp t="s">
        <v>#N/A N/A</v>
        <stp/>
        <stp>BDP|10131908887606517999</stp>
        <tr r="F917" s="2"/>
      </tp>
      <tp t="s">
        <v>#N/A N/A</v>
        <stp/>
        <stp>BDS|13849624083730031301</stp>
        <tr r="I1041" s="2"/>
      </tp>
      <tp t="s">
        <v>#N/A N/A</v>
        <stp/>
        <stp>BDP|15223224192313879307</stp>
        <tr r="A542" s="2"/>
      </tp>
      <tp t="s">
        <v>#N/A N/A</v>
        <stp/>
        <stp>BDP|16055888675816775107</stp>
        <tr r="R496" s="2"/>
      </tp>
      <tp t="s">
        <v>#N/A N/A</v>
        <stp/>
        <stp>BDP|16166285544526140867</stp>
        <tr r="C383" s="2"/>
      </tp>
      <tp t="s">
        <v>#N/A N/A</v>
        <stp/>
        <stp>BDP|16242846818729644825</stp>
        <tr r="O917" s="2"/>
      </tp>
      <tp t="s">
        <v>#N/A N/A</v>
        <stp/>
        <stp>BDP|12310904775163896149</stp>
        <tr r="R1034" s="2"/>
      </tp>
      <tp t="s">
        <v>#N/A N/A</v>
        <stp/>
        <stp>BDP|16158269198687061458</stp>
        <tr r="J829" s="2"/>
      </tp>
      <tp t="s">
        <v>#N/A N/A</v>
        <stp/>
        <stp>BDS|18271814392993786489</stp>
        <tr r="I618" s="2"/>
      </tp>
      <tp t="s">
        <v>#N/A N/A</v>
        <stp/>
        <stp>BDP|17566231370014288894</stp>
        <tr r="D1612" s="2"/>
      </tp>
      <tp t="s">
        <v>#N/A N/A</v>
        <stp/>
        <stp>BDP|17945628705258359700</stp>
        <tr r="O1716" s="2"/>
      </tp>
      <tp t="s">
        <v>#N/A N/A</v>
        <stp/>
        <stp>BDP|13836035309985834877</stp>
        <tr r="D55" s="2"/>
      </tp>
      <tp t="s">
        <v>#N/A N/A</v>
        <stp/>
        <stp>BDS|11122040399300339619</stp>
        <tr r="I1412" s="2"/>
      </tp>
      <tp t="s">
        <v>#N/A N/A</v>
        <stp/>
        <stp>BDP|18284827269238342072</stp>
        <tr r="P1240" s="2"/>
      </tp>
      <tp t="s">
        <v>#N/A N/A</v>
        <stp/>
        <stp>BDP|15483197620401898988</stp>
        <tr r="M449" s="2"/>
      </tp>
      <tp t="s">
        <v>#N/A N/A</v>
        <stp/>
        <stp>BDP|12151878496305919845</stp>
        <tr r="F155" s="2"/>
      </tp>
      <tp t="s">
        <v>#N/A N/A</v>
        <stp/>
        <stp>BDP|16089599786810631540</stp>
        <tr r="C288" s="2"/>
      </tp>
      <tp t="s">
        <v>#N/A N/A</v>
        <stp/>
        <stp>BDP|12052712549157286874</stp>
        <tr r="F893" s="2"/>
      </tp>
      <tp t="s">
        <v>#N/A N/A</v>
        <stp/>
        <stp>BDP|11670498593541544347</stp>
        <tr r="J1495" s="2"/>
      </tp>
      <tp t="s">
        <v>#N/A N/A</v>
        <stp/>
        <stp>BDP|10390554396640954247</stp>
        <tr r="D609" s="2"/>
      </tp>
      <tp t="s">
        <v>#N/A N/A</v>
        <stp/>
        <stp>BDP|13811929330187024073</stp>
        <tr r="N1572" s="2"/>
      </tp>
      <tp t="s">
        <v>#N/A N/A</v>
        <stp/>
        <stp>BDP|14002614996335379098</stp>
        <tr r="M1028" s="2"/>
      </tp>
      <tp t="s">
        <v>#N/A N/A</v>
        <stp/>
        <stp>BDP|15745978732810882174</stp>
        <tr r="A354" s="2"/>
      </tp>
      <tp t="s">
        <v>#N/A N/A</v>
        <stp/>
        <stp>BDP|13754084115309189565</stp>
        <tr r="R914" s="2"/>
      </tp>
      <tp t="s">
        <v>#N/A N/A</v>
        <stp/>
        <stp>BDP|13297339622199772599</stp>
        <tr r="R1029" s="2"/>
      </tp>
      <tp t="s">
        <v>#N/A N/A</v>
        <stp/>
        <stp>BDP|11816269635046351852</stp>
        <tr r="J1680" s="2"/>
      </tp>
      <tp t="s">
        <v>#N/A N/A</v>
        <stp/>
        <stp>BDP|10143903900843589498</stp>
        <tr r="Q1481" s="2"/>
      </tp>
      <tp t="s">
        <v>#N/A N/A</v>
        <stp/>
        <stp>BDP|15277990665581550569</stp>
        <tr r="J24" s="2"/>
      </tp>
      <tp t="s">
        <v>#N/A N/A</v>
        <stp/>
        <stp>BDP|10271996053612107049</stp>
        <tr r="C31" s="2"/>
      </tp>
      <tp t="s">
        <v>#N/A N/A</v>
        <stp/>
        <stp>BDP|14617631281897851310</stp>
        <tr r="F631" s="2"/>
      </tp>
      <tp t="s">
        <v>#N/A N/A</v>
        <stp/>
        <stp>BDP|18057961712296191882</stp>
        <tr r="C931" s="2"/>
      </tp>
      <tp t="s">
        <v>#N/A N/A</v>
        <stp/>
        <stp>BDP|16353547548458536178</stp>
        <tr r="N733" s="2"/>
      </tp>
      <tp t="s">
        <v>#N/A N/A</v>
        <stp/>
        <stp>BDP|11255199985794101226</stp>
        <tr r="S350" s="2"/>
      </tp>
      <tp t="s">
        <v>#N/A N/A</v>
        <stp/>
        <stp>BDP|18281914832129498589</stp>
        <tr r="P624" s="2"/>
      </tp>
      <tp t="s">
        <v>#N/A N/A</v>
        <stp/>
        <stp>BDP|11965657570348988686</stp>
        <tr r="P428" s="2"/>
      </tp>
      <tp t="s">
        <v>#N/A N/A</v>
        <stp/>
        <stp>BDP|15806789799960258569</stp>
        <tr r="T1433" s="2"/>
      </tp>
      <tp t="s">
        <v>#N/A N/A</v>
        <stp/>
        <stp>BDP|11841467417199772339</stp>
        <tr r="O1277" s="2"/>
      </tp>
      <tp t="s">
        <v>#N/A N/A</v>
        <stp/>
        <stp>BDP|15737786332497561854</stp>
        <tr r="P793" s="2"/>
      </tp>
      <tp t="s">
        <v>#N/A N/A</v>
        <stp/>
        <stp>BDP|16334830033627660480</stp>
        <tr r="H771" s="2"/>
      </tp>
      <tp t="s">
        <v>#N/A N/A</v>
        <stp/>
        <stp>BDP|16235179270706896807</stp>
        <tr r="A920" s="2"/>
      </tp>
      <tp t="s">
        <v>#N/A N/A</v>
        <stp/>
        <stp>BDP|11657659755879317586</stp>
        <tr r="G600" s="2"/>
      </tp>
      <tp t="s">
        <v>#N/A N/A</v>
        <stp/>
        <stp>BDP|10287236934768920719</stp>
        <tr r="R1105" s="2"/>
      </tp>
      <tp t="s">
        <v>#N/A N/A</v>
        <stp/>
        <stp>BDP|18288179471485075590</stp>
        <tr r="F1545" s="2"/>
      </tp>
      <tp t="s">
        <v>#N/A N/A</v>
        <stp/>
        <stp>BDP|12894133633876065856</stp>
        <tr r="O330" s="2"/>
      </tp>
      <tp t="s">
        <v>#N/A N/A</v>
        <stp/>
        <stp>BDP|16305982150086120271</stp>
        <tr r="J364" s="2"/>
      </tp>
      <tp t="s">
        <v>#N/A N/A</v>
        <stp/>
        <stp>BDP|15872344286949497932</stp>
        <tr r="F733" s="2"/>
      </tp>
      <tp t="s">
        <v>#N/A N/A</v>
        <stp/>
        <stp>BDP|16924782395416005095</stp>
        <tr r="A1686" s="2"/>
      </tp>
      <tp t="s">
        <v>#N/A N/A</v>
        <stp/>
        <stp>BDP|15812061554276262855</stp>
        <tr r="Q53" s="2"/>
      </tp>
      <tp t="s">
        <v>#N/A N/A</v>
        <stp/>
        <stp>BDP|13497481397832761216</stp>
        <tr r="K642" s="2"/>
      </tp>
      <tp t="s">
        <v>#N/A N/A</v>
        <stp/>
        <stp>BDP|11603130618758263721</stp>
        <tr r="S1640" s="2"/>
      </tp>
      <tp t="s">
        <v>#N/A N/A</v>
        <stp/>
        <stp>BDP|14176190334069488158</stp>
        <tr r="J1450" s="2"/>
      </tp>
      <tp t="s">
        <v>#N/A N/A</v>
        <stp/>
        <stp>BDP|15152155700979985306</stp>
        <tr r="C1309" s="2"/>
      </tp>
      <tp t="s">
        <v>#N/A N/A</v>
        <stp/>
        <stp>BDP|11379088743683070859</stp>
        <tr r="Q905" s="2"/>
      </tp>
      <tp t="s">
        <v>#N/A N/A</v>
        <stp/>
        <stp>BDP|16308270549747688968</stp>
        <tr r="S214" s="2"/>
      </tp>
      <tp t="s">
        <v>#N/A N/A</v>
        <stp/>
        <stp>BDP|15395845441975274295</stp>
        <tr r="N908" s="2"/>
      </tp>
      <tp t="s">
        <v>#N/A N/A</v>
        <stp/>
        <stp>BDP|14702944100334601781</stp>
        <tr r="D293" s="2"/>
      </tp>
      <tp t="s">
        <v>#N/A N/A</v>
        <stp/>
        <stp>BDP|11859077890047656141</stp>
        <tr r="M1152" s="2"/>
      </tp>
      <tp t="s">
        <v>#N/A N/A</v>
        <stp/>
        <stp>BDP|11535534876479826454</stp>
        <tr r="C95" s="2"/>
      </tp>
      <tp t="s">
        <v>#N/A N/A</v>
        <stp/>
        <stp>BDP|17542923121592364080</stp>
        <tr r="E828" s="2"/>
      </tp>
      <tp t="s">
        <v>#N/A N/A</v>
        <stp/>
        <stp>BDP|12222722094531060397</stp>
        <tr r="E248" s="2"/>
      </tp>
      <tp t="s">
        <v>#N/A N/A</v>
        <stp/>
        <stp>BDP|13142054652950868824</stp>
        <tr r="E417" s="2"/>
      </tp>
      <tp t="s">
        <v>#N/A N/A</v>
        <stp/>
        <stp>BDP|13368511558299170479</stp>
        <tr r="C1521" s="2"/>
      </tp>
      <tp t="s">
        <v>#N/A N/A</v>
        <stp/>
        <stp>BDP|17619851136364085691</stp>
        <tr r="M222" s="2"/>
      </tp>
      <tp t="s">
        <v>#N/A N/A</v>
        <stp/>
        <stp>BDP|12316600294206220598</stp>
        <tr r="F786" s="2"/>
      </tp>
      <tp t="s">
        <v>#N/A N/A</v>
        <stp/>
        <stp>BDP|10888313705159938490</stp>
        <tr r="S1499" s="2"/>
      </tp>
      <tp t="s">
        <v>#N/A N/A</v>
        <stp/>
        <stp>BDP|11827076140588184321</stp>
        <tr r="H1230" s="2"/>
      </tp>
      <tp t="s">
        <v>#N/A N/A</v>
        <stp/>
        <stp>BDP|14208094081261787311</stp>
        <tr r="G414" s="2"/>
      </tp>
      <tp t="s">
        <v>#N/A N/A</v>
        <stp/>
        <stp>BDP|18057398718011458597</stp>
        <tr r="A82" s="2"/>
      </tp>
      <tp t="s">
        <v>#N/A N/A</v>
        <stp/>
        <stp>BDP|18410773279914436226</stp>
        <tr r="O541" s="2"/>
      </tp>
      <tp t="s">
        <v>#N/A N/A</v>
        <stp/>
        <stp>BDP|13386995751463455232</stp>
        <tr r="O889" s="2"/>
      </tp>
      <tp t="s">
        <v>#N/A N/A</v>
        <stp/>
        <stp>BDP|10467150880864560385</stp>
        <tr r="M1533" s="2"/>
      </tp>
      <tp t="s">
        <v>#N/A N/A</v>
        <stp/>
        <stp>BDP|14865994334314143488</stp>
        <tr r="D429" s="2"/>
      </tp>
      <tp t="s">
        <v>#N/A N/A</v>
        <stp/>
        <stp>BDP|13293464770167193998</stp>
        <tr r="G747" s="2"/>
      </tp>
      <tp t="s">
        <v>#N/A N/A</v>
        <stp/>
        <stp>BDP|11140938247176059494</stp>
        <tr r="P570" s="2"/>
      </tp>
      <tp t="s">
        <v>#N/A N/A</v>
        <stp/>
        <stp>BDP|14540648882717745383</stp>
        <tr r="C290" s="2"/>
      </tp>
      <tp t="s">
        <v>#N/A N/A</v>
        <stp/>
        <stp>BDP|17400219411439978316</stp>
        <tr r="K1146" s="2"/>
      </tp>
      <tp t="s">
        <v>#N/A N/A</v>
        <stp/>
        <stp>BDP|15305484064318181123</stp>
        <tr r="P1554" s="2"/>
      </tp>
      <tp t="s">
        <v>#N/A N/A</v>
        <stp/>
        <stp>BDP|10804573502062663979</stp>
        <tr r="A1281" s="2"/>
      </tp>
      <tp t="s">
        <v>#N/A N/A</v>
        <stp/>
        <stp>BDP|16227623529015357968</stp>
        <tr r="G1304" s="2"/>
      </tp>
      <tp t="s">
        <v>#N/A N/A</v>
        <stp/>
        <stp>BDS|16121979623592880125</stp>
        <tr r="I1006" s="2"/>
      </tp>
      <tp t="s">
        <v>#N/A N/A</v>
        <stp/>
        <stp>BDP|15818808465097691273</stp>
        <tr r="O1448" s="2"/>
      </tp>
      <tp t="s">
        <v>#N/A N/A</v>
        <stp/>
        <stp>BDP|17538084700571884898</stp>
        <tr r="M1508" s="2"/>
      </tp>
      <tp t="s">
        <v>#N/A N/A</v>
        <stp/>
        <stp>BDP|13321191500698443423</stp>
        <tr r="E1062" s="2"/>
      </tp>
      <tp t="s">
        <v>#N/A N/A</v>
        <stp/>
        <stp>BDP|18445030618034330305</stp>
        <tr r="D1545" s="2"/>
      </tp>
      <tp t="s">
        <v>#N/A N/A</v>
        <stp/>
        <stp>BDP|13217338359813220862</stp>
        <tr r="T964" s="2"/>
      </tp>
      <tp t="s">
        <v>#N/A N/A</v>
        <stp/>
        <stp>BDP|10328915644484340796</stp>
        <tr r="Q192" s="2"/>
      </tp>
      <tp t="s">
        <v>#N/A N/A</v>
        <stp/>
        <stp>BDP|14377863366870795484</stp>
        <tr r="R1546" s="2"/>
      </tp>
      <tp t="s">
        <v>#N/A N/A</v>
        <stp/>
        <stp>BDP|15190190180963451104</stp>
        <tr r="E1528" s="2"/>
      </tp>
      <tp t="s">
        <v>#N/A N/A</v>
        <stp/>
        <stp>BDP|14972755435569741722</stp>
        <tr r="O263" s="2"/>
      </tp>
      <tp t="s">
        <v>#N/A N/A</v>
        <stp/>
        <stp>BDP|13230979138032120509</stp>
        <tr r="S1175" s="2"/>
      </tp>
      <tp t="s">
        <v>#N/A N/A</v>
        <stp/>
        <stp>BDP|18301174109310828795</stp>
        <tr r="D904" s="2"/>
      </tp>
      <tp t="s">
        <v>#N/A N/A</v>
        <stp/>
        <stp>BDP|12845962657496272675</stp>
        <tr r="D1453" s="2"/>
      </tp>
      <tp t="s">
        <v>#N/A N/A</v>
        <stp/>
        <stp>BDP|13104653954177570995</stp>
        <tr r="D1395" s="2"/>
      </tp>
      <tp t="s">
        <v>#N/A N/A</v>
        <stp/>
        <stp>BDP|17546695493285630350</stp>
        <tr r="D484" s="2"/>
      </tp>
      <tp t="s">
        <v>#N/A N/A</v>
        <stp/>
        <stp>BDP|16657443090337660283</stp>
        <tr r="J1194" s="2"/>
      </tp>
      <tp t="s">
        <v>#N/A N/A</v>
        <stp/>
        <stp>BDP|17782199495388219953</stp>
        <tr r="F1606" s="2"/>
      </tp>
      <tp t="s">
        <v>#N/A N/A</v>
        <stp/>
        <stp>BDP|10993351410845980998</stp>
        <tr r="E997" s="2"/>
      </tp>
      <tp t="s">
        <v>#N/A N/A</v>
        <stp/>
        <stp>BDP|14560913427831886072</stp>
        <tr r="D736" s="2"/>
      </tp>
      <tp t="s">
        <v>#N/A N/A</v>
        <stp/>
        <stp>BDP|14814247220559423346</stp>
        <tr r="F105" s="2"/>
      </tp>
      <tp t="s">
        <v>#N/A N/A</v>
        <stp/>
        <stp>BDP|11974443965075669825</stp>
        <tr r="J238" s="2"/>
      </tp>
      <tp t="s">
        <v>#N/A N/A</v>
        <stp/>
        <stp>BDP|18159245266181720384</stp>
        <tr r="S239" s="2"/>
      </tp>
      <tp t="s">
        <v>#N/A N/A</v>
        <stp/>
        <stp>BDP|14354064262338902424</stp>
        <tr r="G1048" s="2"/>
      </tp>
      <tp t="s">
        <v>#N/A N/A</v>
        <stp/>
        <stp>BDP|13107487152354035871</stp>
        <tr r="E1711" s="2"/>
      </tp>
      <tp t="s">
        <v>#N/A N/A</v>
        <stp/>
        <stp>BDP|13553643305383057885</stp>
        <tr r="S1596" s="2"/>
      </tp>
      <tp t="s">
        <v>#N/A N/A</v>
        <stp/>
        <stp>BDP|18200626158273599618</stp>
        <tr r="N634" s="2"/>
      </tp>
      <tp t="s">
        <v>#N/A N/A</v>
        <stp/>
        <stp>BDP|16619062580303978352</stp>
        <tr r="J1389" s="2"/>
      </tp>
      <tp t="s">
        <v>#N/A N/A</v>
        <stp/>
        <stp>BDP|13734871551039954942</stp>
        <tr r="Q1493" s="2"/>
      </tp>
      <tp t="s">
        <v>#N/A N/A</v>
        <stp/>
        <stp>BDP|14667356929608153377</stp>
        <tr r="J1632" s="2"/>
      </tp>
      <tp t="s">
        <v>#N/A N/A</v>
        <stp/>
        <stp>BDP|17848141720843012908</stp>
        <tr r="A1198" s="2"/>
      </tp>
      <tp t="s">
        <v>#N/A N/A</v>
        <stp/>
        <stp>BDP|17901261802043276832</stp>
        <tr r="M956" s="2"/>
      </tp>
      <tp t="s">
        <v>#N/A N/A</v>
        <stp/>
        <stp>BDP|12389477188986956697</stp>
        <tr r="P108" s="2"/>
      </tp>
      <tp t="s">
        <v>#N/A N/A</v>
        <stp/>
        <stp>BDP|16105271181353195190</stp>
        <tr r="T1280" s="2"/>
      </tp>
      <tp t="s">
        <v>#N/A N/A</v>
        <stp/>
        <stp>BDP|10417951634394310098</stp>
        <tr r="H390" s="2"/>
      </tp>
      <tp t="s">
        <v>#N/A N/A</v>
        <stp/>
        <stp>BDP|13028987072267284475</stp>
        <tr r="T231" s="2"/>
      </tp>
      <tp t="s">
        <v>#N/A N/A</v>
        <stp/>
        <stp>BDP|11994414797251901395</stp>
        <tr r="T870" s="2"/>
      </tp>
      <tp t="s">
        <v>#N/A N/A</v>
        <stp/>
        <stp>BDP|15077858747722903542</stp>
        <tr r="H531" s="2"/>
      </tp>
      <tp t="s">
        <v>#N/A N/A</v>
        <stp/>
        <stp>BDP|16070006440559780586</stp>
        <tr r="K262" s="2"/>
      </tp>
      <tp t="s">
        <v>#N/A N/A</v>
        <stp/>
        <stp>BDP|13434899871176378406</stp>
        <tr r="O1559" s="2"/>
      </tp>
      <tp t="s">
        <v>#N/A N/A</v>
        <stp/>
        <stp>BDP|12794048792566948379</stp>
        <tr r="M166" s="2"/>
      </tp>
      <tp t="s">
        <v>#N/A N/A</v>
        <stp/>
        <stp>BDP|11724427103892100984</stp>
        <tr r="O1638" s="2"/>
      </tp>
      <tp t="s">
        <v>#N/A N/A</v>
        <stp/>
        <stp>BDP|11461976595937138883</stp>
        <tr r="J1641" s="2"/>
      </tp>
      <tp t="s">
        <v>#N/A N/A</v>
        <stp/>
        <stp>BDP|18233699356011627441</stp>
        <tr r="A500" s="2"/>
      </tp>
      <tp t="s">
        <v>#N/A N/A</v>
        <stp/>
        <stp>BDP|12611336299827062130</stp>
        <tr r="T147" s="2"/>
      </tp>
      <tp t="s">
        <v>#N/A N/A</v>
        <stp/>
        <stp>BDP|14603993831027736768</stp>
        <tr r="A1175" s="2"/>
      </tp>
      <tp t="s">
        <v>#N/A N/A</v>
        <stp/>
        <stp>BDP|16904826715491395023</stp>
        <tr r="T580" s="2"/>
      </tp>
      <tp t="s">
        <v>#N/A N/A</v>
        <stp/>
        <stp>BDP|12820929255096112612</stp>
        <tr r="O1463" s="2"/>
      </tp>
      <tp t="s">
        <v>#N/A N/A</v>
        <stp/>
        <stp>BDP|13807650622390631968</stp>
        <tr r="O227" s="2"/>
      </tp>
      <tp t="s">
        <v>#N/A N/A</v>
        <stp/>
        <stp>BDP|14067159177489444597</stp>
        <tr r="A1378" s="2"/>
      </tp>
      <tp t="s">
        <v>#N/A N/A</v>
        <stp/>
        <stp>BDP|14801273582642599273</stp>
        <tr r="P1253" s="2"/>
      </tp>
      <tp t="s">
        <v>#N/A N/A</v>
        <stp/>
        <stp>BDP|17668998342760626444</stp>
        <tr r="N1434" s="2"/>
      </tp>
      <tp t="s">
        <v>#N/A N/A</v>
        <stp/>
        <stp>BDP|15983106384187572577</stp>
        <tr r="Q473" s="2"/>
      </tp>
      <tp t="s">
        <v>#N/A N/A</v>
        <stp/>
        <stp>BDP|15242953438761692066</stp>
        <tr r="O451" s="2"/>
      </tp>
      <tp t="s">
        <v>#N/A N/A</v>
        <stp/>
        <stp>BDP|17689902438477393429</stp>
        <tr r="G975" s="2"/>
      </tp>
      <tp t="s">
        <v>#N/A N/A</v>
        <stp/>
        <stp>BDP|14012019779789448435</stp>
        <tr r="E139" s="2"/>
      </tp>
      <tp t="s">
        <v>#N/A N/A</v>
        <stp/>
        <stp>BDP|14949759643360154917</stp>
        <tr r="R303" s="2"/>
      </tp>
      <tp t="s">
        <v>#N/A N/A</v>
        <stp/>
        <stp>BDP|10804776241584597946</stp>
        <tr r="R276" s="2"/>
      </tp>
      <tp t="s">
        <v>#N/A N/A</v>
        <stp/>
        <stp>BDS|13511233408087353814</stp>
        <tr r="I1496" s="2"/>
      </tp>
      <tp t="s">
        <v>#N/A N/A</v>
        <stp/>
        <stp>BDP|18060746093089932110</stp>
        <tr r="F1596" s="2"/>
      </tp>
      <tp t="s">
        <v>#N/A N/A</v>
        <stp/>
        <stp>BDP|10522870326621916526</stp>
        <tr r="S189" s="2"/>
      </tp>
      <tp t="s">
        <v>#N/A N/A</v>
        <stp/>
        <stp>BDP|16902927312138017864</stp>
        <tr r="S948" s="2"/>
      </tp>
      <tp t="s">
        <v>#N/A N/A</v>
        <stp/>
        <stp>BDP|10738071519527330856</stp>
        <tr r="Q1587" s="2"/>
      </tp>
      <tp t="s">
        <v>#N/A N/A</v>
        <stp/>
        <stp>BDP|12678245998580556700</stp>
        <tr r="Q1704" s="2"/>
      </tp>
      <tp t="s">
        <v>#N/A N/A</v>
        <stp/>
        <stp>BDP|13486462212938813070</stp>
        <tr r="N1400" s="2"/>
      </tp>
      <tp t="s">
        <v>#N/A N/A</v>
        <stp/>
        <stp>BDP|15715446094462090488</stp>
        <tr r="S1318" s="2"/>
      </tp>
      <tp t="s">
        <v>#N/A N/A</v>
        <stp/>
        <stp>BDP|17860929323845744711</stp>
        <tr r="E775" s="2"/>
      </tp>
      <tp t="s">
        <v>#N/A N/A</v>
        <stp/>
        <stp>BDP|13508763478284323972</stp>
        <tr r="F1641" s="2"/>
      </tp>
      <tp t="s">
        <v>#N/A N/A</v>
        <stp/>
        <stp>BDP|12067308455913307997</stp>
        <tr r="E1718" s="2"/>
      </tp>
      <tp t="s">
        <v>#N/A N/A</v>
        <stp/>
        <stp>BDP|17760367780143890169</stp>
        <tr r="O1154" s="2"/>
      </tp>
      <tp t="s">
        <v>#N/A N/A</v>
        <stp/>
        <stp>BDP|14691859639499069855</stp>
        <tr r="Q903" s="2"/>
      </tp>
      <tp t="s">
        <v>#N/A N/A</v>
        <stp/>
        <stp>BDP|11906258533599136718</stp>
        <tr r="A997" s="2"/>
      </tp>
      <tp t="s">
        <v>#N/A N/A</v>
        <stp/>
        <stp>BDP|14450615955059730085</stp>
        <tr r="A5" s="2"/>
      </tp>
      <tp t="s">
        <v>#N/A N/A</v>
        <stp/>
        <stp>BDP|15496216925528885374</stp>
        <tr r="G364" s="2"/>
      </tp>
      <tp t="s">
        <v>#N/A N/A</v>
        <stp/>
        <stp>BDP|17525452380942979768</stp>
        <tr r="G936" s="2"/>
      </tp>
      <tp t="s">
        <v>#N/A N/A</v>
        <stp/>
        <stp>BDP|14924633325656078806</stp>
        <tr r="P1148" s="2"/>
      </tp>
      <tp t="s">
        <v>#N/A N/A</v>
        <stp/>
        <stp>BDP|14901912032400036053</stp>
        <tr r="J516" s="2"/>
      </tp>
      <tp t="s">
        <v>#N/A N/A</v>
        <stp/>
        <stp>BDP|16918968926145749619</stp>
        <tr r="G586" s="2"/>
      </tp>
      <tp t="s">
        <v>#N/A N/A</v>
        <stp/>
        <stp>BDP|13016043608495621851</stp>
        <tr r="H798" s="2"/>
      </tp>
      <tp t="s">
        <v>#N/A N/A</v>
        <stp/>
        <stp>BDP|15776618989825035001</stp>
        <tr r="S1649" s="2"/>
      </tp>
      <tp t="s">
        <v>#N/A N/A</v>
        <stp/>
        <stp>BDP|16395967845743855678</stp>
        <tr r="D251" s="2"/>
      </tp>
      <tp t="s">
        <v>#N/A N/A</v>
        <stp/>
        <stp>BDP|14655962911556710497</stp>
        <tr r="O1131" s="2"/>
      </tp>
      <tp t="s">
        <v>#N/A N/A</v>
        <stp/>
        <stp>BDP|13573786832580512951</stp>
        <tr r="C784" s="2"/>
      </tp>
      <tp t="s">
        <v>#N/A N/A</v>
        <stp/>
        <stp>BDP|10493160485781953600</stp>
        <tr r="R503" s="2"/>
      </tp>
      <tp t="s">
        <v>#N/A N/A</v>
        <stp/>
        <stp>BDP|10527939729294030111</stp>
        <tr r="S861" s="2"/>
      </tp>
      <tp t="s">
        <v>#N/A N/A</v>
        <stp/>
        <stp>BDP|11965393689596087272</stp>
        <tr r="R550" s="2"/>
      </tp>
      <tp t="s">
        <v>#N/A N/A</v>
        <stp/>
        <stp>BDP|11406960910622463589</stp>
        <tr r="Q1731" s="2"/>
      </tp>
      <tp t="s">
        <v>#N/A N/A</v>
        <stp/>
        <stp>BDP|15879228758324869843</stp>
        <tr r="R1293" s="2"/>
      </tp>
      <tp t="s">
        <v>#N/A N/A</v>
        <stp/>
        <stp>BDP|16396101488349234871</stp>
        <tr r="S322" s="2"/>
      </tp>
      <tp t="s">
        <v>#N/A N/A</v>
        <stp/>
        <stp>BDP|13499117955950868969</stp>
        <tr r="N353" s="2"/>
      </tp>
      <tp t="s">
        <v>#N/A N/A</v>
        <stp/>
        <stp>BDS|18219081104832320402</stp>
        <tr r="I832" s="2"/>
      </tp>
      <tp t="s">
        <v>#N/A N/A</v>
        <stp/>
        <stp>BDP|18188106479688519836</stp>
        <tr r="S175" s="2"/>
      </tp>
      <tp t="s">
        <v>#N/A N/A</v>
        <stp/>
        <stp>BDP|15207264619378508068</stp>
        <tr r="E1672" s="2"/>
      </tp>
      <tp t="s">
        <v>#N/A N/A</v>
        <stp/>
        <stp>BDP|11338521005459308399</stp>
        <tr r="F1591" s="2"/>
      </tp>
      <tp t="s">
        <v>#N/A N/A</v>
        <stp/>
        <stp>BDP|17501838662514231381</stp>
        <tr r="A1510" s="2"/>
      </tp>
      <tp t="s">
        <v>#N/A N/A</v>
        <stp/>
        <stp>BDP|16337198085139618875</stp>
        <tr r="Q660" s="2"/>
      </tp>
      <tp t="s">
        <v>#N/A N/A</v>
        <stp/>
        <stp>BDP|12515627999546581555</stp>
        <tr r="T695" s="2"/>
      </tp>
      <tp t="s">
        <v>#N/A N/A</v>
        <stp/>
        <stp>BDP|15890905236008739971</stp>
        <tr r="C1186" s="2"/>
      </tp>
      <tp t="s">
        <v>#N/A N/A</v>
        <stp/>
        <stp>BDP|11082774569237251925</stp>
        <tr r="C731" s="2"/>
      </tp>
      <tp t="s">
        <v>#N/A N/A</v>
        <stp/>
        <stp>BDP|15830010451929413725</stp>
        <tr r="Q1559" s="2"/>
      </tp>
      <tp t="s">
        <v>#N/A N/A</v>
        <stp/>
        <stp>BDP|13815317850408670318</stp>
        <tr r="G190" s="2"/>
      </tp>
      <tp t="s">
        <v>#N/A N/A</v>
        <stp/>
        <stp>BDP|12534128003275972833</stp>
        <tr r="N557" s="2"/>
      </tp>
      <tp t="s">
        <v>#N/A N/A</v>
        <stp/>
        <stp>BDP|13596646988800224359</stp>
        <tr r="E181" s="2"/>
      </tp>
      <tp t="s">
        <v>#N/A N/A</v>
        <stp/>
        <stp>BDP|12971048001018264405</stp>
        <tr r="K1081" s="2"/>
      </tp>
      <tp t="s">
        <v>#N/A N/A</v>
        <stp/>
        <stp>BDP|16475152654814224893</stp>
        <tr r="O1179" s="2"/>
      </tp>
      <tp t="s">
        <v>#N/A N/A</v>
        <stp/>
        <stp>BDP|15234780471843347863</stp>
        <tr r="C346" s="2"/>
      </tp>
      <tp t="s">
        <v>#N/A N/A</v>
        <stp/>
        <stp>BDP|15066303369389753700</stp>
        <tr r="D874" s="2"/>
      </tp>
      <tp t="s">
        <v>#N/A N/A</v>
        <stp/>
        <stp>BDP|10246261269203151921</stp>
        <tr r="H1588" s="2"/>
      </tp>
      <tp t="s">
        <v>#N/A N/A</v>
        <stp/>
        <stp>BDP|15711898645941351666</stp>
        <tr r="P337" s="2"/>
      </tp>
      <tp t="s">
        <v>#N/A N/A</v>
        <stp/>
        <stp>BDP|18267719900541807058</stp>
        <tr r="M1446" s="2"/>
      </tp>
      <tp t="s">
        <v>#N/A N/A</v>
        <stp/>
        <stp>BDP|17764991856471335452</stp>
        <tr r="R1389" s="2"/>
      </tp>
      <tp t="s">
        <v>#N/A N/A</v>
        <stp/>
        <stp>BDP|13256152963802896824</stp>
        <tr r="A1174" s="2"/>
      </tp>
      <tp t="s">
        <v>#N/A N/A</v>
        <stp/>
        <stp>BDP|14807573082952499571</stp>
        <tr r="P784" s="2"/>
      </tp>
      <tp t="s">
        <v>#N/A N/A</v>
        <stp/>
        <stp>BDP|10522805067510890049</stp>
        <tr r="P455" s="2"/>
      </tp>
      <tp t="s">
        <v>#N/A N/A</v>
        <stp/>
        <stp>BDP|10012060821594921804</stp>
        <tr r="M1610" s="2"/>
      </tp>
      <tp t="s">
        <v>#N/A N/A</v>
        <stp/>
        <stp>BDP|17128931062717806165</stp>
        <tr r="S302" s="2"/>
      </tp>
      <tp t="s">
        <v>#N/A N/A</v>
        <stp/>
        <stp>BDP|14872956179010888428</stp>
        <tr r="Q1460" s="2"/>
      </tp>
      <tp t="s">
        <v>#N/A N/A</v>
        <stp/>
        <stp>BDP|17701083000830123908</stp>
        <tr r="R1345" s="2"/>
      </tp>
      <tp t="s">
        <v>#N/A N/A</v>
        <stp/>
        <stp>BDP|10902410793104239772</stp>
        <tr r="P873" s="2"/>
      </tp>
      <tp t="s">
        <v>#N/A N/A</v>
        <stp/>
        <stp>BDP|13791829292948012498</stp>
        <tr r="A1425" s="2"/>
      </tp>
      <tp t="s">
        <v>#N/A N/A</v>
        <stp/>
        <stp>BDP|12682890477302385153</stp>
        <tr r="Q1374" s="2"/>
      </tp>
      <tp t="s">
        <v>#N/A N/A</v>
        <stp/>
        <stp>BDP|15901946432013116207</stp>
        <tr r="G297" s="2"/>
      </tp>
      <tp t="s">
        <v>#N/A N/A</v>
        <stp/>
        <stp>BDP|13151007942068523187</stp>
        <tr r="S64" s="2"/>
      </tp>
      <tp t="s">
        <v>#N/A N/A</v>
        <stp/>
        <stp>BDP|16508858901718611899</stp>
        <tr r="S1362" s="2"/>
      </tp>
      <tp t="s">
        <v>#N/A N/A</v>
        <stp/>
        <stp>BDP|13676798587553446129</stp>
        <tr r="E1065" s="2"/>
      </tp>
      <tp t="s">
        <v>#N/A N/A</v>
        <stp/>
        <stp>BDP|14947837487248140223</stp>
        <tr r="A1415" s="2"/>
      </tp>
      <tp t="s">
        <v>#N/A N/A</v>
        <stp/>
        <stp>BDP|10784377918659279548</stp>
        <tr r="T1323" s="2"/>
      </tp>
      <tp t="s">
        <v>#N/A N/A</v>
        <stp/>
        <stp>BDP|11535925441201800302</stp>
        <tr r="K1662" s="2"/>
      </tp>
      <tp t="s">
        <v>#N/A N/A</v>
        <stp/>
        <stp>BDP|17006282255579533762</stp>
        <tr r="G123" s="2"/>
      </tp>
      <tp t="s">
        <v>#N/A N/A</v>
        <stp/>
        <stp>BDP|16348694530005168853</stp>
        <tr r="P159" s="2"/>
      </tp>
      <tp t="s">
        <v>#N/A N/A</v>
        <stp/>
        <stp>BDP|12825547451444005834</stp>
        <tr r="J399" s="2"/>
      </tp>
      <tp t="s">
        <v>#N/A N/A</v>
        <stp/>
        <stp>BDP|17388380060388235483</stp>
        <tr r="R1075" s="2"/>
      </tp>
      <tp t="s">
        <v>#N/A N/A</v>
        <stp/>
        <stp>BDP|16267072387773115329</stp>
        <tr r="O1031" s="2"/>
      </tp>
      <tp t="s">
        <v>#N/A N/A</v>
        <stp/>
        <stp>BDP|17281533924369663724</stp>
        <tr r="O609" s="2"/>
      </tp>
      <tp t="s">
        <v>#N/A N/A</v>
        <stp/>
        <stp>BDP|12586945727162418537</stp>
        <tr r="T425" s="2"/>
      </tp>
      <tp t="s">
        <v>#N/A N/A</v>
        <stp/>
        <stp>BDP|11816496150346796877</stp>
        <tr r="J1066" s="2"/>
      </tp>
      <tp t="s">
        <v>#N/A N/A</v>
        <stp/>
        <stp>BDP|17376019113019174113</stp>
        <tr r="S546" s="2"/>
      </tp>
      <tp t="s">
        <v>#N/A N/A</v>
        <stp/>
        <stp>BDP|11936907623351384586</stp>
        <tr r="G1544" s="2"/>
      </tp>
      <tp t="s">
        <v>#N/A N/A</v>
        <stp/>
        <stp>BDP|10158891477288876968</stp>
        <tr r="S1054" s="2"/>
      </tp>
      <tp t="s">
        <v>#N/A N/A</v>
        <stp/>
        <stp>BDP|18383021945696661430</stp>
        <tr r="P859" s="2"/>
      </tp>
      <tp t="s">
        <v>#N/A N/A</v>
        <stp/>
        <stp>BDP|16354977951137681323</stp>
        <tr r="E1250" s="2"/>
      </tp>
      <tp t="s">
        <v>#N/A N/A</v>
        <stp/>
        <stp>BDP|14552452762999745142</stp>
        <tr r="D1375" s="2"/>
      </tp>
      <tp t="s">
        <v>#N/A N/A</v>
        <stp/>
        <stp>BDP|16441805939572996155</stp>
        <tr r="Q939" s="2"/>
      </tp>
      <tp t="s">
        <v>#N/A N/A</v>
        <stp/>
        <stp>BDP|12186816876174417731</stp>
        <tr r="T464" s="2"/>
      </tp>
      <tp t="s">
        <v>#N/A N/A</v>
        <stp/>
        <stp>BDP|17169280475444581885</stp>
        <tr r="N321" s="2"/>
      </tp>
      <tp t="s">
        <v>#N/A N/A</v>
        <stp/>
        <stp>BDP|12168553071937130950</stp>
        <tr r="N635" s="2"/>
      </tp>
      <tp t="s">
        <v>#N/A N/A</v>
        <stp/>
        <stp>BDP|17868302291996930511</stp>
        <tr r="P234" s="2"/>
      </tp>
      <tp t="s">
        <v>#N/A N/A</v>
        <stp/>
        <stp>BDP|13711304882461363779</stp>
        <tr r="C1156" s="2"/>
      </tp>
      <tp t="s">
        <v>#N/A N/A</v>
        <stp/>
        <stp>BDP|15484068600618084330</stp>
        <tr r="G1595" s="2"/>
      </tp>
      <tp t="s">
        <v>#N/A N/A</v>
        <stp/>
        <stp>BDP|15815878378532355657</stp>
        <tr r="D1259" s="2"/>
      </tp>
      <tp t="s">
        <v>#N/A N/A</v>
        <stp/>
        <stp>BDP|10385854547041669367</stp>
        <tr r="J1461" s="2"/>
      </tp>
      <tp t="s">
        <v>#N/A N/A</v>
        <stp/>
        <stp>BDP|12176323865471185865</stp>
        <tr r="N79" s="2"/>
      </tp>
      <tp t="s">
        <v>#N/A N/A</v>
        <stp/>
        <stp>BDP|11220175177581190826</stp>
        <tr r="O1413" s="2"/>
      </tp>
      <tp t="s">
        <v>#N/A N/A</v>
        <stp/>
        <stp>BDP|11419559138560015981</stp>
        <tr r="Q476" s="2"/>
      </tp>
      <tp t="s">
        <v>#N/A N/A</v>
        <stp/>
        <stp>BDP|18165067583879362762</stp>
        <tr r="C1119" s="2"/>
      </tp>
      <tp t="s">
        <v>#N/A N/A</v>
        <stp/>
        <stp>BDP|10666522465548241528</stp>
        <tr r="A1146" s="2"/>
      </tp>
      <tp t="s">
        <v>#N/A N/A</v>
        <stp/>
        <stp>BDP|15687217566249133612</stp>
        <tr r="A551" s="2"/>
      </tp>
      <tp t="s">
        <v>#N/A N/A</v>
        <stp/>
        <stp>BDP|14615105219058626285</stp>
        <tr r="S1559" s="2"/>
      </tp>
      <tp t="s">
        <v>#N/A N/A</v>
        <stp/>
        <stp>BDP|13632907055130542172</stp>
        <tr r="P1712" s="2"/>
      </tp>
      <tp t="s">
        <v>#N/A N/A</v>
        <stp/>
        <stp>BDP|11375395172418007395</stp>
        <tr r="F862" s="2"/>
      </tp>
      <tp t="s">
        <v>#N/A N/A</v>
        <stp/>
        <stp>BDP|17659167945168341475</stp>
        <tr r="F1061" s="2"/>
      </tp>
      <tp t="s">
        <v>#N/A N/A</v>
        <stp/>
        <stp>BDP|13916497317921246949</stp>
        <tr r="O1065" s="2"/>
      </tp>
      <tp t="s">
        <v>#N/A N/A</v>
        <stp/>
        <stp>BDP|13276245926154604972</stp>
        <tr r="G438" s="2"/>
      </tp>
      <tp t="s">
        <v>#N/A N/A</v>
        <stp/>
        <stp>BDP|15062422470761228910</stp>
        <tr r="P687" s="2"/>
      </tp>
      <tp t="s">
        <v>#N/A N/A</v>
        <stp/>
        <stp>BDP|15136858379686456289</stp>
        <tr r="J678" s="2"/>
      </tp>
      <tp t="s">
        <v>#N/A N/A</v>
        <stp/>
        <stp>BDP|12887791034111482901</stp>
        <tr r="G685" s="2"/>
      </tp>
      <tp t="s">
        <v>#N/A N/A</v>
        <stp/>
        <stp>BDP|17780939476151457675</stp>
        <tr r="C876" s="2"/>
      </tp>
      <tp t="s">
        <v>#N/A N/A</v>
        <stp/>
        <stp>BDP|18406154102555115237</stp>
        <tr r="K50" s="2"/>
      </tp>
      <tp t="s">
        <v>#N/A N/A</v>
        <stp/>
        <stp>BDP|13073905504102320666</stp>
        <tr r="K490" s="2"/>
      </tp>
      <tp t="s">
        <v>#N/A N/A</v>
        <stp/>
        <stp>BDP|12274579294889913991</stp>
        <tr r="R1427" s="2"/>
      </tp>
      <tp t="s">
        <v>#N/A N/A</v>
        <stp/>
        <stp>BDP|16236383047388479782</stp>
        <tr r="M1303" s="2"/>
      </tp>
      <tp t="s">
        <v>#N/A N/A</v>
        <stp/>
        <stp>BDP|16123410205355104957</stp>
        <tr r="C1733" s="2"/>
      </tp>
      <tp t="s">
        <v>#N/A N/A</v>
        <stp/>
        <stp>BDP|10284994589218393701</stp>
        <tr r="M877" s="2"/>
      </tp>
      <tp t="s">
        <v>#N/A N/A</v>
        <stp/>
        <stp>BDP|16602808604822314207</stp>
        <tr r="K1544" s="2"/>
      </tp>
      <tp t="s">
        <v>#N/A N/A</v>
        <stp/>
        <stp>BDP|14275914366532416702</stp>
        <tr r="S1030" s="2"/>
      </tp>
      <tp t="s">
        <v>#N/A N/A</v>
        <stp/>
        <stp>BDP|12735993315821246589</stp>
        <tr r="M1701" s="2"/>
      </tp>
      <tp t="s">
        <v>#N/A N/A</v>
        <stp/>
        <stp>BDP|14838506735308464484</stp>
        <tr r="S1300" s="2"/>
      </tp>
      <tp t="s">
        <v>#N/A N/A</v>
        <stp/>
        <stp>BDP|17053574045579351105</stp>
        <tr r="R1659" s="2"/>
      </tp>
      <tp t="s">
        <v>#N/A N/A</v>
        <stp/>
        <stp>BDP|17183048485283808296</stp>
        <tr r="K1280" s="2"/>
      </tp>
      <tp t="s">
        <v>#N/A N/A</v>
        <stp/>
        <stp>BDP|10856889938573900612</stp>
        <tr r="D165" s="2"/>
      </tp>
      <tp t="s">
        <v>#N/A N/A</v>
        <stp/>
        <stp>BDP|11650570153906213906</stp>
        <tr r="F507" s="2"/>
      </tp>
      <tp t="s">
        <v>#N/A N/A</v>
        <stp/>
        <stp>BDP|17899999729202801008</stp>
        <tr r="J1527" s="2"/>
      </tp>
      <tp t="s">
        <v>#N/A N/A</v>
        <stp/>
        <stp>BDP|17673978564873178549</stp>
        <tr r="Q373" s="2"/>
      </tp>
      <tp t="s">
        <v>#N/A N/A</v>
        <stp/>
        <stp>BDP|13348005025999579636</stp>
        <tr r="F785" s="2"/>
      </tp>
      <tp t="s">
        <v>#N/A N/A</v>
        <stp/>
        <stp>BDS|15781308496217481663</stp>
        <tr r="I491" s="2"/>
      </tp>
      <tp t="s">
        <v>#N/A N/A</v>
        <stp/>
        <stp>BDP|13871849625911872619</stp>
        <tr r="N801" s="2"/>
      </tp>
      <tp t="s">
        <v>#N/A N/A</v>
        <stp/>
        <stp>BDS|11572242396840262462</stp>
        <tr r="I517" s="2"/>
      </tp>
      <tp t="s">
        <v>#N/A N/A</v>
        <stp/>
        <stp>BDP|10041349086040435567</stp>
        <tr r="O1497" s="2"/>
      </tp>
      <tp t="s">
        <v>#N/A N/A</v>
        <stp/>
        <stp>BDP|15228224981053787267</stp>
        <tr r="J695" s="2"/>
      </tp>
      <tp t="s">
        <v>#N/A N/A</v>
        <stp/>
        <stp>BDP|16006274571934112975</stp>
        <tr r="K1522" s="2"/>
      </tp>
      <tp t="s">
        <v>#N/A N/A</v>
        <stp/>
        <stp>BDP|17574709084407401152</stp>
        <tr r="S780" s="2"/>
      </tp>
      <tp t="s">
        <v>#N/A N/A</v>
        <stp/>
        <stp>BDP|10143533299533925128</stp>
        <tr r="R99" s="2"/>
      </tp>
      <tp t="s">
        <v>#N/A N/A</v>
        <stp/>
        <stp>BDP|12633978144746640730</stp>
        <tr r="T684" s="2"/>
      </tp>
      <tp t="s">
        <v>#N/A N/A</v>
        <stp/>
        <stp>BDP|12707423217869103033</stp>
        <tr r="T1068" s="2"/>
      </tp>
      <tp t="s">
        <v>#N/A N/A</v>
        <stp/>
        <stp>BDP|16901839369487057137</stp>
        <tr r="G698" s="2"/>
      </tp>
      <tp t="s">
        <v>#N/A N/A</v>
        <stp/>
        <stp>BDP|11149364825537225908</stp>
        <tr r="D1643" s="2"/>
      </tp>
      <tp t="s">
        <v>#N/A N/A</v>
        <stp/>
        <stp>BDP|11311150828619909578</stp>
        <tr r="F624" s="2"/>
      </tp>
      <tp t="s">
        <v>#N/A N/A</v>
        <stp/>
        <stp>BDP|17202525726879643706</stp>
        <tr r="R1443" s="2"/>
      </tp>
      <tp t="s">
        <v>#N/A N/A</v>
        <stp/>
        <stp>BDP|17856424646539490082</stp>
        <tr r="A298" s="2"/>
      </tp>
      <tp t="s">
        <v>#N/A N/A</v>
        <stp/>
        <stp>BDS|11495977877915703409</stp>
        <tr r="I1237" s="2"/>
      </tp>
      <tp t="s">
        <v>#N/A N/A</v>
        <stp/>
        <stp>BDP|11656347920898523676</stp>
        <tr r="M1399" s="2"/>
      </tp>
      <tp t="s">
        <v>#N/A N/A</v>
        <stp/>
        <stp>BDP|14275874779830516594</stp>
        <tr r="H251" s="2"/>
      </tp>
      <tp t="s">
        <v>#N/A N/A</v>
        <stp/>
        <stp>BDS|18281856624044893889</stp>
        <tr r="I111" s="2"/>
      </tp>
      <tp t="s">
        <v>#N/A N/A</v>
        <stp/>
        <stp>BDP|17709298562164539994</stp>
        <tr r="A1001" s="2"/>
      </tp>
      <tp t="s">
        <v>#N/A N/A</v>
        <stp/>
        <stp>BDP|15563280732683995964</stp>
        <tr r="P1036" s="2"/>
      </tp>
      <tp t="s">
        <v>#N/A N/A</v>
        <stp/>
        <stp>BDP|15500743106499530529</stp>
        <tr r="H1641" s="2"/>
      </tp>
      <tp t="s">
        <v>#N/A N/A</v>
        <stp/>
        <stp>BDP|12095754427580472962</stp>
        <tr r="P1178" s="2"/>
      </tp>
      <tp t="s">
        <v>#N/A N/A</v>
        <stp/>
        <stp>BDP|10412894804021882710</stp>
        <tr r="K1489" s="2"/>
      </tp>
      <tp t="s">
        <v>#N/A N/A</v>
        <stp/>
        <stp>BDP|13895546282169677984</stp>
        <tr r="N420" s="2"/>
      </tp>
      <tp t="s">
        <v>#N/A N/A</v>
        <stp/>
        <stp>BDP|16686211512873444818</stp>
        <tr r="M1584" s="2"/>
      </tp>
      <tp t="s">
        <v>#N/A N/A</v>
        <stp/>
        <stp>BDP|14173019808052955818</stp>
        <tr r="P262" s="2"/>
      </tp>
      <tp t="s">
        <v>#N/A N/A</v>
        <stp/>
        <stp>BDP|11053982123795967124</stp>
        <tr r="N1244" s="2"/>
      </tp>
      <tp t="s">
        <v>#N/A N/A</v>
        <stp/>
        <stp>BDP|17778034234829410348</stp>
        <tr r="T404" s="2"/>
      </tp>
      <tp t="s">
        <v>#N/A N/A</v>
        <stp/>
        <stp>BDP|14154104174669202575</stp>
        <tr r="R327" s="2"/>
      </tp>
      <tp t="s">
        <v>#N/A N/A</v>
        <stp/>
        <stp>BDP|18171326684024404933</stp>
        <tr r="G1720" s="2"/>
      </tp>
      <tp t="s">
        <v>#N/A N/A</v>
        <stp/>
        <stp>BDP|13113765746036734865</stp>
        <tr r="P1433" s="2"/>
      </tp>
      <tp t="s">
        <v>#N/A N/A</v>
        <stp/>
        <stp>BDP|11799213484611595474</stp>
        <tr r="J403" s="2"/>
      </tp>
      <tp t="s">
        <v>#N/A N/A</v>
        <stp/>
        <stp>BDS|11357181323445219990</stp>
        <tr r="I1486" s="2"/>
      </tp>
      <tp t="s">
        <v>#N/A N/A</v>
        <stp/>
        <stp>BDP|13010865153253060351</stp>
        <tr r="T522" s="2"/>
      </tp>
      <tp t="s">
        <v>#N/A N/A</v>
        <stp/>
        <stp>BDP|13686168534878394770</stp>
        <tr r="E446" s="2"/>
      </tp>
      <tp t="s">
        <v>#N/A N/A</v>
        <stp/>
        <stp>BDP|16332643747189320333</stp>
        <tr r="T1087" s="2"/>
      </tp>
      <tp t="s">
        <v>#N/A N/A</v>
        <stp/>
        <stp>BDP|18409700142105521033</stp>
        <tr r="K1252" s="2"/>
      </tp>
      <tp t="s">
        <v>#N/A N/A</v>
        <stp/>
        <stp>BDS|17805036178219021706</stp>
        <tr r="I300" s="2"/>
      </tp>
      <tp t="s">
        <v>#N/A N/A</v>
        <stp/>
        <stp>BDP|10758243933718720773</stp>
        <tr r="K60" s="2"/>
      </tp>
      <tp t="s">
        <v>#N/A N/A</v>
        <stp/>
        <stp>BDP|14517833249530825675</stp>
        <tr r="S616" s="2"/>
      </tp>
      <tp t="s">
        <v>#N/A N/A</v>
        <stp/>
        <stp>BDP|15577833317274339622</stp>
        <tr r="D638" s="2"/>
      </tp>
      <tp t="s">
        <v>#N/A N/A</v>
        <stp/>
        <stp>BDP|14452339687962466344</stp>
        <tr r="A1145" s="2"/>
      </tp>
      <tp t="s">
        <v>#N/A N/A</v>
        <stp/>
        <stp>BDP|14523128162854433916</stp>
        <tr r="C564" s="2"/>
      </tp>
      <tp t="s">
        <v>#N/A N/A</v>
        <stp/>
        <stp>BDP|17122581172083927827</stp>
        <tr r="Q632" s="2"/>
      </tp>
      <tp t="s">
        <v>#N/A N/A</v>
        <stp/>
        <stp>BDP|18081542845273592447</stp>
        <tr r="P973" s="2"/>
      </tp>
      <tp t="s">
        <v>#N/A N/A</v>
        <stp/>
        <stp>BDP|12940949922937801072</stp>
        <tr r="T159" s="2"/>
      </tp>
      <tp t="s">
        <v>#N/A N/A</v>
        <stp/>
        <stp>BDP|13391380582902051493</stp>
        <tr r="K1090" s="2"/>
      </tp>
      <tp t="s">
        <v>#N/A N/A</v>
        <stp/>
        <stp>BDP|10472341251138494058</stp>
        <tr r="M689" s="2"/>
      </tp>
      <tp t="s">
        <v>#N/A N/A</v>
        <stp/>
        <stp>BDP|15120482080353943401</stp>
        <tr r="M1586" s="2"/>
      </tp>
      <tp t="s">
        <v>#N/A N/A</v>
        <stp/>
        <stp>BDP|14019913325185132456</stp>
        <tr r="P1473" s="2"/>
      </tp>
      <tp t="s">
        <v>#N/A N/A</v>
        <stp/>
        <stp>BDP|17142104291270104114</stp>
        <tr r="Q1203" s="2"/>
      </tp>
      <tp t="s">
        <v>#N/A N/A</v>
        <stp/>
        <stp>BDP|12679766755107736926</stp>
        <tr r="K274" s="2"/>
      </tp>
      <tp t="s">
        <v>#N/A N/A</v>
        <stp/>
        <stp>BDP|13985917548948303833</stp>
        <tr r="E25" s="2"/>
      </tp>
      <tp t="s">
        <v>#N/A N/A</v>
        <stp/>
        <stp>BDP|17392999935667700482</stp>
        <tr r="R1586" s="2"/>
      </tp>
      <tp t="s">
        <v>#N/A N/A</v>
        <stp/>
        <stp>BDP|15986755494576949318</stp>
        <tr r="M1400" s="2"/>
      </tp>
      <tp t="s">
        <v>#N/A N/A</v>
        <stp/>
        <stp>BDP|14769480090232854575</stp>
        <tr r="S813" s="2"/>
      </tp>
      <tp t="s">
        <v>#N/A N/A</v>
        <stp/>
        <stp>BDP|16077185519610677877</stp>
        <tr r="J1750" s="2"/>
      </tp>
      <tp t="s">
        <v>#N/A N/A</v>
        <stp/>
        <stp>BDP|13971477799840745008</stp>
        <tr r="P1718" s="2"/>
      </tp>
      <tp t="s">
        <v>#N/A N/A</v>
        <stp/>
        <stp>BDP|11194720154319485436</stp>
        <tr r="O552" s="2"/>
      </tp>
      <tp t="s">
        <v>#N/A N/A</v>
        <stp/>
        <stp>BDP|12433981429326167143</stp>
        <tr r="J422" s="2"/>
      </tp>
      <tp t="s">
        <v>#N/A N/A</v>
        <stp/>
        <stp>BDP|17589953054827116269</stp>
        <tr r="T1201" s="2"/>
      </tp>
      <tp t="s">
        <v>#N/A N/A</v>
        <stp/>
        <stp>BDP|14449063184905753720</stp>
        <tr r="J1304" s="2"/>
      </tp>
      <tp t="s">
        <v>#N/A N/A</v>
        <stp/>
        <stp>BDP|11442421327848547172</stp>
        <tr r="O540" s="2"/>
      </tp>
      <tp t="s">
        <v>#N/A N/A</v>
        <stp/>
        <stp>BDP|15991382892944007508</stp>
        <tr r="D1559" s="2"/>
      </tp>
      <tp t="s">
        <v>#N/A N/A</v>
        <stp/>
        <stp>BDP|16518218286475617776</stp>
        <tr r="H1276" s="2"/>
      </tp>
      <tp t="s">
        <v>#N/A N/A</v>
        <stp/>
        <stp>BDP|10401816152902076142</stp>
        <tr r="K1594" s="2"/>
      </tp>
      <tp t="s">
        <v>#N/A N/A</v>
        <stp/>
        <stp>BDP|11219515857118573728</stp>
        <tr r="J217" s="2"/>
      </tp>
      <tp t="s">
        <v>#N/A N/A</v>
        <stp/>
        <stp>BDP|18100608420304731651</stp>
        <tr r="S618" s="2"/>
      </tp>
      <tp t="s">
        <v>#N/A N/A</v>
        <stp/>
        <stp>BDS|15237037809532908918</stp>
        <tr r="I1659" s="2"/>
      </tp>
      <tp t="s">
        <v>#N/A N/A</v>
        <stp/>
        <stp>BDP|14240129906973196842</stp>
        <tr r="O488" s="2"/>
      </tp>
      <tp t="s">
        <v>#N/A N/A</v>
        <stp/>
        <stp>BDP|14342359054715257930</stp>
        <tr r="S631" s="2"/>
      </tp>
      <tp t="s">
        <v>#N/A N/A</v>
        <stp/>
        <stp>BDP|18081895719367104821</stp>
        <tr r="Q716" s="2"/>
      </tp>
      <tp t="s">
        <v>#N/A N/A</v>
        <stp/>
        <stp>BDP|18437615663001287771</stp>
        <tr r="E351" s="2"/>
      </tp>
      <tp t="s">
        <v>#N/A N/A</v>
        <stp/>
        <stp>BDP|11592105058758906374</stp>
        <tr r="F637" s="2"/>
      </tp>
      <tp t="s">
        <v>#N/A N/A</v>
        <stp/>
        <stp>BDP|15988149778588736518</stp>
        <tr r="H1015" s="2"/>
      </tp>
      <tp t="s">
        <v>#N/A N/A</v>
        <stp/>
        <stp>BDP|14435219021428709200</stp>
        <tr r="F1036" s="2"/>
      </tp>
      <tp t="s">
        <v>#N/A N/A</v>
        <stp/>
        <stp>BDP|15152824552762018429</stp>
        <tr r="R929" s="2"/>
      </tp>
      <tp t="s">
        <v>#N/A N/A</v>
        <stp/>
        <stp>BDP|15699242446008106565</stp>
        <tr r="H861" s="2"/>
      </tp>
      <tp t="s">
        <v>#N/A N/A</v>
        <stp/>
        <stp>BDP|12895068552751982860</stp>
        <tr r="H1059" s="2"/>
      </tp>
      <tp t="s">
        <v>#N/A N/A</v>
        <stp/>
        <stp>BDP|18194701712471017103</stp>
        <tr r="G1109" s="2"/>
      </tp>
      <tp t="s">
        <v>#N/A N/A</v>
        <stp/>
        <stp>BDP|11421035731015585901</stp>
        <tr r="R885" s="2"/>
      </tp>
      <tp t="s">
        <v>#N/A N/A</v>
        <stp/>
        <stp>BDP|14642596208676383971</stp>
        <tr r="J448" s="2"/>
      </tp>
      <tp t="s">
        <v>#N/A N/A</v>
        <stp/>
        <stp>BDP|10419654889431853139</stp>
        <tr r="K241" s="2"/>
      </tp>
      <tp t="s">
        <v>#N/A N/A</v>
        <stp/>
        <stp>BDP|16339281700482034888</stp>
        <tr r="T905" s="2"/>
      </tp>
      <tp t="s">
        <v>#N/A N/A</v>
        <stp/>
        <stp>BDP|14893726595950595493</stp>
        <tr r="R1657" s="2"/>
      </tp>
      <tp t="s">
        <v>#N/A N/A</v>
        <stp/>
        <stp>BDP|14090967321035242466</stp>
        <tr r="P1549" s="2"/>
      </tp>
      <tp t="s">
        <v>#N/A N/A</v>
        <stp/>
        <stp>BDP|13629663074664051871</stp>
        <tr r="D282" s="2"/>
      </tp>
      <tp t="s">
        <v>#N/A N/A</v>
        <stp/>
        <stp>BDP|18253706982518252110</stp>
        <tr r="P1735" s="2"/>
      </tp>
      <tp t="s">
        <v>#N/A N/A</v>
        <stp/>
        <stp>BDP|11019078685464572349</stp>
        <tr r="N494" s="2"/>
      </tp>
      <tp t="s">
        <v>#N/A N/A</v>
        <stp/>
        <stp>BDP|12244269839748797591</stp>
        <tr r="A731" s="2"/>
      </tp>
      <tp t="s">
        <v>#N/A N/A</v>
        <stp/>
        <stp>BDP|17113240792152369074</stp>
        <tr r="D607" s="2"/>
      </tp>
      <tp t="s">
        <v>#N/A N/A</v>
        <stp/>
        <stp>BDP|18200194402973387497</stp>
        <tr r="S1510" s="2"/>
      </tp>
      <tp t="s">
        <v>#N/A N/A</v>
        <stp/>
        <stp>BDP|15030133251608133707</stp>
        <tr r="O1061" s="2"/>
      </tp>
      <tp t="s">
        <v>#N/A N/A</v>
        <stp/>
        <stp>BDP|10069602582659554946</stp>
        <tr r="F1699" s="2"/>
      </tp>
      <tp t="s">
        <v>#N/A N/A</v>
        <stp/>
        <stp>BDP|12354881642515998539</stp>
        <tr r="O1256" s="2"/>
      </tp>
      <tp t="s">
        <v>#N/A N/A</v>
        <stp/>
        <stp>BDP|14392829940773319517</stp>
        <tr r="R1299" s="2"/>
      </tp>
      <tp t="s">
        <v>#N/A N/A</v>
        <stp/>
        <stp>BDP|18413834380254140252</stp>
        <tr r="G712" s="2"/>
      </tp>
      <tp t="s">
        <v>#N/A N/A</v>
        <stp/>
        <stp>BDP|18200807614708540705</stp>
        <tr r="A170" s="2"/>
      </tp>
      <tp t="s">
        <v>#N/A N/A</v>
        <stp/>
        <stp>BDP|11158493718833094937</stp>
        <tr r="N723" s="2"/>
      </tp>
      <tp t="s">
        <v>#N/A N/A</v>
        <stp/>
        <stp>BDP|16215147320429118244</stp>
        <tr r="N1550" s="2"/>
      </tp>
      <tp t="s">
        <v>#N/A N/A</v>
        <stp/>
        <stp>BDP|12208150766788308310</stp>
        <tr r="T1406" s="2"/>
      </tp>
      <tp t="s">
        <v>#N/A N/A</v>
        <stp/>
        <stp>BDP|15600330067608639672</stp>
        <tr r="J47" s="2"/>
      </tp>
      <tp t="s">
        <v>#N/A N/A</v>
        <stp/>
        <stp>BDP|11753310605199008503</stp>
        <tr r="D734" s="2"/>
      </tp>
      <tp t="s">
        <v>#N/A N/A</v>
        <stp/>
        <stp>BDP|18422517394163641947</stp>
        <tr r="D1617" s="2"/>
      </tp>
      <tp t="s">
        <v>#N/A N/A</v>
        <stp/>
        <stp>BDP|10737936067392344334</stp>
        <tr r="S419" s="2"/>
      </tp>
      <tp t="s">
        <v>#N/A N/A</v>
        <stp/>
        <stp>BDP|11812462282522685198</stp>
        <tr r="D1655" s="2"/>
      </tp>
      <tp t="s">
        <v>#N/A N/A</v>
        <stp/>
        <stp>BDP|16546155490178719844</stp>
        <tr r="M272" s="2"/>
      </tp>
      <tp t="s">
        <v>#N/A N/A</v>
        <stp/>
        <stp>BDP|12326841319047414297</stp>
        <tr r="P426" s="2"/>
      </tp>
      <tp t="s">
        <v>#N/A N/A</v>
        <stp/>
        <stp>BDP|11382355397407287204</stp>
        <tr r="Q1474" s="2"/>
      </tp>
      <tp t="s">
        <v>#N/A N/A</v>
        <stp/>
        <stp>BDP|13213328481805400365</stp>
        <tr r="S174" s="2"/>
      </tp>
      <tp t="s">
        <v>#N/A N/A</v>
        <stp/>
        <stp>BDP|17706308703818252251</stp>
        <tr r="G1296" s="2"/>
      </tp>
      <tp t="s">
        <v>#N/A N/A</v>
        <stp/>
        <stp>BDP|18113126490206989886</stp>
        <tr r="E1023" s="2"/>
      </tp>
      <tp t="s">
        <v>#N/A N/A</v>
        <stp/>
        <stp>BDP|14376518795291000756</stp>
        <tr r="Q1355" s="2"/>
      </tp>
      <tp t="s">
        <v>#N/A N/A</v>
        <stp/>
        <stp>BDP|16610312768128580581</stp>
        <tr r="E1247" s="2"/>
      </tp>
      <tp t="s">
        <v>#N/A N/A</v>
        <stp/>
        <stp>BDS|14684397181312641393</stp>
        <tr r="I660" s="2"/>
      </tp>
      <tp t="s">
        <v>#N/A N/A</v>
        <stp/>
        <stp>BDP|16612713095901004700</stp>
        <tr r="M965" s="2"/>
      </tp>
      <tp t="s">
        <v>#N/A N/A</v>
        <stp/>
        <stp>BDP|10744542180993902085</stp>
        <tr r="T921" s="2"/>
      </tp>
      <tp t="s">
        <v>#N/A N/A</v>
        <stp/>
        <stp>BDP|13017761610078797330</stp>
        <tr r="Q1296" s="2"/>
      </tp>
      <tp t="s">
        <v>#N/A N/A</v>
        <stp/>
        <stp>BDP|10657853612566234119</stp>
        <tr r="R1439" s="2"/>
      </tp>
      <tp t="s">
        <v>#N/A N/A</v>
        <stp/>
        <stp>BDP|14603767986911548413</stp>
        <tr r="J884" s="2"/>
      </tp>
      <tp t="s">
        <v>#N/A N/A</v>
        <stp/>
        <stp>BDP|17211669311548062673</stp>
        <tr r="Q987" s="2"/>
      </tp>
      <tp t="s">
        <v>#N/A N/A</v>
        <stp/>
        <stp>BDP|17447923076494089323</stp>
        <tr r="G1429" s="2"/>
      </tp>
      <tp t="s">
        <v>#N/A N/A</v>
        <stp/>
        <stp>BDP|14971558553069973340</stp>
        <tr r="A912" s="2"/>
      </tp>
      <tp t="s">
        <v>#N/A N/A</v>
        <stp/>
        <stp>BDP|16185876789320427890</stp>
        <tr r="C397" s="2"/>
      </tp>
      <tp t="s">
        <v>#N/A N/A</v>
        <stp/>
        <stp>BDP|18282920817659269777</stp>
        <tr r="T1083" s="2"/>
      </tp>
      <tp t="s">
        <v>#N/A N/A</v>
        <stp/>
        <stp>BDP|12086118590424039039</stp>
        <tr r="K1685" s="2"/>
      </tp>
      <tp t="s">
        <v>#N/A N/A</v>
        <stp/>
        <stp>BDP|14731154944239317679</stp>
        <tr r="P590" s="2"/>
      </tp>
      <tp t="s">
        <v>#N/A N/A</v>
        <stp/>
        <stp>BDP|12482496566799131787</stp>
        <tr r="J20" s="2"/>
      </tp>
      <tp t="s">
        <v>#N/A N/A</v>
        <stp/>
        <stp>BDP|12634422101519400139</stp>
        <tr r="H1187" s="2"/>
      </tp>
      <tp t="s">
        <v>#N/A N/A</v>
        <stp/>
        <stp>BDP|16234150467986655943</stp>
        <tr r="P941" s="2"/>
      </tp>
      <tp t="s">
        <v>#N/A N/A</v>
        <stp/>
        <stp>BDP|12774975692988215426</stp>
        <tr r="S601" s="2"/>
      </tp>
      <tp t="s">
        <v>#N/A N/A</v>
        <stp/>
        <stp>BDP|12306972992598522419</stp>
        <tr r="K327" s="2"/>
      </tp>
      <tp t="s">
        <v>#N/A N/A</v>
        <stp/>
        <stp>BDP|13406056655421053964</stp>
        <tr r="J941" s="2"/>
      </tp>
      <tp t="s">
        <v>#N/A N/A</v>
        <stp/>
        <stp>BDP|11761438266459405449</stp>
        <tr r="J712" s="2"/>
      </tp>
      <tp t="s">
        <v>#N/A N/A</v>
        <stp/>
        <stp>BDP|12554987741593607285</stp>
        <tr r="C89" s="2"/>
      </tp>
      <tp t="s">
        <v>#N/A N/A</v>
        <stp/>
        <stp>BDP|16466292013519978254</stp>
        <tr r="T57" s="2"/>
      </tp>
      <tp t="s">
        <v>#N/A N/A</v>
        <stp/>
        <stp>BDP|12028999078705081736</stp>
        <tr r="S999" s="2"/>
      </tp>
      <tp t="s">
        <v>#N/A N/A</v>
        <stp/>
        <stp>BDP|14627806032157649603</stp>
        <tr r="F1345" s="2"/>
      </tp>
      <tp t="s">
        <v>#N/A N/A</v>
        <stp/>
        <stp>BDP|11042647290219515932</stp>
        <tr r="D1753" s="2"/>
      </tp>
      <tp t="s">
        <v>#N/A N/A</v>
        <stp/>
        <stp>BDP|17716860973257988199</stp>
        <tr r="C1430" s="2"/>
      </tp>
      <tp t="s">
        <v>#N/A N/A</v>
        <stp/>
        <stp>BDP|12952424968426001814</stp>
        <tr r="D954" s="2"/>
      </tp>
      <tp t="s">
        <v>#N/A N/A</v>
        <stp/>
        <stp>BDP|14124353532568147251</stp>
        <tr r="N876" s="2"/>
      </tp>
      <tp t="s">
        <v>#N/A N/A</v>
        <stp/>
        <stp>BDP|11869052689463225442</stp>
        <tr r="M1472" s="2"/>
      </tp>
      <tp t="s">
        <v>#N/A N/A</v>
        <stp/>
        <stp>BDP|13748177596263547615</stp>
        <tr r="D663" s="2"/>
      </tp>
      <tp t="s">
        <v>#N/A N/A</v>
        <stp/>
        <stp>BDP|10877456179839596430</stp>
        <tr r="R1030" s="2"/>
      </tp>
      <tp t="s">
        <v>#N/A N/A</v>
        <stp/>
        <stp>BDP|17246632452793199908</stp>
        <tr r="C1682" s="2"/>
      </tp>
      <tp t="s">
        <v>#N/A N/A</v>
        <stp/>
        <stp>BDP|14297003900322985896</stp>
        <tr r="R992" s="2"/>
      </tp>
      <tp t="s">
        <v>#N/A N/A</v>
        <stp/>
        <stp>BDP|14335867177527163210</stp>
        <tr r="C1126" s="2"/>
      </tp>
      <tp t="s">
        <v>#N/A N/A</v>
        <stp/>
        <stp>BDP|15049041057398352624</stp>
        <tr r="R738" s="2"/>
      </tp>
      <tp t="s">
        <v>#N/A N/A</v>
        <stp/>
        <stp>BDP|10645114790780427613</stp>
        <tr r="F409" s="2"/>
      </tp>
      <tp t="s">
        <v>#N/A N/A</v>
        <stp/>
        <stp>BDP|16214965756663203724</stp>
        <tr r="H834" s="2"/>
      </tp>
      <tp t="s">
        <v>#N/A N/A</v>
        <stp/>
        <stp>BDP|18190478135068515946</stp>
        <tr r="S1137" s="2"/>
      </tp>
      <tp t="s">
        <v>#N/A N/A</v>
        <stp/>
        <stp>BDP|10731295365798106284</stp>
        <tr r="F644" s="2"/>
      </tp>
      <tp t="s">
        <v>#N/A N/A</v>
        <stp/>
        <stp>BDP|17497411285795091023</stp>
        <tr r="K337" s="2"/>
      </tp>
      <tp t="s">
        <v>#N/A N/A</v>
        <stp/>
        <stp>BDP|17832268044187867809</stp>
        <tr r="R1527" s="2"/>
      </tp>
      <tp t="s">
        <v>#N/A N/A</v>
        <stp/>
        <stp>BDP|14791115318873571996</stp>
        <tr r="G728" s="2"/>
      </tp>
      <tp t="s">
        <v>#N/A N/A</v>
        <stp/>
        <stp>BDS|14451906766764477176</stp>
        <tr r="I708" s="2"/>
      </tp>
      <tp t="s">
        <v>#N/A N/A</v>
        <stp/>
        <stp>BDP|15742785838516298978</stp>
        <tr r="G1071" s="2"/>
      </tp>
      <tp t="s">
        <v>#N/A N/A</v>
        <stp/>
        <stp>BDP|16942787063718340135</stp>
        <tr r="C1099" s="2"/>
      </tp>
      <tp t="s">
        <v>#N/A N/A</v>
        <stp/>
        <stp>BDP|15616802466944684147</stp>
        <tr r="T1381" s="2"/>
      </tp>
      <tp t="s">
        <v>#N/A N/A</v>
        <stp/>
        <stp>BDP|17514376096590424324</stp>
        <tr r="F443" s="2"/>
      </tp>
      <tp t="s">
        <v>#N/A N/A</v>
        <stp/>
        <stp>BDP|16543426491476773335</stp>
        <tr r="A1475" s="2"/>
      </tp>
      <tp t="s">
        <v>#N/A N/A</v>
        <stp/>
        <stp>BDP|13922927978821004266</stp>
        <tr r="F236" s="2"/>
      </tp>
      <tp t="s">
        <v>#N/A N/A</v>
        <stp/>
        <stp>BDP|12477307141079589253</stp>
        <tr r="E447" s="2"/>
      </tp>
      <tp t="s">
        <v>#N/A N/A</v>
        <stp/>
        <stp>BDP|14984599402569295656</stp>
        <tr r="E1337" s="2"/>
      </tp>
      <tp t="s">
        <v>#N/A N/A</v>
        <stp/>
        <stp>BDP|15464098919352704867</stp>
        <tr r="R34" s="2"/>
      </tp>
      <tp t="s">
        <v>#N/A N/A</v>
        <stp/>
        <stp>BDP|10863398353441517921</stp>
        <tr r="J493" s="2"/>
      </tp>
      <tp t="s">
        <v>#N/A N/A</v>
        <stp/>
        <stp>BDP|14785842427079015911</stp>
        <tr r="R698" s="2"/>
      </tp>
      <tp t="s">
        <v>#N/A N/A</v>
        <stp/>
        <stp>BDP|15373272124818158341</stp>
        <tr r="O1460" s="2"/>
      </tp>
      <tp t="s">
        <v>#N/A N/A</v>
        <stp/>
        <stp>BDP|10349388696735966114</stp>
        <tr r="N301" s="2"/>
      </tp>
      <tp t="s">
        <v>#N/A N/A</v>
        <stp/>
        <stp>BDP|13602243927434896986</stp>
        <tr r="T1149" s="2"/>
      </tp>
      <tp t="s">
        <v>#N/A N/A</v>
        <stp/>
        <stp>BDP|18354489866026166292</stp>
        <tr r="N938" s="2"/>
      </tp>
      <tp t="s">
        <v>#N/A N/A</v>
        <stp/>
        <stp>BDP|12373872975110490305</stp>
        <tr r="Q1103" s="2"/>
      </tp>
      <tp t="s">
        <v>#N/A N/A</v>
        <stp/>
        <stp>BDP|14163286720573448989</stp>
        <tr r="O497" s="2"/>
      </tp>
      <tp t="s">
        <v>#N/A N/A</v>
        <stp/>
        <stp>BDP|16865091413240050978</stp>
        <tr r="P89" s="2"/>
      </tp>
      <tp t="s">
        <v>#N/A N/A</v>
        <stp/>
        <stp>BDP|11585403803643678852</stp>
        <tr r="C549" s="2"/>
      </tp>
      <tp t="s">
        <v>#N/A N/A</v>
        <stp/>
        <stp>BDP|11600328201445154911</stp>
        <tr r="P80" s="2"/>
      </tp>
      <tp t="s">
        <v>#N/A N/A</v>
        <stp/>
        <stp>BDP|11905433756568110688</stp>
        <tr r="S1734" s="2"/>
      </tp>
      <tp t="s">
        <v>#N/A N/A</v>
        <stp/>
        <stp>BDP|12473534862709484642</stp>
        <tr r="D1144" s="2"/>
      </tp>
      <tp t="s">
        <v>#N/A N/A</v>
        <stp/>
        <stp>BDP|15100875482448375328</stp>
        <tr r="J592" s="2"/>
      </tp>
      <tp t="s">
        <v>#N/A N/A</v>
        <stp/>
        <stp>BDP|13636274400508095745</stp>
        <tr r="J1215" s="2"/>
      </tp>
      <tp t="s">
        <v>#N/A N/A</v>
        <stp/>
        <stp>BDP|14736417448503874938</stp>
        <tr r="P1468" s="2"/>
      </tp>
      <tp t="s">
        <v>#N/A N/A</v>
        <stp/>
        <stp>BDP|11701711115490481920</stp>
        <tr r="D864" s="2"/>
      </tp>
      <tp t="s">
        <v>#N/A N/A</v>
        <stp/>
        <stp>BDP|13451043312859447537</stp>
        <tr r="N1018" s="2"/>
      </tp>
      <tp t="s">
        <v>#N/A N/A</v>
        <stp/>
        <stp>BDP|10920686502431490925</stp>
        <tr r="P1543" s="2"/>
      </tp>
      <tp t="s">
        <v>#N/A N/A</v>
        <stp/>
        <stp>BDP|17526779716567457857</stp>
        <tr r="C438" s="2"/>
      </tp>
      <tp t="s">
        <v>#N/A N/A</v>
        <stp/>
        <stp>BDP|13959403084372046382</stp>
        <tr r="M848" s="2"/>
      </tp>
      <tp t="s">
        <v>#N/A N/A</v>
        <stp/>
        <stp>BDP|10988569488463226005</stp>
        <tr r="O1203" s="2"/>
      </tp>
      <tp t="s">
        <v>#N/A N/A</v>
        <stp/>
        <stp>BDP|11220185888440309641</stp>
        <tr r="H663" s="2"/>
      </tp>
      <tp t="s">
        <v>#N/A N/A</v>
        <stp/>
        <stp>BDP|12186087042631791991</stp>
        <tr r="S710" s="2"/>
      </tp>
      <tp t="s">
        <v>#N/A N/A</v>
        <stp/>
        <stp>BDP|15306760252920502978</stp>
        <tr r="M1517" s="2"/>
      </tp>
      <tp t="s">
        <v>#N/A N/A</v>
        <stp/>
        <stp>BDP|11737463449618435794</stp>
        <tr r="H1210" s="2"/>
      </tp>
      <tp t="s">
        <v>#N/A N/A</v>
        <stp/>
        <stp>BDP|16280116309230996964</stp>
        <tr r="S330" s="2"/>
      </tp>
      <tp t="s">
        <v>#N/A N/A</v>
        <stp/>
        <stp>BDP|10133330589475672081</stp>
        <tr r="C431" s="2"/>
      </tp>
      <tp t="s">
        <v>#N/A N/A</v>
        <stp/>
        <stp>BDP|15740980548217331115</stp>
        <tr r="T973" s="2"/>
      </tp>
      <tp t="s">
        <v>#N/A N/A</v>
        <stp/>
        <stp>BDP|11452931693877197805</stp>
        <tr r="O495" s="2"/>
      </tp>
      <tp t="s">
        <v>#N/A N/A</v>
        <stp/>
        <stp>BDP|17700980888771558972</stp>
        <tr r="H1690" s="2"/>
      </tp>
      <tp t="s">
        <v>#N/A N/A</v>
        <stp/>
        <stp>BDP|13133460740374015921</stp>
        <tr r="C59" s="2"/>
      </tp>
      <tp t="s">
        <v>#N/A N/A</v>
        <stp/>
        <stp>BDP|10636550754666327817</stp>
        <tr r="F1136" s="2"/>
      </tp>
      <tp t="s">
        <v>#N/A N/A</v>
        <stp/>
        <stp>BDP|13842315642402629880</stp>
        <tr r="H916" s="2"/>
      </tp>
      <tp t="s">
        <v>#N/A N/A</v>
        <stp/>
        <stp>BDP|17379156285470021060</stp>
        <tr r="F1039" s="2"/>
      </tp>
      <tp t="s">
        <v>#N/A N/A</v>
        <stp/>
        <stp>BDP|15033833072716497209</stp>
        <tr r="P1004" s="2"/>
      </tp>
      <tp t="s">
        <v>#N/A N/A</v>
        <stp/>
        <stp>BDP|13639686993153015182</stp>
        <tr r="M1120" s="2"/>
      </tp>
      <tp t="s">
        <v>#N/A N/A</v>
        <stp/>
        <stp>BDS|15959378571088120789</stp>
        <tr r="I232" s="2"/>
      </tp>
      <tp t="s">
        <v>#N/A N/A</v>
        <stp/>
        <stp>BDP|17788263252459108779</stp>
        <tr r="F1396" s="2"/>
      </tp>
      <tp t="s">
        <v>#N/A N/A</v>
        <stp/>
        <stp>BDP|17468158338873859846</stp>
        <tr r="R215" s="2"/>
      </tp>
      <tp t="s">
        <v>#N/A N/A</v>
        <stp/>
        <stp>BDP|14706168753788099673</stp>
        <tr r="N473" s="2"/>
      </tp>
      <tp t="s">
        <v>#N/A N/A</v>
        <stp/>
        <stp>BDP|17021760754302129967</stp>
        <tr r="D406" s="2"/>
      </tp>
      <tp t="s">
        <v>#N/A N/A</v>
        <stp/>
        <stp>BDP|12666315193526753067</stp>
        <tr r="R1323" s="2"/>
      </tp>
      <tp t="s">
        <v>#N/A N/A</v>
        <stp/>
        <stp>BDP|13899752418078169319</stp>
        <tr r="R1198" s="2"/>
      </tp>
      <tp t="s">
        <v>#N/A N/A</v>
        <stp/>
        <stp>BDP|10290576700718603372</stp>
        <tr r="S512" s="2"/>
      </tp>
      <tp t="s">
        <v>#N/A N/A</v>
        <stp/>
        <stp>BDP|13376011652659620128</stp>
        <tr r="Q808" s="2"/>
      </tp>
      <tp t="s">
        <v>#N/A N/A</v>
        <stp/>
        <stp>BDP|12699850174491515266</stp>
        <tr r="K76" s="2"/>
      </tp>
      <tp t="s">
        <v>#N/A N/A</v>
        <stp/>
        <stp>BDP|18365379658707002782</stp>
        <tr r="H1422" s="2"/>
      </tp>
      <tp t="s">
        <v>#N/A N/A</v>
        <stp/>
        <stp>BDP|18080499250261928648</stp>
        <tr r="K56" s="2"/>
      </tp>
      <tp t="s">
        <v>#N/A N/A</v>
        <stp/>
        <stp>BDP|18018623176865731270</stp>
        <tr r="A960" s="2"/>
      </tp>
      <tp t="s">
        <v>#N/A N/A</v>
        <stp/>
        <stp>BDP|10078978540410479375</stp>
        <tr r="R1409" s="2"/>
      </tp>
      <tp t="s">
        <v>#N/A N/A</v>
        <stp/>
        <stp>BDP|17274160847849264551</stp>
        <tr r="A466" s="2"/>
      </tp>
      <tp t="s">
        <v>#N/A N/A</v>
        <stp/>
        <stp>BDP|18228427971985645037</stp>
        <tr r="E1265" s="2"/>
      </tp>
      <tp t="s">
        <v>#N/A N/A</v>
        <stp/>
        <stp>BDS|17268334299416915568</stp>
        <tr r="I815" s="2"/>
      </tp>
      <tp t="s">
        <v>#N/A N/A</v>
        <stp/>
        <stp>BDP|17417259230078175040</stp>
        <tr r="J6" s="2"/>
      </tp>
      <tp t="s">
        <v>#N/A N/A</v>
        <stp/>
        <stp>BDP|17873800079026604039</stp>
        <tr r="A1278" s="2"/>
      </tp>
      <tp t="s">
        <v>#N/A N/A</v>
        <stp/>
        <stp>BDP|13390835410660255461</stp>
        <tr r="Q50" s="2"/>
      </tp>
      <tp t="s">
        <v>#N/A N/A</v>
        <stp/>
        <stp>BDP|17912686546072511968</stp>
        <tr r="K525" s="2"/>
      </tp>
      <tp t="s">
        <v>#N/A N/A</v>
        <stp/>
        <stp>BDP|12590628279289397497</stp>
        <tr r="E55" s="2"/>
      </tp>
      <tp t="s">
        <v>#N/A N/A</v>
        <stp/>
        <stp>BDP|18255430735909589859</stp>
        <tr r="M204" s="2"/>
      </tp>
      <tp t="s">
        <v>#N/A N/A</v>
        <stp/>
        <stp>BDP|10717711892646691662</stp>
        <tr r="M954" s="2"/>
      </tp>
      <tp t="s">
        <v>#N/A N/A</v>
        <stp/>
        <stp>BDP|17911874966900932752</stp>
        <tr r="J558" s="2"/>
      </tp>
      <tp t="s">
        <v>#N/A N/A</v>
        <stp/>
        <stp>BDP|12657074303755222949</stp>
        <tr r="G191" s="2"/>
      </tp>
      <tp t="s">
        <v>#N/A N/A</v>
        <stp/>
        <stp>BDP|12933867174941788289</stp>
        <tr r="S1513" s="2"/>
      </tp>
      <tp t="s">
        <v>#N/A N/A</v>
        <stp/>
        <stp>BDP|16582118382963339216</stp>
        <tr r="P420" s="2"/>
      </tp>
      <tp t="s">
        <v>#N/A N/A</v>
        <stp/>
        <stp>BDP|12486363703287352860</stp>
        <tr r="R1119" s="2"/>
      </tp>
      <tp t="s">
        <v>#N/A N/A</v>
        <stp/>
        <stp>BDP|13568592889290029018</stp>
        <tr r="A992" s="2"/>
      </tp>
      <tp t="s">
        <v>#N/A N/A</v>
        <stp/>
        <stp>BDP|15489062892583385174</stp>
        <tr r="J1120" s="2"/>
      </tp>
      <tp t="s">
        <v>#N/A N/A</v>
        <stp/>
        <stp>BDP|15708323583575655540</stp>
        <tr r="C1152" s="2"/>
      </tp>
      <tp t="s">
        <v>#N/A N/A</v>
        <stp/>
        <stp>BDP|14878938319487219549</stp>
        <tr r="G457" s="2"/>
      </tp>
      <tp t="s">
        <v>#N/A N/A</v>
        <stp/>
        <stp>BDP|15711914507454554607</stp>
        <tr r="M162" s="2"/>
      </tp>
      <tp t="s">
        <v>#N/A N/A</v>
        <stp/>
        <stp>BDP|15413176727238136015</stp>
        <tr r="K1236" s="2"/>
      </tp>
      <tp t="s">
        <v>#N/A N/A</v>
        <stp/>
        <stp>BDP|12647249666701603969</stp>
        <tr r="D1746" s="2"/>
      </tp>
      <tp t="s">
        <v>#N/A N/A</v>
        <stp/>
        <stp>BDP|15285019039781701994</stp>
        <tr r="C252" s="2"/>
      </tp>
      <tp t="s">
        <v>#N/A N/A</v>
        <stp/>
        <stp>BDP|17151718047998530265</stp>
        <tr r="J670" s="2"/>
      </tp>
      <tp t="s">
        <v>#N/A N/A</v>
        <stp/>
        <stp>BDP|12743943888274967961</stp>
        <tr r="N1067" s="2"/>
      </tp>
      <tp t="s">
        <v>#N/A N/A</v>
        <stp/>
        <stp>BDP|16529871394669766051</stp>
        <tr r="J397" s="2"/>
      </tp>
      <tp t="s">
        <v>#N/A N/A</v>
        <stp/>
        <stp>BDP|15470732797084507114</stp>
        <tr r="S309" s="2"/>
      </tp>
      <tp t="s">
        <v>#N/A N/A</v>
        <stp/>
        <stp>BDP|16679358465168570578</stp>
        <tr r="A508" s="2"/>
      </tp>
      <tp t="s">
        <v>#N/A N/A</v>
        <stp/>
        <stp>BDP|11652800332726006203</stp>
        <tr r="Q1678" s="2"/>
      </tp>
      <tp t="s">
        <v>#N/A N/A</v>
        <stp/>
        <stp>BDP|12264236267109593179</stp>
        <tr r="F355" s="2"/>
      </tp>
      <tp t="s">
        <v>#N/A N/A</v>
        <stp/>
        <stp>BDP|17484229175065494939</stp>
        <tr r="D1738" s="2"/>
      </tp>
      <tp t="s">
        <v>#N/A N/A</v>
        <stp/>
        <stp>BDP|16609904317275412517</stp>
        <tr r="S1119" s="2"/>
      </tp>
      <tp t="s">
        <v>#N/A N/A</v>
        <stp/>
        <stp>BDP|11154958834620435508</stp>
        <tr r="P399" s="2"/>
      </tp>
      <tp t="s">
        <v>#N/A N/A</v>
        <stp/>
        <stp>BDP|13343543375149617607</stp>
        <tr r="G890" s="2"/>
      </tp>
      <tp t="s">
        <v>#N/A N/A</v>
        <stp/>
        <stp>BDP|11225915521366208242</stp>
        <tr r="R1137" s="2"/>
      </tp>
      <tp t="s">
        <v>#N/A N/A</v>
        <stp/>
        <stp>BDP|13319826806353503662</stp>
        <tr r="H837" s="2"/>
      </tp>
      <tp t="s">
        <v>#N/A N/A</v>
        <stp/>
        <stp>BDP|16905280392562669116</stp>
        <tr r="E303" s="2"/>
      </tp>
      <tp t="s">
        <v>#N/A N/A</v>
        <stp/>
        <stp>BDP|16256714978481622992</stp>
        <tr r="F260" s="2"/>
      </tp>
      <tp t="s">
        <v>#N/A N/A</v>
        <stp/>
        <stp>BDP|10620539324300793924</stp>
        <tr r="M907" s="2"/>
      </tp>
      <tp t="s">
        <v>#N/A N/A</v>
        <stp/>
        <stp>BDP|18400012822366163223</stp>
        <tr r="A672" s="2"/>
      </tp>
      <tp t="s">
        <v>#N/A N/A</v>
        <stp/>
        <stp>BDS|16539044784260486069</stp>
        <tr r="I71" s="2"/>
      </tp>
      <tp t="s">
        <v>#N/A N/A</v>
        <stp/>
        <stp>BDS|16503043899449726881</stp>
        <tr r="I1726" s="2"/>
      </tp>
      <tp t="s">
        <v>#N/A N/A</v>
        <stp/>
        <stp>BDS|13952814423103472483</stp>
        <tr r="I615" s="2"/>
      </tp>
      <tp t="s">
        <v>#N/A N/A</v>
        <stp/>
        <stp>BDP|18155970665799696020</stp>
        <tr r="D757" s="2"/>
      </tp>
      <tp t="s">
        <v>#N/A N/A</v>
        <stp/>
        <stp>BDP|18290193302073868467</stp>
        <tr r="A1157" s="2"/>
      </tp>
      <tp t="s">
        <v>#N/A N/A</v>
        <stp/>
        <stp>BDP|14583556936755051917</stp>
        <tr r="D906" s="2"/>
      </tp>
      <tp t="s">
        <v>#N/A N/A</v>
        <stp/>
        <stp>BDP|16333527681943569620</stp>
        <tr r="R146" s="2"/>
      </tp>
      <tp t="s">
        <v>#N/A N/A</v>
        <stp/>
        <stp>BDP|13266084307744360998</stp>
        <tr r="A1268" s="2"/>
      </tp>
      <tp t="s">
        <v>#N/A N/A</v>
        <stp/>
        <stp>BDP|14256342665869044640</stp>
        <tr r="N453" s="2"/>
      </tp>
      <tp t="s">
        <v>#N/A N/A</v>
        <stp/>
        <stp>BDP|12651276382974731233</stp>
        <tr r="Q1307" s="2"/>
      </tp>
      <tp t="s">
        <v>#N/A N/A</v>
        <stp/>
        <stp>BDP|18082254600304055023</stp>
        <tr r="J1469" s="2"/>
      </tp>
      <tp t="s">
        <v>#N/A N/A</v>
        <stp/>
        <stp>BDS|10734872777399185822</stp>
        <tr r="I1621" s="2"/>
      </tp>
      <tp t="s">
        <v>#N/A N/A</v>
        <stp/>
        <stp>BDP|15847897968644999173</stp>
        <tr r="D871" s="2"/>
      </tp>
      <tp t="s">
        <v>#N/A N/A</v>
        <stp/>
        <stp>BDP|16232158271477918980</stp>
        <tr r="R834" s="2"/>
      </tp>
      <tp t="s">
        <v>#N/A N/A</v>
        <stp/>
        <stp>BDP|13495957891085216851</stp>
        <tr r="H1594" s="2"/>
      </tp>
      <tp t="s">
        <v>#N/A N/A</v>
        <stp/>
        <stp>BDP|11508825113231537769</stp>
        <tr r="C1487" s="2"/>
      </tp>
      <tp t="s">
        <v>#N/A N/A</v>
        <stp/>
        <stp>BDP|10383631388264858473</stp>
        <tr r="P162" s="2"/>
      </tp>
      <tp t="s">
        <v>#N/A N/A</v>
        <stp/>
        <stp>BDP|10597823246597312553</stp>
        <tr r="S8" s="2"/>
      </tp>
      <tp t="s">
        <v>#N/A N/A</v>
        <stp/>
        <stp>BDP|17535553299672822769</stp>
        <tr r="J211" s="2"/>
      </tp>
      <tp t="s">
        <v>#N/A N/A</v>
        <stp/>
        <stp>BDP|14036941460824179121</stp>
        <tr r="J789" s="2"/>
      </tp>
      <tp t="s">
        <v>#N/A N/A</v>
        <stp/>
        <stp>BDP|17031941961454096223</stp>
        <tr r="T654" s="2"/>
      </tp>
      <tp t="s">
        <v>#N/A N/A</v>
        <stp/>
        <stp>BDP|10373775042634592941</stp>
        <tr r="Q1136" s="2"/>
      </tp>
      <tp t="s">
        <v>#N/A N/A</v>
        <stp/>
        <stp>BDP|12212178263672465955</stp>
        <tr r="N806" s="2"/>
      </tp>
      <tp t="s">
        <v>#N/A N/A</v>
        <stp/>
        <stp>BDP|17854665565691571892</stp>
        <tr r="S812" s="2"/>
      </tp>
      <tp t="s">
        <v>#N/A N/A</v>
        <stp/>
        <stp>BDP|10582470196064139729</stp>
        <tr r="S1500" s="2"/>
      </tp>
      <tp t="s">
        <v>#N/A N/A</v>
        <stp/>
        <stp>BDP|11339200386731726454</stp>
        <tr r="E1705" s="2"/>
      </tp>
      <tp t="s">
        <v>#N/A N/A</v>
        <stp/>
        <stp>BDP|13174956814667055270</stp>
        <tr r="C1337" s="2"/>
      </tp>
      <tp t="s">
        <v>#N/A N/A</v>
        <stp/>
        <stp>BDP|16647365919249614380</stp>
        <tr r="E357" s="2"/>
      </tp>
      <tp t="s">
        <v>#N/A N/A</v>
        <stp/>
        <stp>BDP|11856486811149373357</stp>
        <tr r="H1347" s="2"/>
      </tp>
      <tp t="s">
        <v>#N/A N/A</v>
        <stp/>
        <stp>BDP|15777461972081552911</stp>
        <tr r="H1476" s="2"/>
      </tp>
      <tp t="s">
        <v>#N/A N/A</v>
        <stp/>
        <stp>BDP|18017341123833093403</stp>
        <tr r="G598" s="2"/>
      </tp>
      <tp t="s">
        <v>#N/A N/A</v>
        <stp/>
        <stp>BDP|18263399931434826259</stp>
        <tr r="P1491" s="2"/>
      </tp>
      <tp t="s">
        <v>#N/A N/A</v>
        <stp/>
        <stp>BDP|14648640791137472202</stp>
        <tr r="Q285" s="2"/>
      </tp>
      <tp t="s">
        <v>#N/A N/A</v>
        <stp/>
        <stp>BDP|14520322293089413971</stp>
        <tr r="G715" s="2"/>
      </tp>
      <tp t="s">
        <v>#N/A N/A</v>
        <stp/>
        <stp>BDP|15130912471156018361</stp>
        <tr r="P1009" s="2"/>
      </tp>
      <tp t="s">
        <v>#N/A N/A</v>
        <stp/>
        <stp>BDP|11607407992552760044</stp>
        <tr r="S1567" s="2"/>
      </tp>
      <tp t="s">
        <v>#N/A N/A</v>
        <stp/>
        <stp>BDP|17907224028590122954</stp>
        <tr r="T217" s="2"/>
      </tp>
      <tp t="s">
        <v>#N/A N/A</v>
        <stp/>
        <stp>BDP|12258071933639308625</stp>
        <tr r="C281" s="2"/>
      </tp>
      <tp t="s">
        <v>#N/A N/A</v>
        <stp/>
        <stp>BDP|17402809156846515207</stp>
        <tr r="S1090" s="2"/>
      </tp>
      <tp t="s">
        <v>#N/A N/A</v>
        <stp/>
        <stp>BDP|16542958112560188047</stp>
        <tr r="K750" s="2"/>
      </tp>
      <tp t="s">
        <v>#N/A N/A</v>
        <stp/>
        <stp>BDP|14660936877327256370</stp>
        <tr r="G1402" s="2"/>
      </tp>
      <tp t="s">
        <v>#N/A N/A</v>
        <stp/>
        <stp>BDP|15039335171508306765</stp>
        <tr r="K21" s="2"/>
      </tp>
      <tp t="s">
        <v>#N/A N/A</v>
        <stp/>
        <stp>BDP|15233032572784144854</stp>
        <tr r="G569" s="2"/>
      </tp>
      <tp t="s">
        <v>#N/A N/A</v>
        <stp/>
        <stp>BDP|14200117720350020940</stp>
        <tr r="R1446" s="2"/>
      </tp>
      <tp t="s">
        <v>#N/A N/A</v>
        <stp/>
        <stp>BDS|15269632363332265944</stp>
        <tr r="I1383" s="2"/>
      </tp>
      <tp t="s">
        <v>#N/A N/A</v>
        <stp/>
        <stp>BDP|12491434785856578607</stp>
        <tr r="T1752" s="2"/>
      </tp>
      <tp t="s">
        <v>#N/A N/A</v>
        <stp/>
        <stp>BDP|16969591576068730261</stp>
        <tr r="D131" s="2"/>
      </tp>
      <tp t="s">
        <v>#N/A N/A</v>
        <stp/>
        <stp>BDP|16252485288232015656</stp>
        <tr r="D33" s="2"/>
      </tp>
      <tp t="s">
        <v>#N/A N/A</v>
        <stp/>
        <stp>BDP|13792508987783337341</stp>
        <tr r="S727" s="2"/>
      </tp>
      <tp t="s">
        <v>#N/A N/A</v>
        <stp/>
        <stp>BDS|10701877266714421466</stp>
        <tr r="I1557" s="2"/>
      </tp>
      <tp t="s">
        <v>#N/A N/A</v>
        <stp/>
        <stp>BDP|13147946034621057665</stp>
        <tr r="M1131" s="2"/>
      </tp>
      <tp t="s">
        <v>#N/A N/A</v>
        <stp/>
        <stp>BDP|13021078450831189901</stp>
        <tr r="Q1416" s="2"/>
      </tp>
      <tp t="s">
        <v>#N/A N/A</v>
        <stp/>
        <stp>BDP|14497910630061171124</stp>
        <tr r="R1209" s="2"/>
      </tp>
      <tp t="s">
        <v>#N/A N/A</v>
        <stp/>
        <stp>BDP|11363902024843176701</stp>
        <tr r="J12" s="2"/>
      </tp>
      <tp t="s">
        <v>#N/A N/A</v>
        <stp/>
        <stp>BDS|15068699651098527087</stp>
        <tr r="I1650" s="2"/>
      </tp>
      <tp t="s">
        <v>#N/A N/A</v>
        <stp/>
        <stp>BDP|11302328214074424970</stp>
        <tr r="F879" s="2"/>
      </tp>
      <tp t="s">
        <v>#N/A N/A</v>
        <stp/>
        <stp>BDP|13359977838404952339</stp>
        <tr r="H1380" s="2"/>
      </tp>
      <tp t="s">
        <v>#N/A N/A</v>
        <stp/>
        <stp>BDP|11250359204639463516</stp>
        <tr r="M863" s="2"/>
      </tp>
      <tp t="s">
        <v>#N/A N/A</v>
        <stp/>
        <stp>BDP|11619385594977400284</stp>
        <tr r="M1403" s="2"/>
      </tp>
      <tp t="s">
        <v>#N/A N/A</v>
        <stp/>
        <stp>BDP|16335749106107442836</stp>
        <tr r="D777" s="2"/>
      </tp>
      <tp t="s">
        <v>#N/A N/A</v>
        <stp/>
        <stp>BDP|12235414983261657108</stp>
        <tr r="C678" s="2"/>
      </tp>
      <tp t="s">
        <v>#N/A N/A</v>
        <stp/>
        <stp>BDP|14307142281802419143</stp>
        <tr r="F1057" s="2"/>
      </tp>
      <tp t="s">
        <v>#N/A N/A</v>
        <stp/>
        <stp>BDP|14456968928780879145</stp>
        <tr r="N92" s="2"/>
      </tp>
      <tp t="s">
        <v>#N/A N/A</v>
        <stp/>
        <stp>BDP|15289312692237305640</stp>
        <tr r="M33" s="2"/>
      </tp>
      <tp t="s">
        <v>#N/A N/A</v>
        <stp/>
        <stp>BDP|17621402899044015099</stp>
        <tr r="F1068" s="2"/>
      </tp>
      <tp t="s">
        <v>#N/A N/A</v>
        <stp/>
        <stp>BDP|13346223829465693882</stp>
        <tr r="R347" s="2"/>
      </tp>
      <tp t="s">
        <v>#N/A N/A</v>
        <stp/>
        <stp>BDP|13526353784123113539</stp>
        <tr r="P796" s="2"/>
      </tp>
      <tp t="s">
        <v>#N/A N/A</v>
        <stp/>
        <stp>BDP|12241606047817162924</stp>
        <tr r="F96" s="2"/>
      </tp>
      <tp t="s">
        <v>#N/A N/A</v>
        <stp/>
        <stp>BDP|13394886014321936500</stp>
        <tr r="A1725" s="2"/>
      </tp>
      <tp t="s">
        <v>#N/A N/A</v>
        <stp/>
        <stp>BDP|14828898308296612496</stp>
        <tr r="O977" s="2"/>
      </tp>
      <tp t="s">
        <v>#N/A N/A</v>
        <stp/>
        <stp>BDP|16915157407910553985</stp>
        <tr r="Q1599" s="2"/>
      </tp>
      <tp t="s">
        <v>#N/A N/A</v>
        <stp/>
        <stp>BDP|10039442163674001819</stp>
        <tr r="K192" s="2"/>
      </tp>
      <tp t="s">
        <v>#N/A N/A</v>
        <stp/>
        <stp>BDP|14984731428497617822</stp>
        <tr r="O661" s="2"/>
      </tp>
      <tp t="s">
        <v>#N/A N/A</v>
        <stp/>
        <stp>BDP|15997847126696871751</stp>
        <tr r="R1387" s="2"/>
      </tp>
      <tp t="s">
        <v>#N/A N/A</v>
        <stp/>
        <stp>BDP|13701790173204358989</stp>
        <tr r="J1660" s="2"/>
      </tp>
      <tp t="s">
        <v>#N/A N/A</v>
        <stp/>
        <stp>BDP|17844803050913637783</stp>
        <tr r="E156" s="2"/>
      </tp>
      <tp t="s">
        <v>#N/A N/A</v>
        <stp/>
        <stp>BDP|10000937511733050548</stp>
        <tr r="H200" s="2"/>
      </tp>
      <tp t="s">
        <v>#N/A N/A</v>
        <stp/>
        <stp>BDP|17480971678413537483</stp>
        <tr r="A119" s="2"/>
      </tp>
      <tp t="s">
        <v>#N/A N/A</v>
        <stp/>
        <stp>BDP|10269989712087628181</stp>
        <tr r="S75" s="2"/>
      </tp>
      <tp t="s">
        <v>#N/A N/A</v>
        <stp/>
        <stp>BDP|16698301426049641000</stp>
        <tr r="G647" s="2"/>
      </tp>
      <tp t="s">
        <v>#N/A N/A</v>
        <stp/>
        <stp>BDP|17046599416344832911</stp>
        <tr r="F1371" s="2"/>
      </tp>
      <tp t="s">
        <v>#N/A N/A</v>
        <stp/>
        <stp>BDP|13164149382102717663</stp>
        <tr r="R1751" s="2"/>
      </tp>
      <tp t="s">
        <v>#N/A N/A</v>
        <stp/>
        <stp>BDP|16653156665789332634</stp>
        <tr r="K1407" s="2"/>
      </tp>
      <tp t="s">
        <v>#N/A N/A</v>
        <stp/>
        <stp>BDP|12200355743213728856</stp>
        <tr r="C108" s="2"/>
      </tp>
      <tp t="s">
        <v>#N/A N/A</v>
        <stp/>
        <stp>BDP|11159211117395729966</stp>
        <tr r="M1406" s="2"/>
      </tp>
      <tp t="s">
        <v>#N/A N/A</v>
        <stp/>
        <stp>BDP|10134553505523624814</stp>
        <tr r="H688" s="2"/>
      </tp>
      <tp t="s">
        <v>#N/A N/A</v>
        <stp/>
        <stp>BDP|18084111032980661434</stp>
        <tr r="P821" s="2"/>
      </tp>
      <tp t="s">
        <v>#N/A N/A</v>
        <stp/>
        <stp>BDP|16780893818985549454</stp>
        <tr r="C63" s="2"/>
      </tp>
      <tp t="s">
        <v>#N/A N/A</v>
        <stp/>
        <stp>BDP|10431226697407771204</stp>
        <tr r="F663" s="2"/>
      </tp>
      <tp t="s">
        <v>#N/A N/A</v>
        <stp/>
        <stp>BDS|13572127473628246330</stp>
        <tr r="I228" s="2"/>
      </tp>
      <tp t="s">
        <v>#N/A N/A</v>
        <stp/>
        <stp>BDP|10465669266717209909</stp>
        <tr r="H1418" s="2"/>
      </tp>
      <tp t="s">
        <v>#N/A N/A</v>
        <stp/>
        <stp>BDP|14047081838739753016</stp>
        <tr r="Q300" s="2"/>
      </tp>
      <tp t="s">
        <v>#N/A N/A</v>
        <stp/>
        <stp>BDS|15628125940667318921</stp>
        <tr r="I911" s="2"/>
      </tp>
      <tp t="s">
        <v>#N/A N/A</v>
        <stp/>
        <stp>BDP|16767348892722509028</stp>
        <tr r="J817" s="2"/>
      </tp>
      <tp t="s">
        <v>#N/A N/A</v>
        <stp/>
        <stp>BDP|11262651986142016377</stp>
        <tr r="J483" s="2"/>
      </tp>
      <tp t="s">
        <v>#N/A N/A</v>
        <stp/>
        <stp>BDP|13458599777858872743</stp>
        <tr r="K147" s="2"/>
      </tp>
      <tp t="s">
        <v>#N/A N/A</v>
        <stp/>
        <stp>BDP|15382077958266285885</stp>
        <tr r="S1304" s="2"/>
      </tp>
      <tp t="s">
        <v>#N/A N/A</v>
        <stp/>
        <stp>BDP|10563858745365489775</stp>
        <tr r="F857" s="2"/>
      </tp>
      <tp t="s">
        <v>#N/A N/A</v>
        <stp/>
        <stp>BDP|16763861897941084806</stp>
        <tr r="G217" s="2"/>
      </tp>
      <tp t="s">
        <v>#N/A N/A</v>
        <stp/>
        <stp>BDP|16681949160246441107</stp>
        <tr r="T1578" s="2"/>
      </tp>
      <tp t="s">
        <v>#N/A N/A</v>
        <stp/>
        <stp>BDS|14070935751137361145</stp>
        <tr r="I602" s="2"/>
      </tp>
      <tp t="s">
        <v>#N/A N/A</v>
        <stp/>
        <stp>BDP|10876851668086193628</stp>
        <tr r="H1402" s="2"/>
      </tp>
      <tp t="s">
        <v>#N/A N/A</v>
        <stp/>
        <stp>BDP|10159571236011769915</stp>
        <tr r="T136" s="2"/>
      </tp>
      <tp t="s">
        <v>#N/A N/A</v>
        <stp/>
        <stp>BDP|13669211197387003163</stp>
        <tr r="D59" s="2"/>
      </tp>
      <tp t="s">
        <v>#N/A N/A</v>
        <stp/>
        <stp>BDP|10711048875061692866</stp>
        <tr r="P945" s="2"/>
      </tp>
      <tp t="s">
        <v>#N/A N/A</v>
        <stp/>
        <stp>BDP|12214248481777689170</stp>
        <tr r="J934" s="2"/>
      </tp>
      <tp t="s">
        <v>#N/A N/A</v>
        <stp/>
        <stp>BDP|16714037096192255364</stp>
        <tr r="P704" s="2"/>
      </tp>
      <tp t="s">
        <v>#N/A N/A</v>
        <stp/>
        <stp>BDP|14536659386393467749</stp>
        <tr r="K1113" s="2"/>
      </tp>
      <tp t="s">
        <v>#N/A N/A</v>
        <stp/>
        <stp>BDS|14143187755617002993</stp>
        <tr r="I1391" s="2"/>
      </tp>
      <tp t="s">
        <v>#N/A N/A</v>
        <stp/>
        <stp>BDP|16614675056102916982</stp>
        <tr r="E494" s="2"/>
      </tp>
      <tp t="s">
        <v>#N/A N/A</v>
        <stp/>
        <stp>BDP|10875870970597859612</stp>
        <tr r="N741" s="2"/>
      </tp>
      <tp t="s">
        <v>#N/A N/A</v>
        <stp/>
        <stp>BDP|17245493981357892248</stp>
        <tr r="R79" s="2"/>
      </tp>
      <tp t="s">
        <v>#N/A N/A</v>
        <stp/>
        <stp>BDP|13072366407267044972</stp>
        <tr r="G1235" s="2"/>
      </tp>
      <tp t="s">
        <v>#N/A N/A</v>
        <stp/>
        <stp>BDP|11527104441229336312</stp>
        <tr r="H1357" s="2"/>
      </tp>
      <tp t="s">
        <v>#N/A N/A</v>
        <stp/>
        <stp>BDP|12230654294426559502</stp>
        <tr r="T1364" s="2"/>
      </tp>
      <tp t="s">
        <v>#N/A N/A</v>
        <stp/>
        <stp>BDP|17746484239607701972</stp>
        <tr r="P526" s="2"/>
      </tp>
      <tp t="s">
        <v>#N/A N/A</v>
        <stp/>
        <stp>BDP|13485019580472275716</stp>
        <tr r="D1086" s="2"/>
      </tp>
      <tp t="s">
        <v>#N/A N/A</v>
        <stp/>
        <stp>BDP|15876329387613632220</stp>
        <tr r="T1653" s="2"/>
      </tp>
      <tp t="s">
        <v>#N/A N/A</v>
        <stp/>
        <stp>BDP|15088521894892826479</stp>
        <tr r="R1536" s="2"/>
      </tp>
      <tp t="s">
        <v>#N/A N/A</v>
        <stp/>
        <stp>BDP|16979855136282506069</stp>
        <tr r="P1020" s="2"/>
      </tp>
      <tp t="s">
        <v>#N/A N/A</v>
        <stp/>
        <stp>BDP|18062718224291957351</stp>
        <tr r="J522" s="2"/>
      </tp>
      <tp t="s">
        <v>#N/A N/A</v>
        <stp/>
        <stp>BDP|16089491377589575323</stp>
        <tr r="M211" s="2"/>
      </tp>
      <tp t="s">
        <v>#N/A N/A</v>
        <stp/>
        <stp>BDP|13489348039814488848</stp>
        <tr r="R1151" s="2"/>
      </tp>
      <tp t="s">
        <v>#N/A N/A</v>
        <stp/>
        <stp>BDP|14445618318474638824</stp>
        <tr r="D942" s="2"/>
      </tp>
      <tp t="s">
        <v>#N/A N/A</v>
        <stp/>
        <stp>BDP|14990467965189338003</stp>
        <tr r="T63" s="2"/>
      </tp>
      <tp t="s">
        <v>#N/A N/A</v>
        <stp/>
        <stp>BDP|15035679446431801901</stp>
        <tr r="T745" s="2"/>
      </tp>
      <tp t="s">
        <v>#N/A N/A</v>
        <stp/>
        <stp>BDP|18261383447515097546</stp>
        <tr r="M1713" s="2"/>
      </tp>
      <tp t="s">
        <v>#N/A N/A</v>
        <stp/>
        <stp>BDP|17040956575607980102</stp>
        <tr r="N281" s="2"/>
      </tp>
      <tp t="s">
        <v>#N/A N/A</v>
        <stp/>
        <stp>BDP|17974973163335380271</stp>
        <tr r="G1118" s="2"/>
      </tp>
      <tp t="s">
        <v>#N/A N/A</v>
        <stp/>
        <stp>BDP|10840123536764270979</stp>
        <tr r="O565" s="2"/>
      </tp>
      <tp t="s">
        <v>#N/A N/A</v>
        <stp/>
        <stp>BDS|16890874660471562601</stp>
        <tr r="I1447" s="2"/>
      </tp>
      <tp t="s">
        <v>#N/A N/A</v>
        <stp/>
        <stp>BDP|16920807436625769719</stp>
        <tr r="A506" s="2"/>
      </tp>
      <tp t="s">
        <v>#N/A N/A</v>
        <stp/>
        <stp>BDP|11532252995644424189</stp>
        <tr r="T1366" s="2"/>
      </tp>
      <tp t="s">
        <v>#N/A N/A</v>
        <stp/>
        <stp>BDP|12013947105202809608</stp>
        <tr r="J325" s="2"/>
      </tp>
      <tp t="s">
        <v>#N/A N/A</v>
        <stp/>
        <stp>BDP|15647028999310674324</stp>
        <tr r="M900" s="2"/>
      </tp>
      <tp t="s">
        <v>#N/A N/A</v>
        <stp/>
        <stp>BDP|13565986616931024527</stp>
        <tr r="F494" s="2"/>
      </tp>
      <tp t="s">
        <v>#N/A N/A</v>
        <stp/>
        <stp>BDP|13384956320573657492</stp>
        <tr r="J1503" s="2"/>
      </tp>
      <tp t="s">
        <v>#N/A N/A</v>
        <stp/>
        <stp>BDP|14521946012925891628</stp>
        <tr r="E1665" s="2"/>
      </tp>
      <tp t="s">
        <v>#N/A N/A</v>
        <stp/>
        <stp>BDP|14339099056619184747</stp>
        <tr r="A818" s="2"/>
      </tp>
      <tp t="s">
        <v>#N/A N/A</v>
        <stp/>
        <stp>BDP|11782844723593984702</stp>
        <tr r="S22" s="2"/>
      </tp>
      <tp t="s">
        <v>#N/A N/A</v>
        <stp/>
        <stp>BDP|16453806619539210964</stp>
        <tr r="H691" s="2"/>
      </tp>
      <tp t="s">
        <v>#N/A N/A</v>
        <stp/>
        <stp>BDP|16680081796757440759</stp>
        <tr r="S545" s="2"/>
      </tp>
      <tp t="s">
        <v>#N/A N/A</v>
        <stp/>
        <stp>BDP|12420451699322418253</stp>
        <tr r="Q1121" s="2"/>
      </tp>
      <tp t="s">
        <v>#N/A N/A</v>
        <stp/>
        <stp>BDP|16738622774359002180</stp>
        <tr r="K374" s="2"/>
      </tp>
      <tp t="s">
        <v>#N/A N/A</v>
        <stp/>
        <stp>BDP|12484056711304161889</stp>
        <tr r="S868" s="2"/>
      </tp>
      <tp t="s">
        <v>#N/A N/A</v>
        <stp/>
        <stp>BDP|17478187075647121915</stp>
        <tr r="N1530" s="2"/>
      </tp>
      <tp t="s">
        <v>#N/A N/A</v>
        <stp/>
        <stp>BDP|16535066988880048128</stp>
        <tr r="S1383" s="2"/>
      </tp>
      <tp t="s">
        <v>#N/A N/A</v>
        <stp/>
        <stp>BDP|14645791396684030101</stp>
        <tr r="R777" s="2"/>
      </tp>
      <tp t="s">
        <v>#N/A N/A</v>
        <stp/>
        <stp>BDS|16700842863433825425</stp>
        <tr r="I321" s="2"/>
      </tp>
      <tp t="s">
        <v>#N/A N/A</v>
        <stp/>
        <stp>BDP|11756316899720419424</stp>
        <tr r="D1423" s="2"/>
      </tp>
      <tp t="s">
        <v>#N/A N/A</v>
        <stp/>
        <stp>BDP|17645645529425767952</stp>
        <tr r="R645" s="2"/>
      </tp>
      <tp t="s">
        <v>#N/A N/A</v>
        <stp/>
        <stp>BDP|10942850466375617457</stp>
        <tr r="M825" s="2"/>
      </tp>
      <tp t="s">
        <v>#N/A N/A</v>
        <stp/>
        <stp>BDP|16672782888781940767</stp>
        <tr r="E1471" s="2"/>
      </tp>
      <tp t="s">
        <v>#N/A N/A</v>
        <stp/>
        <stp>BDP|16955743136704179936</stp>
        <tr r="T1179" s="2"/>
      </tp>
      <tp t="s">
        <v>#N/A N/A</v>
        <stp/>
        <stp>BDP|16914070207671929895</stp>
        <tr r="H1149" s="2"/>
      </tp>
      <tp t="s">
        <v>#N/A N/A</v>
        <stp/>
        <stp>BDP|10397780906051010948</stp>
        <tr r="E1522" s="2"/>
      </tp>
      <tp t="s">
        <v>#N/A N/A</v>
        <stp/>
        <stp>BDP|10686322312595776888</stp>
        <tr r="D401" s="2"/>
      </tp>
      <tp t="s">
        <v>#N/A N/A</v>
        <stp/>
        <stp>BDP|15566507386234857326</stp>
        <tr r="O514" s="2"/>
      </tp>
      <tp t="s">
        <v>#N/A N/A</v>
        <stp/>
        <stp>BDP|14114012688075329626</stp>
        <tr r="C359" s="2"/>
      </tp>
      <tp t="s">
        <v>#N/A N/A</v>
        <stp/>
        <stp>BDP|10749599116973425851</stp>
        <tr r="D387" s="2"/>
      </tp>
      <tp t="s">
        <v>#N/A N/A</v>
        <stp/>
        <stp>BDP|16968974010402022373</stp>
        <tr r="F34" s="2"/>
      </tp>
      <tp t="s">
        <v>#N/A N/A</v>
        <stp/>
        <stp>BDP|13076143092954686092</stp>
        <tr r="A1291" s="2"/>
      </tp>
      <tp t="s">
        <v>#N/A N/A</v>
        <stp/>
        <stp>BDP|12869869637510498644</stp>
        <tr r="H863" s="2"/>
      </tp>
      <tp t="s">
        <v>#N/A N/A</v>
        <stp/>
        <stp>BDP|11154153249133468807</stp>
        <tr r="C1321" s="2"/>
      </tp>
      <tp t="s">
        <v>#N/A N/A</v>
        <stp/>
        <stp>BDP|10965790287181840165</stp>
        <tr r="O198" s="2"/>
      </tp>
      <tp t="s">
        <v>#N/A N/A</v>
        <stp/>
        <stp>BDP|10629575523661818936</stp>
        <tr r="R1359" s="2"/>
      </tp>
      <tp t="s">
        <v>#N/A N/A</v>
        <stp/>
        <stp>BDP|10293207390175821138</stp>
        <tr r="M1564" s="2"/>
      </tp>
      <tp t="s">
        <v>#N/A N/A</v>
        <stp/>
        <stp>BDP|12843352685335044314</stp>
        <tr r="Q836" s="2"/>
      </tp>
      <tp t="s">
        <v>#N/A N/A</v>
        <stp/>
        <stp>BDP|14620682138417732982</stp>
        <tr r="O894" s="2"/>
      </tp>
      <tp t="s">
        <v>#N/A N/A</v>
        <stp/>
        <stp>BDP|10668895485957469878</stp>
        <tr r="P876" s="2"/>
      </tp>
      <tp t="s">
        <v>#N/A N/A</v>
        <stp/>
        <stp>BDP|12954907372860537362</stp>
        <tr r="D478" s="2"/>
      </tp>
      <tp t="s">
        <v>#N/A N/A</v>
        <stp/>
        <stp>BDP|14946996809903465157</stp>
        <tr r="F775" s="2"/>
      </tp>
      <tp t="s">
        <v>#N/A N/A</v>
        <stp/>
        <stp>BDP|10477884205466744169</stp>
        <tr r="K1713" s="2"/>
      </tp>
      <tp t="s">
        <v>#N/A N/A</v>
        <stp/>
        <stp>BDP|15037091031559489047</stp>
        <tr r="J1637" s="2"/>
      </tp>
      <tp t="s">
        <v>#N/A N/A</v>
        <stp/>
        <stp>BDP|10064040855283191985</stp>
        <tr r="J1413" s="2"/>
      </tp>
      <tp t="s">
        <v>#N/A N/A</v>
        <stp/>
        <stp>BDP|12871701412859301216</stp>
        <tr r="N223" s="2"/>
      </tp>
      <tp t="s">
        <v>#N/A N/A</v>
        <stp/>
        <stp>BDP|11062991233974015027</stp>
        <tr r="M628" s="2"/>
      </tp>
      <tp t="s">
        <v>#N/A N/A</v>
        <stp/>
        <stp>BDP|12594737778514140977</stp>
        <tr r="G1033" s="2"/>
      </tp>
      <tp t="s">
        <v>#N/A N/A</v>
        <stp/>
        <stp>BDP|16284721794594530390</stp>
        <tr r="A531" s="2"/>
      </tp>
      <tp t="s">
        <v>#N/A N/A</v>
        <stp/>
        <stp>BDP|15789774098313726773</stp>
        <tr r="K426" s="2"/>
      </tp>
      <tp t="s">
        <v>#N/A N/A</v>
        <stp/>
        <stp>BDP|12727785912468484316</stp>
        <tr r="D1091" s="2"/>
      </tp>
      <tp t="s">
        <v>#N/A N/A</v>
        <stp/>
        <stp>BDP|15494490264109548141</stp>
        <tr r="M990" s="2"/>
      </tp>
      <tp t="s">
        <v>#N/A N/A</v>
        <stp/>
        <stp>BDP|12452091729859998658</stp>
        <tr r="S79" s="2"/>
      </tp>
      <tp t="s">
        <v>#N/A N/A</v>
        <stp/>
        <stp>BDS|16525399055408405762</stp>
        <tr r="I254" s="2"/>
      </tp>
      <tp t="s">
        <v>#N/A N/A</v>
        <stp/>
        <stp>BDP|14582635597874185081</stp>
        <tr r="K5" s="2"/>
      </tp>
      <tp t="s">
        <v>#N/A N/A</v>
        <stp/>
        <stp>BDS|14425289390526372645</stp>
        <tr r="I1395" s="2"/>
      </tp>
      <tp t="s">
        <v>#N/A N/A</v>
        <stp/>
        <stp>BDP|18361452847170143782</stp>
        <tr r="N306" s="2"/>
      </tp>
      <tp t="s">
        <v>#N/A N/A</v>
        <stp/>
        <stp>BDP|15254143417699155386</stp>
        <tr r="K1717" s="2"/>
      </tp>
      <tp t="s">
        <v>#N/A N/A</v>
        <stp/>
        <stp>BDP|16150557918165513811</stp>
        <tr r="Q814" s="2"/>
      </tp>
      <tp t="s">
        <v>#N/A N/A</v>
        <stp/>
        <stp>BDP|16193088935242311871</stp>
        <tr r="P1266" s="2"/>
      </tp>
      <tp t="s">
        <v>#N/A N/A</v>
        <stp/>
        <stp>BDP|16778603578378724006</stp>
        <tr r="O645" s="2"/>
      </tp>
      <tp t="s">
        <v>#N/A N/A</v>
        <stp/>
        <stp>BDS|12178899125854774312</stp>
        <tr r="I41" s="2"/>
      </tp>
      <tp t="s">
        <v>#N/A N/A</v>
        <stp/>
        <stp>BDS|18209745075213955410</stp>
        <tr r="I1045" s="2"/>
      </tp>
      <tp t="s">
        <v>#N/A N/A</v>
        <stp/>
        <stp>BDP|13384292030989462467</stp>
        <tr r="E387" s="2"/>
      </tp>
      <tp t="s">
        <v>#N/A N/A</v>
        <stp/>
        <stp>BDP|16430854009395017407</stp>
        <tr r="O326" s="2"/>
      </tp>
      <tp t="s">
        <v>#N/A N/A</v>
        <stp/>
        <stp>BDP|12750618602772509998</stp>
        <tr r="D442" s="2"/>
      </tp>
      <tp t="s">
        <v>#N/A N/A</v>
        <stp/>
        <stp>BDP|17378464459161755836</stp>
        <tr r="F346" s="2"/>
      </tp>
      <tp t="s">
        <v>#N/A N/A</v>
        <stp/>
        <stp>BDP|18256310174416909560</stp>
        <tr r="E1148" s="2"/>
      </tp>
      <tp t="s">
        <v>#N/A N/A</v>
        <stp/>
        <stp>BDP|14943118905272795826</stp>
        <tr r="P1750" s="2"/>
      </tp>
      <tp t="s">
        <v>#N/A N/A</v>
        <stp/>
        <stp>BDP|11736449045607743999</stp>
        <tr r="M1638" s="2"/>
      </tp>
      <tp t="s">
        <v>#N/A N/A</v>
        <stp/>
        <stp>BDP|14065420488063223405</stp>
        <tr r="F908" s="2"/>
      </tp>
      <tp t="s">
        <v>#N/A N/A</v>
        <stp/>
        <stp>BDP|17157941726177250491</stp>
        <tr r="C193" s="2"/>
      </tp>
      <tp t="s">
        <v>#N/A N/A</v>
        <stp/>
        <stp>BDP|12984171719048787580</stp>
        <tr r="E951" s="2"/>
      </tp>
      <tp t="s">
        <v>#N/A N/A</v>
        <stp/>
        <stp>BDP|17093561889107189260</stp>
        <tr r="T1226" s="2"/>
      </tp>
      <tp t="s">
        <v>#N/A N/A</v>
        <stp/>
        <stp>BDP|12512087703389219444</stp>
        <tr r="E1659" s="2"/>
      </tp>
      <tp t="s">
        <v>#N/A N/A</v>
        <stp/>
        <stp>BDP|14446555943789871321</stp>
        <tr r="R974" s="2"/>
      </tp>
      <tp t="s">
        <v>#N/A N/A</v>
        <stp/>
        <stp>BDP|10853635483359811882</stp>
        <tr r="M1413" s="2"/>
      </tp>
      <tp t="s">
        <v>#N/A N/A</v>
        <stp/>
        <stp>BDP|10883248972343220946</stp>
        <tr r="F1395" s="2"/>
      </tp>
      <tp t="s">
        <v>#N/A N/A</v>
        <stp/>
        <stp>BDS|11234585952357017932</stp>
        <tr r="I280" s="2"/>
      </tp>
      <tp t="s">
        <v>#N/A N/A</v>
        <stp/>
        <stp>BDP|12008454472149941767</stp>
        <tr r="C595" s="2"/>
      </tp>
      <tp t="s">
        <v>#N/A N/A</v>
        <stp/>
        <stp>BDP|10529551370795838801</stp>
        <tr r="S1011" s="2"/>
      </tp>
      <tp t="s">
        <v>#N/A N/A</v>
        <stp/>
        <stp>BDP|17534496427026319802</stp>
        <tr r="A56" s="2"/>
      </tp>
      <tp t="s">
        <v>#N/A N/A</v>
        <stp/>
        <stp>BDP|12092549999127748623</stp>
        <tr r="Q385" s="2"/>
      </tp>
      <tp t="s">
        <v>#N/A N/A</v>
        <stp/>
        <stp>BDP|17001452020438953645</stp>
        <tr r="J857" s="2"/>
      </tp>
      <tp t="s">
        <v>#N/A N/A</v>
        <stp/>
        <stp>BDP|16815110865247439906</stp>
        <tr r="C548" s="2"/>
      </tp>
      <tp t="s">
        <v>#N/A N/A</v>
        <stp/>
        <stp>BDP|12230533728098740261</stp>
        <tr r="Q643" s="2"/>
      </tp>
      <tp t="s">
        <v>#N/A N/A</v>
        <stp/>
        <stp>BDP|17417271743456058885</stp>
        <tr r="A1257" s="2"/>
      </tp>
      <tp t="s">
        <v>#N/A N/A</v>
        <stp/>
        <stp>BDP|11081059263598946074</stp>
        <tr r="J272" s="2"/>
      </tp>
      <tp t="s">
        <v>#N/A N/A</v>
        <stp/>
        <stp>BDP|11348447719683569837</stp>
        <tr r="P68" s="2"/>
      </tp>
      <tp t="s">
        <v>#N/A N/A</v>
        <stp/>
        <stp>BDP|18079763560242970475</stp>
        <tr r="P125" s="2"/>
      </tp>
      <tp t="s">
        <v>#N/A N/A</v>
        <stp/>
        <stp>BDP|13036561584006314797</stp>
        <tr r="M1755" s="2"/>
      </tp>
      <tp t="s">
        <v>#N/A N/A</v>
        <stp/>
        <stp>BDP|13217196122318217731</stp>
        <tr r="S1713" s="2"/>
      </tp>
      <tp t="s">
        <v>#N/A N/A</v>
        <stp/>
        <stp>BDP|13494817382765893974</stp>
        <tr r="P509" s="2"/>
      </tp>
      <tp t="s">
        <v>#N/A N/A</v>
        <stp/>
        <stp>BDP|10217302881607969318</stp>
        <tr r="N1115" s="2"/>
      </tp>
      <tp t="s">
        <v>#N/A N/A</v>
        <stp/>
        <stp>BDP|12664366186836537080</stp>
        <tr r="N204" s="2"/>
      </tp>
      <tp t="s">
        <v>#N/A N/A</v>
        <stp/>
        <stp>BDP|15653955262963873624</stp>
        <tr r="K1203" s="2"/>
      </tp>
      <tp t="s">
        <v>#N/A N/A</v>
        <stp/>
        <stp>BDP|14380535655532746996</stp>
        <tr r="E879" s="2"/>
      </tp>
      <tp t="s">
        <v>#N/A N/A</v>
        <stp/>
        <stp>BDP|12636049764128431392</stp>
        <tr r="O257" s="2"/>
      </tp>
      <tp t="s">
        <v>#N/A N/A</v>
        <stp/>
        <stp>BDP|14772962124287773799</stp>
        <tr r="S17" s="2"/>
      </tp>
      <tp t="s">
        <v>#N/A N/A</v>
        <stp/>
        <stp>BDP|17659687122218201459</stp>
        <tr r="J236" s="2"/>
      </tp>
      <tp t="s">
        <v>#N/A N/A</v>
        <stp/>
        <stp>BDP|10529818531374851065</stp>
        <tr r="E285" s="2"/>
      </tp>
      <tp t="s">
        <v>#N/A N/A</v>
        <stp/>
        <stp>BDP|18114586834230785114</stp>
        <tr r="S1651" s="2"/>
      </tp>
      <tp t="s">
        <v>#N/A N/A</v>
        <stp/>
        <stp>BDP|11850926652595787741</stp>
        <tr r="E246" s="2"/>
      </tp>
      <tp t="s">
        <v>#N/A N/A</v>
        <stp/>
        <stp>BDP|16988314416153323860</stp>
        <tr r="H1206" s="2"/>
      </tp>
      <tp t="s">
        <v>#N/A N/A</v>
        <stp/>
        <stp>BDS|10933625392977270737</stp>
        <tr r="I670" s="2"/>
      </tp>
      <tp t="s">
        <v>#N/A N/A</v>
        <stp/>
        <stp>BDP|17089603179389702057</stp>
        <tr r="G981" s="2"/>
      </tp>
      <tp t="s">
        <v>#N/A N/A</v>
        <stp/>
        <stp>BDP|14908049838599907172</stp>
        <tr r="A366" s="2"/>
      </tp>
      <tp t="s">
        <v>#N/A N/A</v>
        <stp/>
        <stp>BDP|13157284273679215038</stp>
        <tr r="C1457" s="2"/>
      </tp>
      <tp t="s">
        <v>#N/A N/A</v>
        <stp/>
        <stp>BDP|16146226929510488951</stp>
        <tr r="A1732" s="2"/>
      </tp>
      <tp t="s">
        <v>#N/A N/A</v>
        <stp/>
        <stp>BDP|15390052766765299998</stp>
        <tr r="F52" s="2"/>
      </tp>
      <tp t="s">
        <v>#N/A N/A</v>
        <stp/>
        <stp>BDP|11740763381144897532</stp>
        <tr r="H1042" s="2"/>
      </tp>
      <tp t="s">
        <v>#N/A N/A</v>
        <stp/>
        <stp>BDP|13888517928372885929</stp>
        <tr r="O494" s="2"/>
      </tp>
      <tp t="s">
        <v>#N/A N/A</v>
        <stp/>
        <stp>BDS|14806113551687327834</stp>
        <tr r="I167" s="2"/>
      </tp>
      <tp t="s">
        <v>#N/A N/A</v>
        <stp/>
        <stp>BDS|17723072291660133186</stp>
        <tr r="I987" s="2"/>
      </tp>
      <tp t="s">
        <v>#N/A N/A</v>
        <stp/>
        <stp>BDP|10230166178880685917</stp>
        <tr r="S95" s="2"/>
      </tp>
      <tp t="s">
        <v>#N/A N/A</v>
        <stp/>
        <stp>BDP|11248397633317436971</stp>
        <tr r="D938" s="2"/>
      </tp>
      <tp t="s">
        <v>#N/A N/A</v>
        <stp/>
        <stp>BDP|15916132523710318917</stp>
        <tr r="Q523" s="2"/>
      </tp>
      <tp t="s">
        <v>#N/A N/A</v>
        <stp/>
        <stp>BDP|10870980752231171280</stp>
        <tr r="T1063" s="2"/>
      </tp>
      <tp t="s">
        <v>#N/A N/A</v>
        <stp/>
        <stp>BDP|12274981152782601350</stp>
        <tr r="C1631" s="2"/>
      </tp>
      <tp t="s">
        <v>#N/A N/A</v>
        <stp/>
        <stp>BDP|17915822147061340546</stp>
        <tr r="Q736" s="2"/>
      </tp>
      <tp t="s">
        <v>#N/A N/A</v>
        <stp/>
        <stp>BDP|10408880844230443376</stp>
        <tr r="S742" s="2"/>
      </tp>
      <tp t="s">
        <v>#N/A N/A</v>
        <stp/>
        <stp>BDP|15916316997128271866</stp>
        <tr r="N1028" s="2"/>
      </tp>
      <tp t="s">
        <v>#N/A N/A</v>
        <stp/>
        <stp>BDP|14231664311798820465</stp>
        <tr r="D590" s="2"/>
      </tp>
      <tp t="s">
        <v>#N/A N/A</v>
        <stp/>
        <stp>BDP|18310998295754500319</stp>
        <tr r="N971" s="2"/>
      </tp>
      <tp t="s">
        <v>#N/A N/A</v>
        <stp/>
        <stp>BDP|17892188752709153584</stp>
        <tr r="F1035" s="2"/>
      </tp>
      <tp t="s">
        <v>#N/A N/A</v>
        <stp/>
        <stp>BDP|16658941217984732599</stp>
        <tr r="J1714" s="2"/>
      </tp>
      <tp t="s">
        <v>#N/A N/A</v>
        <stp/>
        <stp>BDP|14248222087523967253</stp>
        <tr r="N329" s="2"/>
      </tp>
      <tp t="s">
        <v>#N/A N/A</v>
        <stp/>
        <stp>BDP|17030599893097349328</stp>
        <tr r="P242" s="2"/>
      </tp>
      <tp t="s">
        <v>#N/A N/A</v>
        <stp/>
        <stp>BDS|17152250202428857262</stp>
        <tr r="I1254" s="2"/>
      </tp>
      <tp t="s">
        <v>#N/A N/A</v>
        <stp/>
        <stp>BDP|10019344862602930846</stp>
        <tr r="R628" s="2"/>
      </tp>
      <tp t="s">
        <v>#N/A N/A</v>
        <stp/>
        <stp>BDP|16656991116961193032</stp>
        <tr r="E761" s="2"/>
      </tp>
      <tp t="s">
        <v>#N/A N/A</v>
        <stp/>
        <stp>BDP|16567712903038801641</stp>
        <tr r="M993" s="2"/>
      </tp>
      <tp t="s">
        <v>#N/A N/A</v>
        <stp/>
        <stp>BDP|12768084667019322204</stp>
        <tr r="K104" s="2"/>
      </tp>
      <tp t="s">
        <v>#N/A N/A</v>
        <stp/>
        <stp>BDP|18007234048281253027</stp>
        <tr r="R469" s="2"/>
      </tp>
      <tp t="s">
        <v>#N/A N/A</v>
        <stp/>
        <stp>BDP|16203452645788967107</stp>
        <tr r="A667" s="2"/>
      </tp>
      <tp t="s">
        <v>#N/A N/A</v>
        <stp/>
        <stp>BDP|10487687591217787711</stp>
        <tr r="N516" s="2"/>
      </tp>
      <tp t="s">
        <v>#N/A N/A</v>
        <stp/>
        <stp>BDP|16000323763914225893</stp>
        <tr r="F1332" s="2"/>
      </tp>
      <tp t="s">
        <v>#N/A N/A</v>
        <stp/>
        <stp>BDP|12691759158639986684</stp>
        <tr r="T1104" s="2"/>
      </tp>
      <tp t="s">
        <v>#N/A N/A</v>
        <stp/>
        <stp>BDP|18053764620853961155</stp>
        <tr r="M1628" s="2"/>
      </tp>
      <tp t="s">
        <v>#N/A N/A</v>
        <stp/>
        <stp>BDP|16595986599740954977</stp>
        <tr r="H1156" s="2"/>
      </tp>
      <tp t="s">
        <v>#N/A N/A</v>
        <stp/>
        <stp>BDP|13803504038559835328</stp>
        <tr r="E249" s="2"/>
      </tp>
      <tp t="s">
        <v>#N/A N/A</v>
        <stp/>
        <stp>BDP|18364159760317920754</stp>
        <tr r="J619" s="2"/>
      </tp>
      <tp t="s">
        <v>#N/A N/A</v>
        <stp/>
        <stp>BDS|11339429058657521857</stp>
        <tr r="I1639" s="2"/>
      </tp>
      <tp t="s">
        <v>#N/A N/A</v>
        <stp/>
        <stp>BDP|13692383852588777211</stp>
        <tr r="G665" s="2"/>
      </tp>
      <tp t="s">
        <v>#N/A N/A</v>
        <stp/>
        <stp>BDP|10810529893767679450</stp>
        <tr r="E1740" s="2"/>
      </tp>
      <tp t="s">
        <v>#N/A N/A</v>
        <stp/>
        <stp>BDP|10804803506250678729</stp>
        <tr r="S577" s="2"/>
      </tp>
      <tp t="s">
        <v>#N/A N/A</v>
        <stp/>
        <stp>BDP|17788302509768444306</stp>
        <tr r="O899" s="2"/>
      </tp>
      <tp t="s">
        <v>#N/A N/A</v>
        <stp/>
        <stp>BDP|17967502928357295891</stp>
        <tr r="S444" s="2"/>
      </tp>
      <tp t="s">
        <v>#N/A N/A</v>
        <stp/>
        <stp>BDS|18208140221450627489</stp>
        <tr r="I1636" s="2"/>
      </tp>
      <tp t="s">
        <v>#N/A N/A</v>
        <stp/>
        <stp>BDP|17873666754019998296</stp>
        <tr r="H709" s="2"/>
      </tp>
      <tp t="s">
        <v>#N/A N/A</v>
        <stp/>
        <stp>BDP|13542316099167283155</stp>
        <tr r="F1404" s="2"/>
      </tp>
      <tp t="s">
        <v>#N/A N/A</v>
        <stp/>
        <stp>BDP|11874727992242285207</stp>
        <tr r="N589" s="2"/>
      </tp>
      <tp t="s">
        <v>#N/A N/A</v>
        <stp/>
        <stp>BDP|14644497160699195041</stp>
        <tr r="K707" s="2"/>
      </tp>
      <tp t="s">
        <v>#N/A N/A</v>
        <stp/>
        <stp>BDP|13539794726840371935</stp>
        <tr r="J1635" s="2"/>
      </tp>
      <tp t="s">
        <v>#N/A N/A</v>
        <stp/>
        <stp>BDP|15749492808216506899</stp>
        <tr r="P1092" s="2"/>
      </tp>
      <tp t="s">
        <v>#N/A N/A</v>
        <stp/>
        <stp>BDP|10220258699772732633</stp>
        <tr r="P1378" s="2"/>
      </tp>
      <tp t="s">
        <v>#N/A N/A</v>
        <stp/>
        <stp>BDP|11159355563439951242</stp>
        <tr r="T1339" s="2"/>
      </tp>
      <tp t="s">
        <v>#N/A N/A</v>
        <stp/>
        <stp>BDP|17840387762044045984</stp>
        <tr r="F1232" s="2"/>
      </tp>
      <tp t="s">
        <v>#N/A N/A</v>
        <stp/>
        <stp>BDP|17197822761596899004</stp>
        <tr r="J173" s="2"/>
      </tp>
      <tp t="s">
        <v>#N/A N/A</v>
        <stp/>
        <stp>BDP|12014764718603060846</stp>
        <tr r="Q1171" s="2"/>
      </tp>
      <tp t="s">
        <v>#N/A N/A</v>
        <stp/>
        <stp>BDP|16605883348634466180</stp>
        <tr r="P932" s="2"/>
      </tp>
      <tp t="s">
        <v>#N/A N/A</v>
        <stp/>
        <stp>BDP|14205466390846698085</stp>
        <tr r="N1079" s="2"/>
      </tp>
      <tp t="s">
        <v>#N/A N/A</v>
        <stp/>
        <stp>BDP|14324895574947243368</stp>
        <tr r="G594" s="2"/>
      </tp>
      <tp t="s">
        <v>#N/A N/A</v>
        <stp/>
        <stp>BDP|15260165638960227849</stp>
        <tr r="D1531" s="2"/>
      </tp>
      <tp t="s">
        <v>#N/A N/A</v>
        <stp/>
        <stp>BDP|16498551709345629948</stp>
        <tr r="O1128" s="2"/>
      </tp>
      <tp t="s">
        <v>#N/A N/A</v>
        <stp/>
        <stp>BDP|10307775588497537732</stp>
        <tr r="E742" s="2"/>
      </tp>
      <tp t="s">
        <v>#N/A N/A</v>
        <stp/>
        <stp>BDP|14136966554151112685</stp>
        <tr r="K1183" s="2"/>
      </tp>
      <tp t="s">
        <v>#N/A N/A</v>
        <stp/>
        <stp>BDP|17765361058106215817</stp>
        <tr r="O1049" s="2"/>
      </tp>
      <tp t="s">
        <v>#N/A N/A</v>
        <stp/>
        <stp>BDP|13518622543739763795</stp>
        <tr r="A963" s="2"/>
      </tp>
      <tp t="s">
        <v>#N/A N/A</v>
        <stp/>
        <stp>BDP|11750184765579658066</stp>
        <tr r="C267" s="2"/>
      </tp>
      <tp t="s">
        <v>#N/A N/A</v>
        <stp/>
        <stp>BDP|15265135274635720980</stp>
        <tr r="F243" s="2"/>
      </tp>
      <tp t="s">
        <v>#N/A N/A</v>
        <stp/>
        <stp>BDP|14753641603925326898</stp>
        <tr r="T45" s="2"/>
      </tp>
      <tp t="s">
        <v>#N/A N/A</v>
        <stp/>
        <stp>BDP|13203567299693048372</stp>
        <tr r="T288" s="2"/>
      </tp>
      <tp t="s">
        <v>#N/A N/A</v>
        <stp/>
        <stp>BDP|11626176311617217984</stp>
        <tr r="T1099" s="2"/>
      </tp>
      <tp t="s">
        <v>#N/A N/A</v>
        <stp/>
        <stp>BDP|14069926718017046402</stp>
        <tr r="E1231" s="2"/>
      </tp>
      <tp t="s">
        <v>#N/A N/A</v>
        <stp/>
        <stp>BDP|16453973052725958022</stp>
        <tr r="O1136" s="2"/>
      </tp>
      <tp t="s">
        <v>#N/A N/A</v>
        <stp/>
        <stp>BDP|16622592695290866582</stp>
        <tr r="A1735" s="2"/>
      </tp>
      <tp t="s">
        <v>#N/A N/A</v>
        <stp/>
        <stp>BDP|12816836544248035950</stp>
        <tr r="H1217" s="2"/>
      </tp>
      <tp t="s">
        <v>#N/A N/A</v>
        <stp/>
        <stp>BDP|17502925315793167391</stp>
        <tr r="T165" s="2"/>
      </tp>
      <tp t="s">
        <v>#N/A N/A</v>
        <stp/>
        <stp>BDP|13253301859502420856</stp>
        <tr r="N1012" s="2"/>
      </tp>
      <tp t="s">
        <v>#N/A N/A</v>
        <stp/>
        <stp>BDP|17804582620127316897</stp>
        <tr r="O1212" s="2"/>
      </tp>
      <tp t="s">
        <v>#N/A N/A</v>
        <stp/>
        <stp>BDP|18264336446888558888</stp>
        <tr r="R867" s="2"/>
      </tp>
      <tp t="s">
        <v>#N/A N/A</v>
        <stp/>
        <stp>BDP|14716915469965509109</stp>
        <tr r="E1280" s="2"/>
      </tp>
      <tp t="s">
        <v>#N/A N/A</v>
        <stp/>
        <stp>BDP|12004546613628836157</stp>
        <tr r="G645" s="2"/>
      </tp>
      <tp t="s">
        <v>#N/A N/A</v>
        <stp/>
        <stp>BDP|12796600467308270589</stp>
        <tr r="K826" s="2"/>
      </tp>
      <tp t="s">
        <v>#N/A N/A</v>
        <stp/>
        <stp>BDS|15416767318128745447</stp>
        <tr r="I1421" s="2"/>
      </tp>
      <tp t="s">
        <v>#N/A N/A</v>
        <stp/>
        <stp>BDP|10962918444541705360</stp>
        <tr r="K1143" s="2"/>
      </tp>
      <tp t="s">
        <v>#N/A N/A</v>
        <stp/>
        <stp>BDS|16303645252892963821</stp>
        <tr r="I1433" s="2"/>
      </tp>
      <tp t="s">
        <v>#N/A N/A</v>
        <stp/>
        <stp>BDP|10730652409238217148</stp>
        <tr r="T845" s="2"/>
      </tp>
      <tp t="s">
        <v>#N/A N/A</v>
        <stp/>
        <stp>BDP|16991913505133324333</stp>
        <tr r="A1091" s="2"/>
      </tp>
      <tp t="s">
        <v>#N/A N/A</v>
        <stp/>
        <stp>BDP|13882605679978488585</stp>
        <tr r="C1626" s="2"/>
      </tp>
      <tp t="s">
        <v>#N/A N/A</v>
        <stp/>
        <stp>BDP|17801018869938581680</stp>
        <tr r="O507" s="2"/>
      </tp>
      <tp t="s">
        <v>#N/A N/A</v>
        <stp/>
        <stp>BDP|10691034889051662673</stp>
        <tr r="P1111" s="2"/>
      </tp>
      <tp t="s">
        <v>#N/A N/A</v>
        <stp/>
        <stp>BDP|10943250324526203979</stp>
        <tr r="E56" s="2"/>
      </tp>
      <tp t="s">
        <v>#N/A N/A</v>
        <stp/>
        <stp>BDP|16083493026516550973</stp>
        <tr r="D1117" s="2"/>
      </tp>
      <tp t="s">
        <v>#N/A N/A</v>
        <stp/>
        <stp>BDP|14362695690983256750</stp>
        <tr r="K420" s="2"/>
      </tp>
      <tp t="s">
        <v>#N/A N/A</v>
        <stp/>
        <stp>BDS|18352626704571880031</stp>
        <tr r="I1144" s="2"/>
      </tp>
      <tp t="s">
        <v>#N/A N/A</v>
        <stp/>
        <stp>BDS|16915390168688695400</stp>
        <tr r="I1086" s="2"/>
      </tp>
      <tp t="s">
        <v>#N/A N/A</v>
        <stp/>
        <stp>BDP|15447072159828101760</stp>
        <tr r="S771" s="2"/>
      </tp>
      <tp t="s">
        <v>#N/A N/A</v>
        <stp/>
        <stp>BDP|13567108392722972630</stp>
        <tr r="A243" s="2"/>
      </tp>
      <tp t="s">
        <v>#N/A N/A</v>
        <stp/>
        <stp>BDP|13191335341298918371</stp>
        <tr r="S1460" s="2"/>
      </tp>
      <tp t="s">
        <v>#N/A N/A</v>
        <stp/>
        <stp>BDP|13089501599402763236</stp>
        <tr r="J623" s="2"/>
      </tp>
      <tp t="s">
        <v>#N/A N/A</v>
        <stp/>
        <stp>BDP|16194552245581801943</stp>
        <tr r="T903" s="2"/>
      </tp>
      <tp t="s">
        <v>#N/A N/A</v>
        <stp/>
        <stp>BDP|15495160866815187884</stp>
        <tr r="N1103" s="2"/>
      </tp>
      <tp t="s">
        <v>#N/A N/A</v>
        <stp/>
        <stp>BDP|13009699364179629567</stp>
        <tr r="P561" s="2"/>
      </tp>
      <tp t="s">
        <v>#N/A N/A</v>
        <stp/>
        <stp>BDP|14213127223431686987</stp>
        <tr r="Q1281" s="2"/>
      </tp>
      <tp t="s">
        <v>#N/A N/A</v>
        <stp/>
        <stp>BDP|17326051103851136995</stp>
        <tr r="A1667" s="2"/>
      </tp>
      <tp t="s">
        <v>#N/A N/A</v>
        <stp/>
        <stp>BDP|12805166440840073834</stp>
        <tr r="M595" s="2"/>
      </tp>
      <tp t="s">
        <v>#N/A N/A</v>
        <stp/>
        <stp>BDP|12225080921979569630</stp>
        <tr r="F1706" s="2"/>
      </tp>
      <tp t="s">
        <v>#N/A N/A</v>
        <stp/>
        <stp>BDP|13299121654200989801</stp>
        <tr r="O607" s="2"/>
      </tp>
      <tp t="s">
        <v>#N/A N/A</v>
        <stp/>
        <stp>BDP|15966392296943862338</stp>
        <tr r="F686" s="2"/>
      </tp>
      <tp t="s">
        <v>#N/A N/A</v>
        <stp/>
        <stp>BDP|10855287149350019942</stp>
        <tr r="F876" s="2"/>
      </tp>
      <tp t="s">
        <v>#N/A N/A</v>
        <stp/>
        <stp>BDP|17903063199931201098</stp>
        <tr r="M339" s="2"/>
      </tp>
      <tp t="s">
        <v>#N/A N/A</v>
        <stp/>
        <stp>BDP|14386476392814831234</stp>
        <tr r="R1420" s="2"/>
      </tp>
      <tp t="s">
        <v>#N/A N/A</v>
        <stp/>
        <stp>BDP|15612997253757733163</stp>
        <tr r="Q80" s="2"/>
      </tp>
      <tp t="s">
        <v>#N/A N/A</v>
        <stp/>
        <stp>BDP|10660823444823987044</stp>
        <tr r="N1033" s="2"/>
      </tp>
      <tp t="s">
        <v>#N/A N/A</v>
        <stp/>
        <stp>BDP|10721827548432155115</stp>
        <tr r="J1340" s="2"/>
      </tp>
      <tp t="s">
        <v>#N/A N/A</v>
        <stp/>
        <stp>BDP|15645928458011297735</stp>
        <tr r="Q1021" s="2"/>
      </tp>
      <tp t="s">
        <v>#N/A N/A</v>
        <stp/>
        <stp>BDP|13817150184676260361</stp>
        <tr r="C443" s="2"/>
      </tp>
      <tp t="s">
        <v>#N/A N/A</v>
        <stp/>
        <stp>BDP|11506798508231133889</stp>
        <tr r="H105" s="2"/>
      </tp>
      <tp t="s">
        <v>#N/A N/A</v>
        <stp/>
        <stp>BDP|11152396043271397858</stp>
        <tr r="T1390" s="2"/>
      </tp>
      <tp t="s">
        <v>#N/A N/A</v>
        <stp/>
        <stp>BDP|11978823481236716800</stp>
        <tr r="D565" s="2"/>
      </tp>
      <tp t="s">
        <v>#N/A N/A</v>
        <stp/>
        <stp>BDP|10310691966569739661</stp>
        <tr r="Q648" s="2"/>
      </tp>
      <tp t="s">
        <v>#N/A N/A</v>
        <stp/>
        <stp>BDP|14413884636221484138</stp>
        <tr r="D1131" s="2"/>
      </tp>
      <tp t="s">
        <v>#N/A N/A</v>
        <stp/>
        <stp>BDP|15893646290286991382</stp>
        <tr r="S1325" s="2"/>
      </tp>
      <tp t="s">
        <v>#N/A N/A</v>
        <stp/>
        <stp>BDP|11124741681460879115</stp>
        <tr r="Q544" s="2"/>
      </tp>
      <tp t="s">
        <v>#N/A N/A</v>
        <stp/>
        <stp>BDP|15953660993746462351</stp>
        <tr r="F779" s="2"/>
      </tp>
      <tp t="s">
        <v>#N/A N/A</v>
        <stp/>
        <stp>BDP|14976904055354627376</stp>
        <tr r="H953" s="2"/>
      </tp>
      <tp t="s">
        <v>#N/A N/A</v>
        <stp/>
        <stp>BDP|12854928812680795526</stp>
        <tr r="C538" s="2"/>
      </tp>
      <tp t="s">
        <v>#N/A N/A</v>
        <stp/>
        <stp>BDP|17470991574357071146</stp>
        <tr r="O710" s="2"/>
      </tp>
      <tp t="s">
        <v>#N/A N/A</v>
        <stp/>
        <stp>BDP|10416721822438169299</stp>
        <tr r="O1170" s="2"/>
      </tp>
      <tp t="s">
        <v>#N/A N/A</v>
        <stp/>
        <stp>BDP|13383413505941814938</stp>
        <tr r="R592" s="2"/>
      </tp>
      <tp t="s">
        <v>#N/A N/A</v>
        <stp/>
        <stp>BDP|13494313320384813912</stp>
        <tr r="F1503" s="2"/>
      </tp>
      <tp t="s">
        <v>#N/A N/A</v>
        <stp/>
        <stp>BDP|11644839078752460356</stp>
        <tr r="E821" s="2"/>
      </tp>
      <tp t="s">
        <v>#N/A N/A</v>
        <stp/>
        <stp>BDP|15897568693814700263</stp>
        <tr r="T1463" s="2"/>
      </tp>
      <tp t="s">
        <v>#N/A N/A</v>
        <stp/>
        <stp>BDP|18164089946002627154</stp>
        <tr r="D1295" s="2"/>
      </tp>
      <tp t="s">
        <v>#N/A N/A</v>
        <stp/>
        <stp>BDP|12574967617952974717</stp>
        <tr r="E210" s="2"/>
      </tp>
      <tp t="s">
        <v>#N/A N/A</v>
        <stp/>
        <stp>BDP|14985865841013310414</stp>
        <tr r="S500" s="2"/>
      </tp>
      <tp t="s">
        <v>#N/A N/A</v>
        <stp/>
        <stp>BDP|11395466556736680998</stp>
        <tr r="N1338" s="2"/>
      </tp>
      <tp t="s">
        <v>#N/A N/A</v>
        <stp/>
        <stp>BDP|11612359916844993806</stp>
        <tr r="M827" s="2"/>
      </tp>
      <tp t="s">
        <v>#N/A N/A</v>
        <stp/>
        <stp>BDP|15362199912728012246</stp>
        <tr r="J1659" s="2"/>
      </tp>
      <tp t="s">
        <v>#N/A N/A</v>
        <stp/>
        <stp>BDP|14957332564916492869</stp>
        <tr r="T348" s="2"/>
      </tp>
      <tp t="s">
        <v>#N/A N/A</v>
        <stp/>
        <stp>BDP|10864123172409199055</stp>
        <tr r="N202" s="2"/>
      </tp>
      <tp t="s">
        <v>#N/A N/A</v>
        <stp/>
        <stp>BDP|11174089182605567322</stp>
        <tr r="P29" s="2"/>
      </tp>
      <tp t="s">
        <v>#N/A N/A</v>
        <stp/>
        <stp>BDP|14842353400181147901</stp>
        <tr r="N24" s="2"/>
      </tp>
      <tp t="s">
        <v>#N/A N/A</v>
        <stp/>
        <stp>BDP|14492554041149871348</stp>
        <tr r="R622" s="2"/>
      </tp>
      <tp t="s">
        <v>#N/A N/A</v>
        <stp/>
        <stp>BDP|14238227611488540087</stp>
        <tr r="K1639" s="2"/>
      </tp>
      <tp t="s">
        <v>#N/A N/A</v>
        <stp/>
        <stp>BDP|14154891841010161740</stp>
        <tr r="G1695" s="2"/>
      </tp>
      <tp t="s">
        <v>#N/A N/A</v>
        <stp/>
        <stp>BDP|13430535331403812921</stp>
        <tr r="P1075" s="2"/>
      </tp>
      <tp t="s">
        <v>#N/A N/A</v>
        <stp/>
        <stp>BDP|16811043127269085279</stp>
        <tr r="N1613" s="2"/>
      </tp>
      <tp t="s">
        <v>#N/A N/A</v>
        <stp/>
        <stp>BDP|10357992844626093428</stp>
        <tr r="N112" s="2"/>
      </tp>
      <tp t="s">
        <v>#N/A N/A</v>
        <stp/>
        <stp>BDP|12979889869987420405</stp>
        <tr r="T832" s="2"/>
      </tp>
      <tp t="s">
        <v>#N/A N/A</v>
        <stp/>
        <stp>BDP|17119034598396460720</stp>
        <tr r="S1234" s="2"/>
      </tp>
      <tp t="s">
        <v>#N/A N/A</v>
        <stp/>
        <stp>BDP|13216120746748278186</stp>
        <tr r="S1400" s="2"/>
      </tp>
      <tp t="s">
        <v>#N/A N/A</v>
        <stp/>
        <stp>BDP|18202074569604633566</stp>
        <tr r="G1274" s="2"/>
      </tp>
      <tp t="s">
        <v>#N/A N/A</v>
        <stp/>
        <stp>BDP|16601487281552375702</stp>
        <tr r="T359" s="2"/>
      </tp>
      <tp t="s">
        <v>#N/A N/A</v>
        <stp/>
        <stp>BDP|18271405655521346784</stp>
        <tr r="M1748" s="2"/>
      </tp>
      <tp t="s">
        <v>#N/A N/A</v>
        <stp/>
        <stp>BDP|18376619158906665206</stp>
        <tr r="E1529" s="2"/>
      </tp>
      <tp t="s">
        <v>#N/A N/A</v>
        <stp/>
        <stp>BDP|10832060583463264437</stp>
        <tr r="H888" s="2"/>
      </tp>
      <tp t="s">
        <v>#N/A N/A</v>
        <stp/>
        <stp>BDS|14476274549455186849</stp>
        <tr r="I1629" s="2"/>
      </tp>
      <tp t="s">
        <v>#N/A N/A</v>
        <stp/>
        <stp>BDP|14204957218226727541</stp>
        <tr r="G1291" s="2"/>
      </tp>
      <tp t="s">
        <v>#N/A N/A</v>
        <stp/>
        <stp>BDP|17499124894981827163</stp>
        <tr r="M815" s="2"/>
      </tp>
      <tp t="s">
        <v>#N/A N/A</v>
        <stp/>
        <stp>BDP|17088052658349156408</stp>
        <tr r="M543" s="2"/>
      </tp>
      <tp t="s">
        <v>#N/A N/A</v>
        <stp/>
        <stp>BDP|12949378732448095505</stp>
        <tr r="P286" s="2"/>
      </tp>
      <tp t="s">
        <v>#N/A N/A</v>
        <stp/>
        <stp>BDP|16336269023598221189</stp>
        <tr r="P444" s="2"/>
      </tp>
      <tp t="s">
        <v>#N/A N/A</v>
        <stp/>
        <stp>BDP|11335407951346768995</stp>
        <tr r="D1359" s="2"/>
      </tp>
      <tp t="s">
        <v>#N/A N/A</v>
        <stp/>
        <stp>BDP|16119003247519043498</stp>
        <tr r="G552" s="2"/>
      </tp>
      <tp t="s">
        <v>#N/A N/A</v>
        <stp/>
        <stp>BDP|13077790079979737586</stp>
        <tr r="T572" s="2"/>
      </tp>
      <tp t="s">
        <v>#N/A N/A</v>
        <stp/>
        <stp>BDP|12080987656500130102</stp>
        <tr r="H788" s="2"/>
      </tp>
      <tp t="s">
        <v>#N/A N/A</v>
        <stp/>
        <stp>BDP|16740610378800613876</stp>
        <tr r="M1308" s="2"/>
      </tp>
      <tp t="s">
        <v>#N/A N/A</v>
        <stp/>
        <stp>BDP|10774556794231104289</stp>
        <tr r="J1356" s="2"/>
      </tp>
      <tp t="s">
        <v>#N/A N/A</v>
        <stp/>
        <stp>BDP|16008602763508580196</stp>
        <tr r="P2" s="2"/>
      </tp>
      <tp t="s">
        <v>#N/A N/A</v>
        <stp/>
        <stp>BDP|12282511086007805720</stp>
        <tr r="C481" s="2"/>
      </tp>
      <tp t="s">
        <v>#N/A N/A</v>
        <stp/>
        <stp>BDP|12127554428982365801</stp>
        <tr r="A1369" s="2"/>
      </tp>
      <tp t="s">
        <v>#N/A N/A</v>
        <stp/>
        <stp>BDP|17506845702336468688</stp>
        <tr r="C906" s="2"/>
      </tp>
      <tp t="s">
        <v>#N/A N/A</v>
        <stp/>
        <stp>BDP|18325003047937385488</stp>
        <tr r="T1251" s="2"/>
      </tp>
      <tp t="s">
        <v>#N/A N/A</v>
        <stp/>
        <stp>BDP|14255856101277011498</stp>
        <tr r="N1503" s="2"/>
      </tp>
      <tp t="s">
        <v>#N/A N/A</v>
        <stp/>
        <stp>BDS|11046949108374994398</stp>
        <tr r="I1707" s="2"/>
      </tp>
      <tp t="s">
        <v>#N/A N/A</v>
        <stp/>
        <stp>BDP|15613935039928376805</stp>
        <tr r="R605" s="2"/>
      </tp>
      <tp t="s">
        <v>#N/A N/A</v>
        <stp/>
        <stp>BDP|10910640178049394797</stp>
        <tr r="M1068" s="2"/>
      </tp>
      <tp t="s">
        <v>#N/A N/A</v>
        <stp/>
        <stp>BDP|10141150262548877019</stp>
        <tr r="G1320" s="2"/>
      </tp>
      <tp t="s">
        <v>#N/A N/A</v>
        <stp/>
        <stp>BDP|11999738256038768448</stp>
        <tr r="S1344" s="2"/>
      </tp>
      <tp t="s">
        <v>#N/A N/A</v>
        <stp/>
        <stp>BDP|12451999072003972094</stp>
        <tr r="T1292" s="2"/>
      </tp>
      <tp t="s">
        <v>#N/A N/A</v>
        <stp/>
        <stp>BDP|12879951766936523413</stp>
        <tr r="R1696" s="2"/>
      </tp>
      <tp t="s">
        <v>#N/A N/A</v>
        <stp/>
        <stp>BDP|10080386910554427937</stp>
        <tr r="E754" s="2"/>
      </tp>
      <tp t="s">
        <v>#N/A N/A</v>
        <stp/>
        <stp>BDP|13819412816238398136</stp>
        <tr r="C1470" s="2"/>
      </tp>
      <tp t="s">
        <v>#N/A N/A</v>
        <stp/>
        <stp>BDP|15224223978086483937</stp>
        <tr r="O11" s="2"/>
      </tp>
      <tp t="s">
        <v>#N/A N/A</v>
        <stp/>
        <stp>BDP|15746649990075574097</stp>
        <tr r="E34" s="2"/>
      </tp>
      <tp t="s">
        <v>#N/A N/A</v>
        <stp/>
        <stp>BDP|16213801039682433008</stp>
        <tr r="S377" s="2"/>
      </tp>
      <tp t="s">
        <v>#N/A N/A</v>
        <stp/>
        <stp>BDP|12835171590221549459</stp>
        <tr r="J1554" s="2"/>
      </tp>
      <tp t="s">
        <v>#N/A N/A</v>
        <stp/>
        <stp>BDP|16247263458618099635</stp>
        <tr r="R354" s="2"/>
      </tp>
      <tp t="s">
        <v>#N/A N/A</v>
        <stp/>
        <stp>BDP|16191196791764224547</stp>
        <tr r="M1085" s="2"/>
      </tp>
      <tp t="s">
        <v>#N/A N/A</v>
        <stp/>
        <stp>BDP|16934508592252730737</stp>
        <tr r="H983" s="2"/>
      </tp>
      <tp t="s">
        <v>#N/A N/A</v>
        <stp/>
        <stp>BDP|16042934057493302688</stp>
        <tr r="D925" s="2"/>
      </tp>
      <tp t="s">
        <v>#N/A N/A</v>
        <stp/>
        <stp>BDP|15234119863578653596</stp>
        <tr r="Q436" s="2"/>
      </tp>
      <tp t="s">
        <v>#N/A N/A</v>
        <stp/>
        <stp>BDS|12160138778968225349</stp>
        <tr r="I1734" s="2"/>
      </tp>
      <tp t="s">
        <v>#N/A N/A</v>
        <stp/>
        <stp>BDP|10046023344913966804</stp>
        <tr r="J679" s="2"/>
      </tp>
      <tp t="s">
        <v>#N/A N/A</v>
        <stp/>
        <stp>BDP|12910885869332072173</stp>
        <tr r="J175" s="2"/>
      </tp>
      <tp t="s">
        <v>#N/A N/A</v>
        <stp/>
        <stp>BDP|12316645426689805060</stp>
        <tr r="S1330" s="2"/>
      </tp>
      <tp t="s">
        <v>#N/A N/A</v>
        <stp/>
        <stp>BDP|12978242113268924687</stp>
        <tr r="C649" s="2"/>
      </tp>
      <tp t="s">
        <v>#N/A N/A</v>
        <stp/>
        <stp>BDP|10983528882393348155</stp>
        <tr r="C1241" s="2"/>
      </tp>
      <tp t="s">
        <v>#N/A N/A</v>
        <stp/>
        <stp>BDP|16128848533957169587</stp>
        <tr r="O1121" s="2"/>
      </tp>
      <tp t="s">
        <v>#N/A N/A</v>
        <stp/>
        <stp>BDP|12838756156748713732</stp>
        <tr r="N220" s="2"/>
      </tp>
      <tp t="s">
        <v>#N/A N/A</v>
        <stp/>
        <stp>BDP|15333816607256868420</stp>
        <tr r="D1301" s="2"/>
      </tp>
      <tp t="s">
        <v>#N/A N/A</v>
        <stp/>
        <stp>BDP|18437687045601314452</stp>
        <tr r="K114" s="2"/>
      </tp>
      <tp t="s">
        <v>#N/A N/A</v>
        <stp/>
        <stp>BDP|11721906679000945081</stp>
        <tr r="G133" s="2"/>
      </tp>
      <tp t="s">
        <v>#N/A N/A</v>
        <stp/>
        <stp>BDP|12448233079568632071</stp>
        <tr r="O1221" s="2"/>
      </tp>
      <tp t="s">
        <v>#N/A N/A</v>
        <stp/>
        <stp>BDP|18144880584154744351</stp>
        <tr r="Q950" s="2"/>
      </tp>
      <tp t="s">
        <v>#N/A N/A</v>
        <stp/>
        <stp>BDP|10548135397545665285</stp>
        <tr r="Q1544" s="2"/>
      </tp>
      <tp t="s">
        <v>#N/A N/A</v>
        <stp/>
        <stp>BDP|16312484281077141246</stp>
        <tr r="N797" s="2"/>
      </tp>
      <tp t="s">
        <v>#N/A N/A</v>
        <stp/>
        <stp>BDP|17767554079502546814</stp>
        <tr r="P1180" s="2"/>
      </tp>
      <tp t="s">
        <v>#N/A N/A</v>
        <stp/>
        <stp>BDP|10214200851679489188</stp>
        <tr r="F179" s="2"/>
      </tp>
      <tp t="s">
        <v>#N/A N/A</v>
        <stp/>
        <stp>BDP|16776551199616238365</stp>
        <tr r="T11" s="2"/>
      </tp>
      <tp t="s">
        <v>#N/A N/A</v>
        <stp/>
        <stp>BDP|14503132190250101386</stp>
        <tr r="D1657" s="2"/>
      </tp>
      <tp t="s">
        <v>#N/A N/A</v>
        <stp/>
        <stp>BDP|12579192561118452264</stp>
        <tr r="M758" s="2"/>
      </tp>
      <tp t="s">
        <v>#N/A N/A</v>
        <stp/>
        <stp>BDP|12910826121091742626</stp>
        <tr r="M64" s="2"/>
      </tp>
      <tp t="s">
        <v>#N/A N/A</v>
        <stp/>
        <stp>BDP|17899949805790246147</stp>
        <tr r="F1329" s="2"/>
      </tp>
      <tp t="s">
        <v>#N/A N/A</v>
        <stp/>
        <stp>BDP|12078897373297638535</stp>
        <tr r="O1365" s="2"/>
      </tp>
      <tp t="s">
        <v>#N/A N/A</v>
        <stp/>
        <stp>BDS|12400270398317066171</stp>
        <tr r="I954" s="2"/>
      </tp>
      <tp t="s">
        <v>#N/A N/A</v>
        <stp/>
        <stp>BDS|16088727528445131963</stp>
        <tr r="I315" s="2"/>
      </tp>
      <tp t="s">
        <v>#N/A N/A</v>
        <stp/>
        <stp>BDP|15243358588841268039</stp>
        <tr r="G654" s="2"/>
      </tp>
      <tp t="s">
        <v>#N/A N/A</v>
        <stp/>
        <stp>BDP|11821589492012451085</stp>
        <tr r="S300" s="2"/>
      </tp>
      <tp t="s">
        <v>#N/A N/A</v>
        <stp/>
        <stp>BDP|11309842716932825573</stp>
        <tr r="N916" s="2"/>
      </tp>
      <tp t="s">
        <v>#N/A N/A</v>
        <stp/>
        <stp>BDP|13271739143567837842</stp>
        <tr r="F26" s="2"/>
      </tp>
      <tp t="s">
        <v>#N/A N/A</v>
        <stp/>
        <stp>BDP|10293314501068575493</stp>
        <tr r="G108" s="2"/>
      </tp>
      <tp t="s">
        <v>#N/A N/A</v>
        <stp/>
        <stp>BDP|11545855789578291654</stp>
        <tr r="D7" s="2"/>
      </tp>
      <tp t="s">
        <v>#N/A N/A</v>
        <stp/>
        <stp>BDP|13401836108970467450</stp>
        <tr r="M677" s="2"/>
      </tp>
      <tp t="s">
        <v>#N/A N/A</v>
        <stp/>
        <stp>BDP|11260348801574030990</stp>
        <tr r="Q278" s="2"/>
      </tp>
      <tp t="s">
        <v>#N/A N/A</v>
        <stp/>
        <stp>BDP|16158122057315386894</stp>
        <tr r="A63" s="2"/>
      </tp>
      <tp t="s">
        <v>#N/A N/A</v>
        <stp/>
        <stp>BDP|17312495729648427698</stp>
        <tr r="N51" s="2"/>
      </tp>
      <tp t="s">
        <v>#N/A N/A</v>
        <stp/>
        <stp>BDP|12639148930679929650</stp>
        <tr r="G870" s="2"/>
      </tp>
      <tp t="s">
        <v>#N/A N/A</v>
        <stp/>
        <stp>BDP|10819392380611833579</stp>
        <tr r="R918" s="2"/>
      </tp>
      <tp t="s">
        <v>#N/A N/A</v>
        <stp/>
        <stp>BDP|15976000412919373266</stp>
        <tr r="T1696" s="2"/>
      </tp>
      <tp t="s">
        <v>#N/A N/A</v>
        <stp/>
        <stp>BDP|13873267284126560018</stp>
        <tr r="P1702" s="2"/>
      </tp>
      <tp t="s">
        <v>#N/A N/A</v>
        <stp/>
        <stp>BDP|16274996716592127328</stp>
        <tr r="G819" s="2"/>
      </tp>
      <tp t="s">
        <v>#N/A N/A</v>
        <stp/>
        <stp>BDP|10496298926427484813</stp>
        <tr r="F1163" s="2"/>
      </tp>
      <tp t="s">
        <v>#N/A N/A</v>
        <stp/>
        <stp>BDP|11449432952897941824</stp>
        <tr r="T1495" s="2"/>
      </tp>
      <tp t="s">
        <v>#N/A N/A</v>
        <stp/>
        <stp>BDP|12602207788486095104</stp>
        <tr r="E1698" s="2"/>
      </tp>
      <tp t="s">
        <v>#N/A N/A</v>
        <stp/>
        <stp>BDP|10374288795266141217</stp>
        <tr r="T1137" s="2"/>
      </tp>
      <tp t="s">
        <v>#N/A N/A</v>
        <stp/>
        <stp>BDP|12694881389215930807</stp>
        <tr r="F491" s="2"/>
      </tp>
      <tp t="s">
        <v>#N/A N/A</v>
        <stp/>
        <stp>BDP|10352418283957615498</stp>
        <tr r="O1541" s="2"/>
      </tp>
      <tp t="s">
        <v>#N/A N/A</v>
        <stp/>
        <stp>BDP|14550159814602845922</stp>
        <tr r="E1270" s="2"/>
      </tp>
      <tp t="s">
        <v>#N/A N/A</v>
        <stp/>
        <stp>BDP|15087986753846039059</stp>
        <tr r="R528" s="2"/>
      </tp>
      <tp t="s">
        <v>#N/A N/A</v>
        <stp/>
        <stp>BDP|12480545754534253981</stp>
        <tr r="P123" s="2"/>
      </tp>
      <tp t="s">
        <v>#N/A N/A</v>
        <stp/>
        <stp>BDP|10108214353791973948</stp>
        <tr r="K860" s="2"/>
      </tp>
      <tp t="s">
        <v>#N/A N/A</v>
        <stp/>
        <stp>BDP|14242026070925901977</stp>
        <tr r="A67" s="2"/>
      </tp>
      <tp t="s">
        <v>#N/A N/A</v>
        <stp/>
        <stp>BDP|18108054608880672748</stp>
        <tr r="Q967" s="2"/>
      </tp>
      <tp t="s">
        <v>#N/A N/A</v>
        <stp/>
        <stp>BDP|17362399598855874743</stp>
        <tr r="E563" s="2"/>
      </tp>
      <tp t="s">
        <v>#N/A N/A</v>
        <stp/>
        <stp>BDP|13112687011698319352</stp>
        <tr r="M336" s="2"/>
      </tp>
      <tp t="s">
        <v>#N/A N/A</v>
        <stp/>
        <stp>BDS|10996926360282365259</stp>
        <tr r="I1159" s="2"/>
      </tp>
      <tp t="s">
        <v>#N/A N/A</v>
        <stp/>
        <stp>BDP|17687640999936527101</stp>
        <tr r="F1255" s="2"/>
      </tp>
      <tp t="s">
        <v>#N/A N/A</v>
        <stp/>
        <stp>BDP|17683496113865603844</stp>
        <tr r="O485" s="2"/>
      </tp>
      <tp t="s">
        <v>#N/A N/A</v>
        <stp/>
        <stp>BDP|16657831912411939101</stp>
        <tr r="N600" s="2"/>
      </tp>
      <tp t="s">
        <v>#N/A N/A</v>
        <stp/>
        <stp>BDP|12117612351068673696</stp>
        <tr r="E135" s="2"/>
      </tp>
      <tp t="s">
        <v>#N/A N/A</v>
        <stp/>
        <stp>BDP|13391647381575028788</stp>
        <tr r="M828" s="2"/>
      </tp>
      <tp t="s">
        <v>#N/A N/A</v>
        <stp/>
        <stp>BDP|12588729289304225621</stp>
        <tr r="A1066" s="2"/>
      </tp>
      <tp t="s">
        <v>#N/A N/A</v>
        <stp/>
        <stp>BDS|13914232441622548830</stp>
        <tr r="I902" s="2"/>
      </tp>
      <tp t="s">
        <v>#N/A N/A</v>
        <stp/>
        <stp>BDP|15954484882795551382</stp>
        <tr r="C1104" s="2"/>
      </tp>
      <tp t="s">
        <v>#N/A N/A</v>
        <stp/>
        <stp>BDP|17595050585951941125</stp>
        <tr r="G332" s="2"/>
      </tp>
      <tp t="s">
        <v>#N/A N/A</v>
        <stp/>
        <stp>BDP|15736377424443880829</stp>
        <tr r="N371" s="2"/>
      </tp>
      <tp t="s">
        <v>#N/A N/A</v>
        <stp/>
        <stp>BDP|17546371689021152241</stp>
        <tr r="O1688" s="2"/>
      </tp>
      <tp t="s">
        <v>#N/A N/A</v>
        <stp/>
        <stp>BDP|10079955361221984138</stp>
        <tr r="O1106" s="2"/>
      </tp>
      <tp t="s">
        <v>#N/A N/A</v>
        <stp/>
        <stp>BDP|10956506037128958197</stp>
        <tr r="N1560" s="2"/>
      </tp>
      <tp t="s">
        <v>#N/A N/A</v>
        <stp/>
        <stp>BDP|10351317317304209991</stp>
        <tr r="M103" s="2"/>
      </tp>
      <tp t="s">
        <v>#N/A N/A</v>
        <stp/>
        <stp>BDP|15327552909018269736</stp>
        <tr r="T498" s="2"/>
      </tp>
      <tp t="s">
        <v>#N/A N/A</v>
        <stp/>
        <stp>BDP|14615840390068490288</stp>
        <tr r="O776" s="2"/>
      </tp>
      <tp t="s">
        <v>#N/A N/A</v>
        <stp/>
        <stp>BDS|16060383017698745350</stp>
        <tr r="I1556" s="2"/>
      </tp>
      <tp t="s">
        <v>#N/A N/A</v>
        <stp/>
        <stp>BDP|17718047775728814707</stp>
        <tr r="J1041" s="2"/>
      </tp>
      <tp t="s">
        <v>#N/A N/A</v>
        <stp/>
        <stp>BDS|18076168149770394216</stp>
        <tr r="I977" s="2"/>
      </tp>
      <tp t="s">
        <v>#N/A N/A</v>
        <stp/>
        <stp>BDP|14053883654873595570</stp>
        <tr r="P693" s="2"/>
      </tp>
      <tp t="s">
        <v>#N/A N/A</v>
        <stp/>
        <stp>BDP|18268644263802358588</stp>
        <tr r="D1505" s="2"/>
      </tp>
      <tp t="s">
        <v>#N/A N/A</v>
        <stp/>
        <stp>BDP|13331194603628462531</stp>
        <tr r="F464" s="2"/>
      </tp>
      <tp t="s">
        <v>#N/A N/A</v>
        <stp/>
        <stp>BDP|18005365291024039993</stp>
        <tr r="F434" s="2"/>
      </tp>
      <tp t="s">
        <v>#N/A N/A</v>
        <stp/>
        <stp>BDP|16100890005250168120</stp>
        <tr r="F1092" s="2"/>
      </tp>
      <tp t="s">
        <v>#N/A N/A</v>
        <stp/>
        <stp>BDP|13947265952309161220</stp>
        <tr r="H230" s="2"/>
      </tp>
      <tp t="s">
        <v>#N/A N/A</v>
        <stp/>
        <stp>BDP|17580976110764899444</stp>
        <tr r="Q897" s="2"/>
      </tp>
      <tp t="s">
        <v>#N/A N/A</v>
        <stp/>
        <stp>BDP|17075324644847966819</stp>
        <tr r="F264" s="2"/>
      </tp>
      <tp t="s">
        <v>#N/A N/A</v>
        <stp/>
        <stp>BDP|11985145339054980831</stp>
        <tr r="G1367" s="2"/>
      </tp>
      <tp t="s">
        <v>#N/A N/A</v>
        <stp/>
        <stp>BDP|18262100832730724568</stp>
        <tr r="D104" s="2"/>
      </tp>
      <tp t="s">
        <v>#N/A N/A</v>
        <stp/>
        <stp>BDP|10497676420323118836</stp>
        <tr r="C1230" s="2"/>
      </tp>
      <tp t="s">
        <v>#N/A N/A</v>
        <stp/>
        <stp>BDP|15566828277952944788</stp>
        <tr r="R1392" s="2"/>
      </tp>
      <tp t="s">
        <v>#N/A N/A</v>
        <stp/>
        <stp>BDP|18156722471931679653</stp>
        <tr r="Q1325" s="2"/>
      </tp>
      <tp t="s">
        <v>#N/A N/A</v>
        <stp/>
        <stp>BDP|10148763716479983091</stp>
        <tr r="A674" s="2"/>
      </tp>
      <tp t="s">
        <v>#N/A N/A</v>
        <stp/>
        <stp>BDP|11113859977764229507</stp>
        <tr r="H1075" s="2"/>
      </tp>
      <tp t="s">
        <v>#N/A N/A</v>
        <stp/>
        <stp>BDP|15566467925934031872</stp>
        <tr r="S620" s="2"/>
      </tp>
      <tp t="s">
        <v>#N/A N/A</v>
        <stp/>
        <stp>BDP|16857814228017216429</stp>
        <tr r="Q1131" s="2"/>
      </tp>
      <tp t="s">
        <v>#N/A N/A</v>
        <stp/>
        <stp>BDP|12208848471274363654</stp>
        <tr r="Q168" s="2"/>
      </tp>
      <tp t="s">
        <v>#N/A N/A</v>
        <stp/>
        <stp>BDP|10802564802178856258</stp>
        <tr r="G724" s="2"/>
      </tp>
      <tp t="s">
        <v>#N/A N/A</v>
        <stp/>
        <stp>BDP|16300378936109412070</stp>
        <tr r="P1582" s="2"/>
      </tp>
      <tp t="s">
        <v>#N/A N/A</v>
        <stp/>
        <stp>BDP|10253716836419590216</stp>
        <tr r="M1245" s="2"/>
      </tp>
      <tp t="s">
        <v>#N/A N/A</v>
        <stp/>
        <stp>BDP|11229667268088590684</stp>
        <tr r="S1630" s="2"/>
      </tp>
      <tp t="s">
        <v>#N/A N/A</v>
        <stp/>
        <stp>BDP|17029072747155218938</stp>
        <tr r="D1097" s="2"/>
      </tp>
      <tp t="s">
        <v>#N/A N/A</v>
        <stp/>
        <stp>BDP|10216751546279449549</stp>
        <tr r="H1256" s="2"/>
      </tp>
      <tp t="s">
        <v>#N/A N/A</v>
        <stp/>
        <stp>BDP|10066009485197237062</stp>
        <tr r="K911" s="2"/>
      </tp>
      <tp t="s">
        <v>#N/A N/A</v>
        <stp/>
        <stp>BDP|13848999169055048696</stp>
        <tr r="D1042" s="2"/>
      </tp>
      <tp t="s">
        <v>#N/A N/A</v>
        <stp/>
        <stp>BDP|15673691046858152094</stp>
        <tr r="S830" s="2"/>
      </tp>
      <tp t="s">
        <v>#N/A N/A</v>
        <stp/>
        <stp>BDP|14196445245648172302</stp>
        <tr r="D372" s="2"/>
      </tp>
      <tp t="s">
        <v>#N/A N/A</v>
        <stp/>
        <stp>BDP|17488940015425745536</stp>
        <tr r="N537" s="2"/>
      </tp>
      <tp t="s">
        <v>#N/A N/A</v>
        <stp/>
        <stp>BDP|10736304808229635588</stp>
        <tr r="R439" s="2"/>
      </tp>
      <tp t="s">
        <v>#N/A N/A</v>
        <stp/>
        <stp>BDP|11027212202194078828</stp>
        <tr r="T116" s="2"/>
      </tp>
      <tp t="s">
        <v>#N/A N/A</v>
        <stp/>
        <stp>BDP|11865885214702487512</stp>
        <tr r="F390" s="2"/>
      </tp>
      <tp t="s">
        <v>#N/A N/A</v>
        <stp/>
        <stp>BDP|10167300167792556829</stp>
        <tr r="D1264" s="2"/>
      </tp>
      <tp t="s">
        <v>#N/A N/A</v>
        <stp/>
        <stp>BDP|12343762738981805842</stp>
        <tr r="A1167" s="2"/>
      </tp>
      <tp t="s">
        <v>#N/A N/A</v>
        <stp/>
        <stp>BDP|13664267111636622968</stp>
        <tr r="A1733" s="2"/>
      </tp>
      <tp t="s">
        <v>#N/A N/A</v>
        <stp/>
        <stp>BDP|16437887347330921538</stp>
        <tr r="N1099" s="2"/>
      </tp>
      <tp t="s">
        <v>#N/A N/A</v>
        <stp/>
        <stp>BDP|10599100366799432160</stp>
        <tr r="K345" s="2"/>
      </tp>
      <tp t="s">
        <v>#N/A N/A</v>
        <stp/>
        <stp>BDP|11751127242873755812</stp>
        <tr r="P208" s="2"/>
      </tp>
      <tp t="s">
        <v>#N/A N/A</v>
        <stp/>
        <stp>BDP|18106641918534887440</stp>
        <tr r="T1471" s="2"/>
      </tp>
      <tp t="s">
        <v>#N/A N/A</v>
        <stp/>
        <stp>BDP|14586225204241744857</stp>
        <tr r="M650" s="2"/>
      </tp>
      <tp t="s">
        <v>#N/A N/A</v>
        <stp/>
        <stp>BDS|13383813706721672507</stp>
        <tr r="I1448" s="2"/>
      </tp>
      <tp t="s">
        <v>#N/A N/A</v>
        <stp/>
        <stp>BDP|13157798431801004989</stp>
        <tr r="E20" s="2"/>
      </tp>
      <tp t="s">
        <v>#N/A N/A</v>
        <stp/>
        <stp>BDP|16644488117659806506</stp>
        <tr r="H1699" s="2"/>
      </tp>
      <tp t="s">
        <v>#N/A N/A</v>
        <stp/>
        <stp>BDP|17789609565120311802</stp>
        <tr r="R17" s="2"/>
      </tp>
      <tp t="s">
        <v>#N/A N/A</v>
        <stp/>
        <stp>BDP|18088725942883667770</stp>
        <tr r="G282" s="2"/>
      </tp>
      <tp t="s">
        <v>#N/A N/A</v>
        <stp/>
        <stp>BDP|13510180216278288489</stp>
        <tr r="D1394" s="2"/>
      </tp>
      <tp t="s">
        <v>#N/A N/A</v>
        <stp/>
        <stp>BDP|15830861841521737796</stp>
        <tr r="T286" s="2"/>
      </tp>
      <tp t="s">
        <v>#N/A N/A</v>
        <stp/>
        <stp>BDP|17738893120765866773</stp>
        <tr r="R725" s="2"/>
      </tp>
      <tp t="s">
        <v>#N/A N/A</v>
        <stp/>
        <stp>BDP|10982879849267434422</stp>
        <tr r="S676" s="2"/>
      </tp>
      <tp t="s">
        <v>#N/A N/A</v>
        <stp/>
        <stp>BDP|16130119587892464226</stp>
        <tr r="J944" s="2"/>
      </tp>
      <tp t="s">
        <v>#N/A N/A</v>
        <stp/>
        <stp>BDP|12419987863694942676</stp>
        <tr r="T1047" s="2"/>
      </tp>
      <tp t="s">
        <v>#N/A N/A</v>
        <stp/>
        <stp>BDP|11453449554609485610</stp>
        <tr r="Q400" s="2"/>
      </tp>
      <tp t="s">
        <v>#N/A N/A</v>
        <stp/>
        <stp>BDP|13761876544189105941</stp>
        <tr r="H1500" s="2"/>
      </tp>
      <tp t="s">
        <v>#N/A N/A</v>
        <stp/>
        <stp>BDP|14022853758610950652</stp>
        <tr r="K415" s="2"/>
      </tp>
      <tp t="s">
        <v>#N/A N/A</v>
        <stp/>
        <stp>BDP|12636725596017302406</stp>
        <tr r="F1065" s="2"/>
      </tp>
      <tp t="s">
        <v>#N/A N/A</v>
        <stp/>
        <stp>BDP|13822728699006049429</stp>
        <tr r="G1423" s="2"/>
      </tp>
      <tp t="s">
        <v>#N/A N/A</v>
        <stp/>
        <stp>BDP|13848360229138204542</stp>
        <tr r="G1373" s="2"/>
      </tp>
      <tp t="s">
        <v>#N/A N/A</v>
        <stp/>
        <stp>BDP|11159285692197879221</stp>
        <tr r="T1032" s="2"/>
      </tp>
      <tp t="s">
        <v>#N/A N/A</v>
        <stp/>
        <stp>BDS|13610429276586892983</stp>
        <tr r="I883" s="2"/>
      </tp>
      <tp t="s">
        <v>#N/A N/A</v>
        <stp/>
        <stp>BDP|16030914445490377463</stp>
        <tr r="A1452" s="2"/>
      </tp>
      <tp t="s">
        <v>#N/A N/A</v>
        <stp/>
        <stp>BDP|12475549715278180153</stp>
        <tr r="P1506" s="2"/>
      </tp>
      <tp t="s">
        <v>#N/A N/A</v>
        <stp/>
        <stp>BDP|15680905038327606799</stp>
        <tr r="R1386" s="2"/>
      </tp>
      <tp t="s">
        <v>#N/A N/A</v>
        <stp/>
        <stp>BDP|12267363433569533435</stp>
        <tr r="F1651" s="2"/>
      </tp>
      <tp t="s">
        <v>#N/A N/A</v>
        <stp/>
        <stp>BDP|17937041692017860662</stp>
        <tr r="H1583" s="2"/>
      </tp>
      <tp t="s">
        <v>#N/A N/A</v>
        <stp/>
        <stp>BDP|16565736427455198918</stp>
        <tr r="S153" s="2"/>
      </tp>
      <tp t="s">
        <v>#N/A N/A</v>
        <stp/>
        <stp>BDP|13290586757794954858</stp>
        <tr r="T365" s="2"/>
      </tp>
      <tp t="s">
        <v>#N/A N/A</v>
        <stp/>
        <stp>BDP|17457125503879591014</stp>
        <tr r="C951" s="2"/>
      </tp>
      <tp t="s">
        <v>#N/A N/A</v>
        <stp/>
        <stp>BDP|12801177102544404887</stp>
        <tr r="E1282" s="2"/>
      </tp>
      <tp t="s">
        <v>#N/A N/A</v>
        <stp/>
        <stp>BDP|12631747186101341365</stp>
        <tr r="P1603" s="2"/>
      </tp>
      <tp t="s">
        <v>#N/A N/A</v>
        <stp/>
        <stp>BDP|10394858798469665797</stp>
        <tr r="Q1525" s="2"/>
      </tp>
      <tp t="s">
        <v>#N/A N/A</v>
        <stp/>
        <stp>BDP|12019908587254194869</stp>
        <tr r="O508" s="2"/>
      </tp>
      <tp t="s">
        <v>#N/A N/A</v>
        <stp/>
        <stp>BDP|13202813164052799001</stp>
        <tr r="O1592" s="2"/>
      </tp>
      <tp t="s">
        <v>#N/A N/A</v>
        <stp/>
        <stp>BDP|17085852736727629454</stp>
        <tr r="J1560" s="2"/>
      </tp>
      <tp t="s">
        <v>#N/A N/A</v>
        <stp/>
        <stp>BDP|15947513900628824708</stp>
        <tr r="F293" s="2"/>
      </tp>
      <tp t="s">
        <v>#N/A N/A</v>
        <stp/>
        <stp>BDP|15548842835163397275</stp>
        <tr r="A330" s="2"/>
      </tp>
      <tp t="s">
        <v>#N/A N/A</v>
        <stp/>
        <stp>BDP|13994993304917796231</stp>
        <tr r="A771" s="2"/>
      </tp>
      <tp t="s">
        <v>#N/A N/A</v>
        <stp/>
        <stp>BDP|16408144140004479848</stp>
        <tr r="Q1639" s="2"/>
      </tp>
      <tp t="s">
        <v>#N/A N/A</v>
        <stp/>
        <stp>BDP|11151174996863000503</stp>
        <tr r="R145" s="2"/>
      </tp>
      <tp t="s">
        <v>#N/A N/A</v>
        <stp/>
        <stp>BDP|13684735983452336150</stp>
        <tr r="F1142" s="2"/>
      </tp>
      <tp t="s">
        <v>#N/A N/A</v>
        <stp/>
        <stp>BDP|10664320782477180370</stp>
        <tr r="C900" s="2"/>
      </tp>
      <tp t="s">
        <v>#N/A N/A</v>
        <stp/>
        <stp>BDP|18126809085450425704</stp>
        <tr r="C525" s="2"/>
      </tp>
      <tp t="s">
        <v>#N/A N/A</v>
        <stp/>
        <stp>BDP|17175208790496565545</stp>
        <tr r="S507" s="2"/>
      </tp>
      <tp t="s">
        <v>#N/A N/A</v>
        <stp/>
        <stp>BDP|15788481640039647395</stp>
        <tr r="R697" s="2"/>
      </tp>
      <tp t="s">
        <v>#N/A N/A</v>
        <stp/>
        <stp>BDP|14296320490754560550</stp>
        <tr r="F1435" s="2"/>
      </tp>
      <tp t="s">
        <v>#N/A N/A</v>
        <stp/>
        <stp>BDP|15601905726001983092</stp>
        <tr r="A1120" s="2"/>
      </tp>
      <tp t="s">
        <v>#N/A N/A</v>
        <stp/>
        <stp>BDP|13023148384590198519</stp>
        <tr r="R594" s="2"/>
      </tp>
      <tp t="s">
        <v>#N/A N/A</v>
        <stp/>
        <stp>BDP|17558485377452382992</stp>
        <tr r="R346" s="2"/>
      </tp>
      <tp t="s">
        <v>#N/A N/A</v>
        <stp/>
        <stp>BDP|14245279898305857555</stp>
        <tr r="T1682" s="2"/>
      </tp>
      <tp t="s">
        <v>#N/A N/A</v>
        <stp/>
        <stp>BDP|15835273659104692905</stp>
        <tr r="N581" s="2"/>
      </tp>
      <tp t="s">
        <v>#N/A N/A</v>
        <stp/>
        <stp>BDP|11504972800926603147</stp>
        <tr r="R147" s="2"/>
      </tp>
      <tp t="s">
        <v>#N/A N/A</v>
        <stp/>
        <stp>BDP|18003332094665411839</stp>
        <tr r="M1350" s="2"/>
      </tp>
      <tp t="s">
        <v>#N/A N/A</v>
        <stp/>
        <stp>BDP|12445345753132550969</stp>
        <tr r="D366" s="2"/>
      </tp>
      <tp t="s">
        <v>#N/A N/A</v>
        <stp/>
        <stp>BDP|15614323855329952587</stp>
        <tr r="O737" s="2"/>
      </tp>
      <tp t="s">
        <v>#N/A N/A</v>
        <stp/>
        <stp>BDP|14656201922033659822</stp>
        <tr r="Q1527" s="2"/>
      </tp>
      <tp t="s">
        <v>#N/A N/A</v>
        <stp/>
        <stp>BDP|14640781065973291996</stp>
        <tr r="R411" s="2"/>
      </tp>
      <tp t="s">
        <v>#N/A N/A</v>
        <stp/>
        <stp>BDP|17915510348099217021</stp>
        <tr r="D936" s="2"/>
      </tp>
      <tp t="s">
        <v>#N/A N/A</v>
        <stp/>
        <stp>BDP|18345299175452906068</stp>
        <tr r="D1449" s="2"/>
      </tp>
      <tp t="s">
        <v>#N/A N/A</v>
        <stp/>
        <stp>BDP|14329968527943678345</stp>
        <tr r="R423" s="2"/>
      </tp>
      <tp t="s">
        <v>#N/A N/A</v>
        <stp/>
        <stp>BDP|15414726397667379326</stp>
        <tr r="N1241" s="2"/>
      </tp>
      <tp t="s">
        <v>#N/A N/A</v>
        <stp/>
        <stp>BDP|17397776407998532765</stp>
        <tr r="A1574" s="2"/>
      </tp>
      <tp t="s">
        <v>#N/A N/A</v>
        <stp/>
        <stp>BDP|15040460824974592873</stp>
        <tr r="R421" s="2"/>
      </tp>
      <tp t="s">
        <v>#N/A N/A</v>
        <stp/>
        <stp>BDP|12690325194865978294</stp>
        <tr r="H1005" s="2"/>
      </tp>
      <tp t="s">
        <v>#N/A N/A</v>
        <stp/>
        <stp>BDP|11064300462008394318</stp>
        <tr r="G700" s="2"/>
      </tp>
      <tp t="s">
        <v>#N/A N/A</v>
        <stp/>
        <stp>BDP|11156593291546137487</stp>
        <tr r="H1336" s="2"/>
      </tp>
      <tp t="s">
        <v>#N/A N/A</v>
        <stp/>
        <stp>BDP|14464606530127243962</stp>
        <tr r="M92" s="2"/>
      </tp>
      <tp t="s">
        <v>#N/A N/A</v>
        <stp/>
        <stp>BDP|13776182821416642983</stp>
        <tr r="S1486" s="2"/>
      </tp>
      <tp t="s">
        <v>#N/A N/A</v>
        <stp/>
        <stp>BDP|13364651110638318356</stp>
        <tr r="J1253" s="2"/>
      </tp>
      <tp t="s">
        <v>#N/A N/A</v>
        <stp/>
        <stp>BDP|10967037932815867909</stp>
        <tr r="C1708" s="2"/>
      </tp>
      <tp t="s">
        <v>#N/A N/A</v>
        <stp/>
        <stp>BDP|10129717380760649060</stp>
        <tr r="P400" s="2"/>
      </tp>
      <tp t="s">
        <v>#N/A N/A</v>
        <stp/>
        <stp>BDP|11521743557935461928</stp>
        <tr r="G1631" s="2"/>
      </tp>
      <tp t="s">
        <v>#N/A N/A</v>
        <stp/>
        <stp>BDP|14261437491547160114</stp>
        <tr r="K89" s="2"/>
      </tp>
      <tp t="s">
        <v>#N/A N/A</v>
        <stp/>
        <stp>BDP|17643056114318413136</stp>
        <tr r="J510" s="2"/>
      </tp>
      <tp t="s">
        <v>#N/A N/A</v>
        <stp/>
        <stp>BDP|11505254498630160592</stp>
        <tr r="P431" s="2"/>
      </tp>
      <tp t="s">
        <v>#N/A N/A</v>
        <stp/>
        <stp>BDP|14446572867790565811</stp>
        <tr r="R267" s="2"/>
      </tp>
      <tp t="s">
        <v>#N/A N/A</v>
        <stp/>
        <stp>BDP|11131975167274038512</stp>
        <tr r="T1738" s="2"/>
      </tp>
      <tp t="s">
        <v>#N/A N/A</v>
        <stp/>
        <stp>BDP|10893474041646983976</stp>
        <tr r="H1713" s="2"/>
      </tp>
      <tp t="s">
        <v>#N/A N/A</v>
        <stp/>
        <stp>BDP|14354939737355222458</stp>
        <tr r="D595" s="2"/>
      </tp>
      <tp t="s">
        <v>#N/A N/A</v>
        <stp/>
        <stp>BDP|11355468329241525998</stp>
        <tr r="T117" s="2"/>
      </tp>
      <tp t="s">
        <v>#N/A N/A</v>
        <stp/>
        <stp>BDP|17287409022029022706</stp>
        <tr r="S633" s="2"/>
      </tp>
      <tp t="s">
        <v>#N/A N/A</v>
        <stp/>
        <stp>BDP|13746285293760414782</stp>
        <tr r="N369" s="2"/>
      </tp>
      <tp t="s">
        <v>#N/A N/A</v>
        <stp/>
        <stp>BDS|15687117955577768969</stp>
        <tr r="I907" s="2"/>
      </tp>
      <tp t="s">
        <v>#N/A N/A</v>
        <stp/>
        <stp>BDP|18053261334632748452</stp>
        <tr r="K834" s="2"/>
      </tp>
      <tp t="s">
        <v>#N/A N/A</v>
        <stp/>
        <stp>BDS|10242901925601350572</stp>
        <tr r="I640" s="2"/>
      </tp>
      <tp t="s">
        <v>#N/A N/A</v>
        <stp/>
        <stp>BDP|13366837263887798544</stp>
        <tr r="E799" s="2"/>
      </tp>
      <tp t="s">
        <v>#N/A N/A</v>
        <stp/>
        <stp>BDP|17355129462227627858</stp>
        <tr r="P1639" s="2"/>
      </tp>
      <tp t="s">
        <v>#N/A N/A</v>
        <stp/>
        <stp>BDP|11089079137185820886</stp>
        <tr r="O1619" s="2"/>
      </tp>
      <tp t="s">
        <v>#N/A N/A</v>
        <stp/>
        <stp>BDP|11801636587929751980</stp>
        <tr r="G1348" s="2"/>
      </tp>
      <tp t="s">
        <v>#N/A N/A</v>
        <stp/>
        <stp>BDP|11472150423004094917</stp>
        <tr r="K1445" s="2"/>
      </tp>
      <tp t="s">
        <v>#N/A N/A</v>
        <stp/>
        <stp>BDP|15580275979709006682</stp>
        <tr r="M327" s="2"/>
      </tp>
      <tp t="s">
        <v>#N/A N/A</v>
        <stp/>
        <stp>BDP|13903933817663843769</stp>
        <tr r="J1062" s="2"/>
      </tp>
      <tp t="s">
        <v>#N/A N/A</v>
        <stp/>
        <stp>BDP|18405102746457570549</stp>
        <tr r="F1710" s="2"/>
      </tp>
      <tp t="s">
        <v>#N/A N/A</v>
        <stp/>
        <stp>BDP|10371028084673790418</stp>
        <tr r="G1166" s="2"/>
      </tp>
      <tp t="s">
        <v>#N/A N/A</v>
        <stp/>
        <stp>BDP|12895983541412702256</stp>
        <tr r="D1754" s="2"/>
      </tp>
      <tp t="s">
        <v>#N/A N/A</v>
        <stp/>
        <stp>BDP|15030403177471455809</stp>
        <tr r="O1553" s="2"/>
      </tp>
      <tp t="s">
        <v>#N/A N/A</v>
        <stp/>
        <stp>BDP|12392814551040818083</stp>
        <tr r="A1611" s="2"/>
      </tp>
      <tp t="s">
        <v>#N/A N/A</v>
        <stp/>
        <stp>BDP|18315192013064948338</stp>
        <tr r="C581" s="2"/>
      </tp>
      <tp t="s">
        <v>#N/A N/A</v>
        <stp/>
        <stp>BDP|13515653486373170149</stp>
        <tr r="S219" s="2"/>
      </tp>
      <tp t="s">
        <v>#N/A N/A</v>
        <stp/>
        <stp>BDP|14709643536858474622</stp>
        <tr r="S1636" s="2"/>
      </tp>
      <tp t="s">
        <v>#N/A N/A</v>
        <stp/>
        <stp>BDP|13133935337963568537</stp>
        <tr r="P1357" s="2"/>
      </tp>
      <tp t="s">
        <v>#N/A N/A</v>
        <stp/>
        <stp>BDP|17069274733769682013</stp>
        <tr r="O241" s="2"/>
      </tp>
      <tp t="s">
        <v>#N/A N/A</v>
        <stp/>
        <stp>BDP|13794771284754326743</stp>
        <tr r="A1009" s="2"/>
      </tp>
      <tp t="s">
        <v>#N/A N/A</v>
        <stp/>
        <stp>BDP|15434262791039677868</stp>
        <tr r="E864" s="2"/>
      </tp>
      <tp t="s">
        <v>#N/A N/A</v>
        <stp/>
        <stp>BDP|16244980414576496796</stp>
        <tr r="T360" s="2"/>
      </tp>
      <tp t="s">
        <v>#N/A N/A</v>
        <stp/>
        <stp>BDP|15290875795469339206</stp>
        <tr r="G566" s="2"/>
      </tp>
      <tp t="s">
        <v>#N/A N/A</v>
        <stp/>
        <stp>BDP|12304335924588583425</stp>
        <tr r="S316" s="2"/>
      </tp>
      <tp t="s">
        <v>#N/A N/A</v>
        <stp/>
        <stp>BDP|14918526960980927810</stp>
        <tr r="A409" s="2"/>
      </tp>
      <tp t="s">
        <v>#N/A N/A</v>
        <stp/>
        <stp>BDP|13069742462714476918</stp>
        <tr r="M935" s="2"/>
      </tp>
      <tp t="s">
        <v>#N/A N/A</v>
        <stp/>
        <stp>BDP|16867098492377932792</stp>
        <tr r="E499" s="2"/>
      </tp>
      <tp t="s">
        <v>#N/A N/A</v>
        <stp/>
        <stp>BDP|11103887115126779182</stp>
        <tr r="Q258" s="2"/>
      </tp>
      <tp t="s">
        <v>#N/A N/A</v>
        <stp/>
        <stp>BDP|10442721384638569846</stp>
        <tr r="J135" s="2"/>
      </tp>
      <tp t="s">
        <v>#N/A N/A</v>
        <stp/>
        <stp>BDP|12175403732713638963</stp>
        <tr r="Q597" s="2"/>
      </tp>
      <tp t="s">
        <v>#N/A N/A</v>
        <stp/>
        <stp>BDP|17658722007716372934</stp>
        <tr r="E616" s="2"/>
      </tp>
      <tp t="s">
        <v>#N/A N/A</v>
        <stp/>
        <stp>BDP|14488138795604465753</stp>
        <tr r="N643" s="2"/>
      </tp>
      <tp t="s">
        <v>#N/A N/A</v>
        <stp/>
        <stp>BDP|16583243030918026023</stp>
        <tr r="P1114" s="2"/>
      </tp>
      <tp t="s">
        <v>#N/A N/A</v>
        <stp/>
        <stp>BDP|11223514563514650955</stp>
        <tr r="E1458" s="2"/>
      </tp>
      <tp t="s">
        <v>#N/A N/A</v>
        <stp/>
        <stp>BDP|13710639474939176425</stp>
        <tr r="F231" s="2"/>
      </tp>
      <tp t="s">
        <v>#N/A N/A</v>
        <stp/>
        <stp>BDP|16637366522781999988</stp>
        <tr r="P398" s="2"/>
      </tp>
      <tp t="s">
        <v>#N/A N/A</v>
        <stp/>
        <stp>BDP|16817351430549749093</stp>
        <tr r="J472" s="2"/>
      </tp>
      <tp t="s">
        <v>#N/A N/A</v>
        <stp/>
        <stp>BDP|14644813928461981059</stp>
        <tr r="Q965" s="2"/>
      </tp>
      <tp t="s">
        <v>#N/A N/A</v>
        <stp/>
        <stp>BDP|11026931535263565705</stp>
        <tr r="C301" s="2"/>
      </tp>
      <tp t="s">
        <v>#N/A N/A</v>
        <stp/>
        <stp>BDP|12554701426090445841</stp>
        <tr r="G1388" s="2"/>
      </tp>
      <tp t="s">
        <v>#N/A N/A</v>
        <stp/>
        <stp>BDP|16835828063890334791</stp>
        <tr r="E1199" s="2"/>
      </tp>
      <tp t="s">
        <v>#N/A N/A</v>
        <stp/>
        <stp>BDP|10998581474189217449</stp>
        <tr r="E1150" s="2"/>
      </tp>
      <tp t="s">
        <v>#N/A N/A</v>
        <stp/>
        <stp>BDP|11639240741319312131</stp>
        <tr r="H199" s="2"/>
      </tp>
      <tp t="s">
        <v>#N/A N/A</v>
        <stp/>
        <stp>BDS|14641946737430538105</stp>
        <tr r="I395" s="2"/>
      </tp>
      <tp t="s">
        <v>#N/A N/A</v>
        <stp/>
        <stp>BDP|17125806936656367574</stp>
        <tr r="E829" s="2"/>
      </tp>
      <tp t="s">
        <v>#N/A N/A</v>
        <stp/>
        <stp>BDP|17888501669632575978</stp>
        <tr r="J232" s="2"/>
      </tp>
      <tp t="s">
        <v>#N/A N/A</v>
        <stp/>
        <stp>BDP|15039764694624386029</stp>
        <tr r="T1475" s="2"/>
      </tp>
      <tp t="s">
        <v>#N/A N/A</v>
        <stp/>
        <stp>BDP|15623534957178102200</stp>
        <tr r="P1078" s="2"/>
      </tp>
      <tp t="s">
        <v>#N/A N/A</v>
        <stp/>
        <stp>BDP|14180405997321183741</stp>
        <tr r="E1067" s="2"/>
      </tp>
      <tp t="s">
        <v>#N/A N/A</v>
        <stp/>
        <stp>BDP|11014841769736664686</stp>
        <tr r="R445" s="2"/>
      </tp>
      <tp t="s">
        <v>#N/A N/A</v>
        <stp/>
        <stp>BDP|10235990110397810007</stp>
        <tr r="G1573" s="2"/>
      </tp>
      <tp t="s">
        <v>#N/A N/A</v>
        <stp/>
        <stp>BDP|10218740247375677943</stp>
        <tr r="Q57" s="2"/>
      </tp>
      <tp t="s">
        <v>#N/A N/A</v>
        <stp/>
        <stp>BDP|17174442097722963782</stp>
        <tr r="O6" s="2"/>
      </tp>
      <tp t="s">
        <v>#N/A N/A</v>
        <stp/>
        <stp>BDP|12858224346138878371</stp>
        <tr r="G142" s="2"/>
      </tp>
      <tp t="s">
        <v>#N/A N/A</v>
        <stp/>
        <stp>BDP|13128007925978689611</stp>
        <tr r="E1204" s="2"/>
      </tp>
      <tp t="s">
        <v>#N/A N/A</v>
        <stp/>
        <stp>BDS|15464261994788071962</stp>
        <tr r="I382" s="2"/>
      </tp>
      <tp t="s">
        <v>#N/A N/A</v>
        <stp/>
        <stp>BDP|11773261483354256034</stp>
        <tr r="Q193" s="2"/>
      </tp>
      <tp t="s">
        <v>#N/A N/A</v>
        <stp/>
        <stp>BDP|15464814424950481067</stp>
        <tr r="S901" s="2"/>
      </tp>
      <tp t="s">
        <v>#N/A N/A</v>
        <stp/>
        <stp>BDP|10745326695742417770</stp>
        <tr r="K1653" s="2"/>
      </tp>
      <tp t="s">
        <v>#N/A N/A</v>
        <stp/>
        <stp>BDP|15562923247657426075</stp>
        <tr r="E745" s="2"/>
      </tp>
      <tp t="s">
        <v>#N/A N/A</v>
        <stp/>
        <stp>BDP|10211262031356206844</stp>
        <tr r="F658" s="2"/>
      </tp>
      <tp t="s">
        <v>#N/A N/A</v>
        <stp/>
        <stp>BDP|17937549016634069891</stp>
        <tr r="J450" s="2"/>
      </tp>
      <tp t="s">
        <v>#N/A N/A</v>
        <stp/>
        <stp>BDP|14707879451747562163</stp>
        <tr r="G1019" s="2"/>
      </tp>
      <tp t="s">
        <v>#N/A N/A</v>
        <stp/>
        <stp>BDP|13903037582094251088</stp>
        <tr r="Q60" s="2"/>
      </tp>
      <tp t="s">
        <v>#N/A N/A</v>
        <stp/>
        <stp>BDP|14122100795193392050</stp>
        <tr r="G868" s="2"/>
      </tp>
      <tp t="s">
        <v>#N/A N/A</v>
        <stp/>
        <stp>BDP|12928270652023833968</stp>
        <tr r="H1703" s="2"/>
      </tp>
      <tp t="s">
        <v>#N/A N/A</v>
        <stp/>
        <stp>BDP|14083019897170616228</stp>
        <tr r="Q555" s="2"/>
      </tp>
      <tp t="s">
        <v>#N/A N/A</v>
        <stp/>
        <stp>BDP|12495635302558396349</stp>
        <tr r="R68" s="2"/>
      </tp>
      <tp t="s">
        <v>#N/A N/A</v>
        <stp/>
        <stp>BDP|16244041484753891282</stp>
        <tr r="J321" s="2"/>
      </tp>
      <tp t="s">
        <v>#N/A N/A</v>
        <stp/>
        <stp>BDP|12174562371867529817</stp>
        <tr r="P1664" s="2"/>
      </tp>
      <tp t="s">
        <v>#N/A N/A</v>
        <stp/>
        <stp>BDP|12219067463853230875</stp>
        <tr r="J61" s="2"/>
      </tp>
      <tp t="s">
        <v>#N/A N/A</v>
        <stp/>
        <stp>BDS|14157544855068191300</stp>
        <tr r="I966" s="2"/>
      </tp>
      <tp t="s">
        <v>#N/A N/A</v>
        <stp/>
        <stp>BDP|16932985972380454758</stp>
        <tr r="D102" s="2"/>
      </tp>
      <tp t="s">
        <v>#N/A N/A</v>
        <stp/>
        <stp>BDP|17212182494072827249</stp>
        <tr r="O88" s="2"/>
      </tp>
      <tp t="s">
        <v>#N/A N/A</v>
        <stp/>
        <stp>BDP|12376204881800775772</stp>
        <tr r="F1320" s="2"/>
      </tp>
      <tp t="s">
        <v>#N/A N/A</v>
        <stp/>
        <stp>BDP|12072186987972856653</stp>
        <tr r="F285" s="2"/>
      </tp>
      <tp t="s">
        <v>#N/A N/A</v>
        <stp/>
        <stp>BDP|17959148972358875657</stp>
        <tr r="G1754" s="2"/>
      </tp>
      <tp t="s">
        <v>#N/A N/A</v>
        <stp/>
        <stp>BDP|13877902304903910670</stp>
        <tr r="K737" s="2"/>
      </tp>
      <tp t="s">
        <v>#N/A N/A</v>
        <stp/>
        <stp>BDP|12898031686193739686</stp>
        <tr r="F1696" s="2"/>
      </tp>
      <tp t="s">
        <v>#N/A N/A</v>
        <stp/>
        <stp>BDP|14139035503758549369</stp>
        <tr r="E1080" s="2"/>
      </tp>
      <tp t="s">
        <v>#N/A N/A</v>
        <stp/>
        <stp>BDP|15416831029218867848</stp>
        <tr r="K875" s="2"/>
      </tp>
      <tp t="s">
        <v>#N/A N/A</v>
        <stp/>
        <stp>BDP|16290319330181700862</stp>
        <tr r="Q1593" s="2"/>
      </tp>
      <tp t="s">
        <v>#N/A N/A</v>
        <stp/>
        <stp>BDP|15048711852710589848</stp>
        <tr r="M229" s="2"/>
      </tp>
      <tp t="s">
        <v>#N/A N/A</v>
        <stp/>
        <stp>BDP|11601866590446565976</stp>
        <tr r="H1065" s="2"/>
      </tp>
      <tp t="s">
        <v>#N/A N/A</v>
        <stp/>
        <stp>BDP|16860464429578757720</stp>
        <tr r="J833" s="2"/>
      </tp>
      <tp t="s">
        <v>#N/A N/A</v>
        <stp/>
        <stp>BDP|15667036630778330146</stp>
        <tr r="S655" s="2"/>
      </tp>
      <tp t="s">
        <v>#N/A N/A</v>
        <stp/>
        <stp>BDP|16194883737851845344</stp>
        <tr r="E1516" s="2"/>
      </tp>
      <tp t="s">
        <v>#N/A N/A</v>
        <stp/>
        <stp>BDP|16198746652462184942</stp>
        <tr r="P1136" s="2"/>
      </tp>
      <tp t="s">
        <v>#N/A N/A</v>
        <stp/>
        <stp>BDP|13491916569435792693</stp>
        <tr r="M1240" s="2"/>
      </tp>
      <tp t="s">
        <v>#N/A N/A</v>
        <stp/>
        <stp>BDP|14015684891113958720</stp>
        <tr r="P644" s="2"/>
      </tp>
      <tp t="s">
        <v>#N/A N/A</v>
        <stp/>
        <stp>BDP|10590514569529999561</stp>
        <tr r="H748" s="2"/>
      </tp>
      <tp t="s">
        <v>#N/A N/A</v>
        <stp/>
        <stp>BDP|18049797019123133231</stp>
        <tr r="N242" s="2"/>
      </tp>
      <tp t="s">
        <v>#N/A N/A</v>
        <stp/>
        <stp>BDP|11754762540178058534</stp>
        <tr r="P1230" s="2"/>
      </tp>
      <tp t="s">
        <v>#N/A N/A</v>
        <stp/>
        <stp>BDS|13722853255154511536</stp>
        <tr r="I162" s="2"/>
      </tp>
      <tp t="s">
        <v>#N/A N/A</v>
        <stp/>
        <stp>BDP|12243505455838563508</stp>
        <tr r="J121" s="2"/>
      </tp>
      <tp t="s">
        <v>#N/A N/A</v>
        <stp/>
        <stp>BDP|12037175291076513310</stp>
        <tr r="S1211" s="2"/>
      </tp>
      <tp t="s">
        <v>#N/A N/A</v>
        <stp/>
        <stp>BDP|13042424297341545020</stp>
        <tr r="F345" s="2"/>
      </tp>
      <tp t="s">
        <v>#N/A N/A</v>
        <stp/>
        <stp>BDP|11440575827930488927</stp>
        <tr r="O283" s="2"/>
      </tp>
      <tp t="s">
        <v>#N/A N/A</v>
        <stp/>
        <stp>BDP|18267078629280734599</stp>
        <tr r="P1093" s="2"/>
      </tp>
      <tp t="s">
        <v>#N/A N/A</v>
        <stp/>
        <stp>BDP|11739143699172010486</stp>
        <tr r="A97" s="2"/>
      </tp>
      <tp t="s">
        <v>#N/A N/A</v>
        <stp/>
        <stp>BDS|10350717819171858820</stp>
        <tr r="I638" s="2"/>
      </tp>
      <tp t="s">
        <v>#N/A N/A</v>
        <stp/>
        <stp>BDS|14791891223994918556</stp>
        <tr r="I1719" s="2"/>
      </tp>
      <tp t="s">
        <v>#N/A N/A</v>
        <stp/>
        <stp>BDP|14579418781966745107</stp>
        <tr r="N8" s="2"/>
      </tp>
      <tp t="s">
        <v>#N/A N/A</v>
        <stp/>
        <stp>BDP|17425756243798453343</stp>
        <tr r="O845" s="2"/>
      </tp>
      <tp t="s">
        <v>#N/A N/A</v>
        <stp/>
        <stp>BDP|15263331875137356956</stp>
        <tr r="N637" s="2"/>
      </tp>
      <tp t="s">
        <v>#N/A N/A</v>
        <stp/>
        <stp>BDP|16436567327389116763</stp>
        <tr r="P1499" s="2"/>
      </tp>
      <tp t="s">
        <v>#N/A N/A</v>
        <stp/>
        <stp>BDP|10566176417678723701</stp>
        <tr r="F1645" s="2"/>
      </tp>
      <tp t="s">
        <v>#N/A N/A</v>
        <stp/>
        <stp>BDP|13832241874658959134</stp>
        <tr r="R1283" s="2"/>
      </tp>
      <tp t="s">
        <v>#N/A N/A</v>
        <stp/>
        <stp>BDP|17962930633354247694</stp>
        <tr r="N1043" s="2"/>
      </tp>
      <tp t="s">
        <v>#N/A N/A</v>
        <stp/>
        <stp>BDP|12063957041797576735</stp>
        <tr r="T986" s="2"/>
      </tp>
      <tp t="s">
        <v>#N/A N/A</v>
        <stp/>
        <stp>BDP|13971187491330168431</stp>
        <tr r="G846" s="2"/>
      </tp>
      <tp t="s">
        <v>#N/A N/A</v>
        <stp/>
        <stp>BDP|12637768465029294556</stp>
        <tr r="E1000" s="2"/>
      </tp>
      <tp t="s">
        <v>#N/A N/A</v>
        <stp/>
        <stp>BDP|12466459783838555956</stp>
        <tr r="H72" s="2"/>
      </tp>
      <tp t="s">
        <v>#N/A N/A</v>
        <stp/>
        <stp>BDP|17311202375754564916</stp>
        <tr r="C404" s="2"/>
      </tp>
      <tp t="s">
        <v>#N/A N/A</v>
        <stp/>
        <stp>BDP|11085164962069900086</stp>
        <tr r="E1547" s="2"/>
      </tp>
      <tp t="s">
        <v>#N/A N/A</v>
        <stp/>
        <stp>BDP|17413295018429695263</stp>
        <tr r="S447" s="2"/>
      </tp>
      <tp t="s">
        <v>#N/A N/A</v>
        <stp/>
        <stp>BDP|10197372583742846682</stp>
        <tr r="S1158" s="2"/>
      </tp>
      <tp t="s">
        <v>#N/A N/A</v>
        <stp/>
        <stp>BDP|15692918197563686936</stp>
        <tr r="C1503" s="2"/>
      </tp>
      <tp t="s">
        <v>#N/A N/A</v>
        <stp/>
        <stp>BDS|18347369981179042521</stp>
        <tr r="I1655" s="2"/>
      </tp>
      <tp t="s">
        <v>#N/A N/A</v>
        <stp/>
        <stp>BDP|16310249845699729604</stp>
        <tr r="K725" s="2"/>
      </tp>
      <tp t="s">
        <v>#N/A N/A</v>
        <stp/>
        <stp>BDP|13918704609913105844</stp>
        <tr r="E317" s="2"/>
      </tp>
      <tp t="s">
        <v>#N/A N/A</v>
        <stp/>
        <stp>BDS|14386175129108352081</stp>
        <tr r="I428" s="2"/>
      </tp>
      <tp t="s">
        <v>#N/A N/A</v>
        <stp/>
        <stp>BDP|15660026125348099045</stp>
        <tr r="J892" s="2"/>
      </tp>
      <tp t="s">
        <v>#N/A N/A</v>
        <stp/>
        <stp>BDS|11160591099886182468</stp>
        <tr r="I564" s="2"/>
      </tp>
      <tp t="s">
        <v>#N/A N/A</v>
        <stp/>
        <stp>BDP|10150412482246184562</stp>
        <tr r="K48" s="2"/>
      </tp>
      <tp t="s">
        <v>#N/A N/A</v>
        <stp/>
        <stp>BDP|18342140052333797071</stp>
        <tr r="N159" s="2"/>
      </tp>
      <tp t="s">
        <v>#N/A N/A</v>
        <stp/>
        <stp>BDS|10657916912455086231</stp>
        <tr r="I436" s="2"/>
      </tp>
      <tp t="s">
        <v>#N/A N/A</v>
        <stp/>
        <stp>BDP|12627912946791088141</stp>
        <tr r="J1021" s="2"/>
      </tp>
      <tp t="s">
        <v>#N/A N/A</v>
        <stp/>
        <stp>BDP|13151779684005519623</stp>
        <tr r="S936" s="2"/>
      </tp>
      <tp t="s">
        <v>#N/A N/A</v>
        <stp/>
        <stp>BDP|15722936616650151269</stp>
        <tr r="E32" s="2"/>
      </tp>
      <tp t="s">
        <v>#N/A N/A</v>
        <stp/>
        <stp>BDP|16975685594224171219</stp>
        <tr r="D653" s="2"/>
      </tp>
      <tp t="s">
        <v>#N/A N/A</v>
        <stp/>
        <stp>BDP|15333717497411174519</stp>
        <tr r="N514" s="2"/>
      </tp>
      <tp t="s">
        <v>#N/A N/A</v>
        <stp/>
        <stp>BDP|15531439015188454723</stp>
        <tr r="K1716" s="2"/>
      </tp>
      <tp t="s">
        <v>#N/A N/A</v>
        <stp/>
        <stp>BDP|11830697850949434403</stp>
        <tr r="G631" s="2"/>
      </tp>
      <tp t="s">
        <v>#N/A N/A</v>
        <stp/>
        <stp>BDP|13174936742617038659</stp>
        <tr r="C834" s="2"/>
      </tp>
      <tp t="s">
        <v>#N/A N/A</v>
        <stp/>
        <stp>BDP|12561973057225792473</stp>
        <tr r="G491" s="2"/>
      </tp>
      <tp t="s">
        <v>#N/A N/A</v>
        <stp/>
        <stp>BDP|10643628735559642320</stp>
        <tr r="A84" s="2"/>
      </tp>
      <tp t="s">
        <v>#N/A N/A</v>
        <stp/>
        <stp>BDP|11382405283470332266</stp>
        <tr r="K169" s="2"/>
      </tp>
      <tp t="s">
        <v>#N/A N/A</v>
        <stp/>
        <stp>BDP|16785800555246418238</stp>
        <tr r="M444" s="2"/>
      </tp>
      <tp t="s">
        <v>#N/A N/A</v>
        <stp/>
        <stp>BDP|10063720841539186578</stp>
        <tr r="K254" s="2"/>
      </tp>
      <tp t="s">
        <v>#N/A N/A</v>
        <stp/>
        <stp>BDP|11206473304298047246</stp>
        <tr r="E721" s="2"/>
      </tp>
      <tp t="s">
        <v>#N/A N/A</v>
        <stp/>
        <stp>BDP|17252531732399528736</stp>
        <tr r="C544" s="2"/>
      </tp>
      <tp t="s">
        <v>#N/A N/A</v>
        <stp/>
        <stp>BDP|10493369780214033073</stp>
        <tr r="J371" s="2"/>
      </tp>
      <tp t="s">
        <v>#N/A N/A</v>
        <stp/>
        <stp>BDP|14104832377521810587</stp>
        <tr r="C835" s="2"/>
      </tp>
      <tp t="s">
        <v>#N/A N/A</v>
        <stp/>
        <stp>BDP|17840748650858146281</stp>
        <tr r="T612" s="2"/>
      </tp>
      <tp t="s">
        <v>#N/A N/A</v>
        <stp/>
        <stp>BDP|13155703497716016431</stp>
        <tr r="R514" s="2"/>
      </tp>
      <tp t="s">
        <v>#N/A N/A</v>
        <stp/>
        <stp>BDS|16106874810617134711</stp>
        <tr r="I671" s="2"/>
      </tp>
      <tp t="s">
        <v>#N/A N/A</v>
        <stp/>
        <stp>BDP|10508118573438754159</stp>
        <tr r="H599" s="2"/>
      </tp>
      <tp t="s">
        <v>#N/A N/A</v>
        <stp/>
        <stp>BDS|10253832563047678627</stp>
        <tr r="I518" s="2"/>
      </tp>
      <tp t="s">
        <v>#N/A N/A</v>
        <stp/>
        <stp>BDP|15480553786690522779</stp>
        <tr r="D1128" s="2"/>
      </tp>
      <tp t="s">
        <v>#N/A N/A</v>
        <stp/>
        <stp>BDP|18163526024025269500</stp>
        <tr r="Q1276" s="2"/>
      </tp>
      <tp t="s">
        <v>#N/A N/A</v>
        <stp/>
        <stp>BDP|13898883832050290755</stp>
        <tr r="G418" s="2"/>
      </tp>
      <tp t="s">
        <v>#N/A N/A</v>
        <stp/>
        <stp>BDP|18015633733385010755</stp>
        <tr r="C1536" s="2"/>
      </tp>
      <tp t="s">
        <v>#N/A N/A</v>
        <stp/>
        <stp>BDP|17064736517458395628</stp>
        <tr r="M597" s="2"/>
      </tp>
      <tp t="s">
        <v>#N/A N/A</v>
        <stp/>
        <stp>BDP|16545718438349025498</stp>
        <tr r="F626" s="2"/>
      </tp>
      <tp t="s">
        <v>#N/A N/A</v>
        <stp/>
        <stp>BDP|15275365978676818810</stp>
        <tr r="J451" s="2"/>
      </tp>
      <tp t="s">
        <v>#N/A N/A</v>
        <stp/>
        <stp>BDP|18151624372195624326</stp>
        <tr r="N195" s="2"/>
      </tp>
      <tp t="s">
        <v>#N/A N/A</v>
        <stp/>
        <stp>BDP|13048766885687400420</stp>
        <tr r="A1677" s="2"/>
      </tp>
      <tp t="s">
        <v>#N/A N/A</v>
        <stp/>
        <stp>BDP|11004209410878362563</stp>
        <tr r="Q900" s="2"/>
      </tp>
      <tp t="s">
        <v>#N/A N/A</v>
        <stp/>
        <stp>BDP|14468064546539148607</stp>
        <tr r="O1158" s="2"/>
      </tp>
      <tp t="s">
        <v>#N/A N/A</v>
        <stp/>
        <stp>BDP|15521616253171592878</stp>
        <tr r="E1437" s="2"/>
      </tp>
      <tp t="s">
        <v>#N/A N/A</v>
        <stp/>
        <stp>BDP|17348128496903588366</stp>
        <tr r="A462" s="2"/>
      </tp>
      <tp t="s">
        <v>#N/A N/A</v>
        <stp/>
        <stp>BDP|14431521393125307228</stp>
        <tr r="J563" s="2"/>
      </tp>
      <tp t="s">
        <v>#N/A N/A</v>
        <stp/>
        <stp>BDP|13156815314015737078</stp>
        <tr r="H1143" s="2"/>
      </tp>
      <tp t="s">
        <v>#N/A N/A</v>
        <stp/>
        <stp>BDP|18385456232380423045</stp>
        <tr r="D1064" s="2"/>
      </tp>
      <tp t="s">
        <v>#N/A N/A</v>
        <stp/>
        <stp>BDP|14485534482422013413</stp>
        <tr r="G387" s="2"/>
      </tp>
      <tp t="s">
        <v>#N/A N/A</v>
        <stp/>
        <stp>BDP|13370645146378185643</stp>
        <tr r="Q1361" s="2"/>
      </tp>
      <tp t="s">
        <v>#N/A N/A</v>
        <stp/>
        <stp>BDP|18156425914620165229</stp>
        <tr r="H1419" s="2"/>
      </tp>
      <tp t="s">
        <v>#N/A N/A</v>
        <stp/>
        <stp>BDP|13259633481535024748</stp>
        <tr r="T225" s="2"/>
      </tp>
      <tp t="s">
        <v>#N/A N/A</v>
        <stp/>
        <stp>BDP|11995096550709624223</stp>
        <tr r="A1136" s="2"/>
      </tp>
      <tp t="s">
        <v>#N/A N/A</v>
        <stp/>
        <stp>BDP|15941998644227362031</stp>
        <tr r="P9" s="2"/>
      </tp>
      <tp t="s">
        <v>#N/A N/A</v>
        <stp/>
        <stp>BDP|16644337506973304943</stp>
        <tr r="M645" s="2"/>
      </tp>
      <tp t="s">
        <v>#N/A N/A</v>
        <stp/>
        <stp>BDP|12497841518554402085</stp>
        <tr r="T531" s="2"/>
      </tp>
      <tp t="s">
        <v>#N/A N/A</v>
        <stp/>
        <stp>BDP|10988885132490781409</stp>
        <tr r="P724" s="2"/>
      </tp>
      <tp t="s">
        <v>#N/A N/A</v>
        <stp/>
        <stp>BDP|16802108634623936815</stp>
        <tr r="D411" s="2"/>
      </tp>
      <tp t="s">
        <v>#N/A N/A</v>
        <stp/>
        <stp>BDP|18355221334925819393</stp>
        <tr r="D257" s="2"/>
      </tp>
      <tp t="s">
        <v>#N/A N/A</v>
        <stp/>
        <stp>BDP|10718847622657685237</stp>
        <tr r="P360" s="2"/>
      </tp>
      <tp t="s">
        <v>#N/A N/A</v>
        <stp/>
        <stp>BDP|16371883512202905249</stp>
        <tr r="S461" s="2"/>
      </tp>
      <tp t="s">
        <v>#N/A N/A</v>
        <stp/>
        <stp>BDP|16004429126588503752</stp>
        <tr r="J711" s="2"/>
      </tp>
      <tp t="s">
        <v>#N/A N/A</v>
        <stp/>
        <stp>BDP|10450865065272097335</stp>
        <tr r="D1015" s="2"/>
      </tp>
      <tp t="s">
        <v>#N/A N/A</v>
        <stp/>
        <stp>BDP|14289461046458199379</stp>
        <tr r="N263" s="2"/>
      </tp>
      <tp t="s">
        <v>#N/A N/A</v>
        <stp/>
        <stp>BDP|10110569994854157769</stp>
        <tr r="C1459" s="2"/>
      </tp>
      <tp t="s">
        <v>#N/A N/A</v>
        <stp/>
        <stp>BDP|14825255839453783977</stp>
        <tr r="N422" s="2"/>
      </tp>
      <tp t="s">
        <v>#N/A N/A</v>
        <stp/>
        <stp>BDP|16491105076346562935</stp>
        <tr r="M1211" s="2"/>
      </tp>
      <tp t="s">
        <v>#N/A N/A</v>
        <stp/>
        <stp>BDP|15702670011834771923</stp>
        <tr r="T669" s="2"/>
      </tp>
      <tp t="s">
        <v>#N/A N/A</v>
        <stp/>
        <stp>BDP|15830943546907698083</stp>
        <tr r="E1447" s="2"/>
      </tp>
      <tp t="s">
        <v>#N/A N/A</v>
        <stp/>
        <stp>BDP|16679533524359266772</stp>
        <tr r="Q1301" s="2"/>
      </tp>
      <tp t="s">
        <v>#N/A N/A</v>
        <stp/>
        <stp>BDP|12827396353713736813</stp>
        <tr r="K141" s="2"/>
      </tp>
      <tp t="s">
        <v>#N/A N/A</v>
        <stp/>
        <stp>BDP|12329284989321270641</stp>
        <tr r="R182" s="2"/>
      </tp>
      <tp t="s">
        <v>#N/A N/A</v>
        <stp/>
        <stp>BDP|17286458660573633954</stp>
        <tr r="E1288" s="2"/>
      </tp>
      <tp t="s">
        <v>#N/A N/A</v>
        <stp/>
        <stp>BDP|15629971204441828297</stp>
        <tr r="J1328" s="2"/>
      </tp>
      <tp t="s">
        <v>#N/A N/A</v>
        <stp/>
        <stp>BDP|18048083670593541394</stp>
        <tr r="K1680" s="2"/>
      </tp>
      <tp t="s">
        <v>#N/A N/A</v>
        <stp/>
        <stp>BDP|18086037975794226408</stp>
        <tr r="S1274" s="2"/>
      </tp>
      <tp t="s">
        <v>#N/A N/A</v>
        <stp/>
        <stp>BDP|13296618787044716672</stp>
        <tr r="F1559" s="2"/>
      </tp>
      <tp t="s">
        <v>#N/A N/A</v>
        <stp/>
        <stp>BDP|12866814058387233773</stp>
        <tr r="E1618" s="2"/>
      </tp>
      <tp t="s">
        <v>#N/A N/A</v>
        <stp/>
        <stp>BDP|16041231195533535172</stp>
        <tr r="H1103" s="2"/>
      </tp>
      <tp t="s">
        <v>#N/A N/A</v>
        <stp/>
        <stp>BDP|15493904556100297644</stp>
        <tr r="P119" s="2"/>
      </tp>
      <tp t="s">
        <v>#N/A N/A</v>
        <stp/>
        <stp>BDP|10325752423658449252</stp>
        <tr r="E1252" s="2"/>
      </tp>
      <tp t="s">
        <v>#N/A N/A</v>
        <stp/>
        <stp>BDP|13667475794293812290</stp>
        <tr r="O1091" s="2"/>
      </tp>
      <tp t="s">
        <v>#N/A N/A</v>
        <stp/>
        <stp>BDP|16949846453973892725</stp>
        <tr r="O1285" s="2"/>
      </tp>
      <tp t="s">
        <v>#N/A N/A</v>
        <stp/>
        <stp>BDP|11794447382487694534</stp>
        <tr r="J917" s="2"/>
      </tp>
      <tp t="s">
        <v>#N/A N/A</v>
        <stp/>
        <stp>BDP|12982106925707888906</stp>
        <tr r="E1132" s="2"/>
      </tp>
      <tp t="s">
        <v>#N/A N/A</v>
        <stp/>
        <stp>BDP|15410216824913380960</stp>
        <tr r="G326" s="2"/>
      </tp>
      <tp t="s">
        <v>#N/A N/A</v>
        <stp/>
        <stp>BDP|14575489885912959554</stp>
        <tr r="F1265" s="2"/>
      </tp>
      <tp t="s">
        <v>#N/A N/A</v>
        <stp/>
        <stp>BDP|18174820250913629919</stp>
        <tr r="K1283" s="2"/>
      </tp>
      <tp t="s">
        <v>#N/A N/A</v>
        <stp/>
        <stp>BDP|17263632546043167927</stp>
        <tr r="T1456" s="2"/>
      </tp>
      <tp t="s">
        <v>#N/A N/A</v>
        <stp/>
        <stp>BDP|11231816932036747325</stp>
        <tr r="S1328" s="2"/>
      </tp>
      <tp t="s">
        <v>#N/A N/A</v>
        <stp/>
        <stp>BDP|18231776831416607565</stp>
        <tr r="D727" s="2"/>
      </tp>
      <tp t="s">
        <v>#N/A N/A</v>
        <stp/>
        <stp>BDP|11787756148779886465</stp>
        <tr r="G1377" s="2"/>
      </tp>
      <tp t="s">
        <v>#N/A N/A</v>
        <stp/>
        <stp>BDP|14597155323549186165</stp>
        <tr r="E289" s="2"/>
      </tp>
      <tp t="s">
        <v>#N/A N/A</v>
        <stp/>
        <stp>BDP|16842948518038894981</stp>
        <tr r="A480" s="2"/>
      </tp>
      <tp t="s">
        <v>#N/A N/A</v>
        <stp/>
        <stp>BDS|16461412853989660140</stp>
        <tr r="I193" s="2"/>
      </tp>
      <tp t="s">
        <v>#N/A N/A</v>
        <stp/>
        <stp>BDP|14253275403120435959</stp>
        <tr r="F1372" s="2"/>
      </tp>
      <tp t="s">
        <v>#N/A N/A</v>
        <stp/>
        <stp>BDP|12225189719578178553</stp>
        <tr r="E998" s="2"/>
      </tp>
      <tp t="s">
        <v>#N/A N/A</v>
        <stp/>
        <stp>BDP|14972407102986917952</stp>
        <tr r="D976" s="2"/>
      </tp>
      <tp t="s">
        <v>#N/A N/A</v>
        <stp/>
        <stp>BDP|12008224046918717346</stp>
        <tr r="K579" s="2"/>
      </tp>
      <tp t="s">
        <v>#N/A N/A</v>
        <stp/>
        <stp>BDP|12335819647149513873</stp>
        <tr r="O1323" s="2"/>
      </tp>
      <tp t="s">
        <v>#N/A N/A</v>
        <stp/>
        <stp>BDP|10289809404235583243</stp>
        <tr r="F998" s="2"/>
      </tp>
      <tp t="s">
        <v>#N/A N/A</v>
        <stp/>
        <stp>BDP|18379541017976634514</stp>
        <tr r="K1591" s="2"/>
      </tp>
      <tp t="s">
        <v>#N/A N/A</v>
        <stp/>
        <stp>BDP|13591630738038184189</stp>
        <tr r="T455" s="2"/>
      </tp>
      <tp t="s">
        <v>#N/A N/A</v>
        <stp/>
        <stp>BDP|13803188582653659634</stp>
        <tr r="A623" s="2"/>
      </tp>
      <tp t="s">
        <v>#N/A N/A</v>
        <stp/>
        <stp>BDP|16537230396833201154</stp>
        <tr r="O625" s="2"/>
      </tp>
      <tp t="s">
        <v>#N/A N/A</v>
        <stp/>
        <stp>BDP|17676032348455281986</stp>
        <tr r="C837" s="2"/>
      </tp>
      <tp t="s">
        <v>#N/A N/A</v>
        <stp/>
        <stp>BDP|16358369354127629800</stp>
        <tr r="C424" s="2"/>
      </tp>
      <tp t="s">
        <v>#N/A N/A</v>
        <stp/>
        <stp>BDP|14591266286583646240</stp>
        <tr r="S1043" s="2"/>
      </tp>
      <tp t="s">
        <v>#N/A N/A</v>
        <stp/>
        <stp>BDP|14232848159702002482</stp>
        <tr r="M1600" s="2"/>
      </tp>
      <tp t="s">
        <v>#N/A N/A</v>
        <stp/>
        <stp>BDP|11038468186443329140</stp>
        <tr r="T1021" s="2"/>
      </tp>
      <tp t="s">
        <v>#N/A N/A</v>
        <stp/>
        <stp>BDP|12615497395971920140</stp>
        <tr r="S393" s="2"/>
      </tp>
      <tp t="s">
        <v>#N/A N/A</v>
        <stp/>
        <stp>BDP|15682836007657441510</stp>
        <tr r="J1570" s="2"/>
      </tp>
      <tp t="s">
        <v>#N/A N/A</v>
        <stp/>
        <stp>BDP|12806126531309467680</stp>
        <tr r="O862" s="2"/>
      </tp>
      <tp t="s">
        <v>#N/A N/A</v>
        <stp/>
        <stp>BDP|18080757153547711268</stp>
        <tr r="C1434" s="2"/>
      </tp>
      <tp t="s">
        <v>#N/A N/A</v>
        <stp/>
        <stp>BDP|18421263262664121766</stp>
        <tr r="O918" s="2"/>
      </tp>
      <tp t="s">
        <v>#N/A N/A</v>
        <stp/>
        <stp>BDP|15677453708447816942</stp>
        <tr r="N1661" s="2"/>
      </tp>
      <tp t="s">
        <v>#N/A N/A</v>
        <stp/>
        <stp>BDP|13966860550376853702</stp>
        <tr r="O972" s="2"/>
      </tp>
      <tp t="s">
        <v>#N/A N/A</v>
        <stp/>
        <stp>BDP|15535104487667662436</stp>
        <tr r="O1287" s="2"/>
      </tp>
      <tp t="s">
        <v>#N/A N/A</v>
        <stp/>
        <stp>BDP|17455948177543404549</stp>
        <tr r="N348" s="2"/>
      </tp>
      <tp t="s">
        <v>#N/A N/A</v>
        <stp/>
        <stp>BDP|15916093349476811866</stp>
        <tr r="S1508" s="2"/>
      </tp>
      <tp t="s">
        <v>#N/A N/A</v>
        <stp/>
        <stp>BDP|10347907675270504140</stp>
        <tr r="K1552" s="2"/>
      </tp>
      <tp t="s">
        <v>#N/A N/A</v>
        <stp/>
        <stp>BDP|11342228633378671739</stp>
        <tr r="Q825" s="2"/>
      </tp>
      <tp t="s">
        <v>#N/A N/A</v>
        <stp/>
        <stp>BDP|13718936344062631314</stp>
        <tr r="D1568" s="2"/>
      </tp>
      <tp t="s">
        <v>#N/A N/A</v>
        <stp/>
        <stp>BDP|16290230972968226462</stp>
        <tr r="G579" s="2"/>
      </tp>
      <tp t="s">
        <v>#N/A N/A</v>
        <stp/>
        <stp>BDP|12165568015551287873</stp>
        <tr r="K968" s="2"/>
      </tp>
      <tp t="s">
        <v>#N/A N/A</v>
        <stp/>
        <stp>BDP|15784238993234828580</stp>
        <tr r="A747" s="2"/>
      </tp>
      <tp t="s">
        <v>#N/A N/A</v>
        <stp/>
        <stp>BDP|16774678191950106676</stp>
        <tr r="H196" s="2"/>
      </tp>
      <tp t="s">
        <v>#N/A N/A</v>
        <stp/>
        <stp>BDP|13525015425136712817</stp>
        <tr r="N674" s="2"/>
      </tp>
      <tp t="s">
        <v>#N/A N/A</v>
        <stp/>
        <stp>BDP|10531498869238689541</stp>
        <tr r="N352" s="2"/>
      </tp>
      <tp t="s">
        <v>#N/A N/A</v>
        <stp/>
        <stp>BDP|16135721900976591815</stp>
        <tr r="O1041" s="2"/>
      </tp>
      <tp t="s">
        <v>#N/A N/A</v>
        <stp/>
        <stp>BDP|15884040497413987053</stp>
        <tr r="P427" s="2"/>
      </tp>
      <tp t="s">
        <v>#N/A N/A</v>
        <stp/>
        <stp>BDP|17737918821275095606</stp>
        <tr r="Q1286" s="2"/>
      </tp>
      <tp t="s">
        <v>#N/A N/A</v>
        <stp/>
        <stp>BDP|13643961035743558571</stp>
        <tr r="N1194" s="2"/>
      </tp>
      <tp t="s">
        <v>#N/A N/A</v>
        <stp/>
        <stp>BDP|15365633079492818966</stp>
        <tr r="P435" s="2"/>
      </tp>
      <tp t="s">
        <v>#N/A N/A</v>
        <stp/>
        <stp>BDP|17250715556163750951</stp>
        <tr r="O810" s="2"/>
      </tp>
      <tp t="s">
        <v>#N/A N/A</v>
        <stp/>
        <stp>BDP|12769297712146258890</stp>
        <tr r="N214" s="2"/>
      </tp>
      <tp t="s">
        <v>#N/A N/A</v>
        <stp/>
        <stp>BDP|11883600283885540590</stp>
        <tr r="C621" s="2"/>
      </tp>
      <tp t="s">
        <v>#N/A N/A</v>
        <stp/>
        <stp>BDP|16589866076411582776</stp>
        <tr r="P861" s="2"/>
      </tp>
      <tp t="s">
        <v>#N/A N/A</v>
        <stp/>
        <stp>BDP|14711057792083078175</stp>
        <tr r="S67" s="2"/>
      </tp>
      <tp t="s">
        <v>#N/A N/A</v>
        <stp/>
        <stp>BDP|15050459592936754174</stp>
        <tr r="M562" s="2"/>
      </tp>
      <tp t="s">
        <v>#N/A N/A</v>
        <stp/>
        <stp>BDP|14624590875870546995</stp>
        <tr r="P1171" s="2"/>
      </tp>
      <tp t="s">
        <v>#N/A N/A</v>
        <stp/>
        <stp>BDP|11951902926257176289</stp>
        <tr r="C899" s="2"/>
      </tp>
      <tp t="s">
        <v>#N/A N/A</v>
        <stp/>
        <stp>BDP|16713729318987233899</stp>
        <tr r="H269" s="2"/>
      </tp>
      <tp t="s">
        <v>#N/A N/A</v>
        <stp/>
        <stp>BDP|14696872602330079354</stp>
        <tr r="H1700" s="2"/>
      </tp>
      <tp t="s">
        <v>#N/A N/A</v>
        <stp/>
        <stp>BDP|18388651442943025628</stp>
        <tr r="Q1270" s="2"/>
      </tp>
      <tp t="s">
        <v>#N/A N/A</v>
        <stp/>
        <stp>BDP|12084103471268516322</stp>
        <tr r="Q65" s="2"/>
      </tp>
      <tp t="s">
        <v>#N/A N/A</v>
        <stp/>
        <stp>BDP|16469471024307179809</stp>
        <tr r="P1307" s="2"/>
      </tp>
      <tp t="s">
        <v>#N/A N/A</v>
        <stp/>
        <stp>BDP|14143355925853597929</stp>
        <tr r="A388" s="2"/>
      </tp>
      <tp t="s">
        <v>#N/A N/A</v>
        <stp/>
        <stp>BDP|17170853157564182140</stp>
        <tr r="S1250" s="2"/>
      </tp>
      <tp t="s">
        <v>#N/A N/A</v>
        <stp/>
        <stp>BDP|10355234386403750679</stp>
        <tr r="H1241" s="2"/>
      </tp>
      <tp t="s">
        <v>#N/A N/A</v>
        <stp/>
        <stp>BDP|18157758866641217762</stp>
        <tr r="H664" s="2"/>
      </tp>
      <tp t="s">
        <v>#N/A N/A</v>
        <stp/>
        <stp>BDP|11781694281386955602</stp>
        <tr r="N1317" s="2"/>
      </tp>
      <tp t="s">
        <v>#N/A N/A</v>
        <stp/>
        <stp>BDP|13136493719930757904</stp>
        <tr r="P104" s="2"/>
      </tp>
      <tp t="s">
        <v>#N/A N/A</v>
        <stp/>
        <stp>BDP|11832091629658980474</stp>
        <tr r="R271" s="2"/>
      </tp>
      <tp t="s">
        <v>#N/A N/A</v>
        <stp/>
        <stp>BDP|11619648844364115813</stp>
        <tr r="C30" s="2"/>
      </tp>
      <tp t="s">
        <v>#N/A N/A</v>
        <stp/>
        <stp>BDP|15209148655439230770</stp>
        <tr r="R1026" s="2"/>
      </tp>
      <tp t="s">
        <v>#N/A N/A</v>
        <stp/>
        <stp>BDP|14682662220226508937</stp>
        <tr r="K432" s="2"/>
      </tp>
      <tp t="s">
        <v>#N/A N/A</v>
        <stp/>
        <stp>BDP|10005917781066610809</stp>
        <tr r="N783" s="2"/>
      </tp>
      <tp t="s">
        <v>#N/A N/A</v>
        <stp/>
        <stp>BDP|11135051583843207535</stp>
        <tr r="A215" s="2"/>
      </tp>
      <tp t="s">
        <v>#N/A N/A</v>
        <stp/>
        <stp>BDP|15194317682493778232</stp>
        <tr r="E1416" s="2"/>
      </tp>
      <tp t="s">
        <v>#N/A N/A</v>
        <stp/>
        <stp>BDP|16924761965599489180</stp>
        <tr r="N1024" s="2"/>
      </tp>
      <tp t="s">
        <v>#N/A N/A</v>
        <stp/>
        <stp>BDP|10081147896143622422</stp>
        <tr r="C897" s="2"/>
      </tp>
      <tp t="s">
        <v>#N/A N/A</v>
        <stp/>
        <stp>BDP|15389264769116208883</stp>
        <tr r="H1582" s="2"/>
      </tp>
      <tp t="s">
        <v>#N/A N/A</v>
        <stp/>
        <stp>BDP|10439012686310358769</stp>
        <tr r="E952" s="2"/>
      </tp>
      <tp t="s">
        <v>#N/A N/A</v>
        <stp/>
        <stp>BDS|13063568560107525860</stp>
        <tr r="I1620" s="2"/>
      </tp>
      <tp t="s">
        <v>#N/A N/A</v>
        <stp/>
        <stp>BDP|12878329543348884279</stp>
        <tr r="K1393" s="2"/>
      </tp>
      <tp t="s">
        <v>#N/A N/A</v>
        <stp/>
        <stp>BDP|10084869106103144478</stp>
        <tr r="P469" s="2"/>
      </tp>
      <tp t="s">
        <v>#N/A N/A</v>
        <stp/>
        <stp>BDP|10167816631024383044</stp>
        <tr r="R504" s="2"/>
      </tp>
      <tp t="s">
        <v>#N/A N/A</v>
        <stp/>
        <stp>BDP|13210245791063701468</stp>
        <tr r="J654" s="2"/>
      </tp>
      <tp t="s">
        <v>#N/A N/A</v>
        <stp/>
        <stp>BDP|16452728045443215974</stp>
        <tr r="R40" s="2"/>
      </tp>
      <tp t="s">
        <v>#N/A N/A</v>
        <stp/>
        <stp>BDP|11911454369128204417</stp>
        <tr r="R658" s="2"/>
      </tp>
      <tp t="s">
        <v>#N/A N/A</v>
        <stp/>
        <stp>BDP|17147604184241025733</stp>
        <tr r="F1692" s="2"/>
      </tp>
      <tp t="s">
        <v>#N/A N/A</v>
        <stp/>
        <stp>BDP|15711482529795020904</stp>
        <tr r="T306" s="2"/>
      </tp>
      <tp t="s">
        <v>#N/A N/A</v>
        <stp/>
        <stp>BDP|14709714682702621643</stp>
        <tr r="O801" s="2"/>
      </tp>
      <tp t="s">
        <v>#N/A N/A</v>
        <stp/>
        <stp>BDP|17152117214178572076</stp>
        <tr r="E604" s="2"/>
      </tp>
      <tp t="s">
        <v>#N/A N/A</v>
        <stp/>
        <stp>BDP|14014645797891053558</stp>
        <tr r="F1250" s="2"/>
      </tp>
      <tp t="s">
        <v>#N/A N/A</v>
        <stp/>
        <stp>BDP|13336046291905683065</stp>
        <tr r="M91" s="2"/>
      </tp>
      <tp t="s">
        <v>#N/A N/A</v>
        <stp/>
        <stp>BDP|10741999995617899853</stp>
        <tr r="D921" s="2"/>
      </tp>
      <tp t="s">
        <v>#N/A N/A</v>
        <stp/>
        <stp>BDP|13262492069676207863</stp>
        <tr r="P1463" s="2"/>
      </tp>
      <tp t="s">
        <v>#N/A N/A</v>
        <stp/>
        <stp>BDP|14510897089702342904</stp>
        <tr r="D81" s="2"/>
      </tp>
      <tp t="s">
        <v>#N/A N/A</v>
        <stp/>
        <stp>BDP|11069562613532636852</stp>
        <tr r="H1721" s="2"/>
      </tp>
      <tp t="s">
        <v>#N/A N/A</v>
        <stp/>
        <stp>BDP|15134230873688071772</stp>
        <tr r="S598" s="2"/>
      </tp>
      <tp t="s">
        <v>#N/A N/A</v>
        <stp/>
        <stp>BDP|16548623209298815704</stp>
        <tr r="H843" s="2"/>
      </tp>
      <tp t="s">
        <v>#N/A N/A</v>
        <stp/>
        <stp>BDP|18197680516887079796</stp>
        <tr r="Q876" s="2"/>
      </tp>
      <tp t="s">
        <v>#N/A N/A</v>
        <stp/>
        <stp>BDS|12202691572448561493</stp>
        <tr r="I114" s="2"/>
      </tp>
      <tp t="s">
        <v>#N/A N/A</v>
        <stp/>
        <stp>BDP|10651809204270398770</stp>
        <tr r="F1119" s="2"/>
      </tp>
      <tp t="s">
        <v>#N/A N/A</v>
        <stp/>
        <stp>BDP|14313867943927992090</stp>
        <tr r="S1675" s="2"/>
      </tp>
      <tp t="s">
        <v>#N/A N/A</v>
        <stp/>
        <stp>BDP|11036699199896706717</stp>
        <tr r="E1033" s="2"/>
      </tp>
      <tp t="s">
        <v>#N/A N/A</v>
        <stp/>
        <stp>BDP|11045701022282577915</stp>
        <tr r="M690" s="2"/>
      </tp>
      <tp t="s">
        <v>#N/A N/A</v>
        <stp/>
        <stp>BDP|15690366436982912893</stp>
        <tr r="N535" s="2"/>
      </tp>
      <tp t="s">
        <v>#N/A N/A</v>
        <stp/>
        <stp>BDP|15812361415511809951</stp>
        <tr r="Q1532" s="2"/>
      </tp>
      <tp t="s">
        <v>#N/A N/A</v>
        <stp/>
        <stp>BDP|14317028711119142378</stp>
        <tr r="G259" s="2"/>
      </tp>
      <tp t="s">
        <v>#N/A N/A</v>
        <stp/>
        <stp>BDP|17004586155809340271</stp>
        <tr r="R638" s="2"/>
      </tp>
      <tp t="s">
        <v>#N/A N/A</v>
        <stp/>
        <stp>BDP|17724526091762907548</stp>
        <tr r="C1067" s="2"/>
      </tp>
      <tp t="s">
        <v>#N/A N/A</v>
        <stp/>
        <stp>BDP|10272808755304653582</stp>
        <tr r="K307" s="2"/>
      </tp>
      <tp t="s">
        <v>#N/A N/A</v>
        <stp/>
        <stp>BDP|13327982228913267784</stp>
        <tr r="Q699" s="2"/>
      </tp>
      <tp t="s">
        <v>#N/A N/A</v>
        <stp/>
        <stp>BDP|15820255383691537228</stp>
        <tr r="E1438" s="2"/>
      </tp>
      <tp t="s">
        <v>#N/A N/A</v>
        <stp/>
        <stp>BDS|16137911233993108381</stp>
        <tr r="I906" s="2"/>
      </tp>
      <tp t="s">
        <v>#N/A N/A</v>
        <stp/>
        <stp>BDP|10984532941194066927</stp>
        <tr r="R712" s="2"/>
      </tp>
      <tp t="s">
        <v>#N/A N/A</v>
        <stp/>
        <stp>BDP|15698339453928863777</stp>
        <tr r="M618" s="2"/>
      </tp>
      <tp t="s">
        <v>#N/A N/A</v>
        <stp/>
        <stp>BDP|11204973550939916854</stp>
        <tr r="E259" s="2"/>
      </tp>
      <tp t="s">
        <v>#N/A N/A</v>
        <stp/>
        <stp>BDP|12823529325220476921</stp>
        <tr r="O971" s="2"/>
      </tp>
      <tp t="s">
        <v>#N/A N/A</v>
        <stp/>
        <stp>BDP|17696865765555543092</stp>
        <tr r="G421" s="2"/>
      </tp>
      <tp t="s">
        <v>#N/A N/A</v>
        <stp/>
        <stp>BDP|10842525068516932928</stp>
        <tr r="D1127" s="2"/>
      </tp>
      <tp t="s">
        <v>#N/A N/A</v>
        <stp/>
        <stp>BDP|11235700842668120689</stp>
        <tr r="F1681" s="2"/>
      </tp>
      <tp t="s">
        <v>#N/A N/A</v>
        <stp/>
        <stp>BDP|16168308584426558791</stp>
        <tr r="H264" s="2"/>
      </tp>
      <tp t="s">
        <v>#N/A N/A</v>
        <stp/>
        <stp>BDP|12675179222999926438</stp>
        <tr r="C827" s="2"/>
      </tp>
      <tp t="s">
        <v>#N/A N/A</v>
        <stp/>
        <stp>BDP|15354843136375918719</stp>
        <tr r="E676" s="2"/>
      </tp>
      <tp t="s">
        <v>#N/A N/A</v>
        <stp/>
        <stp>BDP|17604070237091699994</stp>
        <tr r="Q691" s="2"/>
      </tp>
      <tp t="s">
        <v>#N/A N/A</v>
        <stp/>
        <stp>BDP|10552828217477867212</stp>
        <tr r="R1380" s="2"/>
      </tp>
      <tp t="s">
        <v>#N/A N/A</v>
        <stp/>
        <stp>BDP|13394437848366149904</stp>
        <tr r="G952" s="2"/>
      </tp>
      <tp t="s">
        <v>#N/A N/A</v>
        <stp/>
        <stp>BDP|14779938525691006284</stp>
        <tr r="S651" s="2"/>
      </tp>
      <tp t="s">
        <v>#N/A N/A</v>
        <stp/>
        <stp>BDP|16447032144587380997</stp>
        <tr r="R986" s="2"/>
      </tp>
      <tp t="s">
        <v>#N/A N/A</v>
        <stp/>
        <stp>BDP|10229357250672886867</stp>
        <tr r="D1372" s="2"/>
      </tp>
      <tp t="s">
        <v>#N/A N/A</v>
        <stp/>
        <stp>BDS|18347008250934190580</stp>
        <tr r="I568" s="2"/>
      </tp>
      <tp t="s">
        <v>#N/A N/A</v>
        <stp/>
        <stp>BDP|10238979429143718426</stp>
        <tr r="T739" s="2"/>
      </tp>
      <tp t="s">
        <v>#N/A N/A</v>
        <stp/>
        <stp>BDP|12224589326341470813</stp>
        <tr r="O56" s="2"/>
      </tp>
      <tp t="s">
        <v>#N/A N/A</v>
        <stp/>
        <stp>BDP|14161772220958724583</stp>
        <tr r="N1407" s="2"/>
      </tp>
      <tp t="s">
        <v>#N/A N/A</v>
        <stp/>
        <stp>BDP|15954040607489066034</stp>
        <tr r="G223" s="2"/>
      </tp>
      <tp t="s">
        <v>#N/A N/A</v>
        <stp/>
        <stp>BDP|14060326590054241697</stp>
        <tr r="T389" s="2"/>
      </tp>
      <tp t="s">
        <v>#N/A N/A</v>
        <stp/>
        <stp>BDP|15513793171268478105</stp>
        <tr r="R73" s="2"/>
      </tp>
      <tp t="s">
        <v>#N/A N/A</v>
        <stp/>
        <stp>BDP|12817863074881487070</stp>
        <tr r="D1152" s="2"/>
      </tp>
      <tp t="s">
        <v>#N/A N/A</v>
        <stp/>
        <stp>BDP|11839407112041463973</stp>
        <tr r="T680" s="2"/>
      </tp>
      <tp t="s">
        <v>#N/A N/A</v>
        <stp/>
        <stp>BDP|15975583949668432050</stp>
        <tr r="R817" s="2"/>
      </tp>
      <tp t="s">
        <v>#N/A N/A</v>
        <stp/>
        <stp>BDP|13818972804852132439</stp>
        <tr r="G269" s="2"/>
      </tp>
      <tp t="s">
        <v>#N/A N/A</v>
        <stp/>
        <stp>BDP|17118600979472040810</stp>
        <tr r="P516" s="2"/>
      </tp>
      <tp t="s">
        <v>#N/A N/A</v>
        <stp/>
        <stp>BDP|10350682572909785477</stp>
        <tr r="T510" s="2"/>
      </tp>
      <tp t="s">
        <v>#N/A N/A</v>
        <stp/>
        <stp>BDP|12878744071819794732</stp>
        <tr r="Q310" s="2"/>
      </tp>
      <tp t="s">
        <v>#N/A N/A</v>
        <stp/>
        <stp>BDP|17551840703257838434</stp>
        <tr r="H460" s="2"/>
      </tp>
      <tp t="s">
        <v>#N/A N/A</v>
        <stp/>
        <stp>BDP|17047627797027905353</stp>
        <tr r="E477" s="2"/>
      </tp>
      <tp t="s">
        <v>#N/A N/A</v>
        <stp/>
        <stp>BDP|10042133833326129886</stp>
        <tr r="C49" s="2"/>
      </tp>
      <tp t="s">
        <v>#N/A N/A</v>
        <stp/>
        <stp>BDP|10150635481625277781</stp>
        <tr r="R289" s="2"/>
      </tp>
      <tp t="s">
        <v>#N/A N/A</v>
        <stp/>
        <stp>BDP|17608887330747536724</stp>
        <tr r="F85" s="2"/>
      </tp>
      <tp t="s">
        <v>#N/A N/A</v>
        <stp/>
        <stp>BDP|16690796237116918888</stp>
        <tr r="F727" s="2"/>
      </tp>
      <tp t="s">
        <v>#N/A N/A</v>
        <stp/>
        <stp>BDP|17805143354807141808</stp>
        <tr r="H1502" s="2"/>
      </tp>
      <tp t="s">
        <v>#N/A N/A</v>
        <stp/>
        <stp>BDP|11896632827259496016</stp>
        <tr r="N80" s="2"/>
      </tp>
      <tp t="s">
        <v>#N/A N/A</v>
        <stp/>
        <stp>BDP|12152772076376078895</stp>
        <tr r="O1617" s="2"/>
      </tp>
      <tp t="s">
        <v>#N/A N/A</v>
        <stp/>
        <stp>BDP|12355957976737017792</stp>
        <tr r="K831" s="2"/>
      </tp>
      <tp t="s">
        <v>#N/A N/A</v>
        <stp/>
        <stp>BDP|17861116246548447627</stp>
        <tr r="H1660" s="2"/>
      </tp>
      <tp t="s">
        <v>#N/A N/A</v>
        <stp/>
        <stp>BDP|15378300783577015596</stp>
        <tr r="D1258" s="2"/>
      </tp>
      <tp t="s">
        <v>#N/A N/A</v>
        <stp/>
        <stp>BDP|10536552311470131893</stp>
        <tr r="A1575" s="2"/>
      </tp>
      <tp t="s">
        <v>#N/A N/A</v>
        <stp/>
        <stp>BDP|10201562399239121956</stp>
        <tr r="J541" s="2"/>
      </tp>
      <tp t="s">
        <v>#N/A N/A</v>
        <stp/>
        <stp>BDP|10795272286052782487</stp>
        <tr r="P824" s="2"/>
      </tp>
      <tp t="s">
        <v>#N/A N/A</v>
        <stp/>
        <stp>BDP|11431298240609601229</stp>
        <tr r="A333" s="2"/>
      </tp>
      <tp t="s">
        <v>#N/A N/A</v>
        <stp/>
        <stp>BDP|13439792098747548689</stp>
        <tr r="K335" s="2"/>
      </tp>
      <tp t="s">
        <v>#N/A N/A</v>
        <stp/>
        <stp>BDP|14154638311318372782</stp>
        <tr r="E1211" s="2"/>
      </tp>
      <tp t="s">
        <v>#N/A N/A</v>
        <stp/>
        <stp>BDP|13912626792844233437</stp>
        <tr r="M69" s="2"/>
      </tp>
      <tp t="s">
        <v>#N/A N/A</v>
        <stp/>
        <stp>BDP|14459266569729382506</stp>
        <tr r="T1412" s="2"/>
      </tp>
      <tp t="s">
        <v>#N/A N/A</v>
        <stp/>
        <stp>BDP|16302424876528924169</stp>
        <tr r="T222" s="2"/>
      </tp>
      <tp t="s">
        <v>#N/A N/A</v>
        <stp/>
        <stp>BDP|14429023320723787994</stp>
        <tr r="M282" s="2"/>
      </tp>
      <tp t="s">
        <v>#N/A N/A</v>
        <stp/>
        <stp>BDP|13190372108335725910</stp>
        <tr r="G876" s="2"/>
      </tp>
      <tp t="s">
        <v>#N/A N/A</v>
        <stp/>
        <stp>BDP|11169256632858875466</stp>
        <tr r="A1678" s="2"/>
      </tp>
      <tp t="s">
        <v>#N/A N/A</v>
        <stp/>
        <stp>BDP|16720002628748187066</stp>
        <tr r="M225" s="2"/>
      </tp>
      <tp t="s">
        <v>#N/A N/A</v>
        <stp/>
        <stp>BDP|10248991413204593056</stp>
        <tr r="D72" s="2"/>
      </tp>
      <tp t="s">
        <v>#N/A N/A</v>
        <stp/>
        <stp>BDS|13878670465618614778</stp>
        <tr r="I799" s="2"/>
      </tp>
      <tp t="s">
        <v>#N/A N/A</v>
        <stp/>
        <stp>BDP|11877616807008687301</stp>
        <tr r="A1112" s="2"/>
      </tp>
      <tp t="s">
        <v>#N/A N/A</v>
        <stp/>
        <stp>BDP|16081402478079349036</stp>
        <tr r="Q886" s="2"/>
      </tp>
      <tp t="s">
        <v>#N/A N/A</v>
        <stp/>
        <stp>BDP|14770920965774018389</stp>
        <tr r="T97" s="2"/>
      </tp>
      <tp t="s">
        <v>#N/A N/A</v>
        <stp/>
        <stp>BDP|14800237422749201138</stp>
        <tr r="S1411" s="2"/>
      </tp>
      <tp t="s">
        <v>#N/A N/A</v>
        <stp/>
        <stp>BDP|16857883610512820109</stp>
        <tr r="D1373" s="2"/>
      </tp>
      <tp t="s">
        <v>#N/A N/A</v>
        <stp/>
        <stp>BDP|16959491597802666595</stp>
        <tr r="R1369" s="2"/>
      </tp>
      <tp t="s">
        <v>#N/A N/A</v>
        <stp/>
        <stp>BDP|14074919912806912629</stp>
        <tr r="N394" s="2"/>
      </tp>
      <tp t="s">
        <v>#N/A N/A</v>
        <stp/>
        <stp>BDP|12528839007712850417</stp>
        <tr r="E191" s="2"/>
      </tp>
      <tp t="s">
        <v>#N/A N/A</v>
        <stp/>
        <stp>BDP|10145403636812699998</stp>
        <tr r="C306" s="2"/>
      </tp>
      <tp t="s">
        <v>#N/A N/A</v>
        <stp/>
        <stp>BDP|10987568071007548939</stp>
        <tr r="M313" s="2"/>
      </tp>
      <tp t="s">
        <v>#N/A N/A</v>
        <stp/>
        <stp>BDP|14395197583171149006</stp>
        <tr r="E946" s="2"/>
      </tp>
      <tp t="s">
        <v>#N/A N/A</v>
        <stp/>
        <stp>BDP|14968779546602637967</stp>
        <tr r="C1187" s="2"/>
      </tp>
      <tp t="s">
        <v>#N/A N/A</v>
        <stp/>
        <stp>BDP|13872379909789836567</stp>
        <tr r="G697" s="2"/>
      </tp>
      <tp t="s">
        <v>#N/A N/A</v>
        <stp/>
        <stp>BDP|13506898629225556082</stp>
        <tr r="P202" s="2"/>
      </tp>
      <tp t="s">
        <v>#N/A N/A</v>
        <stp/>
        <stp>BDP|18235393081837319815</stp>
        <tr r="N65" s="2"/>
      </tp>
      <tp t="s">
        <v>#N/A N/A</v>
        <stp/>
        <stp>BDP|16095585410496116815</stp>
        <tr r="S1415" s="2"/>
      </tp>
      <tp t="s">
        <v>#N/A N/A</v>
        <stp/>
        <stp>BDP|17242171794022194180</stp>
        <tr r="M1603" s="2"/>
      </tp>
      <tp t="s">
        <v>#N/A N/A</v>
        <stp/>
        <stp>BDP|16425220218320401922</stp>
        <tr r="E548" s="2"/>
      </tp>
      <tp t="s">
        <v>#N/A N/A</v>
        <stp/>
        <stp>BDP|12412695790632591308</stp>
        <tr r="C1705" s="2"/>
      </tp>
      <tp t="s">
        <v>#N/A N/A</v>
        <stp/>
        <stp>BDP|14288735492165869339</stp>
        <tr r="P1275" s="2"/>
      </tp>
      <tp t="s">
        <v>#N/A N/A</v>
        <stp/>
        <stp>BDP|15752764263681313994</stp>
        <tr r="O1613" s="2"/>
      </tp>
      <tp t="s">
        <v>#N/A N/A</v>
        <stp/>
        <stp>BDP|16421921029692567322</stp>
        <tr r="K715" s="2"/>
      </tp>
      <tp t="s">
        <v>#N/A N/A</v>
        <stp/>
        <stp>BDP|15751701911577667886</stp>
        <tr r="G1651" s="2"/>
      </tp>
      <tp t="s">
        <v>#N/A N/A</v>
        <stp/>
        <stp>BDP|13531146081450891609</stp>
        <tr r="D1691" s="2"/>
      </tp>
      <tp t="s">
        <v>#N/A N/A</v>
        <stp/>
        <stp>BDP|14216546268902372958</stp>
        <tr r="J309" s="2"/>
      </tp>
      <tp t="s">
        <v>#N/A N/A</v>
        <stp/>
        <stp>BDP|15494959302730304086</stp>
        <tr r="F1725" s="2"/>
      </tp>
      <tp t="s">
        <v>#N/A N/A</v>
        <stp/>
        <stp>BDP|17910220136078498218</stp>
        <tr r="H188" s="2"/>
      </tp>
      <tp t="s">
        <v>#N/A N/A</v>
        <stp/>
        <stp>BDP|14939793098187264127</stp>
        <tr r="C718" s="2"/>
      </tp>
      <tp t="s">
        <v>#N/A N/A</v>
        <stp/>
        <stp>BDP|15805469303979744424</stp>
        <tr r="H1079" s="2"/>
      </tp>
      <tp t="s">
        <v>#N/A N/A</v>
        <stp/>
        <stp>BDP|12916992931513929704</stp>
        <tr r="R891" s="2"/>
      </tp>
      <tp t="s">
        <v>#N/A N/A</v>
        <stp/>
        <stp>BDP|15038694393334448260</stp>
        <tr r="Q482" s="2"/>
      </tp>
      <tp t="s">
        <v>#N/A N/A</v>
        <stp/>
        <stp>BDP|12494468201638980228</stp>
        <tr r="N1020" s="2"/>
      </tp>
      <tp t="s">
        <v>#N/A N/A</v>
        <stp/>
        <stp>BDP|13941471606749255220</stp>
        <tr r="T1454" s="2"/>
      </tp>
      <tp t="s">
        <v>#N/A N/A</v>
        <stp/>
        <stp>BDP|16006877982578450291</stp>
        <tr r="E723" s="2"/>
      </tp>
      <tp t="s">
        <v>#N/A N/A</v>
        <stp/>
        <stp>BDP|16573781825129172616</stp>
        <tr r="G972" s="2"/>
      </tp>
      <tp t="s">
        <v>#N/A N/A</v>
        <stp/>
        <stp>BDP|12836574648326948966</stp>
        <tr r="R1668" s="2"/>
      </tp>
      <tp t="s">
        <v>#N/A N/A</v>
        <stp/>
        <stp>BDP|17523463398980494674</stp>
        <tr r="F649" s="2"/>
      </tp>
      <tp t="s">
        <v>#N/A N/A</v>
        <stp/>
        <stp>BDP|15907907352426739345</stp>
        <tr r="S403" s="2"/>
      </tp>
      <tp t="s">
        <v>#N/A N/A</v>
        <stp/>
        <stp>BDP|10716395313068305661</stp>
        <tr r="E558" s="2"/>
      </tp>
      <tp t="s">
        <v>#N/A N/A</v>
        <stp/>
        <stp>BDP|12871362392156036242</stp>
        <tr r="K1500" s="2"/>
      </tp>
      <tp t="s">
        <v>#N/A N/A</v>
        <stp/>
        <stp>BDP|13424226457549864112</stp>
        <tr r="N896" s="2"/>
      </tp>
      <tp t="s">
        <v>#N/A N/A</v>
        <stp/>
        <stp>BDP|13283469015282961801</stp>
        <tr r="K1270" s="2"/>
      </tp>
      <tp t="s">
        <v>#N/A N/A</v>
        <stp/>
        <stp>BDP|17353700119109307410</stp>
        <tr r="N1262" s="2"/>
      </tp>
      <tp t="s">
        <v>#N/A N/A</v>
        <stp/>
        <stp>BDP|14912821219635975435</stp>
        <tr r="S1569" s="2"/>
      </tp>
      <tp t="s">
        <v>#N/A N/A</v>
        <stp/>
        <stp>BDP|12994022810586878982</stp>
        <tr r="G64" s="2"/>
      </tp>
      <tp t="s">
        <v>#N/A N/A</v>
        <stp/>
        <stp>BDS|11856916732704370308</stp>
        <tr r="I481" s="2"/>
      </tp>
      <tp t="s">
        <v>#N/A N/A</v>
        <stp/>
        <stp>BDP|15151806930215985733</stp>
        <tr r="M1418" s="2"/>
      </tp>
      <tp t="s">
        <v>#N/A N/A</v>
        <stp/>
        <stp>BDP|15501043765808922763</stp>
        <tr r="A338" s="2"/>
      </tp>
      <tp t="s">
        <v>#N/A N/A</v>
        <stp/>
        <stp>BDP|17731192386641590367</stp>
        <tr r="O1305" s="2"/>
      </tp>
      <tp t="s">
        <v>#N/A N/A</v>
        <stp/>
        <stp>BDP|17440127818408465319</stp>
        <tr r="P1644" s="2"/>
      </tp>
      <tp t="s">
        <v>#N/A N/A</v>
        <stp/>
        <stp>BDP|13840160863459703118</stp>
        <tr r="O874" s="2"/>
      </tp>
      <tp t="s">
        <v>#N/A N/A</v>
        <stp/>
        <stp>BDP|16648184013973764917</stp>
        <tr r="N706" s="2"/>
      </tp>
      <tp t="s">
        <v>#N/A N/A</v>
        <stp/>
        <stp>BDP|17184008288184774759</stp>
        <tr r="M1741" s="2"/>
      </tp>
      <tp t="s">
        <v>#N/A N/A</v>
        <stp/>
        <stp>BDP|13848530703982671855</stp>
        <tr r="F687" s="2"/>
      </tp>
      <tp t="s">
        <v>#N/A N/A</v>
        <stp/>
        <stp>BDP|12372283654470168958</stp>
        <tr r="T967" s="2"/>
      </tp>
      <tp t="s">
        <v>#N/A N/A</v>
        <stp/>
        <stp>BDP|15009613654259697385</stp>
        <tr r="H764" s="2"/>
      </tp>
      <tp t="s">
        <v>#N/A N/A</v>
        <stp/>
        <stp>BDS|17188437192556907017</stp>
        <tr r="I1194" s="2"/>
      </tp>
      <tp t="s">
        <v>#N/A N/A</v>
        <stp/>
        <stp>BDP|18317196216933211752</stp>
        <tr r="Q1359" s="2"/>
      </tp>
      <tp t="s">
        <v>#N/A N/A</v>
        <stp/>
        <stp>BDP|14571498106555929984</stp>
        <tr r="K773" s="2"/>
      </tp>
      <tp t="s">
        <v>#N/A N/A</v>
        <stp/>
        <stp>BDP|10091989835016592035</stp>
        <tr r="D1607" s="2"/>
      </tp>
      <tp t="s">
        <v>#N/A N/A</v>
        <stp/>
        <stp>BDP|12472832738956097349</stp>
        <tr r="G301" s="2"/>
      </tp>
      <tp t="s">
        <v>#N/A N/A</v>
        <stp/>
        <stp>BDP|10743690033909699007</stp>
        <tr r="P1514" s="2"/>
      </tp>
      <tp t="s">
        <v>#N/A N/A</v>
        <stp/>
        <stp>BDP|13509903539541105464</stp>
        <tr r="A1280" s="2"/>
      </tp>
      <tp t="s">
        <v>#N/A N/A</v>
        <stp/>
        <stp>BDP|12578944245675874670</stp>
        <tr r="P565" s="2"/>
      </tp>
      <tp t="s">
        <v>#N/A N/A</v>
        <stp/>
        <stp>BDP|11883842823326789133</stp>
        <tr r="H1140" s="2"/>
      </tp>
      <tp t="s">
        <v>#N/A N/A</v>
        <stp/>
        <stp>BDP|15257859575840025694</stp>
        <tr r="M523" s="2"/>
      </tp>
      <tp t="s">
        <v>#N/A N/A</v>
        <stp/>
        <stp>BDP|15419981351710334555</stp>
        <tr r="P919" s="2"/>
      </tp>
      <tp t="s">
        <v>#N/A N/A</v>
        <stp/>
        <stp>BDP|14621804916208866933</stp>
        <tr r="G1327" s="2"/>
      </tp>
      <tp t="s">
        <v>#N/A N/A</v>
        <stp/>
        <stp>BDP|13698991029841988548</stp>
        <tr r="P1392" s="2"/>
      </tp>
      <tp t="s">
        <v>#N/A N/A</v>
        <stp/>
        <stp>BDP|16760850047844975279</stp>
        <tr r="C1115" s="2"/>
      </tp>
      <tp t="s">
        <v>#N/A N/A</v>
        <stp/>
        <stp>BDP|12801607293643019207</stp>
        <tr r="O1566" s="2"/>
      </tp>
      <tp t="s">
        <v>#N/A N/A</v>
        <stp/>
        <stp>BDP|10273669979848285549</stp>
        <tr r="E1192" s="2"/>
      </tp>
      <tp t="s">
        <v>#N/A N/A</v>
        <stp/>
        <stp>BDP|11515334529489679521</stp>
        <tr r="G344" s="2"/>
      </tp>
      <tp t="s">
        <v>#N/A N/A</v>
        <stp/>
        <stp>BDP|14845967320623459016</stp>
        <tr r="D1168" s="2"/>
      </tp>
      <tp t="s">
        <v>#N/A N/A</v>
        <stp/>
        <stp>BDP|15830322950346237937</stp>
        <tr r="R1321" s="2"/>
      </tp>
      <tp t="s">
        <v>#N/A N/A</v>
        <stp/>
        <stp>BDP|13922597603073847907</stp>
        <tr r="P823" s="2"/>
      </tp>
      <tp t="s">
        <v>#N/A N/A</v>
        <stp/>
        <stp>BDP|14723857171962994513</stp>
        <tr r="H51" s="2"/>
      </tp>
      <tp t="s">
        <v>#N/A N/A</v>
        <stp/>
        <stp>BDP|18014027340715838517</stp>
        <tr r="M1538" s="2"/>
      </tp>
      <tp t="s">
        <v>#N/A N/A</v>
        <stp/>
        <stp>BDP|12321901467911780087</stp>
        <tr r="T787" s="2"/>
      </tp>
      <tp t="s">
        <v>#N/A N/A</v>
        <stp/>
        <stp>BDP|10986878579921496285</stp>
        <tr r="R626" s="2"/>
      </tp>
      <tp t="s">
        <v>#N/A N/A</v>
        <stp/>
        <stp>BDP|12203984145264457706</stp>
        <tr r="J778" s="2"/>
      </tp>
      <tp t="s">
        <v>#N/A N/A</v>
        <stp/>
        <stp>BDP|14768999293991551936</stp>
        <tr r="H672" s="2"/>
      </tp>
      <tp t="s">
        <v>#N/A N/A</v>
        <stp/>
        <stp>BDP|10597946467057423499</stp>
        <tr r="M184" s="2"/>
      </tp>
      <tp t="s">
        <v>#N/A N/A</v>
        <stp/>
        <stp>BDP|16273605598406642376</stp>
        <tr r="S843" s="2"/>
      </tp>
      <tp t="s">
        <v>#N/A N/A</v>
        <stp/>
        <stp>BDP|14915824585941703928</stp>
        <tr r="Q91" s="2"/>
      </tp>
      <tp t="s">
        <v>#N/A N/A</v>
        <stp/>
        <stp>BDP|14340075767148899612</stp>
        <tr r="O1415" s="2"/>
      </tp>
      <tp t="s">
        <v>#N/A N/A</v>
        <stp/>
        <stp>BDP|18335076304845237185</stp>
        <tr r="C1210" s="2"/>
      </tp>
      <tp t="s">
        <v>#N/A N/A</v>
        <stp/>
        <stp>BDP|18199230976123851267</stp>
        <tr r="C68" s="2"/>
      </tp>
      <tp t="s">
        <v>#N/A N/A</v>
        <stp/>
        <stp>BDP|14450953766900959743</stp>
        <tr r="T982" s="2"/>
      </tp>
      <tp t="s">
        <v>#N/A N/A</v>
        <stp/>
        <stp>BDP|15887017736259210375</stp>
        <tr r="R461" s="2"/>
      </tp>
      <tp t="s">
        <v>#N/A N/A</v>
        <stp/>
        <stp>BDP|14880577534639535743</stp>
        <tr r="Q442" s="2"/>
      </tp>
      <tp t="s">
        <v>#N/A N/A</v>
        <stp/>
        <stp>BDS|13656624892700763088</stp>
        <tr r="I1320" s="2"/>
      </tp>
      <tp t="s">
        <v>#N/A N/A</v>
        <stp/>
        <stp>BDP|11492782435109403072</stp>
        <tr r="F1025" s="2"/>
      </tp>
      <tp t="s">
        <v>#N/A N/A</v>
        <stp/>
        <stp>BDP|12017715838223605959</stp>
        <tr r="K479" s="2"/>
      </tp>
      <tp t="s">
        <v>#N/A N/A</v>
        <stp/>
        <stp>BDP|12466468821710967800</stp>
        <tr r="R1013" s="2"/>
      </tp>
      <tp t="s">
        <v>#N/A N/A</v>
        <stp/>
        <stp>BDP|11437901038540005768</stp>
        <tr r="M741" s="2"/>
      </tp>
      <tp t="s">
        <v>#N/A N/A</v>
        <stp/>
        <stp>BDP|13797624740469705486</stp>
        <tr r="D1677" s="2"/>
      </tp>
      <tp t="s">
        <v>#N/A N/A</v>
        <stp/>
        <stp>BDP|11355237881214267398</stp>
        <tr r="A60" s="2"/>
      </tp>
      <tp t="s">
        <v>#N/A N/A</v>
        <stp/>
        <stp>BDP|11032147010345695880</stp>
        <tr r="F1539" s="2"/>
      </tp>
      <tp t="s">
        <v>#N/A N/A</v>
        <stp/>
        <stp>BDP|18045574895980901814</stp>
        <tr r="N1335" s="2"/>
      </tp>
      <tp t="s">
        <v>#N/A N/A</v>
        <stp/>
        <stp>BDP|11060215689023575479</stp>
        <tr r="Q1437" s="2"/>
      </tp>
      <tp t="s">
        <v>#N/A N/A</v>
        <stp/>
        <stp>BDP|18051759895589371393</stp>
        <tr r="M953" s="2"/>
      </tp>
      <tp t="s">
        <v>#N/A N/A</v>
        <stp/>
        <stp>BDP|10988066216335346805</stp>
        <tr r="P453" s="2"/>
      </tp>
      <tp t="s">
        <v>#N/A N/A</v>
        <stp/>
        <stp>BDP|15207988417738549927</stp>
        <tr r="O1058" s="2"/>
      </tp>
      <tp t="s">
        <v>#N/A N/A</v>
        <stp/>
        <stp>BDP|11365402279748876688</stp>
        <tr r="T1221" s="2"/>
      </tp>
      <tp t="s">
        <v>#N/A N/A</v>
        <stp/>
        <stp>BDP|17867648797323437752</stp>
        <tr r="P1705" s="2"/>
      </tp>
      <tp t="s">
        <v>#N/A N/A</v>
        <stp/>
        <stp>BDP|15902312512108781378</stp>
        <tr r="T1537" s="2"/>
      </tp>
      <tp t="s">
        <v>#N/A N/A</v>
        <stp/>
        <stp>BDP|17886405574951465921</stp>
        <tr r="D1755" s="2"/>
      </tp>
      <tp t="s">
        <v>#N/A N/A</v>
        <stp/>
        <stp>BDP|11043303866449801141</stp>
        <tr r="A95" s="2"/>
      </tp>
      <tp t="s">
        <v>#N/A N/A</v>
        <stp/>
        <stp>BDS|17743620402638942574</stp>
        <tr r="I1643" s="2"/>
      </tp>
      <tp t="s">
        <v>#N/A N/A</v>
        <stp/>
        <stp>BDP|12434663822743258980</stp>
        <tr r="G996" s="2"/>
      </tp>
      <tp t="s">
        <v>#N/A N/A</v>
        <stp/>
        <stp>BDP|10621682372634332957</stp>
        <tr r="H646" s="2"/>
      </tp>
      <tp t="s">
        <v>#N/A N/A</v>
        <stp/>
        <stp>BDP|10950863850790253176</stp>
        <tr r="M660" s="2"/>
      </tp>
      <tp t="s">
        <v>#N/A N/A</v>
        <stp/>
        <stp>BDP|14349387252068321600</stp>
        <tr r="A1023" s="2"/>
      </tp>
      <tp t="s">
        <v>#N/A N/A</v>
        <stp/>
        <stp>BDP|14963036146138336453</stp>
        <tr r="R1575" s="2"/>
      </tp>
      <tp t="s">
        <v>#N/A N/A</v>
        <stp/>
        <stp>BDP|16379998992662390811</stp>
        <tr r="E1617" s="2"/>
      </tp>
      <tp t="s">
        <v>#N/A N/A</v>
        <stp/>
        <stp>BDP|10424151392233175787</stp>
        <tr r="C1245" s="2"/>
      </tp>
      <tp t="s">
        <v>#N/A N/A</v>
        <stp/>
        <stp>BDP|17880581071911943825</stp>
        <tr r="G1468" s="2"/>
      </tp>
      <tp t="s">
        <v>#N/A N/A</v>
        <stp/>
        <stp>BDP|13769455619002163805</stp>
        <tr r="A1159" s="2"/>
      </tp>
      <tp t="s">
        <v>#N/A N/A</v>
        <stp/>
        <stp>BDP|13982267968119472299</stp>
        <tr r="H604" s="2"/>
      </tp>
      <tp t="s">
        <v>#N/A N/A</v>
        <stp/>
        <stp>BDP|17467517867518934017</stp>
        <tr r="J743" s="2"/>
      </tp>
      <tp t="s">
        <v>#N/A N/A</v>
        <stp/>
        <stp>BDP|18028894973553642867</stp>
        <tr r="G1597" s="2"/>
      </tp>
      <tp t="s">
        <v>#N/A N/A</v>
        <stp/>
        <stp>BDP|14535315039800264858</stp>
        <tr r="R710" s="2"/>
      </tp>
      <tp t="s">
        <v>#N/A N/A</v>
        <stp/>
        <stp>BDP|14785230292975429684</stp>
        <tr r="Q893" s="2"/>
      </tp>
      <tp t="s">
        <v>#N/A N/A</v>
        <stp/>
        <stp>BDP|12651120693775826357</stp>
        <tr r="C172" s="2"/>
      </tp>
      <tp t="s">
        <v>#N/A N/A</v>
        <stp/>
        <stp>BDP|13314891951585704762</stp>
        <tr r="J1217" s="2"/>
      </tp>
      <tp t="s">
        <v>#N/A N/A</v>
        <stp/>
        <stp>BDP|15838833379735126393</stp>
        <tr r="J866" s="2"/>
      </tp>
      <tp t="s">
        <v>#N/A N/A</v>
        <stp/>
        <stp>BDP|13577496287374446750</stp>
        <tr r="R1259" s="2"/>
      </tp>
      <tp t="s">
        <v>#N/A N/A</v>
        <stp/>
        <stp>BDP|12405962177226844672</stp>
        <tr r="N314" s="2"/>
      </tp>
      <tp t="s">
        <v>#N/A N/A</v>
        <stp/>
        <stp>BDP|10079808796914850946</stp>
        <tr r="P227" s="2"/>
      </tp>
      <tp t="s">
        <v>#N/A N/A</v>
        <stp/>
        <stp>BDP|14081328358038125617</stp>
        <tr r="P1534" s="2"/>
      </tp>
      <tp t="s">
        <v>#N/A N/A</v>
        <stp/>
        <stp>BDP|10777881074204846795</stp>
        <tr r="F317" s="2"/>
      </tp>
      <tp t="s">
        <v>#N/A N/A</v>
        <stp/>
        <stp>BDP|18364746826932992324</stp>
        <tr r="C1522" s="2"/>
      </tp>
      <tp t="s">
        <v>#N/A N/A</v>
        <stp/>
        <stp>BDS|11381075882306726388</stp>
        <tr r="I43" s="2"/>
      </tp>
      <tp t="s">
        <v>#N/A N/A</v>
        <stp/>
        <stp>BDP|17528247014408896003</stp>
        <tr r="A759" s="2"/>
      </tp>
      <tp t="s">
        <v>#N/A N/A</v>
        <stp/>
        <stp>BDP|14826990149826003351</stp>
        <tr r="N531" s="2"/>
      </tp>
      <tp t="s">
        <v>#N/A N/A</v>
        <stp/>
        <stp>BDP|12209218798541436424</stp>
        <tr r="K164" s="2"/>
      </tp>
      <tp t="s">
        <v>#N/A N/A</v>
        <stp/>
        <stp>BDP|12121754938989966383</stp>
        <tr r="C8" s="2"/>
      </tp>
      <tp t="s">
        <v>#N/A N/A</v>
        <stp/>
        <stp>BDP|10961121448358687185</stp>
        <tr r="S1402" s="2"/>
      </tp>
      <tp t="s">
        <v>#N/A N/A</v>
        <stp/>
        <stp>BDP|10986839277827636463</stp>
        <tr r="A748" s="2"/>
      </tp>
      <tp t="s">
        <v>#N/A N/A</v>
        <stp/>
        <stp>BDP|14752899723617836580</stp>
        <tr r="J206" s="2"/>
      </tp>
      <tp t="s">
        <v>#N/A N/A</v>
        <stp/>
        <stp>BDP|11456938142676921611</stp>
        <tr r="P100" s="2"/>
      </tp>
      <tp t="s">
        <v>#N/A N/A</v>
        <stp/>
        <stp>BDP|15420696939844807813</stp>
        <tr r="A442" s="2"/>
      </tp>
      <tp t="s">
        <v>#N/A N/A</v>
        <stp/>
        <stp>BDP|16597888822096572679</stp>
        <tr r="H877" s="2"/>
      </tp>
      <tp t="s">
        <v>#N/A N/A</v>
        <stp/>
        <stp>BDP|12619617788580755059</stp>
        <tr r="D748" s="2"/>
      </tp>
      <tp t="s">
        <v>#N/A N/A</v>
        <stp/>
        <stp>BDP|17915896462320931568</stp>
        <tr r="T547" s="2"/>
      </tp>
      <tp t="s">
        <v>#N/A N/A</v>
        <stp/>
        <stp>BDP|12957697586352880237</stp>
        <tr r="J1484" s="2"/>
      </tp>
      <tp t="s">
        <v>#N/A N/A</v>
        <stp/>
        <stp>BDP|15829418882704221141</stp>
        <tr r="O844" s="2"/>
      </tp>
      <tp t="s">
        <v>#N/A N/A</v>
        <stp/>
        <stp>BDP|12149572646558590787</stp>
        <tr r="A602" s="2"/>
      </tp>
      <tp t="s">
        <v>#N/A N/A</v>
        <stp/>
        <stp>BDP|15001748199171860682</stp>
        <tr r="J791" s="2"/>
      </tp>
      <tp t="s">
        <v>#N/A N/A</v>
        <stp/>
        <stp>BDP|17826738615009067431</stp>
        <tr r="J1055" s="2"/>
      </tp>
      <tp t="s">
        <v>#N/A N/A</v>
        <stp/>
        <stp>BDP|15008024787372135398</stp>
        <tr r="M1561" s="2"/>
      </tp>
      <tp t="s">
        <v>#N/A N/A</v>
        <stp/>
        <stp>BDP|17387823926444917532</stp>
        <tr r="T856" s="2"/>
      </tp>
      <tp t="s">
        <v>#N/A N/A</v>
        <stp/>
        <stp>BDP|13043546674338588585</stp>
        <tr r="E1605" s="2"/>
      </tp>
      <tp t="s">
        <v>#N/A N/A</v>
        <stp/>
        <stp>BDP|13182876407152465585</stp>
        <tr r="R449" s="2"/>
      </tp>
      <tp t="s">
        <v>#N/A N/A</v>
        <stp/>
        <stp>BDP|16645040809793665906</stp>
        <tr r="P508" s="2"/>
      </tp>
      <tp t="s">
        <v>#N/A N/A</v>
        <stp/>
        <stp>BDP|15991997958402596701</stp>
        <tr r="T407" s="2"/>
      </tp>
      <tp t="s">
        <v>#N/A N/A</v>
        <stp/>
        <stp>BDP|11821221095691661741</stp>
        <tr r="P382" s="2"/>
      </tp>
      <tp t="s">
        <v>#N/A N/A</v>
        <stp/>
        <stp>BDP|16184105679228699434</stp>
        <tr r="E729" s="2"/>
      </tp>
      <tp t="s">
        <v>#N/A N/A</v>
        <stp/>
        <stp>BDP|12806922701357034060</stp>
        <tr r="N425" s="2"/>
      </tp>
      <tp t="s">
        <v>#N/A N/A</v>
        <stp/>
        <stp>BDP|10351601021150868872</stp>
        <tr r="G29" s="2"/>
      </tp>
      <tp t="s">
        <v>#N/A N/A</v>
        <stp/>
        <stp>BDP|15603002209989586072</stp>
        <tr r="A1460" s="2"/>
      </tp>
      <tp t="s">
        <v>#N/A N/A</v>
        <stp/>
        <stp>BDP|10842453000751339932</stp>
        <tr r="H1006" s="2"/>
      </tp>
      <tp t="s">
        <v>#N/A N/A</v>
        <stp/>
        <stp>BDP|14337964848197001207</stp>
        <tr r="N1248" s="2"/>
      </tp>
      <tp t="s">
        <v>#N/A N/A</v>
        <stp/>
        <stp>BDP|17533383053265037830</stp>
        <tr r="H1741" s="2"/>
      </tp>
      <tp t="s">
        <v>#N/A N/A</v>
        <stp/>
        <stp>BDP|10995354622038640559</stp>
        <tr r="H951" s="2"/>
      </tp>
      <tp t="s">
        <v>#N/A N/A</v>
        <stp/>
        <stp>BDP|11658344078228617115</stp>
        <tr r="A211" s="2"/>
      </tp>
      <tp t="s">
        <v>#N/A N/A</v>
        <stp/>
        <stp>BDP|16276193830000640807</stp>
        <tr r="J1449" s="2"/>
      </tp>
      <tp t="s">
        <v>#N/A N/A</v>
        <stp/>
        <stp>BDP|14994366344936419921</stp>
        <tr r="M251" s="2"/>
      </tp>
      <tp t="s">
        <v>#N/A N/A</v>
        <stp/>
        <stp>BDS|14762085405589005140</stp>
        <tr r="I440" s="2"/>
      </tp>
      <tp t="s">
        <v>#N/A N/A</v>
        <stp/>
        <stp>BDS|15952075587256739707</stp>
        <tr r="I1362" s="2"/>
      </tp>
      <tp t="s">
        <v>#N/A N/A</v>
        <stp/>
        <stp>BDP|10856196507618257596</stp>
        <tr r="N402" s="2"/>
      </tp>
      <tp t="s">
        <v>#N/A N/A</v>
        <stp/>
        <stp>BDP|13513144621064476894</stp>
        <tr r="D176" s="2"/>
      </tp>
      <tp t="s">
        <v>#N/A N/A</v>
        <stp/>
        <stp>BDP|13521861562230933154</stp>
        <tr r="K66" s="2"/>
      </tp>
      <tp t="s">
        <v>#N/A N/A</v>
        <stp/>
        <stp>BDP|16796577455809122391</stp>
        <tr r="O490" s="2"/>
      </tp>
      <tp t="s">
        <v>#N/A N/A</v>
        <stp/>
        <stp>BDP|16537026539098166127</stp>
        <tr r="F1549" s="2"/>
      </tp>
      <tp t="s">
        <v>#N/A N/A</v>
        <stp/>
        <stp>BDP|10214203202787436992</stp>
        <tr r="R387" s="2"/>
      </tp>
      <tp t="s">
        <v>#N/A N/A</v>
        <stp/>
        <stp>BDP|15403902228732597048</stp>
        <tr r="Q167" s="2"/>
      </tp>
      <tp t="s">
        <v>#N/A N/A</v>
        <stp/>
        <stp>BDP|11185086459298870040</stp>
        <tr r="N1266" s="2"/>
      </tp>
      <tp t="s">
        <v>#N/A N/A</v>
        <stp/>
        <stp>BDP|13964370678439997230</stp>
        <tr r="R1598" s="2"/>
      </tp>
      <tp t="s">
        <v>#N/A N/A</v>
        <stp/>
        <stp>BDP|13512205704868970540</stp>
        <tr r="N1388" s="2"/>
      </tp>
      <tp t="s">
        <v>#N/A N/A</v>
        <stp/>
        <stp>BDP|17500219388810125119</stp>
        <tr r="G1386" s="2"/>
      </tp>
      <tp t="s">
        <v>#N/A N/A</v>
        <stp/>
        <stp>BDP|12288466631789156086</stp>
        <tr r="K1510" s="2"/>
      </tp>
      <tp t="s">
        <v>#N/A N/A</v>
        <stp/>
        <stp>BDP|15503247884376181585</stp>
        <tr r="O1130" s="2"/>
      </tp>
      <tp t="s">
        <v>#N/A N/A</v>
        <stp/>
        <stp>BDP|15837480381185535088</stp>
        <tr r="T1680" s="2"/>
      </tp>
      <tp t="s">
        <v>#N/A N/A</v>
        <stp/>
        <stp>BDP|16298891846003154505</stp>
        <tr r="D1422" s="2"/>
      </tp>
      <tp t="s">
        <v>#N/A N/A</v>
        <stp/>
        <stp>BDP|15833887453915830176</stp>
        <tr r="P161" s="2"/>
      </tp>
      <tp t="s">
        <v>#N/A N/A</v>
        <stp/>
        <stp>BDP|15013601640132897940</stp>
        <tr r="M1301" s="2"/>
      </tp>
      <tp t="s">
        <v>#N/A N/A</v>
        <stp/>
        <stp>BDS|15407260792795768789</stp>
        <tr r="I965" s="2"/>
      </tp>
      <tp t="s">
        <v>#N/A N/A</v>
        <stp/>
        <stp>BDP|10479463004731853928</stp>
        <tr r="H727" s="2"/>
      </tp>
      <tp t="s">
        <v>#N/A N/A</v>
        <stp/>
        <stp>BDP|10290996846650637174</stp>
        <tr r="K1129" s="2"/>
      </tp>
      <tp t="s">
        <v>#N/A N/A</v>
        <stp/>
        <stp>BDP|15096869549864731145</stp>
        <tr r="E598" s="2"/>
      </tp>
      <tp t="s">
        <v>#N/A N/A</v>
        <stp/>
        <stp>BDP|17427848882738807360</stp>
        <tr r="T1491" s="2"/>
      </tp>
      <tp t="s">
        <v>#N/A N/A</v>
        <stp/>
        <stp>BDP|12034738979377050961</stp>
        <tr r="J836" s="2"/>
      </tp>
      <tp t="s">
        <v>#N/A N/A</v>
        <stp/>
        <stp>BDS|10544434368768594642</stp>
        <tr r="I334" s="2"/>
      </tp>
      <tp t="s">
        <v>#N/A N/A</v>
        <stp/>
        <stp>BDP|10353631431700481997</stp>
        <tr r="J1697" s="2"/>
      </tp>
      <tp t="s">
        <v>#N/A N/A</v>
        <stp/>
        <stp>BDP|10131686495551950299</stp>
        <tr r="Q1494" s="2"/>
      </tp>
      <tp t="s">
        <v>#N/A N/A</v>
        <stp/>
        <stp>BDP|15638706895691855675</stp>
        <tr r="Q198" s="2"/>
      </tp>
      <tp t="s">
        <v>#N/A N/A</v>
        <stp/>
        <stp>BDP|17957247286794070571</stp>
        <tr r="H1645" s="2"/>
      </tp>
      <tp t="s">
        <v>#N/A N/A</v>
        <stp/>
        <stp>BDP|14043397467089220402</stp>
        <tr r="J988" s="2"/>
      </tp>
      <tp t="s">
        <v>#N/A N/A</v>
        <stp/>
        <stp>BDP|12613703499750072031</stp>
        <tr r="S1754" s="2"/>
      </tp>
      <tp t="s">
        <v>#N/A N/A</v>
        <stp/>
        <stp>BDP|13933653310319652165</stp>
        <tr r="R744" s="2"/>
      </tp>
      <tp t="s">
        <v>#N/A N/A</v>
        <stp/>
        <stp>BDP|12806166849902944929</stp>
        <tr r="M472" s="2"/>
      </tp>
      <tp t="s">
        <v>#N/A N/A</v>
        <stp/>
        <stp>BDP|13981905551402330178</stp>
        <tr r="D495" s="2"/>
      </tp>
      <tp t="s">
        <v>#N/A N/A</v>
        <stp/>
        <stp>BDP|12918931523810284571</stp>
        <tr r="O1245" s="2"/>
      </tp>
      <tp t="s">
        <v>#N/A N/A</v>
        <stp/>
        <stp>BDP|10924427391279616807</stp>
        <tr r="M545" s="2"/>
      </tp>
      <tp t="s">
        <v>#N/A N/A</v>
        <stp/>
        <stp>BDP|12924887760357520785</stp>
        <tr r="M1081" s="2"/>
      </tp>
      <tp t="s">
        <v>#N/A N/A</v>
        <stp/>
        <stp>BDP|17276939448573332568</stp>
        <tr r="K979" s="2"/>
      </tp>
      <tp t="s">
        <v>#N/A N/A</v>
        <stp/>
        <stp>BDP|14845332657369723770</stp>
        <tr r="H901" s="2"/>
      </tp>
      <tp t="s">
        <v>#N/A N/A</v>
        <stp/>
        <stp>BDP|16726370489241055052</stp>
        <tr r="C871" s="2"/>
      </tp>
      <tp t="s">
        <v>#N/A N/A</v>
        <stp/>
        <stp>BDP|16448093560128841494</stp>
        <tr r="M1592" s="2"/>
      </tp>
      <tp t="s">
        <v>#N/A N/A</v>
        <stp/>
        <stp>BDP|10531727186544561781</stp>
        <tr r="F608" s="2"/>
      </tp>
      <tp t="s">
        <v>#N/A N/A</v>
        <stp/>
        <stp>BDP|15707830324675512691</stp>
        <tr r="G1308" s="2"/>
      </tp>
      <tp t="s">
        <v>#N/A N/A</v>
        <stp/>
        <stp>BDP|10937631328358933074</stp>
        <tr r="M742" s="2"/>
      </tp>
      <tp t="s">
        <v>#N/A N/A</v>
        <stp/>
        <stp>BDP|18415187044782667322</stp>
        <tr r="F257" s="2"/>
      </tp>
      <tp t="s">
        <v>#N/A N/A</v>
        <stp/>
        <stp>BDP|10702361346343315886</stp>
        <tr r="S623" s="2"/>
      </tp>
      <tp t="s">
        <v>#N/A N/A</v>
        <stp/>
        <stp>BDP|17502596543249670356</stp>
        <tr r="M317" s="2"/>
      </tp>
      <tp t="s">
        <v>#N/A N/A</v>
        <stp/>
        <stp>BDP|11185699509083560883</stp>
        <tr r="M596" s="2"/>
      </tp>
      <tp t="s">
        <v>#N/A N/A</v>
        <stp/>
        <stp>BDP|11887797180482824062</stp>
        <tr r="C1591" s="2"/>
      </tp>
      <tp t="s">
        <v>#N/A N/A</v>
        <stp/>
        <stp>BDP|14984805325670101220</stp>
        <tr r="C279" s="2"/>
      </tp>
      <tp t="s">
        <v>#N/A N/A</v>
        <stp/>
        <stp>BDP|13032818967793122285</stp>
        <tr r="J818" s="2"/>
      </tp>
      <tp t="s">
        <v>#N/A N/A</v>
        <stp/>
        <stp>BDP|14553398875384620807</stp>
        <tr r="A1039" s="2"/>
      </tp>
      <tp t="s">
        <v>#N/A N/A</v>
        <stp/>
        <stp>BDP|14155274228978369024</stp>
        <tr r="E300" s="2"/>
      </tp>
      <tp t="s">
        <v>#N/A N/A</v>
        <stp/>
        <stp>BDP|17089354999422248316</stp>
        <tr r="T1033" s="2"/>
      </tp>
      <tp t="s">
        <v>#N/A N/A</v>
        <stp/>
        <stp>BDP|14486126053038830427</stp>
        <tr r="T1572" s="2"/>
      </tp>
      <tp t="s">
        <v>#N/A N/A</v>
        <stp/>
        <stp>BDP|13353155678711657878</stp>
        <tr r="S528" s="2"/>
      </tp>
      <tp t="s">
        <v>#N/A N/A</v>
        <stp/>
        <stp>BDP|14531711315089693782</stp>
        <tr r="N939" s="2"/>
      </tp>
      <tp t="s">
        <v>#N/A N/A</v>
        <stp/>
        <stp>BDP|11059962417935755092</stp>
        <tr r="M60" s="2"/>
      </tp>
      <tp t="s">
        <v>#N/A N/A</v>
        <stp/>
        <stp>BDP|15299292413059472335</stp>
        <tr r="H553" s="2"/>
      </tp>
      <tp t="s">
        <v>#N/A N/A</v>
        <stp/>
        <stp>BDP|15988590458721465836</stp>
        <tr r="P1285" s="2"/>
      </tp>
      <tp t="s">
        <v>#N/A N/A</v>
        <stp/>
        <stp>BDP|18260429291911816868</stp>
        <tr r="Q1240" s="2"/>
      </tp>
      <tp t="s">
        <v>#N/A N/A</v>
        <stp/>
        <stp>BDP|15283051269039643672</stp>
        <tr r="S990" s="2"/>
      </tp>
      <tp t="s">
        <v>#N/A N/A</v>
        <stp/>
        <stp>BDP|16126482390511187672</stp>
        <tr r="D497" s="2"/>
      </tp>
      <tp t="s">
        <v>#N/A N/A</v>
        <stp/>
        <stp>BDP|12837461255876462902</stp>
        <tr r="O1721" s="2"/>
      </tp>
      <tp t="s">
        <v>#N/A N/A</v>
        <stp/>
        <stp>BDP|17952578835575317874</stp>
        <tr r="G1467" s="2"/>
      </tp>
      <tp t="s">
        <v>#N/A N/A</v>
        <stp/>
        <stp>BDP|10767100819038688473</stp>
        <tr r="N1728" s="2"/>
      </tp>
      <tp t="s">
        <v>#N/A N/A</v>
        <stp/>
        <stp>BDP|16497993747407673034</stp>
        <tr r="D1563" s="2"/>
      </tp>
      <tp t="s">
        <v>#N/A N/A</v>
        <stp/>
        <stp>BDS|13723746764689880736</stp>
        <tr r="I1170" s="2"/>
      </tp>
      <tp t="s">
        <v>#N/A N/A</v>
        <stp/>
        <stp>BDP|17404241806038994104</stp>
        <tr r="S1170" s="2"/>
      </tp>
      <tp t="s">
        <v>#N/A N/A</v>
        <stp/>
        <stp>BDP|18364470755301686481</stp>
        <tr r="F411" s="2"/>
      </tp>
      <tp t="s">
        <v>#N/A N/A</v>
        <stp/>
        <stp>BDP|14598079803828921076</stp>
        <tr r="G923" s="2"/>
      </tp>
      <tp t="s">
        <v>#N/A N/A</v>
        <stp/>
        <stp>BDP|16322809563577862374</stp>
        <tr r="M854" s="2"/>
      </tp>
      <tp t="s">
        <v>#N/A N/A</v>
        <stp/>
        <stp>BDP|17798647932419902776</stp>
        <tr r="R277" s="2"/>
      </tp>
      <tp t="s">
        <v>#N/A N/A</v>
        <stp/>
        <stp>BDP|10507861509564453012</stp>
        <tr r="J344" s="2"/>
      </tp>
      <tp t="s">
        <v>#N/A N/A</v>
        <stp/>
        <stp>BDP|12902801460161761115</stp>
        <tr r="P547" s="2"/>
      </tp>
      <tp t="s">
        <v>#N/A N/A</v>
        <stp/>
        <stp>BDP|15458979329806010457</stp>
        <tr r="S770" s="2"/>
      </tp>
      <tp t="s">
        <v>#N/A N/A</v>
        <stp/>
        <stp>BDP|15093880023592386175</stp>
        <tr r="J446" s="2"/>
      </tp>
      <tp t="s">
        <v>#N/A N/A</v>
        <stp/>
        <stp>BDP|17435171026669922137</stp>
        <tr r="O562" s="2"/>
      </tp>
      <tp t="s">
        <v>#N/A N/A</v>
        <stp/>
        <stp>BDP|12776810585377402984</stp>
        <tr r="F642" s="2"/>
      </tp>
      <tp t="s">
        <v>#N/A N/A</v>
        <stp/>
        <stp>BDP|14434714398160634642</stp>
        <tr r="P1173" s="2"/>
      </tp>
      <tp t="s">
        <v>#N/A N/A</v>
        <stp/>
        <stp>BDP|15625847067016241186</stp>
        <tr r="D1618" s="2"/>
      </tp>
      <tp t="s">
        <v>#N/A N/A</v>
        <stp/>
        <stp>BDP|10162578599200481043</stp>
        <tr r="D1136" s="2"/>
      </tp>
      <tp t="s">
        <v>#N/A N/A</v>
        <stp/>
        <stp>BDP|11233050199153666773</stp>
        <tr r="J671" s="2"/>
      </tp>
      <tp t="s">
        <v>#N/A N/A</v>
        <stp/>
        <stp>BDP|14639559962159846268</stp>
        <tr r="R1150" s="2"/>
      </tp>
      <tp t="s">
        <v>#N/A N/A</v>
        <stp/>
        <stp>BDP|18021784395639462361</stp>
        <tr r="N873" s="2"/>
      </tp>
      <tp t="s">
        <v>#N/A N/A</v>
        <stp/>
        <stp>BDP|10176061899246642376</stp>
        <tr r="T208" s="2"/>
      </tp>
      <tp t="s">
        <v>#N/A N/A</v>
        <stp/>
        <stp>BDP|15180874604142437398</stp>
        <tr r="A19" s="2"/>
      </tp>
      <tp t="s">
        <v>#N/A N/A</v>
        <stp/>
        <stp>BDP|11677509094812974347</stp>
        <tr r="H1288" s="2"/>
      </tp>
      <tp t="s">
        <v>#N/A N/A</v>
        <stp/>
        <stp>BDP|17832314124338589279</stp>
        <tr r="C590" s="2"/>
      </tp>
      <tp t="s">
        <v>#N/A N/A</v>
        <stp/>
        <stp>BDP|17399986870793649629</stp>
        <tr r="E192" s="2"/>
      </tp>
      <tp t="s">
        <v>#N/A N/A</v>
        <stp/>
        <stp>BDP|15260619365619198084</stp>
        <tr r="O1440" s="2"/>
      </tp>
      <tp t="s">
        <v>#N/A N/A</v>
        <stp/>
        <stp>BDP|18087368857206614498</stp>
        <tr r="S294" s="2"/>
      </tp>
      <tp t="s">
        <v>#N/A N/A</v>
        <stp/>
        <stp>BDS|14913209780265489709</stp>
        <tr r="I1078" s="2"/>
      </tp>
      <tp t="s">
        <v>#N/A N/A</v>
        <stp/>
        <stp>BDP|10439221038085090800</stp>
        <tr r="H1231" s="2"/>
      </tp>
      <tp t="s">
        <v>#N/A N/A</v>
        <stp/>
        <stp>BDP|17376820917065989714</stp>
        <tr r="D1098" s="2"/>
      </tp>
      <tp t="s">
        <v>#N/A N/A</v>
        <stp/>
        <stp>BDP|15959657491285588362</stp>
        <tr r="N1409" s="2"/>
      </tp>
      <tp t="s">
        <v>#N/A N/A</v>
        <stp/>
        <stp>BDP|17268319441259530594</stp>
        <tr r="F1350" s="2"/>
      </tp>
      <tp t="s">
        <v>#N/A N/A</v>
        <stp/>
        <stp>BDP|17900310588403962378</stp>
        <tr r="M429" s="2"/>
      </tp>
      <tp t="s">
        <v>#N/A N/A</v>
        <stp/>
        <stp>BDP|10378219101036918845</stp>
        <tr r="M1348" s="2"/>
      </tp>
      <tp t="s">
        <v>#N/A N/A</v>
        <stp/>
        <stp>BDP|10227441833518365389</stp>
        <tr r="T24" s="2"/>
      </tp>
      <tp t="s">
        <v>#N/A N/A</v>
        <stp/>
        <stp>BDP|17054299794443035332</stp>
        <tr r="K1247" s="2"/>
      </tp>
      <tp t="s">
        <v>#N/A N/A</v>
        <stp/>
        <stp>BDP|18000369938237758377</stp>
        <tr r="D482" s="2"/>
      </tp>
      <tp t="s">
        <v>#N/A N/A</v>
        <stp/>
        <stp>BDP|18121921563589772299</stp>
        <tr r="J1420" s="2"/>
      </tp>
      <tp t="s">
        <v>#N/A N/A</v>
        <stp/>
        <stp>BDP|15522428783585346093</stp>
        <tr r="M263" s="2"/>
      </tp>
      <tp t="s">
        <v>#N/A N/A</v>
        <stp/>
        <stp>BDP|16933006394151190225</stp>
        <tr r="K929" s="2"/>
      </tp>
      <tp t="s">
        <v>#N/A N/A</v>
        <stp/>
        <stp>BDP|10583823487949983572</stp>
        <tr r="Q344" s="2"/>
      </tp>
      <tp t="s">
        <v>#N/A N/A</v>
        <stp/>
        <stp>BDP|17751307538992338927</stp>
        <tr r="J1384" s="2"/>
      </tp>
      <tp t="s">
        <v>#N/A N/A</v>
        <stp/>
        <stp>BDP|18405760679654282071</stp>
        <tr r="K641" s="2"/>
      </tp>
      <tp t="s">
        <v>#N/A N/A</v>
        <stp/>
        <stp>BDS|13798823821551152485</stp>
        <tr r="I445" s="2"/>
      </tp>
      <tp t="s">
        <v>#N/A N/A</v>
        <stp/>
        <stp>BDP|13538939136381867460</stp>
        <tr r="C1324" s="2"/>
      </tp>
      <tp t="s">
        <v>#N/A N/A</v>
        <stp/>
        <stp>BDP|12648782185870078157</stp>
        <tr r="P967" s="2"/>
      </tp>
      <tp t="s">
        <v>#N/A N/A</v>
        <stp/>
        <stp>BDP|10414689197035114647</stp>
        <tr r="K1750" s="2"/>
      </tp>
      <tp t="s">
        <v>#N/A N/A</v>
        <stp/>
        <stp>BDP|17731727735877613883</stp>
        <tr r="Q155" s="2"/>
      </tp>
      <tp t="s">
        <v>#N/A N/A</v>
        <stp/>
        <stp>BDS|12184794026788338305</stp>
        <tr r="I194" s="2"/>
      </tp>
      <tp t="s">
        <v>#N/A N/A</v>
        <stp/>
        <stp>BDP|12299594796875118729</stp>
        <tr r="M175" s="2"/>
      </tp>
      <tp t="s">
        <v>#N/A N/A</v>
        <stp/>
        <stp>BDP|13016898757553414141</stp>
        <tr r="M826" s="2"/>
      </tp>
      <tp t="s">
        <v>#N/A N/A</v>
        <stp/>
        <stp>BDP|10559142456480188888</stp>
        <tr r="N1670" s="2"/>
      </tp>
      <tp t="s">
        <v>#N/A N/A</v>
        <stp/>
        <stp>BDP|13995294564368897324</stp>
        <tr r="J1587" s="2"/>
      </tp>
      <tp t="s">
        <v>#N/A N/A</v>
        <stp/>
        <stp>BDP|16334235197732976305</stp>
        <tr r="E1478" s="2"/>
      </tp>
      <tp t="s">
        <v>#N/A N/A</v>
        <stp/>
        <stp>BDP|10279896614400903587</stp>
        <tr r="Q1710" s="2"/>
      </tp>
      <tp t="s">
        <v>#N/A N/A</v>
        <stp/>
        <stp>BDP|15028477919625227923</stp>
        <tr r="P1194" s="2"/>
      </tp>
      <tp t="s">
        <v>#N/A N/A</v>
        <stp/>
        <stp>BDP|12648683961438772666</stp>
        <tr r="F1739" s="2"/>
      </tp>
      <tp t="s">
        <v>#N/A N/A</v>
        <stp/>
        <stp>BDP|11959279889357197084</stp>
        <tr r="T1321" s="2"/>
      </tp>
      <tp t="s">
        <v>#N/A N/A</v>
        <stp/>
        <stp>BDP|17379389654524522949</stp>
        <tr r="H1471" s="2"/>
      </tp>
      <tp t="s">
        <v>#N/A N/A</v>
        <stp/>
        <stp>BDP|13196168684772909446</stp>
        <tr r="H1729" s="2"/>
      </tp>
      <tp t="s">
        <v>#N/A N/A</v>
        <stp/>
        <stp>BDP|15367074967018820757</stp>
        <tr r="H559" s="2"/>
      </tp>
      <tp t="s">
        <v>#N/A N/A</v>
        <stp/>
        <stp>BDP|12663194787776464124</stp>
        <tr r="D1356" s="2"/>
      </tp>
      <tp t="s">
        <v>#N/A N/A</v>
        <stp/>
        <stp>BDP|14685881639523097092</stp>
        <tr r="K1433" s="2"/>
      </tp>
      <tp t="s">
        <v>#N/A N/A</v>
        <stp/>
        <stp>BDP|17604114840346898819</stp>
        <tr r="P1076" s="2"/>
      </tp>
      <tp t="s">
        <v>#N/A N/A</v>
        <stp/>
        <stp>BDP|17639294587107251645</stp>
        <tr r="O117" s="2"/>
      </tp>
      <tp t="s">
        <v>#N/A N/A</v>
        <stp/>
        <stp>BDP|17487358548989162569</stp>
        <tr r="Q1732" s="2"/>
      </tp>
      <tp t="s">
        <v>#N/A N/A</v>
        <stp/>
        <stp>BDP|12973909510625662318</stp>
        <tr r="K498" s="2"/>
      </tp>
      <tp t="s">
        <v>#N/A N/A</v>
        <stp/>
        <stp>BDP|11539543185707368797</stp>
        <tr r="T1718" s="2"/>
      </tp>
      <tp t="s">
        <v>#N/A N/A</v>
        <stp/>
        <stp>BDS|12829218549838822055</stp>
        <tr r="I1014" s="2"/>
      </tp>
      <tp t="s">
        <v>#N/A N/A</v>
        <stp/>
        <stp>BDP|17283597368508895056</stp>
        <tr r="O311" s="2"/>
      </tp>
      <tp t="s">
        <v>#N/A N/A</v>
        <stp/>
        <stp>BDP|12158157069180700946</stp>
        <tr r="M1009" s="2"/>
      </tp>
      <tp t="s">
        <v>#N/A N/A</v>
        <stp/>
        <stp>BDS|13903151766410457835</stp>
        <tr r="I1088" s="2"/>
      </tp>
      <tp t="s">
        <v>#N/A N/A</v>
        <stp/>
        <stp>BDP|11288752154877416868</stp>
        <tr r="G1643" s="2"/>
      </tp>
      <tp t="s">
        <v>#N/A N/A</v>
        <stp/>
        <stp>BDP|16913779886510142582</stp>
        <tr r="M398" s="2"/>
      </tp>
      <tp t="s">
        <v>#N/A N/A</v>
        <stp/>
        <stp>BDP|11099945167546368414</stp>
        <tr r="C1113" s="2"/>
      </tp>
      <tp t="s">
        <v>#N/A N/A</v>
        <stp/>
        <stp>BDP|12984919668015995483</stp>
        <tr r="D1473" s="2"/>
      </tp>
      <tp t="s">
        <v>#N/A N/A</v>
        <stp/>
        <stp>BDP|15886665989184036364</stp>
        <tr r="J13" s="2"/>
      </tp>
      <tp t="s">
        <v>#N/A N/A</v>
        <stp/>
        <stp>BDS|13815857476694939408</stp>
        <tr r="I385" s="2"/>
      </tp>
      <tp t="s">
        <v>#N/A N/A</v>
        <stp/>
        <stp>BDP|15926407766873968871</stp>
        <tr r="S669" s="2"/>
      </tp>
      <tp t="s">
        <v>#N/A N/A</v>
        <stp/>
        <stp>BDP|12484957794299612726</stp>
        <tr r="P56" s="2"/>
      </tp>
      <tp t="s">
        <v>#N/A N/A</v>
        <stp/>
        <stp>BDP|13469472793835378721</stp>
        <tr r="M1553" s="2"/>
      </tp>
      <tp t="s">
        <v>#N/A N/A</v>
        <stp/>
        <stp>BDP|16000116747206564928</stp>
        <tr r="G374" s="2"/>
      </tp>
      <tp t="s">
        <v>#N/A N/A</v>
        <stp/>
        <stp>BDP|16280420376798176160</stp>
        <tr r="D191" s="2"/>
      </tp>
      <tp t="s">
        <v>#N/A N/A</v>
        <stp/>
        <stp>BDP|12329333301464353938</stp>
        <tr r="M231" s="2"/>
      </tp>
      <tp t="s">
        <v>#N/A N/A</v>
        <stp/>
        <stp>BDP|13963232521329881627</stp>
        <tr r="Q972" s="2"/>
      </tp>
      <tp t="s">
        <v>#N/A N/A</v>
        <stp/>
        <stp>BDP|12447322272609496311</stp>
        <tr r="S594" s="2"/>
      </tp>
      <tp t="s">
        <v>#N/A N/A</v>
        <stp/>
        <stp>BDP|16596814318815492693</stp>
        <tr r="D230" s="2"/>
      </tp>
      <tp t="s">
        <v>#N/A N/A</v>
        <stp/>
        <stp>BDP|18128439803499738973</stp>
        <tr r="R1144" s="2"/>
      </tp>
      <tp t="s">
        <v>#N/A N/A</v>
        <stp/>
        <stp>BDP|11355706917783188842</stp>
        <tr r="D825" s="2"/>
      </tp>
      <tp t="s">
        <v>#N/A N/A</v>
        <stp/>
        <stp>BDP|16129996003205284683</stp>
        <tr r="P799" s="2"/>
      </tp>
      <tp t="s">
        <v>#N/A N/A</v>
        <stp/>
        <stp>BDP|17454058539391815912</stp>
        <tr r="T143" s="2"/>
      </tp>
      <tp t="s">
        <v>#N/A N/A</v>
        <stp/>
        <stp>BDP|15498538524909658740</stp>
        <tr r="J1142" s="2"/>
      </tp>
      <tp t="s">
        <v>#N/A N/A</v>
        <stp/>
        <stp>BDP|10364400083928642876</stp>
        <tr r="D1517" s="2"/>
      </tp>
      <tp t="s">
        <v>#N/A N/A</v>
        <stp/>
        <stp>BDP|13492952783667135923</stp>
        <tr r="J1481" s="2"/>
      </tp>
      <tp t="s">
        <v>#N/A N/A</v>
        <stp/>
        <stp>BDP|13076161225419170539</stp>
        <tr r="Q1263" s="2"/>
      </tp>
      <tp t="s">
        <v>#N/A N/A</v>
        <stp/>
        <stp>BDP|10113157267072092923</stp>
        <tr r="O1386" s="2"/>
      </tp>
      <tp t="s">
        <v>#N/A N/A</v>
        <stp/>
        <stp>BDP|12659739744294001902</stp>
        <tr r="C1545" s="2"/>
      </tp>
      <tp t="s">
        <v>#N/A N/A</v>
        <stp/>
        <stp>BDP|16266602164802344844</stp>
        <tr r="R265" s="2"/>
      </tp>
      <tp t="s">
        <v>#N/A N/A</v>
        <stp/>
        <stp>BDP|15960755028514143841</stp>
        <tr r="N875" s="2"/>
      </tp>
      <tp t="s">
        <v>#N/A N/A</v>
        <stp/>
        <stp>BDP|16150421954739708210</stp>
        <tr r="O1596" s="2"/>
      </tp>
      <tp t="s">
        <v>#N/A N/A</v>
        <stp/>
        <stp>BDP|10575855960227762564</stp>
        <tr r="O733" s="2"/>
      </tp>
      <tp t="s">
        <v>#N/A N/A</v>
        <stp/>
        <stp>BDP|17839513710277125892</stp>
        <tr r="D1299" s="2"/>
      </tp>
      <tp t="s">
        <v>#N/A N/A</v>
        <stp/>
        <stp>BDP|15335237985607653425</stp>
        <tr r="P1469" s="2"/>
      </tp>
      <tp t="s">
        <v>#N/A N/A</v>
        <stp/>
        <stp>BDP|12695512982911237263</stp>
        <tr r="C726" s="2"/>
      </tp>
      <tp t="s">
        <v>#N/A N/A</v>
        <stp/>
        <stp>BDP|16672836502682048061</stp>
        <tr r="H620" s="2"/>
      </tp>
      <tp t="s">
        <v>#N/A N/A</v>
        <stp/>
        <stp>BDP|17137777713725342875</stp>
        <tr r="M892" s="2"/>
      </tp>
      <tp t="s">
        <v>#N/A N/A</v>
        <stp/>
        <stp>BDP|15523001393256357646</stp>
        <tr r="R975" s="2"/>
      </tp>
      <tp t="s">
        <v>#N/A N/A</v>
        <stp/>
        <stp>BDS|16779802836844367509</stp>
        <tr r="I1599" s="2"/>
      </tp>
      <tp t="s">
        <v>#N/A N/A</v>
        <stp/>
        <stp>BDP|10518862388458243482</stp>
        <tr r="E793" s="2"/>
      </tp>
      <tp t="s">
        <v>#N/A N/A</v>
        <stp/>
        <stp>BDP|16766364242274027923</stp>
        <tr r="O684" s="2"/>
      </tp>
      <tp t="s">
        <v>#N/A N/A</v>
        <stp/>
        <stp>BDP|17756122430789239062</stp>
        <tr r="R213" s="2"/>
      </tp>
      <tp t="s">
        <v>#N/A N/A</v>
        <stp/>
        <stp>BDS|11374674835289757145</stp>
        <tr r="I18" s="2"/>
      </tp>
      <tp t="s">
        <v>#N/A N/A</v>
        <stp/>
        <stp>BDP|13083341599907424283</stp>
        <tr r="S1070" s="2"/>
      </tp>
      <tp t="s">
        <v>#N/A N/A</v>
        <stp/>
        <stp>BDP|15201466164023820895</stp>
        <tr r="F695" s="2"/>
      </tp>
      <tp t="s">
        <v>#N/A N/A</v>
        <stp/>
        <stp>BDP|16093006144907160941</stp>
        <tr r="F1318" s="2"/>
      </tp>
      <tp t="s">
        <v>#N/A N/A</v>
        <stp/>
        <stp>BDP|10966903030183871503</stp>
        <tr r="P1079" s="2"/>
      </tp>
      <tp t="s">
        <v>#N/A N/A</v>
        <stp/>
        <stp>BDP|14222304594504149667</stp>
        <tr r="J1596" s="2"/>
      </tp>
      <tp t="s">
        <v>#N/A N/A</v>
        <stp/>
        <stp>BDP|13974384490970892583</stp>
        <tr r="M207" s="2"/>
      </tp>
      <tp t="s">
        <v>#N/A N/A</v>
        <stp/>
        <stp>BDP|12203908373282694264</stp>
        <tr r="J363" s="2"/>
      </tp>
      <tp t="s">
        <v>#N/A N/A</v>
        <stp/>
        <stp>BDP|13716408817172695876</stp>
        <tr r="T234" s="2"/>
      </tp>
      <tp t="s">
        <v>#N/A N/A</v>
        <stp/>
        <stp>BDP|15002024593373572357</stp>
        <tr r="C1613" s="2"/>
      </tp>
      <tp t="s">
        <v>#N/A N/A</v>
        <stp/>
        <stp>BDP|16430338454508786451</stp>
        <tr r="F1745" s="2"/>
      </tp>
      <tp t="s">
        <v>#N/A N/A</v>
        <stp/>
        <stp>BDP|17258240506520602976</stp>
        <tr r="O279" s="2"/>
      </tp>
      <tp t="s">
        <v>#N/A N/A</v>
        <stp/>
        <stp>BDP|15258521952788653150</stp>
        <tr r="J878" s="2"/>
      </tp>
      <tp t="s">
        <v>#N/A N/A</v>
        <stp/>
        <stp>BDP|17620536385436020014</stp>
        <tr r="D577" s="2"/>
      </tp>
      <tp t="s">
        <v>#N/A N/A</v>
        <stp/>
        <stp>BDP|12565236776478518340</stp>
        <tr r="F1206" s="2"/>
      </tp>
      <tp t="s">
        <v>#N/A N/A</v>
        <stp/>
        <stp>BDP|13333706882644400446</stp>
        <tr r="P520" s="2"/>
      </tp>
      <tp t="s">
        <v>#N/A N/A</v>
        <stp/>
        <stp>BDP|17661980571160939571</stp>
        <tr r="O1685" s="2"/>
      </tp>
      <tp t="s">
        <v>#N/A N/A</v>
        <stp/>
        <stp>BDP|17854948524574894414</stp>
        <tr r="K643" s="2"/>
      </tp>
      <tp t="s">
        <v>#N/A N/A</v>
        <stp/>
        <stp>BDP|12216464896672545163</stp>
        <tr r="Q791" s="2"/>
      </tp>
      <tp t="s">
        <v>#N/A N/A</v>
        <stp/>
        <stp>BDP|18161006066680151277</stp>
        <tr r="T1080" s="2"/>
      </tp>
      <tp t="s">
        <v>#N/A N/A</v>
        <stp/>
        <stp>BDP|14926036695280943176</stp>
        <tr r="D743" s="2"/>
      </tp>
      <tp t="s">
        <v>#N/A N/A</v>
        <stp/>
        <stp>BDP|11233977331524638336</stp>
        <tr r="S267" s="2"/>
      </tp>
      <tp t="s">
        <v>#N/A N/A</v>
        <stp/>
        <stp>BDP|16602737409909891453</stp>
        <tr r="M342" s="2"/>
      </tp>
      <tp t="s">
        <v>#N/A N/A</v>
        <stp/>
        <stp>BDP|17126002512462393819</stp>
        <tr r="A1424" s="2"/>
      </tp>
      <tp t="s">
        <v>#N/A N/A</v>
        <stp/>
        <stp>BDP|15838356780955967741</stp>
        <tr r="N1284" s="2"/>
      </tp>
      <tp t="s">
        <v>#N/A N/A</v>
        <stp/>
        <stp>BDP|15254908376131121654</stp>
        <tr r="K1702" s="2"/>
      </tp>
      <tp t="s">
        <v>#N/A N/A</v>
        <stp/>
        <stp>BDP|12665259769258327295</stp>
        <tr r="G770" s="2"/>
      </tp>
      <tp t="s">
        <v>#N/A N/A</v>
        <stp/>
        <stp>BDP|15429117792749237858</stp>
        <tr r="Q1129" s="2"/>
      </tp>
      <tp t="s">
        <v>#N/A N/A</v>
        <stp/>
        <stp>BDP|11050219904697004853</stp>
        <tr r="N217" s="2"/>
      </tp>
      <tp t="s">
        <v>#N/A N/A</v>
        <stp/>
        <stp>BDP|12615250100964195828</stp>
        <tr r="E1430" s="2"/>
      </tp>
      <tp t="s">
        <v>#N/A N/A</v>
        <stp/>
        <stp>BDP|15637650081887559077</stp>
        <tr r="N1038" s="2"/>
      </tp>
      <tp t="s">
        <v>#N/A N/A</v>
        <stp/>
        <stp>BDP|14749963293360380814</stp>
        <tr r="H1040" s="2"/>
      </tp>
      <tp t="s">
        <v>#N/A N/A</v>
        <stp/>
        <stp>BDP|17650912224065168529</stp>
        <tr r="K627" s="2"/>
      </tp>
      <tp t="s">
        <v>#N/A N/A</v>
        <stp/>
        <stp>BDP|10270762790263379178</stp>
        <tr r="Q1208" s="2"/>
      </tp>
      <tp t="s">
        <v>#N/A N/A</v>
        <stp/>
        <stp>BDP|13063532294093293055</stp>
        <tr r="G434" s="2"/>
      </tp>
      <tp t="s">
        <v>#N/A N/A</v>
        <stp/>
        <stp>BDP|11490926254649253804</stp>
        <tr r="J476" s="2"/>
      </tp>
      <tp t="s">
        <v>#N/A N/A</v>
        <stp/>
        <stp>BDP|15417781379319096052</stp>
        <tr r="Q323" s="2"/>
      </tp>
      <tp t="s">
        <v>#N/A N/A</v>
        <stp/>
        <stp>BDP|16632338468758968745</stp>
        <tr r="A1106" s="2"/>
      </tp>
      <tp t="s">
        <v>#N/A N/A</v>
        <stp/>
        <stp>BDP|11319062143199386055</stp>
        <tr r="E1110" s="2"/>
      </tp>
      <tp t="s">
        <v>#N/A N/A</v>
        <stp/>
        <stp>BDP|10546415926218396214</stp>
        <tr r="Q645" s="2"/>
      </tp>
      <tp t="s">
        <v>#N/A N/A</v>
        <stp/>
        <stp>BDP|12558857413965110224</stp>
        <tr r="H880" s="2"/>
      </tp>
      <tp t="s">
        <v>#N/A N/A</v>
        <stp/>
        <stp>BDP|11540695989047369469</stp>
        <tr r="Q1660" s="2"/>
      </tp>
      <tp t="s">
        <v>#N/A N/A</v>
        <stp/>
        <stp>BDP|15559416384906449340</stp>
        <tr r="P953" s="2"/>
      </tp>
      <tp t="s">
        <v>#N/A N/A</v>
        <stp/>
        <stp>BDP|14940089685084677427</stp>
        <tr r="H1671" s="2"/>
      </tp>
      <tp t="s">
        <v>#N/A N/A</v>
        <stp/>
        <stp>BDP|18133756630972625223</stp>
        <tr r="H829" s="2"/>
      </tp>
      <tp t="s">
        <v>#N/A N/A</v>
        <stp/>
        <stp>BDP|16539739809065861871</stp>
        <tr r="J889" s="2"/>
      </tp>
      <tp t="s">
        <v>#N/A N/A</v>
        <stp/>
        <stp>BDP|12032331298187369388</stp>
        <tr r="M440" s="2"/>
      </tp>
      <tp t="s">
        <v>#N/A N/A</v>
        <stp/>
        <stp>BDP|13166769484261615151</stp>
        <tr r="G585" s="2"/>
      </tp>
      <tp t="s">
        <v>#N/A N/A</v>
        <stp/>
        <stp>BDP|18237371418387459199</stp>
        <tr r="S271" s="2"/>
      </tp>
      <tp t="s">
        <v>#N/A N/A</v>
        <stp/>
        <stp>BDP|17710026964548370529</stp>
        <tr r="E1298" s="2"/>
      </tp>
      <tp t="s">
        <v>#N/A N/A</v>
        <stp/>
        <stp>BDP|16126301786410394142</stp>
        <tr r="S488" s="2"/>
      </tp>
      <tp t="s">
        <v>#N/A N/A</v>
        <stp/>
        <stp>BDP|11582894148343526211</stp>
        <tr r="F1614" s="2"/>
      </tp>
      <tp t="s">
        <v>#N/A N/A</v>
        <stp/>
        <stp>BDP|11360407811579045123</stp>
        <tr r="K1261" s="2"/>
      </tp>
      <tp t="s">
        <v>#N/A N/A</v>
        <stp/>
        <stp>BDP|15802264041318734786</stp>
        <tr r="H174" s="2"/>
      </tp>
      <tp t="s">
        <v>#N/A N/A</v>
        <stp/>
        <stp>BDP|14751321483793739011</stp>
        <tr r="C533" s="2"/>
      </tp>
      <tp t="s">
        <v>#N/A N/A</v>
        <stp/>
        <stp>BDP|10757623090854072758</stp>
        <tr r="M1096" s="2"/>
      </tp>
      <tp t="s">
        <v>#N/A N/A</v>
        <stp/>
        <stp>BDP|11015036711444674845</stp>
        <tr r="Q353" s="2"/>
      </tp>
      <tp t="s">
        <v>#N/A N/A</v>
        <stp/>
        <stp>BDP|18320046647645530550</stp>
        <tr r="J1058" s="2"/>
      </tp>
      <tp t="s">
        <v>#N/A N/A</v>
        <stp/>
        <stp>BDP|13621654992255801594</stp>
        <tr r="K1405" s="2"/>
      </tp>
      <tp t="s">
        <v>#N/A N/A</v>
        <stp/>
        <stp>BDP|13282767154795993891</stp>
        <tr r="H1181" s="2"/>
      </tp>
      <tp t="s">
        <v>#N/A N/A</v>
        <stp/>
        <stp>BDP|11826004086427611283</stp>
        <tr r="R985" s="2"/>
      </tp>
      <tp t="s">
        <v>#N/A N/A</v>
        <stp/>
        <stp>BDP|11049277742222008951</stp>
        <tr r="T789" s="2"/>
      </tp>
      <tp t="s">
        <v>#N/A N/A</v>
        <stp/>
        <stp>BDP|14502226163508642427</stp>
        <tr r="J33" s="2"/>
      </tp>
      <tp t="s">
        <v>#N/A N/A</v>
        <stp/>
        <stp>BDP|16427306690200677026</stp>
        <tr r="S421" s="2"/>
      </tp>
      <tp t="s">
        <v>#N/A N/A</v>
        <stp/>
        <stp>BDP|17924674193177532383</stp>
        <tr r="J447" s="2"/>
      </tp>
      <tp t="s">
        <v>#N/A N/A</v>
        <stp/>
        <stp>BDP|12609801360278725817</stp>
        <tr r="F1533" s="2"/>
      </tp>
      <tp t="s">
        <v>#N/A N/A</v>
        <stp/>
        <stp>BDP|12773374086705139071</stp>
        <tr r="D435" s="2"/>
      </tp>
      <tp t="s">
        <v>#N/A N/A</v>
        <stp/>
        <stp>BDP|10537613339750476996</stp>
        <tr r="O837" s="2"/>
      </tp>
      <tp t="s">
        <v>#N/A N/A</v>
        <stp/>
        <stp>BDP|12562767578796919821</stp>
        <tr r="M310" s="2"/>
      </tp>
      <tp t="s">
        <v>#N/A N/A</v>
        <stp/>
        <stp>BDP|15013165159199818472</stp>
        <tr r="P40" s="2"/>
      </tp>
      <tp t="s">
        <v>#N/A N/A</v>
        <stp/>
        <stp>BDS|16855070949869187740</stp>
        <tr r="I1212" s="2"/>
      </tp>
      <tp t="s">
        <v>#N/A N/A</v>
        <stp/>
        <stp>BDP|11943697041057438855</stp>
        <tr r="E991" s="2"/>
      </tp>
      <tp t="s">
        <v>#N/A N/A</v>
        <stp/>
        <stp>BDP|18130192039575969387</stp>
        <tr r="Q326" s="2"/>
      </tp>
      <tp t="s">
        <v>#N/A N/A</v>
        <stp/>
        <stp>BDP|12141904064811784025</stp>
        <tr r="M1278" s="2"/>
      </tp>
      <tp t="s">
        <v>#N/A N/A</v>
        <stp/>
        <stp>BDP|15000212710769055315</stp>
        <tr r="O1296" s="2"/>
      </tp>
      <tp t="s">
        <v>#N/A N/A</v>
        <stp/>
        <stp>BDP|10358363927108071525</stp>
        <tr r="E640" s="2"/>
      </tp>
      <tp t="s">
        <v>#N/A N/A</v>
        <stp/>
        <stp>BDP|18403825694822585770</stp>
        <tr r="H766" s="2"/>
      </tp>
      <tp t="s">
        <v>#N/A N/A</v>
        <stp/>
        <stp>BDS|15584135487839627943</stp>
        <tr r="I1404" s="2"/>
      </tp>
      <tp t="s">
        <v>#N/A N/A</v>
        <stp/>
        <stp>BDS|16445965211924152619</stp>
        <tr r="I687" s="2"/>
      </tp>
      <tp t="s">
        <v>#N/A N/A</v>
        <stp/>
        <stp>BDP|10504228794741126629</stp>
        <tr r="H1105" s="2"/>
      </tp>
      <tp t="s">
        <v>#N/A N/A</v>
        <stp/>
        <stp>BDP|14299651388947532199</stp>
        <tr r="F885" s="2"/>
      </tp>
      <tp t="s">
        <v>#N/A N/A</v>
        <stp/>
        <stp>BDP|15994444600719768497</stp>
        <tr r="H1459" s="2"/>
      </tp>
      <tp t="s">
        <v>#N/A N/A</v>
        <stp/>
        <stp>BDP|18255592157576709289</stp>
        <tr r="C34" s="2"/>
      </tp>
      <tp t="s">
        <v>#N/A N/A</v>
        <stp/>
        <stp>BDS|10811286493436491171</stp>
        <tr r="I405" s="2"/>
      </tp>
      <tp t="s">
        <v>#N/A N/A</v>
        <stp/>
        <stp>BDP|14381800042423301717</stp>
        <tr r="M572" s="2"/>
      </tp>
      <tp t="s">
        <v>#N/A N/A</v>
        <stp/>
        <stp>BDP|14394269931059130069</stp>
        <tr r="C993" s="2"/>
      </tp>
      <tp t="s">
        <v>#N/A N/A</v>
        <stp/>
        <stp>BDP|15740580482073676789</stp>
        <tr r="M326" s="2"/>
      </tp>
      <tp t="s">
        <v>#N/A N/A</v>
        <stp/>
        <stp>BDP|11401801408226711388</stp>
        <tr r="H896" s="2"/>
      </tp>
      <tp t="s">
        <v>#N/A N/A</v>
        <stp/>
        <stp>BDP|15898986472892494554</stp>
        <tr r="P1399" s="2"/>
      </tp>
      <tp t="s">
        <v>#N/A N/A</v>
        <stp/>
        <stp>BDP|11426378121625227934</stp>
        <tr r="N930" s="2"/>
      </tp>
      <tp t="s">
        <v>#N/A N/A</v>
        <stp/>
        <stp>BDP|14145739148508179386</stp>
        <tr r="N1450" s="2"/>
      </tp>
      <tp t="s">
        <v>#N/A N/A</v>
        <stp/>
        <stp>BDP|11931126383155259198</stp>
        <tr r="E907" s="2"/>
      </tp>
      <tp t="s">
        <v>#N/A N/A</v>
        <stp/>
        <stp>BDP|14275628249529810322</stp>
        <tr r="H551" s="2"/>
      </tp>
      <tp t="s">
        <v>#N/A N/A</v>
        <stp/>
        <stp>BDP|11950593137908366370</stp>
        <tr r="M783" s="2"/>
      </tp>
      <tp t="s">
        <v>#N/A N/A</v>
        <stp/>
        <stp>BDP|10963049135538972724</stp>
        <tr r="S1618" s="2"/>
      </tp>
      <tp t="s">
        <v>#N/A N/A</v>
        <stp/>
        <stp>BDP|16965551149878300356</stp>
        <tr r="S1600" s="2"/>
      </tp>
      <tp t="s">
        <v>#N/A N/A</v>
        <stp/>
        <stp>BDP|14692933845625507064</stp>
        <tr r="F1223" s="2"/>
      </tp>
      <tp t="s">
        <v>#N/A N/A</v>
        <stp/>
        <stp>BDP|10578880614605880021</stp>
        <tr r="P1682" s="2"/>
      </tp>
      <tp t="s">
        <v>#N/A N/A</v>
        <stp/>
        <stp>BDP|10634012593425756008</stp>
        <tr r="F639" s="2"/>
      </tp>
      <tp t="s">
        <v>#N/A N/A</v>
        <stp/>
        <stp>BDP|16343361888210792191</stp>
        <tr r="P676" s="2"/>
      </tp>
      <tp t="s">
        <v>#N/A N/A</v>
        <stp/>
        <stp>BDP|17246913901136004419</stp>
        <tr r="G1640" s="2"/>
      </tp>
      <tp t="s">
        <v>#N/A N/A</v>
        <stp/>
        <stp>BDP|15486957552242242727</stp>
        <tr r="G235" s="2"/>
      </tp>
      <tp t="s">
        <v>#N/A N/A</v>
        <stp/>
        <stp>BDP|13380876374154195428</stp>
        <tr r="P775" s="2"/>
      </tp>
      <tp t="s">
        <v>#N/A N/A</v>
        <stp/>
        <stp>BDP|15039048894271506164</stp>
        <tr r="S1749" s="2"/>
      </tp>
      <tp t="s">
        <v>#N/A N/A</v>
        <stp/>
        <stp>BDP|18170073738893921442</stp>
        <tr r="H1087" s="2"/>
      </tp>
      <tp t="s">
        <v>#N/A N/A</v>
        <stp/>
        <stp>BDP|17176484000859907637</stp>
        <tr r="S465" s="2"/>
      </tp>
      <tp t="s">
        <v>#N/A N/A</v>
        <stp/>
        <stp>BDP|15681571080992646647</stp>
        <tr r="E1749" s="2"/>
      </tp>
      <tp t="s">
        <v>#N/A N/A</v>
        <stp/>
        <stp>BDP|17634725037329678661</stp>
        <tr r="R281" s="2"/>
      </tp>
      <tp t="s">
        <v>#N/A N/A</v>
        <stp/>
        <stp>BDP|13294026907738597712</stp>
        <tr r="C605" s="2"/>
      </tp>
      <tp t="s">
        <v>#N/A N/A</v>
        <stp/>
        <stp>BDP|17479134394576015504</stp>
        <tr r="Q179" s="2"/>
      </tp>
      <tp t="s">
        <v>#N/A N/A</v>
        <stp/>
        <stp>BDP|12304011426788403435</stp>
        <tr r="Q438" s="2"/>
      </tp>
      <tp t="s">
        <v>#N/A N/A</v>
        <stp/>
        <stp>BDP|17510962713305253616</stp>
        <tr r="N805" s="2"/>
      </tp>
      <tp t="s">
        <v>#N/A N/A</v>
        <stp/>
        <stp>BDP|10134330665751577810</stp>
        <tr r="O1644" s="2"/>
      </tp>
      <tp t="s">
        <v>#N/A N/A</v>
        <stp/>
        <stp>BDP|16182828366274104071</stp>
        <tr r="S1709" s="2"/>
      </tp>
      <tp t="s">
        <v>#N/A N/A</v>
        <stp/>
        <stp>BDP|12049871671111765020</stp>
        <tr r="C701" s="2"/>
      </tp>
      <tp t="s">
        <v>#N/A N/A</v>
        <stp/>
        <stp>BDP|13066975029851893550</stp>
        <tr r="D1156" s="2"/>
      </tp>
      <tp t="s">
        <v>#N/A N/A</v>
        <stp/>
        <stp>BDP|16592065339758986101</stp>
        <tr r="T391" s="2"/>
      </tp>
      <tp t="s">
        <v>#N/A N/A</v>
        <stp/>
        <stp>BDP|14563578992136464278</stp>
        <tr r="H111" s="2"/>
      </tp>
      <tp t="s">
        <v>#N/A N/A</v>
        <stp/>
        <stp>BDP|16963209720112894826</stp>
        <tr r="M189" s="2"/>
      </tp>
      <tp t="s">
        <v>#N/A N/A</v>
        <stp/>
        <stp>BDP|14941658693306897147</stp>
        <tr r="F708" s="2"/>
      </tp>
      <tp t="s">
        <v>#N/A N/A</v>
        <stp/>
        <stp>BDP|12874442953297547892</stp>
        <tr r="N1082" s="2"/>
      </tp>
      <tp t="s">
        <v>#N/A N/A</v>
        <stp/>
        <stp>BDS|12927997971193068312</stp>
        <tr r="I639" s="2"/>
      </tp>
      <tp t="s">
        <v>#N/A N/A</v>
        <stp/>
        <stp>BDP|10230051480682055641</stp>
        <tr r="K1159" s="2"/>
      </tp>
      <tp t="s">
        <v>#N/A N/A</v>
        <stp/>
        <stp>BDP|14643925603742053343</stp>
        <tr r="N139" s="2"/>
      </tp>
      <tp t="s">
        <v>#N/A N/A</v>
        <stp/>
        <stp>BDP|12255213231229018612</stp>
        <tr r="M1218" s="2"/>
      </tp>
      <tp t="s">
        <v>#N/A N/A</v>
        <stp/>
        <stp>BDP|10037227611338468746</stp>
        <tr r="S1594" s="2"/>
      </tp>
      <tp t="s">
        <v>#N/A N/A</v>
        <stp/>
        <stp>BDP|17635363384377277753</stp>
        <tr r="D270" s="2"/>
      </tp>
      <tp t="s">
        <v>#N/A N/A</v>
        <stp/>
        <stp>BDP|17115984914041636280</stp>
        <tr r="O1248" s="2"/>
      </tp>
      <tp t="s">
        <v>#N/A N/A</v>
        <stp/>
        <stp>BDP|18346001901036264235</stp>
        <tr r="A1712" s="2"/>
      </tp>
      <tp t="s">
        <v>#N/A N/A</v>
        <stp/>
        <stp>BDP|11032644782012632132</stp>
        <tr r="R326" s="2"/>
      </tp>
      <tp t="s">
        <v>#N/A N/A</v>
        <stp/>
        <stp>BDP|13077833172351448166</stp>
        <tr r="O742" s="2"/>
      </tp>
      <tp t="s">
        <v>#N/A N/A</v>
        <stp/>
        <stp>BDP|18159434400071420156</stp>
        <tr r="N1471" s="2"/>
      </tp>
      <tp t="s">
        <v>#N/A N/A</v>
        <stp/>
        <stp>BDP|14255175091481488139</stp>
        <tr r="S1100" s="2"/>
      </tp>
      <tp t="s">
        <v>#N/A N/A</v>
        <stp/>
        <stp>BDP|15015393092716941514</stp>
        <tr r="R635" s="2"/>
      </tp>
      <tp t="s">
        <v>#N/A N/A</v>
        <stp/>
        <stp>BDP|10674303497180564677</stp>
        <tr r="C360" s="2"/>
      </tp>
      <tp t="s">
        <v>#N/A N/A</v>
        <stp/>
        <stp>BDP|11979833803686277381</stp>
        <tr r="T1588" s="2"/>
      </tp>
      <tp t="s">
        <v>#N/A N/A</v>
        <stp/>
        <stp>BDP|18375496469506264026</stp>
        <tr r="A1334" s="2"/>
      </tp>
      <tp t="s">
        <v>#N/A N/A</v>
        <stp/>
        <stp>BDP|14132473233488659705</stp>
        <tr r="S324" s="2"/>
      </tp>
      <tp t="s">
        <v>#N/A N/A</v>
        <stp/>
        <stp>BDP|12555349946709240074</stp>
        <tr r="H1268" s="2"/>
      </tp>
      <tp t="s">
        <v>#N/A N/A</v>
        <stp/>
        <stp>BDP|16248178376474430850</stp>
        <tr r="C1124" s="2"/>
      </tp>
      <tp t="s">
        <v>#N/A N/A</v>
        <stp/>
        <stp>BDP|15745270322809668060</stp>
        <tr r="H881" s="2"/>
      </tp>
      <tp t="s">
        <v>#N/A N/A</v>
        <stp/>
        <stp>BDP|12171660653928377553</stp>
        <tr r="T1127" s="2"/>
      </tp>
      <tp t="s">
        <v>#N/A N/A</v>
        <stp/>
        <stp>BDP|10278867777623073018</stp>
        <tr r="G834" s="2"/>
      </tp>
      <tp t="s">
        <v>#N/A N/A</v>
        <stp/>
        <stp>BDP|15024693792582943409</stp>
        <tr r="A131" s="2"/>
      </tp>
      <tp t="s">
        <v>#N/A N/A</v>
        <stp/>
        <stp>BDP|18143515868837944035</stp>
        <tr r="F1738" s="2"/>
      </tp>
      <tp t="s">
        <v>#N/A N/A</v>
        <stp/>
        <stp>BDP|16744394384854136593</stp>
        <tr r="F514" s="2"/>
      </tp>
      <tp t="s">
        <v>#N/A N/A</v>
        <stp/>
        <stp>BDP|18110028954251463012</stp>
        <tr r="F1046" s="2"/>
      </tp>
      <tp t="s">
        <v>#N/A N/A</v>
        <stp/>
        <stp>BDP|12628453474814453913</stp>
        <tr r="J1414" s="2"/>
      </tp>
      <tp t="s">
        <v>#N/A N/A</v>
        <stp/>
        <stp>BDP|10833280462928753070</stp>
        <tr r="N1282" s="2"/>
      </tp>
      <tp t="s">
        <v>#N/A N/A</v>
        <stp/>
        <stp>BDP|12898698206991712926</stp>
        <tr r="R814" s="2"/>
      </tp>
      <tp t="s">
        <v>#N/A N/A</v>
        <stp/>
        <stp>BDP|10178532536882526830</stp>
        <tr r="J1747" s="2"/>
      </tp>
      <tp t="s">
        <v>#N/A N/A</v>
        <stp/>
        <stp>BDP|11166325401579488740</stp>
        <tr r="C1237" s="2"/>
      </tp>
      <tp t="s">
        <v>#N/A N/A</v>
        <stp/>
        <stp>BDP|13315535227139038158</stp>
        <tr r="D1744" s="2"/>
      </tp>
      <tp t="s">
        <v>#N/A N/A</v>
        <stp/>
        <stp>BDP|16660491283893895568</stp>
        <tr r="H214" s="2"/>
      </tp>
      <tp t="s">
        <v>#N/A N/A</v>
        <stp/>
        <stp>BDP|14919997635970213250</stp>
        <tr r="S798" s="2"/>
      </tp>
      <tp t="s">
        <v>#N/A N/A</v>
        <stp/>
        <stp>BDP|16850678037726279983</stp>
        <tr r="Q1748" s="2"/>
      </tp>
      <tp t="s">
        <v>#N/A N/A</v>
        <stp/>
        <stp>BDP|15386771409056875870</stp>
        <tr r="S276" s="2"/>
      </tp>
      <tp t="s">
        <v>#N/A N/A</v>
        <stp/>
        <stp>BDP|12213899054514528782</stp>
        <tr r="G1175" s="2"/>
      </tp>
      <tp t="s">
        <v>#N/A N/A</v>
        <stp/>
        <stp>BDS|16249050395512748148</stp>
        <tr r="I723" s="2"/>
      </tp>
      <tp t="s">
        <v>#N/A N/A</v>
        <stp/>
        <stp>BDP|12249928478714925435</stp>
        <tr r="H257" s="2"/>
      </tp>
      <tp t="s">
        <v>#N/A N/A</v>
        <stp/>
        <stp>BDP|16599947165504411126</stp>
        <tr r="D88" s="2"/>
      </tp>
      <tp t="s">
        <v>#N/A N/A</v>
        <stp/>
        <stp>BDP|15530923302980749001</stp>
        <tr r="C457" s="2"/>
      </tp>
      <tp t="s">
        <v>#N/A N/A</v>
        <stp/>
        <stp>BDP|12328416595797358465</stp>
        <tr r="M1626" s="2"/>
      </tp>
      <tp t="s">
        <v>#N/A N/A</v>
        <stp/>
        <stp>BDP|14057493097996491385</stp>
        <tr r="T864" s="2"/>
      </tp>
      <tp t="s">
        <v>#N/A N/A</v>
        <stp/>
        <stp>BDP|18411591508788736907</stp>
        <tr r="T473" s="2"/>
      </tp>
      <tp t="s">
        <v>#N/A N/A</v>
        <stp/>
        <stp>BDP|14162873154365963093</stp>
        <tr r="S643" s="2"/>
      </tp>
      <tp t="s">
        <v>#N/A N/A</v>
        <stp/>
        <stp>BDP|16785379581777117624</stp>
        <tr r="T554" s="2"/>
      </tp>
      <tp t="s">
        <v>#N/A N/A</v>
        <stp/>
        <stp>BDP|10791469283658079803</stp>
        <tr r="F506" s="2"/>
      </tp>
      <tp t="s">
        <v>#N/A N/A</v>
        <stp/>
        <stp>BDP|17757006177384100832</stp>
        <tr r="S1222" s="2"/>
      </tp>
      <tp t="s">
        <v>#N/A N/A</v>
        <stp/>
        <stp>BDP|11206505297560518123</stp>
        <tr r="F192" s="2"/>
      </tp>
      <tp t="s">
        <v>#N/A N/A</v>
        <stp/>
        <stp>BDP|11682977423063854588</stp>
        <tr r="A1034" s="2"/>
      </tp>
      <tp t="s">
        <v>#N/A N/A</v>
        <stp/>
        <stp>BDP|17816344689976290657</stp>
        <tr r="G1265" s="2"/>
      </tp>
      <tp t="s">
        <v>#N/A N/A</v>
        <stp/>
        <stp>BDP|10825039029259491742</stp>
        <tr r="R472" s="2"/>
      </tp>
      <tp t="s">
        <v>#N/A N/A</v>
        <stp/>
        <stp>BDP|13702487840598420792</stp>
        <tr r="P11" s="2"/>
      </tp>
      <tp t="s">
        <v>#N/A N/A</v>
        <stp/>
        <stp>BDP|10218006374679063246</stp>
        <tr r="D283" s="2"/>
      </tp>
      <tp t="s">
        <v>#N/A N/A</v>
        <stp/>
        <stp>BDS|13393069668758805146</stp>
        <tr r="I1534" s="2"/>
      </tp>
      <tp t="s">
        <v>#N/A N/A</v>
        <stp/>
        <stp>BDP|10123384551583828920</stp>
        <tr r="D1220" s="2"/>
      </tp>
      <tp t="s">
        <v>#N/A N/A</v>
        <stp/>
        <stp>BDP|17676476195803385550</stp>
        <tr r="K1152" s="2"/>
      </tp>
      <tp t="s">
        <v>#N/A N/A</v>
        <stp/>
        <stp>BDP|11290479980759424835</stp>
        <tr r="J539" s="2"/>
      </tp>
      <tp t="s">
        <v>#N/A N/A</v>
        <stp/>
        <stp>BDP|10998186154041387947</stp>
        <tr r="T1496" s="2"/>
      </tp>
      <tp t="s">
        <v>#N/A N/A</v>
        <stp/>
        <stp>BDP|15355297089230472357</stp>
        <tr r="A935" s="2"/>
      </tp>
      <tp t="s">
        <v>#N/A N/A</v>
        <stp/>
        <stp>BDP|16263517342403753840</stp>
        <tr r="M197" s="2"/>
      </tp>
      <tp t="s">
        <v>#N/A N/A</v>
        <stp/>
        <stp>BDP|18364750132549233940</stp>
        <tr r="F178" s="2"/>
      </tp>
      <tp t="s">
        <v>#N/A N/A</v>
        <stp/>
        <stp>BDP|13481729389291477193</stp>
        <tr r="A1591" s="2"/>
      </tp>
      <tp t="s">
        <v>#N/A N/A</v>
        <stp/>
        <stp>BDP|10515473171407375826</stp>
        <tr r="A785" s="2"/>
      </tp>
      <tp t="s">
        <v>#N/A N/A</v>
        <stp/>
        <stp>BDP|14928673839749194448</stp>
        <tr r="C1418" s="2"/>
      </tp>
      <tp t="s">
        <v>#N/A N/A</v>
        <stp/>
        <stp>BDP|14505770623064316906</stp>
        <tr r="Q1624" s="2"/>
      </tp>
      <tp t="s">
        <v>#N/A N/A</v>
        <stp/>
        <stp>BDP|10865534694998897854</stp>
        <tr r="J249" s="2"/>
      </tp>
      <tp t="s">
        <v>#N/A N/A</v>
        <stp/>
        <stp>BDP|12078108090803514570</stp>
        <tr r="N1146" s="2"/>
      </tp>
      <tp t="s">
        <v>#N/A N/A</v>
        <stp/>
        <stp>BDP|12853999466187691632</stp>
        <tr r="F1294" s="2"/>
      </tp>
      <tp t="s">
        <v>#N/A N/A</v>
        <stp/>
        <stp>BDP|15434734470701475811</stp>
        <tr r="O1308" s="2"/>
      </tp>
      <tp t="s">
        <v>#N/A N/A</v>
        <stp/>
        <stp>BDP|16037533841938979398</stp>
        <tr r="H1725" s="2"/>
      </tp>
      <tp t="s">
        <v>#N/A N/A</v>
        <stp/>
        <stp>BDS|11045555157688757547</stp>
        <tr r="I1201" s="2"/>
      </tp>
      <tp t="s">
        <v>#N/A N/A</v>
        <stp/>
        <stp>BDP|10804991163474858785</stp>
        <tr r="P226" s="2"/>
      </tp>
      <tp t="s">
        <v>#N/A N/A</v>
        <stp/>
        <stp>BDP|10277725069339270493</stp>
        <tr r="F1009" s="2"/>
      </tp>
      <tp t="s">
        <v>#N/A N/A</v>
        <stp/>
        <stp>BDP|14514256886171739330</stp>
        <tr r="N712" s="2"/>
      </tp>
      <tp t="s">
        <v>#N/A N/A</v>
        <stp/>
        <stp>BDP|10873388920825235800</stp>
        <tr r="E502" s="2"/>
      </tp>
      <tp t="s">
        <v>#N/A N/A</v>
        <stp/>
        <stp>BDP|10499189983906949349</stp>
        <tr r="J1559" s="2"/>
      </tp>
      <tp t="s">
        <v>#N/A N/A</v>
        <stp/>
        <stp>BDP|18294896689014980093</stp>
        <tr r="G1219" s="2"/>
      </tp>
      <tp t="s">
        <v>#N/A N/A</v>
        <stp/>
        <stp>BDP|13056175515096668962</stp>
        <tr r="Q894" s="2"/>
      </tp>
      <tp t="s">
        <v>#N/A N/A</v>
        <stp/>
        <stp>BDP|17533068017638778261</stp>
        <tr r="A1111" s="2"/>
      </tp>
      <tp t="s">
        <v>#N/A N/A</v>
        <stp/>
        <stp>BDP|12012004776898528164</stp>
        <tr r="C1311" s="2"/>
      </tp>
      <tp t="s">
        <v>#N/A N/A</v>
        <stp/>
        <stp>BDP|13920545819358776369</stp>
        <tr r="D1478" s="2"/>
      </tp>
      <tp t="s">
        <v>#N/A N/A</v>
        <stp/>
        <stp>BDP|14385388284037232489</stp>
        <tr r="O448" s="2"/>
      </tp>
      <tp t="s">
        <v>#N/A N/A</v>
        <stp/>
        <stp>BDP|13693029971701485946</stp>
        <tr r="C112" s="2"/>
      </tp>
      <tp t="s">
        <v>#N/A N/A</v>
        <stp/>
        <stp>BDP|10672834279877030491</stp>
        <tr r="T1219" s="2"/>
      </tp>
      <tp t="s">
        <v>#N/A N/A</v>
        <stp/>
        <stp>BDP|12900623538743690804</stp>
        <tr r="F900" s="2"/>
      </tp>
      <tp t="s">
        <v>#N/A N/A</v>
        <stp/>
        <stp>BDP|17573374005248405068</stp>
        <tr r="S433" s="2"/>
      </tp>
      <tp t="s">
        <v>#N/A N/A</v>
        <stp/>
        <stp>BDP|18271902330549799701</stp>
        <tr r="F870" s="2"/>
      </tp>
      <tp t="s">
        <v>#N/A N/A</v>
        <stp/>
        <stp>BDP|10497373113176363865</stp>
        <tr r="J1231" s="2"/>
      </tp>
      <tp t="s">
        <v>#N/A N/A</v>
        <stp/>
        <stp>BDP|14486345134229409150</stp>
        <tr r="P38" s="2"/>
      </tp>
      <tp t="s">
        <v>#N/A N/A</v>
        <stp/>
        <stp>BDP|17558948176655510075</stp>
        <tr r="O1522" s="2"/>
      </tp>
      <tp t="s">
        <v>#N/A N/A</v>
        <stp/>
        <stp>BDP|10586016395687704236</stp>
        <tr r="D1729" s="2"/>
      </tp>
      <tp t="s">
        <v>#N/A N/A</v>
        <stp/>
        <stp>BDP|16899296688537815745</stp>
        <tr r="F1281" s="2"/>
      </tp>
      <tp t="s">
        <v>#N/A N/A</v>
        <stp/>
        <stp>BDP|10897394115347465956</stp>
        <tr r="E106" s="2"/>
      </tp>
      <tp t="s">
        <v>#N/A N/A</v>
        <stp/>
        <stp>BDP|11974995847003362319</stp>
        <tr r="C1253" s="2"/>
      </tp>
      <tp t="s">
        <v>#N/A N/A</v>
        <stp/>
        <stp>BDP|16791080878424695949</stp>
        <tr r="R1216" s="2"/>
      </tp>
      <tp t="s">
        <v>#N/A N/A</v>
        <stp/>
        <stp>BDP|18060361670994504463</stp>
        <tr r="C1422" s="2"/>
      </tp>
      <tp t="s">
        <v>#N/A N/A</v>
        <stp/>
        <stp>BDP|10399799573745982952</stp>
        <tr r="O585" s="2"/>
      </tp>
      <tp t="s">
        <v>#N/A N/A</v>
        <stp/>
        <stp>BDP|18200817894292595771</stp>
        <tr r="S1290" s="2"/>
      </tp>
      <tp t="s">
        <v>#N/A N/A</v>
        <stp/>
        <stp>BDP|12487815763228445876</stp>
        <tr r="Q1349" s="2"/>
      </tp>
      <tp t="s">
        <v>#N/A N/A</v>
        <stp/>
        <stp>BDP|12958348895754824054</stp>
        <tr r="H1329" s="2"/>
      </tp>
      <tp t="s">
        <v>#N/A N/A</v>
        <stp/>
        <stp>BDP|11910828966797840406</stp>
        <tr r="J1325" s="2"/>
      </tp>
      <tp t="s">
        <v>#N/A N/A</v>
        <stp/>
        <stp>BDP|13005681636143345988</stp>
        <tr r="F95" s="2"/>
      </tp>
      <tp t="s">
        <v>#N/A N/A</v>
        <stp/>
        <stp>BDP|12416277957530323922</stp>
        <tr r="O987" s="2"/>
      </tp>
      <tp t="s">
        <v>#N/A N/A</v>
        <stp/>
        <stp>BDP|16513982500615879601</stp>
        <tr r="C1410" s="2"/>
      </tp>
      <tp t="s">
        <v>#N/A N/A</v>
        <stp/>
        <stp>BDP|12392102414929230702</stp>
        <tr r="H439" s="2"/>
      </tp>
      <tp t="s">
        <v>#N/A N/A</v>
        <stp/>
        <stp>BDP|17211428220438661538</stp>
        <tr r="D1451" s="2"/>
      </tp>
      <tp t="s">
        <v>#N/A N/A</v>
        <stp/>
        <stp>BDP|11076418596918360813</stp>
        <tr r="P1520" s="2"/>
      </tp>
      <tp t="s">
        <v>#N/A N/A</v>
        <stp/>
        <stp>BDP|10512500430688201225</stp>
        <tr r="E1514" s="2"/>
      </tp>
      <tp t="s">
        <v>#N/A N/A</v>
        <stp/>
        <stp>BDP|13534974937094710174</stp>
        <tr r="S1359" s="2"/>
      </tp>
      <tp t="s">
        <v>#N/A N/A</v>
        <stp/>
        <stp>BDP|10854590180901098044</stp>
        <tr r="M1200" s="2"/>
      </tp>
      <tp t="s">
        <v>#N/A N/A</v>
        <stp/>
        <stp>BDP|16601259867809705760</stp>
        <tr r="D781" s="2"/>
      </tp>
      <tp t="s">
        <v>#N/A N/A</v>
        <stp/>
        <stp>BDP|16140429354852618945</stp>
        <tr r="E1403" s="2"/>
      </tp>
      <tp t="s">
        <v>#N/A N/A</v>
        <stp/>
        <stp>BDP|10387020044738860088</stp>
        <tr r="R1691" s="2"/>
      </tp>
      <tp t="s">
        <v>#N/A N/A</v>
        <stp/>
        <stp>BDP|10648488370947209895</stp>
        <tr r="H1155" s="2"/>
      </tp>
      <tp t="s">
        <v>#N/A N/A</v>
        <stp/>
        <stp>BDP|10621785453796806807</stp>
        <tr r="S779" s="2"/>
      </tp>
      <tp t="s">
        <v>#N/A N/A</v>
        <stp/>
        <stp>BDP|17228529477829209004</stp>
        <tr r="S1724" s="2"/>
      </tp>
      <tp t="s">
        <v>#N/A N/A</v>
        <stp/>
        <stp>BDP|12320414475309745456</stp>
        <tr r="G1187" s="2"/>
      </tp>
      <tp t="s">
        <v>#N/A N/A</v>
        <stp/>
        <stp>BDS|17724775386461712575</stp>
        <tr r="I340" s="2"/>
      </tp>
      <tp t="s">
        <v>#N/A N/A</v>
        <stp/>
        <stp>BDS|17876696923496639920</stp>
        <tr r="I1525" s="2"/>
      </tp>
      <tp t="s">
        <v>#N/A N/A</v>
        <stp/>
        <stp>BDP|13121040334868391475</stp>
        <tr r="N891" s="2"/>
      </tp>
      <tp t="s">
        <v>#N/A N/A</v>
        <stp/>
        <stp>BDP|14082395588960636321</stp>
        <tr r="F830" s="2"/>
      </tp>
      <tp t="s">
        <v>#N/A N/A</v>
        <stp/>
        <stp>BDP|16385509583750643734</stp>
        <tr r="K1446" s="2"/>
      </tp>
      <tp t="s">
        <v>#N/A N/A</v>
        <stp/>
        <stp>BDP|11651009599976960235</stp>
        <tr r="H5" s="2"/>
      </tp>
      <tp t="s">
        <v>#N/A N/A</v>
        <stp/>
        <stp>BDP|16509954239310928053</stp>
        <tr r="M1358" s="2"/>
      </tp>
      <tp t="s">
        <v>#N/A N/A</v>
        <stp/>
        <stp>BDS|12450785117369553183</stp>
        <tr r="I1571" s="2"/>
      </tp>
      <tp t="s">
        <v>#N/A N/A</v>
        <stp/>
        <stp>BDP|17559318826999355345</stp>
        <tr r="R407" s="2"/>
      </tp>
      <tp t="s">
        <v>#N/A N/A</v>
        <stp/>
        <stp>BDP|11102554892609673851</stp>
        <tr r="G1125" s="2"/>
      </tp>
      <tp t="s">
        <v>#N/A N/A</v>
        <stp/>
        <stp>BDP|12337856422481553540</stp>
        <tr r="K556" s="2"/>
      </tp>
      <tp t="s">
        <v>#N/A N/A</v>
        <stp/>
        <stp>BDP|17844918348994505211</stp>
        <tr r="H1565" s="2"/>
      </tp>
      <tp t="s">
        <v>#N/A N/A</v>
        <stp/>
        <stp>BDP|10309793987531001282</stp>
        <tr r="R374" s="2"/>
      </tp>
      <tp t="s">
        <v>#N/A N/A</v>
        <stp/>
        <stp>BDP|12872669928552112831</stp>
        <tr r="K628" s="2"/>
      </tp>
      <tp t="s">
        <v>#N/A N/A</v>
        <stp/>
        <stp>BDP|14132997428765598611</stp>
        <tr r="H1328" s="2"/>
      </tp>
      <tp t="s">
        <v>#N/A N/A</v>
        <stp/>
        <stp>BDP|14915754060488895101</stp>
        <tr r="D1600" s="2"/>
      </tp>
      <tp t="s">
        <v>#N/A N/A</v>
        <stp/>
        <stp>BDP|14364777719096901808</stp>
        <tr r="N536" s="2"/>
      </tp>
      <tp t="s">
        <v>#N/A N/A</v>
        <stp/>
        <stp>BDP|18300148944042627313</stp>
        <tr r="A1529" s="2"/>
      </tp>
      <tp t="s">
        <v>#N/A N/A</v>
        <stp/>
        <stp>BDP|17722825671955334134</stp>
        <tr r="P204" s="2"/>
      </tp>
      <tp t="s">
        <v>#N/A N/A</v>
        <stp/>
        <stp>BDP|18259947842539565058</stp>
        <tr r="N212" s="2"/>
      </tp>
      <tp t="s">
        <v>#N/A N/A</v>
        <stp/>
        <stp>BDP|11482322398804820329</stp>
        <tr r="K396" s="2"/>
      </tp>
      <tp t="s">
        <v>#N/A N/A</v>
        <stp/>
        <stp>BDP|11484917125973570518</stp>
        <tr r="O292" s="2"/>
      </tp>
      <tp t="s">
        <v>#N/A N/A</v>
        <stp/>
        <stp>BDP|15543851446584493161</stp>
        <tr r="T1176" s="2"/>
      </tp>
      <tp t="s">
        <v>#N/A N/A</v>
        <stp/>
        <stp>BDP|13399237084471419443</stp>
        <tr r="C115" s="2"/>
      </tp>
      <tp t="s">
        <v>#N/A N/A</v>
        <stp/>
        <stp>BDP|16656823751886591148</stp>
        <tr r="S1326" s="2"/>
      </tp>
      <tp t="s">
        <v>#N/A N/A</v>
        <stp/>
        <stp>BDP|16748340461066180973</stp>
        <tr r="O1494" s="2"/>
      </tp>
      <tp t="s">
        <v>#N/A N/A</v>
        <stp/>
        <stp>BDP|12331012495161576668</stp>
        <tr r="A1309" s="2"/>
      </tp>
      <tp t="s">
        <v>#N/A N/A</v>
        <stp/>
        <stp>BDP|15510152887697624758</stp>
        <tr r="C1526" s="2"/>
      </tp>
      <tp t="s">
        <v>#N/A N/A</v>
        <stp/>
        <stp>BDP|13562974433656692332</stp>
        <tr r="Q1619" s="2"/>
      </tp>
      <tp t="s">
        <v>#N/A N/A</v>
        <stp/>
        <stp>BDP|15107640575671705939</stp>
        <tr r="C1258" s="2"/>
      </tp>
      <tp t="s">
        <v>#N/A N/A</v>
        <stp/>
        <stp>BDP|16396105618268604291</stp>
        <tr r="S1393" s="2"/>
      </tp>
      <tp t="s">
        <v>#N/A N/A</v>
        <stp/>
        <stp>BDP|17018555137805360854</stp>
        <tr r="M1256" s="2"/>
      </tp>
      <tp t="s">
        <v>#N/A N/A</v>
        <stp/>
        <stp>BDP|16564469083596753032</stp>
        <tr r="G910" s="2"/>
      </tp>
      <tp t="s">
        <v>#N/A N/A</v>
        <stp/>
        <stp>BDP|10698153650611656914</stp>
        <tr r="P19" s="2"/>
      </tp>
      <tp t="s">
        <v>#N/A N/A</v>
        <stp/>
        <stp>BDS|10024659791746101521</stp>
        <tr r="I418" s="2"/>
      </tp>
      <tp t="s">
        <v>#N/A N/A</v>
        <stp/>
        <stp>BDP|15908224188906710500</stp>
        <tr r="K1249" s="2"/>
      </tp>
      <tp t="s">
        <v>#N/A N/A</v>
        <stp/>
        <stp>BDP|10833738356486103883</stp>
        <tr r="E1500" s="2"/>
      </tp>
      <tp t="s">
        <v>#N/A N/A</v>
        <stp/>
        <stp>BDP|14835608852483999875</stp>
        <tr r="T1192" s="2"/>
      </tp>
      <tp t="s">
        <v>#N/A N/A</v>
        <stp/>
        <stp>BDP|12058558710132088817</stp>
        <tr r="N1225" s="2"/>
      </tp>
      <tp t="s">
        <v>#N/A N/A</v>
        <stp/>
        <stp>BDP|18297513460956170167</stp>
        <tr r="T1580" s="2"/>
      </tp>
      <tp t="s">
        <v>#N/A N/A</v>
        <stp/>
        <stp>BDP|16572939235874426437</stp>
        <tr r="D630" s="2"/>
      </tp>
      <tp t="s">
        <v>#N/A N/A</v>
        <stp/>
        <stp>BDP|17607401996326066046</stp>
        <tr r="M454" s="2"/>
      </tp>
      <tp t="s">
        <v>#N/A N/A</v>
        <stp/>
        <stp>BDP|12959591975349975582</stp>
        <tr r="J1568" s="2"/>
      </tp>
      <tp t="s">
        <v>#N/A N/A</v>
        <stp/>
        <stp>BDP|12588400537349186072</stp>
        <tr r="F108" s="2"/>
      </tp>
      <tp t="s">
        <v>#N/A N/A</v>
        <stp/>
        <stp>BDP|10434815024084276270</stp>
        <tr r="Q1026" s="2"/>
      </tp>
      <tp t="s">
        <v>#N/A N/A</v>
        <stp/>
        <stp>BDP|16436210482183239310</stp>
        <tr r="J1424" s="2"/>
      </tp>
      <tp t="s">
        <v>#N/A N/A</v>
        <stp/>
        <stp>BDP|13715742596208512941</stp>
        <tr r="H740" s="2"/>
      </tp>
      <tp t="s">
        <v>#N/A N/A</v>
        <stp/>
        <stp>BDS|15333276194790127260</stp>
        <tr r="I1003" s="2"/>
      </tp>
      <tp t="s">
        <v>#N/A N/A</v>
        <stp/>
        <stp>BDP|14298998208313410233</stp>
        <tr r="C721" s="2"/>
      </tp>
      <tp t="s">
        <v>#N/A N/A</v>
        <stp/>
        <stp>BDP|15268514012534251972</stp>
        <tr r="O1071" s="2"/>
      </tp>
      <tp t="s">
        <v>#N/A N/A</v>
        <stp/>
        <stp>BDP|14440012077197218846</stp>
        <tr r="N989" s="2"/>
      </tp>
      <tp t="s">
        <v>#N/A N/A</v>
        <stp/>
        <stp>BDP|16981332128458375359</stp>
        <tr r="N519" s="2"/>
      </tp>
      <tp t="s">
        <v>#N/A N/A</v>
        <stp/>
        <stp>BDP|18434441886260101837</stp>
        <tr r="R1444" s="2"/>
      </tp>
      <tp t="s">
        <v>#N/A N/A</v>
        <stp/>
        <stp>BDP|16601011192315266632</stp>
        <tr r="H1733" s="2"/>
      </tp>
      <tp t="s">
        <v>#N/A N/A</v>
        <stp/>
        <stp>BDP|16332660493410006521</stp>
        <tr r="Q43" s="2"/>
      </tp>
      <tp t="s">
        <v>#N/A N/A</v>
        <stp/>
        <stp>BDP|10907413605550944804</stp>
        <tr r="G208" s="2"/>
      </tp>
      <tp t="s">
        <v>#N/A N/A</v>
        <stp/>
        <stp>BDP|10168686229651042947</stp>
        <tr r="F1535" s="2"/>
      </tp>
      <tp t="s">
        <v>#N/A N/A</v>
        <stp/>
        <stp>BDP|17322933227454345404</stp>
        <tr r="C1122" s="2"/>
      </tp>
      <tp t="s">
        <v>#N/A N/A</v>
        <stp/>
        <stp>BDP|15263895560081834674</stp>
        <tr r="K703" s="2"/>
      </tp>
      <tp t="s">
        <v>#N/A N/A</v>
        <stp/>
        <stp>BDP|16560588621848908512</stp>
        <tr r="K281" s="2"/>
      </tp>
      <tp t="s">
        <v>#N/A N/A</v>
        <stp/>
        <stp>BDP|17532428577989595120</stp>
        <tr r="Q56" s="2"/>
      </tp>
      <tp t="s">
        <v>#N/A N/A</v>
        <stp/>
        <stp>BDP|18296200147692313014</stp>
        <tr r="P1344" s="2"/>
      </tp>
      <tp t="s">
        <v>#N/A N/A</v>
        <stp/>
        <stp>BDP|11068879351413050314</stp>
        <tr r="G1207" s="2"/>
      </tp>
      <tp t="s">
        <v>#N/A N/A</v>
        <stp/>
        <stp>BDP|13930834842790885372</stp>
        <tr r="H1139" s="2"/>
      </tp>
      <tp t="s">
        <v>#N/A N/A</v>
        <stp/>
        <stp>BDP|12499714785606409731</stp>
        <tr r="D1306" s="2"/>
      </tp>
      <tp t="s">
        <v>#N/A N/A</v>
        <stp/>
        <stp>BDS|14193218826540668848</stp>
        <tr r="I1574" s="2"/>
      </tp>
      <tp t="s">
        <v>#N/A N/A</v>
        <stp/>
        <stp>BDP|16458559303446330962</stp>
        <tr r="D153" s="2"/>
      </tp>
      <tp t="s">
        <v>#N/A N/A</v>
        <stp/>
        <stp>BDP|10411064764578317228</stp>
        <tr r="T720" s="2"/>
      </tp>
      <tp t="s">
        <v>#N/A N/A</v>
        <stp/>
        <stp>BDP|13023569840418761661</stp>
        <tr r="J1155" s="2"/>
      </tp>
      <tp t="s">
        <v>#N/A N/A</v>
        <stp/>
        <stp>BDP|11083229687261096625</stp>
        <tr r="P1620" s="2"/>
      </tp>
      <tp t="s">
        <v>#N/A N/A</v>
        <stp/>
        <stp>BDP|17741829937514444412</stp>
        <tr r="N990" s="2"/>
      </tp>
      <tp t="s">
        <v>#N/A N/A</v>
        <stp/>
        <stp>BDP|12062462858606846918</stp>
        <tr r="S1091" s="2"/>
      </tp>
      <tp t="s">
        <v>#N/A N/A</v>
        <stp/>
        <stp>BDP|16060388830442772883</stp>
        <tr r="N515" s="2"/>
      </tp>
      <tp t="s">
        <v>#N/A N/A</v>
        <stp/>
        <stp>BDP|11270255540789634268</stp>
        <tr r="D187" s="2"/>
      </tp>
      <tp t="s">
        <v>#N/A N/A</v>
        <stp/>
        <stp>BDP|16349378943335593858</stp>
        <tr r="R1438" s="2"/>
      </tp>
      <tp t="s">
        <v>#N/A N/A</v>
        <stp/>
        <stp>BDP|15524671494284284234</stp>
        <tr r="Q48" s="2"/>
      </tp>
      <tp t="s">
        <v>#N/A N/A</v>
        <stp/>
        <stp>BDP|16095765174778539205</stp>
        <tr r="F1013" s="2"/>
      </tp>
      <tp t="s">
        <v>#N/A N/A</v>
        <stp/>
        <stp>BDP|12802866310147996003</stp>
        <tr r="O814" s="2"/>
      </tp>
      <tp t="s">
        <v>#N/A N/A</v>
        <stp/>
        <stp>BDP|11549628015812300868</stp>
        <tr r="N341" s="2"/>
      </tp>
      <tp t="s">
        <v>#N/A N/A</v>
        <stp/>
        <stp>BDP|10278404839528835349</stp>
        <tr r="R1085" s="2"/>
      </tp>
      <tp t="s">
        <v>#N/A N/A</v>
        <stp/>
        <stp>BDP|16348876142770953683</stp>
        <tr r="R1613" s="2"/>
      </tp>
      <tp t="s">
        <v>#N/A N/A</v>
        <stp/>
        <stp>BDP|12509522414508146250</stp>
        <tr r="D964" s="2"/>
      </tp>
      <tp t="s">
        <v>#N/A N/A</v>
        <stp/>
        <stp>BDS|16204163140618941792</stp>
        <tr r="I882" s="2"/>
      </tp>
      <tp t="s">
        <v>#N/A N/A</v>
        <stp/>
        <stp>BDP|12063837269502517286</stp>
        <tr r="P1028" s="2"/>
      </tp>
      <tp t="s">
        <v>#N/A N/A</v>
        <stp/>
        <stp>BDP|12253605256744123926</stp>
        <tr r="M1539" s="2"/>
      </tp>
      <tp t="s">
        <v>#N/A N/A</v>
        <stp/>
        <stp>BDP|13831743702429872110</stp>
        <tr r="J1334" s="2"/>
      </tp>
      <tp t="s">
        <v>#N/A N/A</v>
        <stp/>
        <stp>BDP|14613404128088109686</stp>
        <tr r="R581" s="2"/>
      </tp>
      <tp t="s">
        <v>#N/A N/A</v>
        <stp/>
        <stp>BDP|17913133942609745782</stp>
        <tr r="F203" s="2"/>
      </tp>
      <tp t="s">
        <v>#N/A N/A</v>
        <stp/>
        <stp>BDP|12224459296990584338</stp>
        <tr r="H222" s="2"/>
      </tp>
      <tp t="s">
        <v>#N/A N/A</v>
        <stp/>
        <stp>BDP|10427431802611459962</stp>
        <tr r="O1074" s="2"/>
      </tp>
      <tp t="s">
        <v>#N/A N/A</v>
        <stp/>
        <stp>BDP|12459955492187464905</stp>
        <tr r="H1209" s="2"/>
      </tp>
      <tp t="s">
        <v>#N/A N/A</v>
        <stp/>
        <stp>BDP|17978897916327332522</stp>
        <tr r="M1738" s="2"/>
      </tp>
      <tp t="s">
        <v>#N/A N/A</v>
        <stp/>
        <stp>BDP|11282987279605582613</stp>
        <tr r="J496" s="2"/>
      </tp>
      <tp t="s">
        <v>#N/A N/A</v>
        <stp/>
        <stp>BDP|11033643393183467146</stp>
        <tr r="H1070" s="2"/>
      </tp>
      <tp t="s">
        <v>#N/A N/A</v>
        <stp/>
        <stp>BDP|16649494758309327230</stp>
        <tr r="K645" s="2"/>
      </tp>
      <tp t="s">
        <v>#N/A N/A</v>
        <stp/>
        <stp>BDP|11515188369868256215</stp>
        <tr r="D483" s="2"/>
      </tp>
      <tp t="s">
        <v>#N/A N/A</v>
        <stp/>
        <stp>BDP|17648916530638503954</stp>
        <tr r="K1226" s="2"/>
      </tp>
      <tp t="s">
        <v>#N/A N/A</v>
        <stp/>
        <stp>BDP|16121445454132229944</stp>
        <tr r="P1731" s="2"/>
      </tp>
      <tp t="s">
        <v>#N/A N/A</v>
        <stp/>
        <stp>BDP|10302933146789716862</stp>
        <tr r="E1155" s="2"/>
      </tp>
      <tp t="s">
        <v>#N/A N/A</v>
        <stp/>
        <stp>BDP|10471384158822494875</stp>
        <tr r="P1366" s="2"/>
      </tp>
      <tp t="s">
        <v>#N/A N/A</v>
        <stp/>
        <stp>BDP|15434666284207636073</stp>
        <tr r="D1120" s="2"/>
      </tp>
      <tp t="s">
        <v>#N/A N/A</v>
        <stp/>
        <stp>BDP|17210030417699173306</stp>
        <tr r="O445" s="2"/>
      </tp>
      <tp t="s">
        <v>#N/A N/A</v>
        <stp/>
        <stp>BDP|17004146687514168653</stp>
        <tr r="O685" s="2"/>
      </tp>
      <tp t="s">
        <v>#N/A N/A</v>
        <stp/>
        <stp>BDP|10723418281017957799</stp>
        <tr r="H1227" s="2"/>
      </tp>
      <tp t="s">
        <v>#N/A N/A</v>
        <stp/>
        <stp>BDP|14460207363039146513</stp>
        <tr r="H1028" s="2"/>
      </tp>
      <tp t="s">
        <v>#N/A N/A</v>
        <stp/>
        <stp>BDP|15151822795139773167</stp>
        <tr r="H606" s="2"/>
      </tp>
      <tp t="s">
        <v>#N/A N/A</v>
        <stp/>
        <stp>BDP|10381563613549882190</stp>
        <tr r="Q1604" s="2"/>
      </tp>
      <tp t="s">
        <v>#N/A N/A</v>
        <stp/>
        <stp>BDP|11902741798551721250</stp>
        <tr r="G831" s="2"/>
      </tp>
      <tp t="s">
        <v>#N/A N/A</v>
        <stp/>
        <stp>BDP|17929005486011061284</stp>
        <tr r="G1059" s="2"/>
      </tp>
      <tp t="s">
        <v>#N/A N/A</v>
        <stp/>
        <stp>BDP|10438259266879901197</stp>
        <tr r="E234" s="2"/>
      </tp>
      <tp t="s">
        <v>#N/A N/A</v>
        <stp/>
        <stp>BDP|12595812377513437208</stp>
        <tr r="N1156" s="2"/>
      </tp>
      <tp t="s">
        <v>#N/A N/A</v>
        <stp/>
        <stp>BDP|15552944934201674240</stp>
        <tr r="N698" s="2"/>
      </tp>
      <tp t="s">
        <v>#N/A N/A</v>
        <stp/>
        <stp>BDP|15401303132119858093</stp>
        <tr r="E913" s="2"/>
      </tp>
      <tp t="s">
        <v>#N/A N/A</v>
        <stp/>
        <stp>BDP|18307110545908099904</stp>
        <tr r="F770" s="2"/>
      </tp>
      <tp t="s">
        <v>#N/A N/A</v>
        <stp/>
        <stp>BDP|16462170721538063151</stp>
        <tr r="Q1753" s="2"/>
      </tp>
      <tp t="s">
        <v>#N/A N/A</v>
        <stp/>
        <stp>BDP|17237174821440028835</stp>
        <tr r="K266" s="2"/>
      </tp>
      <tp t="s">
        <v>#N/A N/A</v>
        <stp/>
        <stp>BDP|12125575970574009816</stp>
        <tr r="S282" s="2"/>
      </tp>
      <tp t="s">
        <v>#N/A N/A</v>
        <stp/>
        <stp>BDP|16567974754993855585</stp>
        <tr r="A574" s="2"/>
      </tp>
      <tp t="s">
        <v>#N/A N/A</v>
        <stp/>
        <stp>BDP|14549144582774742528</stp>
        <tr r="Q489" s="2"/>
      </tp>
      <tp t="s">
        <v>#N/A N/A</v>
        <stp/>
        <stp>BDP|18415478323384277646</stp>
        <tr r="K1336" s="2"/>
      </tp>
      <tp t="s">
        <v>#N/A N/A</v>
        <stp/>
        <stp>BDP|15482381699652264112</stp>
        <tr r="D1619" s="2"/>
      </tp>
      <tp t="s">
        <v>#N/A N/A</v>
        <stp/>
        <stp>BDP|14280248134541573819</stp>
        <tr r="O998" s="2"/>
      </tp>
      <tp t="s">
        <v>#N/A N/A</v>
        <stp/>
        <stp>BDP|17911902969825479127</stp>
        <tr r="H91" s="2"/>
      </tp>
      <tp t="s">
        <v>#N/A N/A</v>
        <stp/>
        <stp>BDP|13751868632646181248</stp>
        <tr r="T1632" s="2"/>
      </tp>
      <tp t="s">
        <v>#N/A N/A</v>
        <stp/>
        <stp>BDP|15789141398571528084</stp>
        <tr r="C192" s="2"/>
      </tp>
      <tp t="s">
        <v>#N/A N/A</v>
        <stp/>
        <stp>BDP|11529496598200288004</stp>
        <tr r="O793" s="2"/>
      </tp>
      <tp t="s">
        <v>#N/A N/A</v>
        <stp/>
        <stp>BDP|15575024714659160149</stp>
        <tr r="O511" s="2"/>
      </tp>
      <tp t="s">
        <v>#N/A N/A</v>
        <stp/>
        <stp>BDP|11504003801828742556</stp>
        <tr r="Q1529" s="2"/>
      </tp>
      <tp t="s">
        <v>#N/A N/A</v>
        <stp/>
        <stp>BDP|13929344710898930524</stp>
        <tr r="C624" s="2"/>
      </tp>
      <tp t="s">
        <v>#N/A N/A</v>
        <stp/>
        <stp>BDP|14868707864461887824</stp>
        <tr r="O310" s="2"/>
      </tp>
      <tp t="s">
        <v>#N/A N/A</v>
        <stp/>
        <stp>BDP|12016624749664484892</stp>
        <tr r="G397" s="2"/>
      </tp>
      <tp t="s">
        <v>#N/A N/A</v>
        <stp/>
        <stp>BDP|12386042382356149025</stp>
        <tr r="D462" s="2"/>
      </tp>
      <tp t="s">
        <v>#N/A N/A</v>
        <stp/>
        <stp>BDP|11192685399545031762</stp>
        <tr r="G1452" s="2"/>
      </tp>
      <tp t="s">
        <v>#N/A N/A</v>
        <stp/>
        <stp>BDP|13587938012323293402</stp>
        <tr r="Q124" s="2"/>
      </tp>
      <tp t="s">
        <v>#N/A N/A</v>
        <stp/>
        <stp>BDP|14786150684149054804</stp>
        <tr r="G1258" s="2"/>
      </tp>
      <tp t="s">
        <v>#N/A N/A</v>
        <stp/>
        <stp>BDP|15985285188734764784</stp>
        <tr r="T990" s="2"/>
      </tp>
      <tp t="s">
        <v>#N/A N/A</v>
        <stp/>
        <stp>BDP|15118824245634591155</stp>
        <tr r="E1206" s="2"/>
      </tp>
      <tp t="s">
        <v>#N/A N/A</v>
        <stp/>
        <stp>BDP|11342717394520397330</stp>
        <tr r="N1641" s="2"/>
      </tp>
      <tp t="s">
        <v>#N/A N/A</v>
        <stp/>
        <stp>BDP|16234425458802824963</stp>
        <tr r="R1252" s="2"/>
      </tp>
      <tp t="s">
        <v>#N/A N/A</v>
        <stp/>
        <stp>BDP|13216187102388796692</stp>
        <tr r="N511" s="2"/>
      </tp>
      <tp t="s">
        <v>#N/A N/A</v>
        <stp/>
        <stp>BDP|15068307485244051638</stp>
        <tr r="M506" s="2"/>
      </tp>
      <tp t="s">
        <v>#N/A N/A</v>
        <stp/>
        <stp>BDP|14514704087975451207</stp>
        <tr r="M1421" s="2"/>
      </tp>
      <tp t="s">
        <v>#N/A N/A</v>
        <stp/>
        <stp>BDP|11442813969847910433</stp>
        <tr r="A1179" s="2"/>
      </tp>
      <tp t="s">
        <v>#N/A N/A</v>
        <stp/>
        <stp>BDP|10904695877644566948</stp>
        <tr r="R1058" s="2"/>
      </tp>
      <tp t="s">
        <v>#N/A N/A</v>
        <stp/>
        <stp>BDP|11480050097043934796</stp>
        <tr r="E1258" s="2"/>
      </tp>
      <tp t="s">
        <v>#N/A N/A</v>
        <stp/>
        <stp>BDP|10083921054728535851</stp>
        <tr r="P411" s="2"/>
      </tp>
      <tp t="s">
        <v>#N/A N/A</v>
        <stp/>
        <stp>BDP|16398011517682151927</stp>
        <tr r="R1532" s="2"/>
      </tp>
      <tp t="s">
        <v>#N/A N/A</v>
        <stp/>
        <stp>BDP|14855617697544936318</stp>
        <tr r="O77" s="2"/>
      </tp>
      <tp t="s">
        <v>#N/A N/A</v>
        <stp/>
        <stp>BDP|15592715206217433901</stp>
        <tr r="O1298" s="2"/>
      </tp>
      <tp t="s">
        <v>#N/A N/A</v>
        <stp/>
        <stp>BDP|14338152480326629763</stp>
        <tr r="G650" s="2"/>
      </tp>
      <tp t="s">
        <v>#N/A N/A</v>
        <stp/>
        <stp>BDS|14885054368897879980</stp>
        <tr r="I649" s="2"/>
      </tp>
      <tp t="s">
        <v>#N/A N/A</v>
        <stp/>
        <stp>BDP|14386096395847813614</stp>
        <tr r="A446" s="2"/>
      </tp>
      <tp t="s">
        <v>#N/A N/A</v>
        <stp/>
        <stp>BDP|18220592105754916515</stp>
        <tr r="F967" s="2"/>
      </tp>
      <tp t="s">
        <v>#N/A N/A</v>
        <stp/>
        <stp>BDP|14997535958619414109</stp>
        <tr r="J607" s="2"/>
      </tp>
      <tp t="s">
        <v>#N/A N/A</v>
        <stp/>
        <stp>BDP|11356604835638178012</stp>
        <tr r="E1019" s="2"/>
      </tp>
      <tp t="s">
        <v>#N/A N/A</v>
        <stp/>
        <stp>BDP|11569643783615318670</stp>
        <tr r="N146" s="2"/>
      </tp>
      <tp t="s">
        <v>#N/A N/A</v>
        <stp/>
        <stp>BDP|12567636181217010711</stp>
        <tr r="Q415" s="2"/>
      </tp>
      <tp t="s">
        <v>#N/A N/A</v>
        <stp/>
        <stp>BDP|13251061390300123637</stp>
        <tr r="J261" s="2"/>
      </tp>
      <tp t="s">
        <v>#N/A N/A</v>
        <stp/>
        <stp>BDP|11743893037494699298</stp>
        <tr r="D62" s="2"/>
      </tp>
      <tp t="s">
        <v>#N/A N/A</v>
        <stp/>
        <stp>BDP|14845325873134653894</stp>
        <tr r="R1367" s="2"/>
      </tp>
      <tp t="s">
        <v>#N/A N/A</v>
        <stp/>
        <stp>BDP|17038964021254045410</stp>
        <tr r="Q594" s="2"/>
      </tp>
      <tp t="s">
        <v>#N/A N/A</v>
        <stp/>
        <stp>BDP|12319780529698114357</stp>
        <tr r="N1221" s="2"/>
      </tp>
      <tp t="s">
        <v>#N/A N/A</v>
        <stp/>
        <stp>BDS|18102553211634240420</stp>
        <tr r="I1131" s="2"/>
      </tp>
      <tp t="s">
        <v>#N/A N/A</v>
        <stp/>
        <stp>BDP|10549734052238618642</stp>
        <tr r="G17" s="2"/>
      </tp>
      <tp t="s">
        <v>#N/A N/A</v>
        <stp/>
        <stp>BDP|10659765315838114229</stp>
        <tr r="P1205" s="2"/>
      </tp>
      <tp t="s">
        <v>#N/A N/A</v>
        <stp/>
        <stp>BDP|13082958113296062104</stp>
        <tr r="T513" s="2"/>
      </tp>
      <tp t="s">
        <v>#N/A N/A</v>
        <stp/>
        <stp>BDP|11627139735246582931</stp>
        <tr r="H1030" s="2"/>
      </tp>
      <tp t="s">
        <v>#N/A N/A</v>
        <stp/>
        <stp>BDP|12707175984693357416</stp>
        <tr r="H860" s="2"/>
      </tp>
      <tp t="s">
        <v>#N/A N/A</v>
        <stp/>
        <stp>BDP|16143756227968758729</stp>
        <tr r="A1012" s="2"/>
      </tp>
      <tp t="s">
        <v>#N/A N/A</v>
        <stp/>
        <stp>BDP|10878460026328904272</stp>
        <tr r="R1710" s="2"/>
      </tp>
      <tp t="s">
        <v>#N/A N/A</v>
        <stp/>
        <stp>BDP|13435929875857222676</stp>
        <tr r="Q1613" s="2"/>
      </tp>
      <tp t="s">
        <v>#N/A N/A</v>
        <stp/>
        <stp>BDP|13727382999796012300</stp>
        <tr r="A637" s="2"/>
      </tp>
      <tp t="s">
        <v>#N/A N/A</v>
        <stp/>
        <stp>BDP|15804865268755924296</stp>
        <tr r="J2" s="2"/>
      </tp>
      <tp t="s">
        <v>#N/A N/A</v>
        <stp/>
        <stp>BDP|15410300567834790826</stp>
        <tr r="O748" s="2"/>
      </tp>
      <tp t="s">
        <v>#N/A N/A</v>
        <stp/>
        <stp>BDP|12827116433309513590</stp>
        <tr r="C38" s="2"/>
      </tp>
      <tp t="s">
        <v>#N/A N/A</v>
        <stp/>
        <stp>BDP|10007254175300775916</stp>
        <tr r="K1495" s="2"/>
      </tp>
      <tp t="s">
        <v>#N/A N/A</v>
        <stp/>
        <stp>BDP|15314196837428943322</stp>
        <tr r="Q1146" s="2"/>
      </tp>
      <tp t="s">
        <v>#N/A N/A</v>
        <stp/>
        <stp>BDP|11961911859260161166</stp>
        <tr r="P1043" s="2"/>
      </tp>
      <tp t="s">
        <v>#N/A N/A</v>
        <stp/>
        <stp>BDP|18222175498715210994</stp>
        <tr r="D117" s="2"/>
      </tp>
      <tp t="s">
        <v>#N/A N/A</v>
        <stp/>
        <stp>BDP|13962041944032831970</stp>
        <tr r="T1272" s="2"/>
      </tp>
      <tp t="s">
        <v>#N/A N/A</v>
        <stp/>
        <stp>BDS|14021113643484786909</stp>
        <tr r="I1388" s="2"/>
      </tp>
      <tp t="s">
        <v>#N/A N/A</v>
        <stp/>
        <stp>BDP|17935645804325937862</stp>
        <tr r="F1133" s="2"/>
      </tp>
      <tp t="s">
        <v>#N/A N/A</v>
        <stp/>
        <stp>BDP|18044525715132348220</stp>
        <tr r="O576" s="2"/>
      </tp>
      <tp t="s">
        <v>#N/A N/A</v>
        <stp/>
        <stp>BDP|16025051133908161118</stp>
        <tr r="F86" s="2"/>
      </tp>
      <tp t="s">
        <v>#N/A N/A</v>
        <stp/>
        <stp>BDP|11342637587737670477</stp>
        <tr r="N45" s="2"/>
      </tp>
      <tp t="s">
        <v>#N/A N/A</v>
        <stp/>
        <stp>BDP|16853977314605575678</stp>
        <tr r="D1124" s="2"/>
      </tp>
      <tp t="s">
        <v>#N/A N/A</v>
        <stp/>
        <stp>BDP|15440884236157533469</stp>
        <tr r="A1539" s="2"/>
      </tp>
      <tp t="s">
        <v>#N/A N/A</v>
        <stp/>
        <stp>BDP|10198306202307938934</stp>
        <tr r="N870" s="2"/>
      </tp>
      <tp t="s">
        <v>#N/A N/A</v>
        <stp/>
        <stp>BDP|13222843051386683580</stp>
        <tr r="C1157" s="2"/>
      </tp>
      <tp t="s">
        <v>#N/A N/A</v>
        <stp/>
        <stp>BDP|12370739784459439993</stp>
        <tr r="R1622" s="2"/>
      </tp>
      <tp t="s">
        <v>#N/A N/A</v>
        <stp/>
        <stp>BDP|12046787360409850798</stp>
        <tr r="R1703" s="2"/>
      </tp>
      <tp t="s">
        <v>#N/A N/A</v>
        <stp/>
        <stp>BDP|15954945832911048367</stp>
        <tr r="Q916" s="2"/>
      </tp>
      <tp t="s">
        <v>#N/A N/A</v>
        <stp/>
        <stp>BDP|13792783625052095939</stp>
        <tr r="K1260" s="2"/>
      </tp>
      <tp t="s">
        <v>#N/A N/A</v>
        <stp/>
        <stp>BDP|16533044308443785871</stp>
        <tr r="D224" s="2"/>
      </tp>
      <tp t="s">
        <v>#N/A N/A</v>
        <stp/>
        <stp>BDP|10443041456198746089</stp>
        <tr r="P1648" s="2"/>
      </tp>
      <tp t="s">
        <v>#N/A N/A</v>
        <stp/>
        <stp>BDP|13655698497592803391</stp>
        <tr r="T333" s="2"/>
      </tp>
      <tp t="s">
        <v>#N/A N/A</v>
        <stp/>
        <stp>BDP|16448827539595470528</stp>
        <tr r="H1650" s="2"/>
      </tp>
      <tp t="s">
        <v>#N/A N/A</v>
        <stp/>
        <stp>BDP|17338578192273616590</stp>
        <tr r="S16" s="2"/>
      </tp>
      <tp t="s">
        <v>#N/A N/A</v>
        <stp/>
        <stp>BDP|16452756069008088213</stp>
        <tr r="E642" s="2"/>
      </tp>
      <tp t="s">
        <v>#N/A N/A</v>
        <stp/>
        <stp>BDP|18416343030683154689</stp>
        <tr r="T1357" s="2"/>
      </tp>
      <tp t="s">
        <v>#N/A N/A</v>
        <stp/>
        <stp>BDP|17711072723519370199</stp>
        <tr r="J1065" s="2"/>
      </tp>
      <tp t="s">
        <v>#N/A N/A</v>
        <stp/>
        <stp>BDP|13408847169978783879</stp>
        <tr r="G536" s="2"/>
      </tp>
      <tp t="s">
        <v>#N/A N/A</v>
        <stp/>
        <stp>BDP|13267504288680021339</stp>
        <tr r="C339" s="2"/>
      </tp>
      <tp t="s">
        <v>#N/A N/A</v>
        <stp/>
        <stp>BDP|16110788592650135532</stp>
        <tr r="K130" s="2"/>
      </tp>
      <tp t="s">
        <v>#N/A N/A</v>
        <stp/>
        <stp>BDP|17771338599911489103</stp>
        <tr r="J291" s="2"/>
      </tp>
      <tp t="s">
        <v>#N/A N/A</v>
        <stp/>
        <stp>BDP|18280476173330918661</stp>
        <tr r="P744" s="2"/>
      </tp>
      <tp t="s">
        <v>#N/A N/A</v>
        <stp/>
        <stp>BDP|15934594489863642666</stp>
        <tr r="S345" s="2"/>
      </tp>
      <tp t="s">
        <v>#N/A N/A</v>
        <stp/>
        <stp>BDP|17966004427949230155</stp>
        <tr r="H164" s="2"/>
      </tp>
      <tp t="s">
        <v>#N/A N/A</v>
        <stp/>
        <stp>BDP|14039985655256487300</stp>
        <tr r="P181" s="2"/>
      </tp>
      <tp t="s">
        <v>#N/A N/A</v>
        <stp/>
        <stp>BDP|11759127489960325565</stp>
        <tr r="M115" s="2"/>
      </tp>
      <tp t="s">
        <v>#N/A N/A</v>
        <stp/>
        <stp>BDP|17016615445570457898</stp>
        <tr r="Q1658" s="2"/>
      </tp>
      <tp t="s">
        <v>#N/A N/A</v>
        <stp/>
        <stp>BDP|14638524217758263585</stp>
        <tr r="E739" s="2"/>
      </tp>
      <tp t="s">
        <v>#N/A N/A</v>
        <stp/>
        <stp>BDP|12819892219342820491</stp>
        <tr r="T422" s="2"/>
      </tp>
      <tp t="s">
        <v>#N/A N/A</v>
        <stp/>
        <stp>BDP|13154800703544819232</stp>
        <tr r="F897" s="2"/>
      </tp>
      <tp t="s">
        <v>#N/A N/A</v>
        <stp/>
        <stp>BDP|13454491996166661540</stp>
        <tr r="O639" s="2"/>
      </tp>
      <tp t="s">
        <v>#N/A N/A</v>
        <stp/>
        <stp>BDP|16382368982565829564</stp>
        <tr r="H1609" s="2"/>
      </tp>
      <tp t="s">
        <v>#N/A N/A</v>
        <stp/>
        <stp>BDP|11204986022434350324</stp>
        <tr r="E690" s="2"/>
      </tp>
      <tp t="s">
        <v>#N/A N/A</v>
        <stp/>
        <stp>BDS|17168945635114861426</stp>
        <tr r="I603" s="2"/>
      </tp>
      <tp t="s">
        <v>#N/A N/A</v>
        <stp/>
        <stp>BDP|12649635062619831666</stp>
        <tr r="Q1405" s="2"/>
      </tp>
      <tp t="s">
        <v>#N/A N/A</v>
        <stp/>
        <stp>BDP|12899903077756688707</stp>
        <tr r="T387" s="2"/>
      </tp>
      <tp t="s">
        <v>#N/A N/A</v>
        <stp/>
        <stp>BDP|17330109715602993867</stp>
        <tr r="H874" s="2"/>
      </tp>
      <tp t="s">
        <v>#N/A N/A</v>
        <stp/>
        <stp>BDP|16084068007308174396</stp>
        <tr r="H84" s="2"/>
      </tp>
      <tp t="s">
        <v>#N/A N/A</v>
        <stp/>
        <stp>BDS|13099756478889525727</stp>
        <tr r="I686" s="2"/>
      </tp>
      <tp t="s">
        <v>#N/A N/A</v>
        <stp/>
        <stp>BDP|15531150603159311091</stp>
        <tr r="G1068" s="2"/>
      </tp>
      <tp t="s">
        <v>#N/A N/A</v>
        <stp/>
        <stp>BDP|14109813456334842075</stp>
        <tr r="M89" s="2"/>
      </tp>
      <tp t="s">
        <v>#N/A N/A</v>
        <stp/>
        <stp>BDP|13879943604137152001</stp>
        <tr r="K531" s="2"/>
      </tp>
      <tp t="s">
        <v>#N/A N/A</v>
        <stp/>
        <stp>BDP|12706695787669003802</stp>
        <tr r="P875" s="2"/>
      </tp>
      <tp t="s">
        <v>#N/A N/A</v>
        <stp/>
        <stp>BDP|11393972633773795594</stp>
        <tr r="C1011" s="2"/>
      </tp>
      <tp t="s">
        <v>#N/A N/A</v>
        <stp/>
        <stp>BDS|15655073183651120193</stp>
        <tr r="I378" s="2"/>
      </tp>
      <tp t="s">
        <v>#N/A N/A</v>
        <stp/>
        <stp>BDP|12877037264750462920</stp>
        <tr r="N1135" s="2"/>
      </tp>
      <tp t="s">
        <v>#N/A N/A</v>
        <stp/>
        <stp>BDP|10348824750262031281</stp>
        <tr r="J1013" s="2"/>
      </tp>
      <tp t="s">
        <v>#N/A N/A</v>
        <stp/>
        <stp>BDP|11998808583534728846</stp>
        <tr r="H1264" s="2"/>
      </tp>
      <tp t="s">
        <v>#N/A N/A</v>
        <stp/>
        <stp>BDP|16878123890420011331</stp>
        <tr r="O521" s="2"/>
      </tp>
      <tp t="s">
        <v>#N/A N/A</v>
        <stp/>
        <stp>BDP|16496196283922043075</stp>
        <tr r="T667" s="2"/>
      </tp>
      <tp t="s">
        <v>#N/A N/A</v>
        <stp/>
        <stp>BDP|13966273953548041142</stp>
        <tr r="Q760" s="2"/>
      </tp>
      <tp t="s">
        <v>#N/A N/A</v>
        <stp/>
        <stp>BDP|17186857254424847319</stp>
        <tr r="K1573" s="2"/>
      </tp>
      <tp t="s">
        <v>#N/A N/A</v>
        <stp/>
        <stp>BDS|13679801031645551080</stp>
        <tr r="I442" s="2"/>
      </tp>
      <tp t="s">
        <v>#N/A N/A</v>
        <stp/>
        <stp>BDP|16258055618549170377</stp>
        <tr r="T146" s="2"/>
      </tp>
      <tp t="s">
        <v>#N/A N/A</v>
        <stp/>
        <stp>BDP|17303137133210967836</stp>
        <tr r="H1172" s="2"/>
      </tp>
      <tp t="s">
        <v>#N/A N/A</v>
        <stp/>
        <stp>BDP|10260249379869042166</stp>
        <tr r="N761" s="2"/>
      </tp>
      <tp t="s">
        <v>#N/A N/A</v>
        <stp/>
        <stp>BDP|12562999703540491626</stp>
        <tr r="K1483" s="2"/>
      </tp>
      <tp t="s">
        <v>#N/A N/A</v>
        <stp/>
        <stp>BDP|17856165654598315600</stp>
        <tr r="N1339" s="2"/>
      </tp>
      <tp t="s">
        <v>#N/A N/A</v>
        <stp/>
        <stp>BDP|16109422217136936844</stp>
        <tr r="H1076" s="2"/>
      </tp>
      <tp t="s">
        <v>#N/A N/A</v>
        <stp/>
        <stp>BDP|17505622601075653993</stp>
        <tr r="J1557" s="2"/>
      </tp>
      <tp t="s">
        <v>#N/A N/A</v>
        <stp/>
        <stp>BDP|10657424767899276695</stp>
        <tr r="D1446" s="2"/>
      </tp>
      <tp t="s">
        <v>#N/A N/A</v>
        <stp/>
        <stp>BDP|10874478117130218824</stp>
        <tr r="C504" s="2"/>
      </tp>
      <tp t="s">
        <v>#N/A N/A</v>
        <stp/>
        <stp>BDP|10087282302296146937</stp>
        <tr r="E1085" s="2"/>
      </tp>
      <tp t="s">
        <v>#N/A N/A</v>
        <stp/>
        <stp>BDP|15541358799473622171</stp>
        <tr r="D1588" s="2"/>
      </tp>
      <tp t="s">
        <v>#N/A N/A</v>
        <stp/>
        <stp>BDS|17547951659803448563</stp>
        <tr r="I1696" s="2"/>
      </tp>
      <tp t="s">
        <v>#N/A N/A</v>
        <stp/>
        <stp>BDS|13515056892201095696</stp>
        <tr r="I1090" s="2"/>
      </tp>
      <tp t="s">
        <v>#N/A N/A</v>
        <stp/>
        <stp>BDP|11195981846808097973</stp>
        <tr r="K1586" s="2"/>
      </tp>
      <tp t="s">
        <v>#N/A N/A</v>
        <stp/>
        <stp>BDP|12778488564194033937</stp>
        <tr r="K892" s="2"/>
      </tp>
      <tp t="s">
        <v>#N/A N/A</v>
        <stp/>
        <stp>BDP|18197162481008732492</stp>
        <tr r="C1397" s="2"/>
      </tp>
      <tp t="s">
        <v>#N/A N/A</v>
        <stp/>
        <stp>BDP|12503835198256157878</stp>
        <tr r="C1010" s="2"/>
      </tp>
      <tp t="s">
        <v>#N/A N/A</v>
        <stp/>
        <stp>BDP|15199291616339217243</stp>
        <tr r="O546" s="2"/>
      </tp>
      <tp t="s">
        <v>#N/A N/A</v>
        <stp/>
        <stp>BDP|16074713834517499891</stp>
        <tr r="D1049" s="2"/>
      </tp>
      <tp t="s">
        <v>#N/A N/A</v>
        <stp/>
        <stp>BDS|13268279654299256081</stp>
        <tr r="I74" s="2"/>
      </tp>
      <tp t="s">
        <v>#N/A N/A</v>
        <stp/>
        <stp>BDP|12891599691742190197</stp>
        <tr r="O1016" s="2"/>
      </tp>
      <tp t="s">
        <v>#N/A N/A</v>
        <stp/>
        <stp>BDP|18092290855645272760</stp>
        <tr r="T90" s="2"/>
      </tp>
      <tp t="s">
        <v>#N/A N/A</v>
        <stp/>
        <stp>BDP|15698080183439722927</stp>
        <tr r="R400" s="2"/>
      </tp>
      <tp t="s">
        <v>#N/A N/A</v>
        <stp/>
        <stp>BDP|18097144800580916451</stp>
        <tr r="S1133" s="2"/>
      </tp>
      <tp t="s">
        <v>#N/A N/A</v>
        <stp/>
        <stp>BDP|12393125686575622394</stp>
        <tr r="A1068" s="2"/>
      </tp>
      <tp t="s">
        <v>#N/A N/A</v>
        <stp/>
        <stp>BDP|10677416026759090291</stp>
        <tr r="N862" s="2"/>
      </tp>
      <tp t="s">
        <v>#N/A N/A</v>
        <stp/>
        <stp>BDP|12180583257289618605</stp>
        <tr r="G1438" s="2"/>
      </tp>
      <tp t="s">
        <v>#N/A N/A</v>
        <stp/>
        <stp>BDS|16637826636129012999</stp>
        <tr r="I36" s="2"/>
      </tp>
      <tp t="s">
        <v>#N/A N/A</v>
        <stp/>
        <stp>BDP|16078208780045038480</stp>
        <tr r="M1721" s="2"/>
      </tp>
      <tp t="s">
        <v>#N/A N/A</v>
        <stp/>
        <stp>BDP|14616452423406031987</stp>
        <tr r="H197" s="2"/>
      </tp>
      <tp t="s">
        <v>#N/A N/A</v>
        <stp/>
        <stp>BDP|10128849678854537602</stp>
        <tr r="E820" s="2"/>
      </tp>
      <tp t="s">
        <v>#N/A N/A</v>
        <stp/>
        <stp>BDP|11370995202163471646</stp>
        <tr r="E1426" s="2"/>
      </tp>
      <tp t="s">
        <v>#N/A N/A</v>
        <stp/>
        <stp>BDP|11188244419426329978</stp>
        <tr r="T1628" s="2"/>
      </tp>
      <tp t="s">
        <v>#N/A N/A</v>
        <stp/>
        <stp>BDP|10546769988753190122</stp>
        <tr r="J1196" s="2"/>
      </tp>
      <tp t="s">
        <v>#N/A N/A</v>
        <stp/>
        <stp>BDP|13312330558978005009</stp>
        <tr r="E1588" s="2"/>
      </tp>
      <tp t="s">
        <v>#N/A N/A</v>
        <stp/>
        <stp>BDP|10762423244438952505</stp>
        <tr r="J141" s="2"/>
      </tp>
      <tp t="s">
        <v>#N/A N/A</v>
        <stp/>
        <stp>BDP|17242958158793089572</stp>
        <tr r="M1353" s="2"/>
      </tp>
      <tp t="s">
        <v>#N/A N/A</v>
        <stp/>
        <stp>BDP|17307345099759650906</stp>
        <tr r="R1453" s="2"/>
      </tp>
      <tp t="s">
        <v>#N/A N/A</v>
        <stp/>
        <stp>BDP|10729621196417315586</stp>
        <tr r="F1077" s="2"/>
      </tp>
      <tp t="s">
        <v>#N/A N/A</v>
        <stp/>
        <stp>BDP|13296281754278523138</stp>
        <tr r="O1342" s="2"/>
      </tp>
      <tp t="s">
        <v>#N/A N/A</v>
        <stp/>
        <stp>BDP|12726761432072833930</stp>
        <tr r="C1442" s="2"/>
      </tp>
      <tp t="s">
        <v>#N/A N/A</v>
        <stp/>
        <stp>BDP|13323564090315970742</stp>
        <tr r="Q1689" s="2"/>
      </tp>
      <tp t="s">
        <v>#N/A N/A</v>
        <stp/>
        <stp>BDP|15124904580370044991</stp>
        <tr r="J1399" s="2"/>
      </tp>
      <tp t="s">
        <v>#N/A N/A</v>
        <stp/>
        <stp>BDP|12749644909218619144</stp>
        <tr r="G1199" s="2"/>
      </tp>
      <tp t="s">
        <v>#N/A N/A</v>
        <stp/>
        <stp>BDP|15299961369871675630</stp>
        <tr r="G1088" s="2"/>
      </tp>
      <tp t="s">
        <v>#N/A N/A</v>
        <stp/>
        <stp>BDP|17564971434125848565</stp>
        <tr r="E1180" s="2"/>
      </tp>
      <tp t="s">
        <v>#N/A N/A</v>
        <stp/>
        <stp>BDP|10152003984295557086</stp>
        <tr r="E1245" s="2"/>
      </tp>
      <tp t="s">
        <v>#N/A N/A</v>
        <stp/>
        <stp>BDP|10063002499320531443</stp>
        <tr r="M726" s="2"/>
      </tp>
      <tp t="s">
        <v>#N/A N/A</v>
        <stp/>
        <stp>BDP|16215182142257045902</stp>
        <tr r="O264" s="2"/>
      </tp>
      <tp t="s">
        <v>#N/A N/A</v>
        <stp/>
        <stp>BDP|18158826992515817110</stp>
        <tr r="A1127" s="2"/>
      </tp>
      <tp t="s">
        <v>#N/A N/A</v>
        <stp/>
        <stp>BDP|13802844506317747154</stp>
        <tr r="P892" s="2"/>
      </tp>
      <tp t="s">
        <v>#N/A N/A</v>
        <stp/>
        <stp>BDP|10129815059104835493</stp>
        <tr r="P1161" s="2"/>
      </tp>
      <tp t="s">
        <v>#N/A N/A</v>
        <stp/>
        <stp>BDP|12016322920736303892</stp>
        <tr r="J1620" s="2"/>
      </tp>
      <tp t="s">
        <v>#N/A N/A</v>
        <stp/>
        <stp>BDP|17331522048173067810</stp>
        <tr r="H744" s="2"/>
      </tp>
      <tp t="s">
        <v>#N/A N/A</v>
        <stp/>
        <stp>BDP|15639843320102808027</stp>
        <tr r="G140" s="2"/>
      </tp>
      <tp t="s">
        <v>#N/A N/A</v>
        <stp/>
        <stp>BDP|11142147514424849816</stp>
        <tr r="A1623" s="2"/>
      </tp>
      <tp t="s">
        <v>#N/A N/A</v>
        <stp/>
        <stp>BDP|13747810172713920254</stp>
        <tr r="P1186" s="2"/>
      </tp>
      <tp t="s">
        <v>#N/A N/A</v>
        <stp/>
        <stp>BDP|13000840181889542788</stp>
        <tr r="C1366" s="2"/>
      </tp>
      <tp t="s">
        <v>#N/A N/A</v>
        <stp/>
        <stp>BDP|12098593720421227938</stp>
        <tr r="G279" s="2"/>
      </tp>
      <tp t="s">
        <v>#N/A N/A</v>
        <stp/>
        <stp>BDP|16265992707001475307</stp>
        <tr r="D1109" s="2"/>
      </tp>
      <tp t="s">
        <v>#N/A N/A</v>
        <stp/>
        <stp>BDP|11111659292467684480</stp>
        <tr r="K1255" s="2"/>
      </tp>
      <tp t="s">
        <v>#N/A N/A</v>
        <stp/>
        <stp>BDP|11818840885915881994</stp>
        <tr r="A1624" s="2"/>
      </tp>
      <tp t="s">
        <v>#N/A N/A</v>
        <stp/>
        <stp>BDP|14676132194752862310</stp>
        <tr r="P1364" s="2"/>
      </tp>
      <tp t="s">
        <v>#N/A N/A</v>
        <stp/>
        <stp>BDP|17271012771589931408</stp>
        <tr r="G1565" s="2"/>
      </tp>
      <tp t="s">
        <v>#N/A N/A</v>
        <stp/>
        <stp>BDP|17980014524229327147</stp>
        <tr r="D137" s="2"/>
      </tp>
      <tp t="s">
        <v>#N/A N/A</v>
        <stp/>
        <stp>BDP|11429404488907168763</stp>
        <tr r="M1064" s="2"/>
      </tp>
      <tp t="s">
        <v>#N/A N/A</v>
        <stp/>
        <stp>BDP|17643487462910453835</stp>
        <tr r="Q1110" s="2"/>
      </tp>
      <tp t="s">
        <v>#N/A N/A</v>
        <stp/>
        <stp>BDP|12705555649019466749</stp>
        <tr r="J690" s="2"/>
      </tp>
      <tp t="s">
        <v>#N/A N/A</v>
        <stp/>
        <stp>BDP|12167276741368588192</stp>
        <tr r="P24" s="2"/>
      </tp>
      <tp t="s">
        <v>#N/A N/A</v>
        <stp/>
        <stp>BDP|11163668612732972977</stp>
        <tr r="N1129" s="2"/>
      </tp>
      <tp t="s">
        <v>#N/A N/A</v>
        <stp/>
        <stp>BDP|15826470240618481005</stp>
        <tr r="M157" s="2"/>
      </tp>
      <tp t="s">
        <v>#N/A N/A</v>
        <stp/>
        <stp>BDP|10809491741905216891</stp>
        <tr r="H853" s="2"/>
      </tp>
      <tp t="s">
        <v>#N/A N/A</v>
        <stp/>
        <stp>BDP|16070787611864558972</stp>
        <tr r="R612" s="2"/>
      </tp>
      <tp t="s">
        <v>#N/A N/A</v>
        <stp/>
        <stp>BDP|14026667478899500102</stp>
        <tr r="J554" s="2"/>
      </tp>
      <tp t="s">
        <v>#N/A N/A</v>
        <stp/>
        <stp>BDP|10267056082914954173</stp>
        <tr r="O577" s="2"/>
      </tp>
      <tp t="s">
        <v>#N/A N/A</v>
        <stp/>
        <stp>BDP|14697794587186238010</stp>
        <tr r="A237" s="2"/>
      </tp>
      <tp t="s">
        <v>#N/A N/A</v>
        <stp/>
        <stp>BDP|14244989954070527501</stp>
        <tr r="Q976" s="2"/>
      </tp>
      <tp t="s">
        <v>#N/A N/A</v>
        <stp/>
        <stp>BDP|15942967120976049540</stp>
        <tr r="G551" s="2"/>
      </tp>
      <tp t="s">
        <v>#N/A N/A</v>
        <stp/>
        <stp>BDP|16521679783517227282</stp>
        <tr r="E1281" s="2"/>
      </tp>
      <tp t="s">
        <v>#N/A N/A</v>
        <stp/>
        <stp>BDP|17983768554719419145</stp>
        <tr r="Q1030" s="2"/>
      </tp>
      <tp t="s">
        <v>#N/A N/A</v>
        <stp/>
        <stp>BDP|13344292098236962301</stp>
        <tr r="K711" s="2"/>
      </tp>
      <tp t="s">
        <v>#N/A N/A</v>
        <stp/>
        <stp>BDP|12686546783925305794</stp>
        <tr r="N12" s="2"/>
      </tp>
      <tp t="s">
        <v>#N/A N/A</v>
        <stp/>
        <stp>BDP|14821065971597273966</stp>
        <tr r="R855" s="2"/>
      </tp>
      <tp t="s">
        <v>#N/A N/A</v>
        <stp/>
        <stp>BDP|11457586137209541357</stp>
        <tr r="G1284" s="2"/>
      </tp>
      <tp t="s">
        <v>#N/A N/A</v>
        <stp/>
        <stp>BDP|17954339500221892895</stp>
        <tr r="T1753" s="2"/>
      </tp>
      <tp t="s">
        <v>#N/A N/A</v>
        <stp/>
        <stp>BDP|13206826449062054021</stp>
        <tr r="K347" s="2"/>
      </tp>
      <tp t="s">
        <v>#N/A N/A</v>
        <stp/>
        <stp>BDP|12778582472104029967</stp>
        <tr r="M1623" s="2"/>
      </tp>
      <tp t="s">
        <v>#N/A N/A</v>
        <stp/>
        <stp>BDP|13391390640660967988</stp>
        <tr r="J1193" s="2"/>
      </tp>
      <tp t="s">
        <v>#N/A N/A</v>
        <stp/>
        <stp>BDP|14952830921236358533</stp>
        <tr r="J1179" s="2"/>
      </tp>
      <tp t="s">
        <v>#N/A N/A</v>
        <stp/>
        <stp>BDP|14116844806003031286</stp>
        <tr r="S1277" s="2"/>
      </tp>
      <tp t="s">
        <v>#N/A N/A</v>
        <stp/>
        <stp>BDP|16271965361014976075</stp>
        <tr r="R1679" s="2"/>
      </tp>
      <tp t="s">
        <v>#N/A N/A</v>
        <stp/>
        <stp>BDP|11713561657554424897</stp>
        <tr r="M771" s="2"/>
      </tp>
      <tp t="s">
        <v>#N/A N/A</v>
        <stp/>
        <stp>BDP|16843281815079748191</stp>
        <tr r="H1649" s="2"/>
      </tp>
      <tp t="s">
        <v>#N/A N/A</v>
        <stp/>
        <stp>BDP|11959175688773824652</stp>
        <tr r="J1233" s="2"/>
      </tp>
      <tp t="s">
        <v>#N/A N/A</v>
        <stp/>
        <stp>BDS|14624465019018268437</stp>
        <tr r="I562" s="2"/>
      </tp>
      <tp t="s">
        <v>#N/A N/A</v>
        <stp/>
        <stp>BDP|13461741597191559195</stp>
        <tr r="R252" s="2"/>
      </tp>
      <tp t="s">
        <v>#N/A N/A</v>
        <stp/>
        <stp>BDP|13024619549394599867</stp>
        <tr r="A1648" s="2"/>
      </tp>
      <tp t="s">
        <v>#N/A N/A</v>
        <stp/>
        <stp>BDP|10245234196693430580</stp>
        <tr r="E413" s="2"/>
      </tp>
      <tp t="s">
        <v>#N/A N/A</v>
        <stp/>
        <stp>BDP|16133189577938120544</stp>
        <tr r="A231" s="2"/>
      </tp>
      <tp t="s">
        <v>#N/A N/A</v>
        <stp/>
        <stp>BDP|10899319396660402702</stp>
        <tr r="N795" s="2"/>
      </tp>
      <tp t="s">
        <v>#N/A N/A</v>
        <stp/>
        <stp>BDP|12421898117840155603</stp>
        <tr r="M409" s="2"/>
      </tp>
      <tp t="s">
        <v>#N/A N/A</v>
        <stp/>
        <stp>BDP|15887804628327273583</stp>
        <tr r="F78" s="2"/>
      </tp>
      <tp t="s">
        <v>#N/A N/A</v>
        <stp/>
        <stp>BDP|15567925053220735498</stp>
        <tr r="M1405" s="2"/>
      </tp>
      <tp t="s">
        <v>#N/A N/A</v>
        <stp/>
        <stp>BDP|14439951829663785155</stp>
        <tr r="P1083" s="2"/>
      </tp>
      <tp t="s">
        <v>#N/A N/A</v>
        <stp/>
        <stp>BDP|13272999976250663012</stp>
        <tr r="C1223" s="2"/>
      </tp>
      <tp t="s">
        <v>#N/A N/A</v>
        <stp/>
        <stp>BDP|11010502882178925918</stp>
        <tr r="N1690" s="2"/>
      </tp>
      <tp t="s">
        <v>#N/A N/A</v>
        <stp/>
        <stp>BDS|13241201299950651541</stp>
        <tr r="I1681" s="2"/>
      </tp>
      <tp t="s">
        <v>#N/A N/A</v>
        <stp/>
        <stp>BDP|11896820856579550836</stp>
        <tr r="R794" s="2"/>
      </tp>
      <tp t="s">
        <v>#N/A N/A</v>
        <stp/>
        <stp>BDP|11013207080914399299</stp>
        <tr r="K1614" s="2"/>
      </tp>
      <tp t="s">
        <v>#N/A N/A</v>
        <stp/>
        <stp>BDP|14074099513361451947</stp>
        <tr r="G378" s="2"/>
      </tp>
      <tp t="s">
        <v>#N/A N/A</v>
        <stp/>
        <stp>BDP|15903177592888591838</stp>
        <tr r="M849" s="2"/>
      </tp>
      <tp t="s">
        <v>#N/A N/A</v>
        <stp/>
        <stp>BDP|15860966973520581623</stp>
        <tr r="E321" s="2"/>
      </tp>
      <tp t="s">
        <v>#N/A N/A</v>
        <stp/>
        <stp>BDP|16575922071160939559</stp>
        <tr r="S1741" s="2"/>
      </tp>
      <tp t="s">
        <v>#N/A N/A</v>
        <stp/>
        <stp>BDP|14642023444029223488</stp>
        <tr r="S11" s="2"/>
      </tp>
      <tp t="s">
        <v>#N/A N/A</v>
        <stp/>
        <stp>BDP|15442290955919098629</stp>
        <tr r="M242" s="2"/>
      </tp>
      <tp t="s">
        <v>#N/A N/A</v>
        <stp/>
        <stp>BDP|18238389828664139093</stp>
        <tr r="M1529" s="2"/>
      </tp>
      <tp t="s">
        <v>#N/A N/A</v>
        <stp/>
        <stp>BDP|18076466148311482406</stp>
        <tr r="F331" s="2"/>
      </tp>
      <tp t="s">
        <v>#N/A N/A</v>
        <stp/>
        <stp>BDP|10175641531080626887</stp>
        <tr r="K888" s="2"/>
      </tp>
      <tp t="s">
        <v>#N/A N/A</v>
        <stp/>
        <stp>BDP|15887875337056289506</stp>
        <tr r="A479" s="2"/>
      </tp>
      <tp t="s">
        <v>#N/A N/A</v>
        <stp/>
        <stp>BDS|11887006653998169132</stp>
        <tr r="I621" s="2"/>
      </tp>
      <tp t="s">
        <v>#N/A N/A</v>
        <stp/>
        <stp>BDP|15818817471696225101</stp>
        <tr r="A1446" s="2"/>
      </tp>
      <tp t="s">
        <v>#N/A N/A</v>
        <stp/>
        <stp>BDP|10923691087050580389</stp>
        <tr r="F170" s="2"/>
      </tp>
      <tp t="s">
        <v>#N/A N/A</v>
        <stp/>
        <stp>BDP|15822238595962721130</stp>
        <tr r="F1595" s="2"/>
      </tp>
      <tp t="s">
        <v>#N/A N/A</v>
        <stp/>
        <stp>BDP|11236884707741694519</stp>
        <tr r="P1601" s="2"/>
      </tp>
      <tp t="s">
        <v>#N/A N/A</v>
        <stp/>
        <stp>BDP|13807405215892125968</stp>
        <tr r="A1007" s="2"/>
      </tp>
      <tp t="s">
        <v>#N/A N/A</v>
        <stp/>
        <stp>BDP|15922721149193822807</stp>
        <tr r="C796" s="2"/>
      </tp>
      <tp t="s">
        <v>#N/A N/A</v>
        <stp/>
        <stp>BDP|11078350797911805709</stp>
        <tr r="Q1327" s="2"/>
      </tp>
      <tp t="s">
        <v>#N/A N/A</v>
        <stp/>
        <stp>BDP|16591893871567715309</stp>
        <tr r="R737" s="2"/>
      </tp>
      <tp t="s">
        <v>#N/A N/A</v>
        <stp/>
        <stp>BDP|14099699856712536803</stp>
        <tr r="K331" s="2"/>
      </tp>
      <tp t="s">
        <v>#N/A N/A</v>
        <stp/>
        <stp>BDP|14445661684891939659</stp>
        <tr r="K729" s="2"/>
      </tp>
      <tp t="s">
        <v>#N/A N/A</v>
        <stp/>
        <stp>BDP|14211834892250850814</stp>
        <tr r="J1254" s="2"/>
      </tp>
      <tp t="s">
        <v>#N/A N/A</v>
        <stp/>
        <stp>BDP|12687888159006428494</stp>
        <tr r="E399" s="2"/>
      </tp>
      <tp t="s">
        <v>#N/A N/A</v>
        <stp/>
        <stp>BDP|11022624809242745866</stp>
        <tr r="J59" s="2"/>
      </tp>
      <tp t="s">
        <v>#N/A N/A</v>
        <stp/>
        <stp>BDP|12592032864388168198</stp>
        <tr r="O373" s="2"/>
      </tp>
      <tp t="s">
        <v>#N/A N/A</v>
        <stp/>
        <stp>BDP|12081963017866206195</stp>
        <tr r="C1032" s="2"/>
      </tp>
      <tp t="s">
        <v>#N/A N/A</v>
        <stp/>
        <stp>BDP|11885771957859246700</stp>
        <tr r="Q239" s="2"/>
      </tp>
      <tp t="s">
        <v>#N/A N/A</v>
        <stp/>
        <stp>BDP|10227742266314325894</stp>
        <tr r="R1015" s="2"/>
      </tp>
      <tp t="s">
        <v>#N/A N/A</v>
        <stp/>
        <stp>BDP|15972864697830267908</stp>
        <tr r="D1007" s="2"/>
      </tp>
      <tp t="s">
        <v>#N/A N/A</v>
        <stp/>
        <stp>BDP|17768993150341532711</stp>
        <tr r="J73" s="2"/>
      </tp>
      <tp t="s">
        <v>#N/A N/A</v>
        <stp/>
        <stp>BDP|18114757778541038464</stp>
        <tr r="T1235" s="2"/>
      </tp>
      <tp t="s">
        <v>#N/A N/A</v>
        <stp/>
        <stp>BDP|16238273457955762984</stp>
        <tr r="H977" s="2"/>
      </tp>
      <tp t="s">
        <v>#N/A N/A</v>
        <stp/>
        <stp>BDP|12682403012229875315</stp>
        <tr r="E1745" s="2"/>
      </tp>
      <tp t="s">
        <v>#N/A N/A</v>
        <stp/>
        <stp>BDP|16429992477955109062</stp>
        <tr r="C203" s="2"/>
      </tp>
      <tp t="s">
        <v>#N/A N/A</v>
        <stp/>
        <stp>BDP|17340116943228987752</stp>
        <tr r="S229" s="2"/>
      </tp>
      <tp t="s">
        <v>#N/A N/A</v>
        <stp/>
        <stp>BDP|14679405565593753898</stp>
        <tr r="J1183" s="2"/>
      </tp>
      <tp t="s">
        <v>#N/A N/A</v>
        <stp/>
        <stp>BDP|12181907470047431686</stp>
        <tr r="G1072" s="2"/>
      </tp>
      <tp t="s">
        <v>#N/A N/A</v>
        <stp/>
        <stp>BDP|11078117430956901850</stp>
        <tr r="T1295" s="2"/>
      </tp>
      <tp t="s">
        <v>#N/A N/A</v>
        <stp/>
        <stp>BDP|15181026138733256845</stp>
        <tr r="H1640" s="2"/>
      </tp>
      <tp t="s">
        <v>#N/A N/A</v>
        <stp/>
        <stp>BDP|13500091491645266228</stp>
        <tr r="E772" s="2"/>
      </tp>
      <tp t="s">
        <v>#N/A N/A</v>
        <stp/>
        <stp>BDP|11783104654188962073</stp>
        <tr r="T509" s="2"/>
      </tp>
      <tp t="s">
        <v>#N/A N/A</v>
        <stp/>
        <stp>BDS|17926599110107730991</stp>
        <tr r="I9" s="2"/>
      </tp>
      <tp t="s">
        <v>#N/A N/A</v>
        <stp/>
        <stp>BDP|12874905276047322608</stp>
        <tr r="T1723" s="2"/>
      </tp>
      <tp t="s">
        <v>#N/A N/A</v>
        <stp/>
        <stp>BDP|14575861472081589796</stp>
        <tr r="J1490" s="2"/>
      </tp>
      <tp t="s">
        <v>#N/A N/A</v>
        <stp/>
        <stp>BDP|12426774766507983913</stp>
        <tr r="T802" s="2"/>
      </tp>
      <tp t="s">
        <v>#N/A N/A</v>
        <stp/>
        <stp>BDP|14511131441989965530</stp>
        <tr r="O1100" s="2"/>
      </tp>
      <tp t="s">
        <v>#N/A N/A</v>
        <stp/>
        <stp>BDP|14450128039423249802</stp>
        <tr r="C110" s="2"/>
      </tp>
      <tp t="s">
        <v>#N/A N/A</v>
        <stp/>
        <stp>BDS|16440374837792303998</stp>
        <tr r="I648" s="2"/>
      </tp>
      <tp t="s">
        <v>#N/A N/A</v>
        <stp/>
        <stp>BDP|11154266757948818355</stp>
        <tr r="M822" s="2"/>
      </tp>
      <tp t="s">
        <v>#N/A N/A</v>
        <stp/>
        <stp>BDP|13798869004437124198</stp>
        <tr r="T1075" s="2"/>
      </tp>
      <tp t="s">
        <v>#N/A N/A</v>
        <stp/>
        <stp>BDP|16618245215990266886</stp>
        <tr r="A64" s="2"/>
      </tp>
      <tp t="s">
        <v>#N/A N/A</v>
        <stp/>
        <stp>BDP|17391138097813913135</stp>
        <tr r="J1364" s="2"/>
      </tp>
      <tp t="s">
        <v>#N/A N/A</v>
        <stp/>
        <stp>BDP|18438480197229494124</stp>
        <tr r="E350" s="2"/>
      </tp>
      <tp t="s">
        <v>#N/A N/A</v>
        <stp/>
        <stp>BDP|16345085557267168909</stp>
        <tr r="P1065" s="2"/>
      </tp>
      <tp t="s">
        <v>#N/A N/A</v>
        <stp/>
        <stp>BDP|11991917920123110442</stp>
        <tr r="S1143" s="2"/>
      </tp>
      <tp t="s">
        <v>#N/A N/A</v>
        <stp/>
        <stp>BDP|11759603396851968254</stp>
        <tr r="R41" s="2"/>
      </tp>
      <tp t="s">
        <v>#N/A N/A</v>
        <stp/>
        <stp>BDP|16877872855491494734</stp>
        <tr r="D1155" s="2"/>
      </tp>
      <tp t="s">
        <v>#N/A N/A</v>
        <stp/>
        <stp>BDP|13947265379308937322</stp>
        <tr r="K388" s="2"/>
      </tp>
      <tp t="s">
        <v>#N/A N/A</v>
        <stp/>
        <stp>BDP|17410757718705649927</stp>
        <tr r="S1102" s="2"/>
      </tp>
      <tp t="s">
        <v>#N/A N/A</v>
        <stp/>
        <stp>BDP|10064242627395968873</stp>
        <tr r="P48" s="2"/>
      </tp>
      <tp t="s">
        <v>#N/A N/A</v>
        <stp/>
        <stp>BDP|15126548898887254325</stp>
        <tr r="M321" s="2"/>
      </tp>
      <tp t="s">
        <v>#N/A N/A</v>
        <stp/>
        <stp>BDP|15286425709158550418</stp>
        <tr r="E942" s="2"/>
      </tp>
      <tp t="s">
        <v>#N/A N/A</v>
        <stp/>
        <stp>BDP|13662864411542965550</stp>
        <tr r="M808" s="2"/>
      </tp>
      <tp t="s">
        <v>#N/A N/A</v>
        <stp/>
        <stp>BDP|12537530343797973913</stp>
        <tr r="H823" s="2"/>
      </tp>
      <tp t="s">
        <v>#N/A N/A</v>
        <stp/>
        <stp>BDP|11104888963965600711</stp>
        <tr r="E1025" s="2"/>
      </tp>
      <tp t="s">
        <v>#N/A N/A</v>
        <stp/>
        <stp>BDP|14495699125665069857</stp>
        <tr r="A1303" s="2"/>
      </tp>
      <tp t="s">
        <v>#N/A N/A</v>
        <stp/>
        <stp>BDS|16675618192181818538</stp>
        <tr r="I1175" s="2"/>
      </tp>
      <tp t="s">
        <v>#N/A N/A</v>
        <stp/>
        <stp>BDP|15231911279314125264</stp>
        <tr r="E1396" s="2"/>
      </tp>
      <tp t="s">
        <v>#N/A N/A</v>
        <stp/>
        <stp>BDP|15980010093973114277</stp>
        <tr r="O1697" s="2"/>
      </tp>
      <tp t="s">
        <v>#N/A N/A</v>
        <stp/>
        <stp>BDS|17541144766588131580</stp>
        <tr r="I713" s="2"/>
      </tp>
      <tp t="s">
        <v>#N/A N/A</v>
        <stp/>
        <stp>BDP|11850474203911389926</stp>
        <tr r="O1437" s="2"/>
      </tp>
      <tp t="s">
        <v>#N/A N/A</v>
        <stp/>
        <stp>BDP|14915971759201205484</stp>
        <tr r="G901" s="2"/>
      </tp>
      <tp t="s">
        <v>#N/A N/A</v>
        <stp/>
        <stp>BDP|11128312982882941569</stp>
        <tr r="E457" s="2"/>
      </tp>
      <tp t="s">
        <v>#N/A N/A</v>
        <stp/>
        <stp>BDP|15479513328976405948</stp>
        <tr r="K1224" s="2"/>
      </tp>
      <tp t="s">
        <v>#N/A N/A</v>
        <stp/>
        <stp>BDP|18193777789949324310</stp>
        <tr r="S1643" s="2"/>
      </tp>
      <tp t="s">
        <v>#N/A N/A</v>
        <stp/>
        <stp>BDP|10517443784722098388</stp>
        <tr r="J750" s="2"/>
      </tp>
      <tp t="s">
        <v>#N/A N/A</v>
        <stp/>
        <stp>BDP|11905817579224906751</stp>
        <tr r="C250" s="2"/>
      </tp>
      <tp t="s">
        <v>#N/A N/A</v>
        <stp/>
        <stp>BDS|14291815240550497594</stp>
        <tr r="I1062" s="2"/>
      </tp>
      <tp t="s">
        <v>#N/A N/A</v>
        <stp/>
        <stp>BDP|17169481861640646831</stp>
        <tr r="P600" s="2"/>
      </tp>
      <tp t="s">
        <v>#N/A N/A</v>
        <stp/>
        <stp>BDP|10172914052195780491</stp>
        <tr r="J1256" s="2"/>
      </tp>
      <tp t="s">
        <v>#N/A N/A</v>
        <stp/>
        <stp>BDP|17991034345618085638</stp>
        <tr r="D784" s="2"/>
      </tp>
      <tp t="s">
        <v>#N/A N/A</v>
        <stp/>
        <stp>BDP|14079318026259250192</stp>
        <tr r="E803" s="2"/>
      </tp>
      <tp t="s">
        <v>#N/A N/A</v>
        <stp/>
        <stp>BDP|14683156742435834953</stp>
        <tr r="J1136" s="2"/>
      </tp>
      <tp t="s">
        <v>#N/A N/A</v>
        <stp/>
        <stp>BDP|15912729768591869872</stp>
        <tr r="D587" s="2"/>
      </tp>
      <tp t="s">
        <v>#N/A N/A</v>
        <stp/>
        <stp>BDP|13933264430356793944</stp>
        <tr r="O1724" s="2"/>
      </tp>
      <tp t="s">
        <v>#N/A N/A</v>
        <stp/>
        <stp>BDP|11449723733751109989</stp>
        <tr r="A1267" s="2"/>
      </tp>
      <tp t="s">
        <v>#N/A N/A</v>
        <stp/>
        <stp>BDP|13881934081088453721</stp>
        <tr r="P558" s="2"/>
      </tp>
      <tp t="s">
        <v>#N/A N/A</v>
        <stp/>
        <stp>BDP|13210779396216977665</stp>
        <tr r="K391" s="2"/>
      </tp>
      <tp t="s">
        <v>#N/A N/A</v>
        <stp/>
        <stp>BDP|15533887065015545318</stp>
        <tr r="D355" s="2"/>
      </tp>
      <tp t="s">
        <v>#N/A N/A</v>
        <stp/>
        <stp>BDP|13907531857868909681</stp>
        <tr r="A1613" s="2"/>
      </tp>
      <tp t="s">
        <v>#N/A N/A</v>
        <stp/>
        <stp>BDP|11260988078237964574</stp>
        <tr r="T700" s="2"/>
      </tp>
      <tp t="s">
        <v>#N/A N/A</v>
        <stp/>
        <stp>BDP|14910005206310201919</stp>
        <tr r="J1376" s="2"/>
      </tp>
      <tp t="s">
        <v>#N/A N/A</v>
        <stp/>
        <stp>BDP|14537913404986939657</stp>
        <tr r="K24" s="2"/>
      </tp>
      <tp t="s">
        <v>#N/A N/A</v>
        <stp/>
        <stp>BDP|10474938572446829515</stp>
        <tr r="H1443" s="2"/>
      </tp>
      <tp t="s">
        <v>#N/A N/A</v>
        <stp/>
        <stp>BDP|16952565475031089864</stp>
        <tr r="C224" s="2"/>
      </tp>
      <tp t="s">
        <v>#N/A N/A</v>
        <stp/>
        <stp>BDP|13818703415101487957</stp>
        <tr r="E565" s="2"/>
      </tp>
      <tp t="s">
        <v>#N/A N/A</v>
        <stp/>
        <stp>BDP|17775266088380767028</stp>
        <tr r="P1632" s="2"/>
      </tp>
      <tp t="s">
        <v>#N/A N/A</v>
        <stp/>
        <stp>BDP|14795898577603693532</stp>
        <tr r="J1293" s="2"/>
      </tp>
      <tp t="s">
        <v>#N/A N/A</v>
        <stp/>
        <stp>BDP|14513288722000128928</stp>
        <tr r="T533" s="2"/>
      </tp>
      <tp t="s">
        <v>#N/A N/A</v>
        <stp/>
        <stp>BDP|14684617478158783045</stp>
        <tr r="H380" s="2"/>
      </tp>
      <tp t="s">
        <v>#N/A N/A</v>
        <stp/>
        <stp>BDP|11074444115271848857</stp>
        <tr r="E69" s="2"/>
      </tp>
      <tp t="s">
        <v>#N/A N/A</v>
        <stp/>
        <stp>BDP|13240563443687356886</stp>
        <tr r="T1670" s="2"/>
      </tp>
      <tp t="s">
        <v>#N/A N/A</v>
        <stp/>
        <stp>BDP|10430858331826585099</stp>
        <tr r="Q659" s="2"/>
      </tp>
      <tp t="s">
        <v>#N/A N/A</v>
        <stp/>
        <stp>BDP|12532664399560737013</stp>
        <tr r="G63" s="2"/>
      </tp>
      <tp t="s">
        <v>#N/A N/A</v>
        <stp/>
        <stp>BDP|10463531088337214714</stp>
        <tr r="K170" s="2"/>
      </tp>
      <tp t="s">
        <v>#N/A N/A</v>
        <stp/>
        <stp>BDP|16190518492745932274</stp>
        <tr r="A1470" s="2"/>
      </tp>
      <tp t="s">
        <v>#N/A N/A</v>
        <stp/>
        <stp>BDP|15946990309615368464</stp>
        <tr r="Q1106" s="2"/>
      </tp>
      <tp t="s">
        <v>#N/A N/A</v>
        <stp/>
        <stp>BDP|13253573089895263628</stp>
        <tr r="O962" s="2"/>
      </tp>
      <tp t="s">
        <v>#N/A N/A</v>
        <stp/>
        <stp>BDP|14752168084049833919</stp>
        <tr r="S637" s="2"/>
      </tp>
      <tp t="s">
        <v>#N/A N/A</v>
        <stp/>
        <stp>BDP|15700028607080878868</stp>
        <tr r="D1194" s="2"/>
      </tp>
      <tp t="s">
        <v>#N/A N/A</v>
        <stp/>
        <stp>BDP|14996379467785752924</stp>
        <tr r="S160" s="2"/>
      </tp>
      <tp t="s">
        <v>#N/A N/A</v>
        <stp/>
        <stp>BDP|13899441460814509856</stp>
        <tr r="H1027" s="2"/>
      </tp>
      <tp t="s">
        <v>#N/A N/A</v>
        <stp/>
        <stp>BDP|11850586800668496189</stp>
        <tr r="G1409" s="2"/>
      </tp>
      <tp t="s">
        <v>#N/A N/A</v>
        <stp/>
        <stp>BDP|10282135629069187750</stp>
        <tr r="C117" s="2"/>
      </tp>
      <tp t="s">
        <v>#N/A N/A</v>
        <stp/>
        <stp>BDP|12393602750565728988</stp>
        <tr r="E1657" s="2"/>
      </tp>
      <tp t="s">
        <v>#N/A N/A</v>
        <stp/>
        <stp>BDP|17421132176474504880</stp>
        <tr r="O1718" s="2"/>
      </tp>
      <tp t="s">
        <v>#N/A N/A</v>
        <stp/>
        <stp>BDP|17671814121990045095</stp>
        <tr r="M670" s="2"/>
      </tp>
      <tp t="s">
        <v>#N/A N/A</v>
        <stp/>
        <stp>BDP|17778667789683799704</stp>
        <tr r="P1420" s="2"/>
      </tp>
      <tp t="s">
        <v>#N/A N/A</v>
        <stp/>
        <stp>BDP|18103663851771063798</stp>
        <tr r="M1398" s="2"/>
      </tp>
      <tp t="s">
        <v>#N/A N/A</v>
        <stp/>
        <stp>BDS|16594896453595760346</stp>
        <tr r="I1304" s="2"/>
      </tp>
      <tp t="s">
        <v>#N/A N/A</v>
        <stp/>
        <stp>BDP|12666017512946833821</stp>
        <tr r="S1077" s="2"/>
      </tp>
      <tp t="s">
        <v>#N/A N/A</v>
        <stp/>
        <stp>BDS|14158762253573809808</stp>
        <tr r="I881" s="2"/>
      </tp>
      <tp t="s">
        <v>#N/A N/A</v>
        <stp/>
        <stp>BDP|12005630190800852047</stp>
        <tr r="G1569" s="2"/>
      </tp>
      <tp t="s">
        <v>#N/A N/A</v>
        <stp/>
        <stp>BDS|17052949218384544652</stp>
        <tr r="I521" s="2"/>
      </tp>
      <tp t="s">
        <v>#N/A N/A</v>
        <stp/>
        <stp>BDP|12116283693612151648</stp>
        <tr r="S1672" s="2"/>
      </tp>
      <tp t="s">
        <v>#N/A N/A</v>
        <stp/>
        <stp>BDP|15307369271639271590</stp>
        <tr r="A368" s="2"/>
      </tp>
      <tp t="s">
        <v>#N/A N/A</v>
        <stp/>
        <stp>BDP|12605913179010997182</stp>
        <tr r="J460" s="2"/>
      </tp>
      <tp t="s">
        <v>#N/A N/A</v>
        <stp/>
        <stp>BDP|13710812209725290322</stp>
        <tr r="K596" s="2"/>
      </tp>
      <tp t="s">
        <v>#N/A N/A</v>
        <stp/>
        <stp>BDP|17218390745304853999</stp>
        <tr r="D932" s="2"/>
      </tp>
      <tp t="s">
        <v>#N/A N/A</v>
        <stp/>
        <stp>BDP|13780551856727983928</stp>
        <tr r="O1288" s="2"/>
      </tp>
      <tp t="s">
        <v>#N/A N/A</v>
        <stp/>
        <stp>BDP|14949808608597775690</stp>
        <tr r="T1660" s="2"/>
      </tp>
      <tp t="s">
        <v>#N/A N/A</v>
        <stp/>
        <stp>BDP|17603608680870096494</stp>
        <tr r="F724" s="2"/>
      </tp>
      <tp t="s">
        <v>#N/A N/A</v>
        <stp/>
        <stp>BDP|11726044608138021448</stp>
        <tr r="H694" s="2"/>
      </tp>
      <tp t="s">
        <v>#N/A N/A</v>
        <stp/>
        <stp>BDP|14652758191545475292</stp>
        <tr r="G1355" s="2"/>
      </tp>
      <tp t="s">
        <v>#N/A N/A</v>
        <stp/>
        <stp>BDP|14355674845813620887</stp>
        <tr r="K863" s="2"/>
      </tp>
      <tp t="s">
        <v>#N/A N/A</v>
        <stp/>
        <stp>BDP|13987802927793070716</stp>
        <tr r="Q454" s="2"/>
      </tp>
      <tp t="s">
        <v>#N/A N/A</v>
        <stp/>
        <stp>BDP|10099421566907807832</stp>
        <tr r="O1038" s="2"/>
      </tp>
      <tp t="s">
        <v>#N/A N/A</v>
        <stp/>
        <stp>BDP|10947211785235326216</stp>
        <tr r="S510" s="2"/>
      </tp>
      <tp t="s">
        <v>#N/A N/A</v>
        <stp/>
        <stp>BDP|18338791995799029204</stp>
        <tr r="Q1273" s="2"/>
      </tp>
      <tp t="s">
        <v>#N/A N/A</v>
        <stp/>
        <stp>BDP|13155243269162071833</stp>
        <tr r="P1243" s="2"/>
      </tp>
      <tp t="s">
        <v>#N/A N/A</v>
        <stp/>
        <stp>BDP|12685820024305617099</stp>
        <tr r="N1084" s="2"/>
      </tp>
      <tp t="s">
        <v>#N/A N/A</v>
        <stp/>
        <stp>BDS|14833357786760540224</stp>
        <tr r="I1647" s="2"/>
      </tp>
      <tp t="s">
        <v>#N/A N/A</v>
        <stp/>
        <stp>BDP|11042245859628745351</stp>
        <tr r="C711" s="2"/>
      </tp>
      <tp t="s">
        <v>#N/A N/A</v>
        <stp/>
        <stp>BDP|15444158582987554692</stp>
        <tr r="G1580" s="2"/>
      </tp>
      <tp t="s">
        <v>#N/A N/A</v>
        <stp/>
        <stp>BDP|14358961633535964605</stp>
        <tr r="H474" s="2"/>
      </tp>
      <tp t="s">
        <v>#N/A N/A</v>
        <stp/>
        <stp>BDP|13213138678440579838</stp>
        <tr r="Q1140" s="2"/>
      </tp>
      <tp t="s">
        <v>#N/A N/A</v>
        <stp/>
        <stp>BDP|15292495025799891790</stp>
        <tr r="S963" s="2"/>
      </tp>
      <tp t="s">
        <v>#N/A N/A</v>
        <stp/>
        <stp>BDP|15830908572922372467</stp>
        <tr r="A1598" s="2"/>
      </tp>
      <tp t="s">
        <v>#N/A N/A</v>
        <stp/>
        <stp>BDS|15295465795787832259</stp>
        <tr r="I399" s="2"/>
      </tp>
      <tp t="s">
        <v>#N/A N/A</v>
        <stp/>
        <stp>BDP|16670389948855877910</stp>
        <tr r="K1175" s="2"/>
      </tp>
      <tp t="s">
        <v>#N/A N/A</v>
        <stp/>
        <stp>BDP|11734555337949999337</stp>
        <tr r="K42" s="2"/>
      </tp>
      <tp t="s">
        <v>#N/A N/A</v>
        <stp/>
        <stp>BDP|10461765344499938705</stp>
        <tr r="D378" s="2"/>
      </tp>
      <tp t="s">
        <v>#N/A N/A</v>
        <stp/>
        <stp>BDP|12029436051228800656</stp>
        <tr r="E692" s="2"/>
      </tp>
      <tp t="s">
        <v>#N/A N/A</v>
        <stp/>
        <stp>BDP|11113501528062695909</stp>
        <tr r="M1162" s="2"/>
      </tp>
      <tp t="s">
        <v>#N/A N/A</v>
        <stp/>
        <stp>BDP|17631953479467336367</stp>
        <tr r="E645" s="2"/>
      </tp>
      <tp t="s">
        <v>#N/A N/A</v>
        <stp/>
        <stp>BDP|12486949860292823271</stp>
        <tr r="C501" s="2"/>
      </tp>
      <tp t="s">
        <v>#N/A N/A</v>
        <stp/>
        <stp>BDP|15476731239048643472</stp>
        <tr r="K1133" s="2"/>
      </tp>
      <tp t="s">
        <v>#N/A N/A</v>
        <stp/>
        <stp>BDS|12723095683290365724</stp>
        <tr r="I4" s="2"/>
      </tp>
      <tp t="s">
        <v>#N/A N/A</v>
        <stp/>
        <stp>BDP|18163734974742016793</stp>
        <tr r="T916" s="2"/>
      </tp>
      <tp t="s">
        <v>#N/A N/A</v>
        <stp/>
        <stp>BDP|18295971168528221208</stp>
        <tr r="E323" s="2"/>
      </tp>
      <tp t="s">
        <v>#N/A N/A</v>
        <stp/>
        <stp>BDP|14452741993295844245</stp>
        <tr r="P1579" s="2"/>
      </tp>
      <tp t="s">
        <v>#N/A N/A</v>
        <stp/>
        <stp>BDP|17526163763694915960</stp>
        <tr r="P646" s="2"/>
      </tp>
      <tp t="s">
        <v>#N/A N/A</v>
        <stp/>
        <stp>BDP|10753105437207669892</stp>
        <tr r="M1062" s="2"/>
      </tp>
      <tp t="s">
        <v>#N/A N/A</v>
        <stp/>
        <stp>BDP|10479490727112114941</stp>
        <tr r="O124" s="2"/>
      </tp>
      <tp t="s">
        <v>#N/A N/A</v>
        <stp/>
        <stp>BDP|11934257150058714343</stp>
        <tr r="A350" s="2"/>
      </tp>
      <tp t="s">
        <v>#N/A N/A</v>
        <stp/>
        <stp>BDP|10871325245542156814</stp>
        <tr r="C156" s="2"/>
      </tp>
      <tp t="s">
        <v>#N/A N/A</v>
        <stp/>
        <stp>BDS|18145754592398348391</stp>
        <tr r="I625" s="2"/>
      </tp>
      <tp t="s">
        <v>#N/A N/A</v>
        <stp/>
        <stp>BDP|12745615508659117000</stp>
        <tr r="E1630" s="2"/>
      </tp>
      <tp t="s">
        <v>#N/A N/A</v>
        <stp/>
        <stp>BDS|13797158592115413384</stp>
        <tr r="I1341" s="2"/>
      </tp>
      <tp t="s">
        <v>#N/A N/A</v>
        <stp/>
        <stp>BDP|14709590357730677904</stp>
        <tr r="O1108" s="2"/>
      </tp>
      <tp t="s">
        <v>#N/A N/A</v>
        <stp/>
        <stp>BDP|10628472642365931854</stp>
        <tr r="F3" s="2"/>
      </tp>
      <tp t="s">
        <v>#N/A N/A</v>
        <stp/>
        <stp>BDP|18349096339320531696</stp>
        <tr r="J383" s="2"/>
      </tp>
      <tp t="s">
        <v>#N/A N/A</v>
        <stp/>
        <stp>BDP|13015573689293472053</stp>
        <tr r="K224" s="2"/>
      </tp>
      <tp t="s">
        <v>#N/A N/A</v>
        <stp/>
        <stp>BDP|17727981524636099748</stp>
        <tr r="G1610" s="2"/>
      </tp>
      <tp t="s">
        <v>#N/A N/A</v>
        <stp/>
        <stp>BDP|15735201389913183107</stp>
        <tr r="G323" s="2"/>
      </tp>
      <tp t="s">
        <v>#N/A N/A</v>
        <stp/>
        <stp>BDP|17176177463515257884</stp>
        <tr r="S922" s="2"/>
      </tp>
      <tp t="s">
        <v>#N/A N/A</v>
        <stp/>
        <stp>BDP|14187408999995750108</stp>
        <tr r="G176" s="2"/>
      </tp>
      <tp t="s">
        <v>#N/A N/A</v>
        <stp/>
        <stp>BDP|13554611046118435492</stp>
        <tr r="R555" s="2"/>
      </tp>
      <tp t="s">
        <v>#N/A N/A</v>
        <stp/>
        <stp>BDP|15971859201461467168</stp>
        <tr r="A451" s="2"/>
      </tp>
      <tp t="s">
        <v>#N/A N/A</v>
        <stp/>
        <stp>BDP|13150722488983476212</stp>
        <tr r="E1320" s="2"/>
      </tp>
      <tp t="s">
        <v>#N/A N/A</v>
        <stp/>
        <stp>BDP|13307754409088876199</stp>
        <tr r="O1456" s="2"/>
      </tp>
      <tp t="s">
        <v>#N/A N/A</v>
        <stp/>
        <stp>BDP|15887947111211738144</stp>
        <tr r="A89" s="2"/>
      </tp>
      <tp t="s">
        <v>#N/A N/A</v>
        <stp/>
        <stp>BDP|14834926275946458153</stp>
        <tr r="Q346" s="2"/>
      </tp>
      <tp t="s">
        <v>#N/A N/A</v>
        <stp/>
        <stp>BDP|13214886251543317069</stp>
        <tr r="R999" s="2"/>
      </tp>
      <tp t="s">
        <v>#N/A N/A</v>
        <stp/>
        <stp>BDP|10540990041010391007</stp>
        <tr r="A1251" s="2"/>
      </tp>
      <tp t="s">
        <v>#N/A N/A</v>
        <stp/>
        <stp>BDP|18184441338754330607</stp>
        <tr r="O75" s="2"/>
      </tp>
      <tp t="s">
        <v>#N/A N/A</v>
        <stp/>
        <stp>BDP|15568537029868932783</stp>
        <tr r="K906" s="2"/>
      </tp>
      <tp t="s">
        <v>#N/A N/A</v>
        <stp/>
        <stp>BDP|15079093680840222056</stp>
        <tr r="E281" s="2"/>
      </tp>
      <tp t="s">
        <v>#N/A N/A</v>
        <stp/>
        <stp>BDP|10606897339420047688</stp>
        <tr r="T408" s="2"/>
      </tp>
      <tp t="s">
        <v>#N/A N/A</v>
        <stp/>
        <stp>BDP|14072712793043439488</stp>
        <tr r="E965" s="2"/>
      </tp>
      <tp t="s">
        <v>#N/A N/A</v>
        <stp/>
        <stp>BDP|10607202383854875333</stp>
        <tr r="S1387" s="2"/>
      </tp>
      <tp t="s">
        <v>#N/A N/A</v>
        <stp/>
        <stp>BDP|12336744578917924882</stp>
        <tr r="D716" s="2"/>
      </tp>
      <tp t="s">
        <v>#N/A N/A</v>
        <stp/>
        <stp>BDP|14584999241003346708</stp>
        <tr r="A1538" s="2"/>
      </tp>
      <tp t="s">
        <v>#N/A N/A</v>
        <stp/>
        <stp>BDP|15747329285770912376</stp>
        <tr r="P1037" s="2"/>
      </tp>
      <tp t="s">
        <v>#N/A N/A</v>
        <stp/>
        <stp>BDP|16690266601510865970</stp>
        <tr r="R248" s="2"/>
      </tp>
      <tp t="s">
        <v>#N/A N/A</v>
        <stp/>
        <stp>BDP|15749050539873393866</stp>
        <tr r="E1415" s="2"/>
      </tp>
      <tp t="s">
        <v>#N/A N/A</v>
        <stp/>
        <stp>BDP|12746844338362183648</stp>
        <tr r="A683" s="2"/>
      </tp>
      <tp t="s">
        <v>#N/A N/A</v>
        <stp/>
        <stp>BDP|14826917422473456117</stp>
        <tr r="H1148" s="2"/>
      </tp>
      <tp t="s">
        <v>#N/A N/A</v>
        <stp/>
        <stp>BDP|13052857306542539486</stp>
        <tr r="M1620" s="2"/>
      </tp>
      <tp t="s">
        <v>#N/A N/A</v>
        <stp/>
        <stp>BDP|17767850431376828755</stp>
        <tr r="H1021" s="2"/>
      </tp>
      <tp t="s">
        <v>#N/A N/A</v>
        <stp/>
        <stp>BDP|11310799586997672444</stp>
        <tr r="K1072" s="2"/>
      </tp>
      <tp t="s">
        <v>#N/A N/A</v>
        <stp/>
        <stp>BDP|16234345729482123802</stp>
        <tr r="D1313" s="2"/>
      </tp>
      <tp t="s">
        <v>#N/A N/A</v>
        <stp/>
        <stp>BDP|13204682400128724033</stp>
        <tr r="M74" s="2"/>
      </tp>
      <tp t="s">
        <v>#N/A N/A</v>
        <stp/>
        <stp>BDP|15967060703868384014</stp>
        <tr r="S39" s="2"/>
      </tp>
      <tp t="s">
        <v>#N/A N/A</v>
        <stp/>
        <stp>BDP|10945538291891064053</stp>
        <tr r="T876" s="2"/>
      </tp>
      <tp t="s">
        <v>#N/A N/A</v>
        <stp/>
        <stp>BDP|13780719316201956977</stp>
        <tr r="S26" s="2"/>
      </tp>
      <tp t="s">
        <v>#N/A N/A</v>
        <stp/>
        <stp>BDP|14020465678278345230</stp>
        <tr r="Q919" s="2"/>
      </tp>
      <tp t="s">
        <v>#N/A N/A</v>
        <stp/>
        <stp>BDP|15574501012225172982</stp>
        <tr r="M1431" s="2"/>
      </tp>
      <tp t="s">
        <v>#N/A N/A</v>
        <stp/>
        <stp>BDP|16562777477343203893</stp>
        <tr r="R1656" s="2"/>
      </tp>
      <tp t="s">
        <v>#N/A N/A</v>
        <stp/>
        <stp>BDP|17522929128098398923</stp>
        <tr r="E643" s="2"/>
      </tp>
      <tp t="s">
        <v>#N/A N/A</v>
        <stp/>
        <stp>BDP|11082655993966146590</stp>
        <tr r="M842" s="2"/>
      </tp>
      <tp t="s">
        <v>#N/A N/A</v>
        <stp/>
        <stp>BDP|12044851785707629880</stp>
        <tr r="A1248" s="2"/>
      </tp>
      <tp t="s">
        <v>#N/A N/A</v>
        <stp/>
        <stp>BDP|14812269789845835613</stp>
        <tr r="D1508" s="2"/>
      </tp>
      <tp t="s">
        <v>#N/A N/A</v>
        <stp/>
        <stp>BDP|18337215279721253174</stp>
        <tr r="T1553" s="2"/>
      </tp>
      <tp t="s">
        <v>#N/A N/A</v>
        <stp/>
        <stp>BDP|11780084987070589434</stp>
        <tr r="T736" s="2"/>
      </tp>
      <tp t="s">
        <v>#N/A N/A</v>
        <stp/>
        <stp>BDP|12967802773309511916</stp>
        <tr r="E1183" s="2"/>
      </tp>
      <tp t="s">
        <v>#N/A N/A</v>
        <stp/>
        <stp>BDP|15951847817670601123</stp>
        <tr r="S1667" s="2"/>
      </tp>
      <tp t="s">
        <v>#N/A N/A</v>
        <stp/>
        <stp>BDP|14684400324019992656</stp>
        <tr r="S285" s="2"/>
      </tp>
      <tp t="s">
        <v>#N/A N/A</v>
        <stp/>
        <stp>BDP|10862010297756713277</stp>
        <tr r="P291" s="2"/>
      </tp>
      <tp t="s">
        <v>#N/A N/A</v>
        <stp/>
        <stp>BDP|14016631289504735331</stp>
        <tr r="Q502" s="2"/>
      </tp>
      <tp t="s">
        <v>#N/A N/A</v>
        <stp/>
        <stp>BDP|14074997366404935280</stp>
        <tr r="F356" s="2"/>
      </tp>
      <tp t="s">
        <v>#N/A N/A</v>
        <stp/>
        <stp>BDP|15021533139606522813</stp>
        <tr r="O736" s="2"/>
      </tp>
      <tp t="s">
        <v>#N/A N/A</v>
        <stp/>
        <stp>BDP|10056861507491704485</stp>
        <tr r="H1377" s="2"/>
      </tp>
      <tp t="s">
        <v>#N/A N/A</v>
        <stp/>
        <stp>BDP|17255286502590142877</stp>
        <tr r="C614" s="2"/>
      </tp>
      <tp t="s">
        <v>#N/A N/A</v>
        <stp/>
        <stp>BDP|17342244296322629394</stp>
        <tr r="F905" s="2"/>
      </tp>
      <tp t="s">
        <v>#N/A N/A</v>
        <stp/>
        <stp>BDP|11042956776895986747</stp>
        <tr r="J1033" s="2"/>
      </tp>
      <tp t="s">
        <v>#N/A N/A</v>
        <stp/>
        <stp>BDP|10737817889785738864</stp>
        <tr r="G1510" s="2"/>
      </tp>
      <tp t="s">
        <v>#N/A N/A</v>
        <stp/>
        <stp>BDP|18174542431760853323</stp>
        <tr r="K1742" s="2"/>
      </tp>
      <tp t="s">
        <v>#N/A N/A</v>
        <stp/>
        <stp>BDP|14639132660307948922</stp>
        <tr r="M501" s="2"/>
      </tp>
      <tp t="s">
        <v>#N/A N/A</v>
        <stp/>
        <stp>BDS|10685062595790706406</stp>
        <tr r="I745" s="2"/>
      </tp>
      <tp t="s">
        <v>#N/A N/A</v>
        <stp/>
        <stp>BDP|12985117239634670965</stp>
        <tr r="M352" s="2"/>
      </tp>
      <tp t="s">
        <v>#N/A N/A</v>
        <stp/>
        <stp>BDP|11303564816901417966</stp>
        <tr r="O1066" s="2"/>
      </tp>
      <tp t="s">
        <v>#N/A N/A</v>
        <stp/>
        <stp>BDP|13408127833209167559</stp>
        <tr r="Q1115" s="2"/>
      </tp>
      <tp t="s">
        <v>#N/A N/A</v>
        <stp/>
        <stp>BDP|11756845523852105402</stp>
        <tr r="C1527" s="2"/>
      </tp>
      <tp t="s">
        <v>#N/A N/A</v>
        <stp/>
        <stp>BDP|13618061054929237273</stp>
        <tr r="F859" s="2"/>
      </tp>
      <tp t="s">
        <v>#N/A N/A</v>
        <stp/>
        <stp>BDP|11187904504466492308</stp>
        <tr r="M1309" s="2"/>
      </tp>
      <tp t="s">
        <v>#N/A N/A</v>
        <stp/>
        <stp>BDP|12569299436709841734</stp>
        <tr r="O278" s="2"/>
      </tp>
      <tp t="s">
        <v>#N/A N/A</v>
        <stp/>
        <stp>BDP|14943729648248517276</stp>
        <tr r="D312" s="2"/>
      </tp>
      <tp t="s">
        <v>#N/A N/A</v>
        <stp/>
        <stp>BDP|13352824341341888395</stp>
        <tr r="K701" s="2"/>
      </tp>
      <tp t="s">
        <v>#N/A N/A</v>
        <stp/>
        <stp>BDS|17635944417680075279</stp>
        <tr r="I875" s="2"/>
      </tp>
      <tp t="s">
        <v>#N/A N/A</v>
        <stp/>
        <stp>BDP|13721700285499192820</stp>
        <tr r="K808" s="2"/>
      </tp>
      <tp t="s">
        <v>#N/A N/A</v>
        <stp/>
        <stp>BDS|14294909160685315338</stp>
        <tr r="I156" s="2"/>
      </tp>
      <tp t="s">
        <v>#N/A N/A</v>
        <stp/>
        <stp>BDP|13019823422624685073</stp>
        <tr r="H1258" s="2"/>
      </tp>
      <tp t="s">
        <v>#N/A N/A</v>
        <stp/>
        <stp>BDP|17453351254525372979</stp>
        <tr r="O1661" s="2"/>
      </tp>
      <tp t="s">
        <v>#N/A N/A</v>
        <stp/>
        <stp>BDP|16905986713763066038</stp>
        <tr r="E463" s="2"/>
      </tp>
      <tp t="s">
        <v>#N/A N/A</v>
        <stp/>
        <stp>BDP|12192861036987183317</stp>
        <tr r="D1408" s="2"/>
      </tp>
      <tp t="s">
        <v>#N/A N/A</v>
        <stp/>
        <stp>BDP|18143807993337269318</stp>
        <tr r="A971" s="2"/>
      </tp>
      <tp t="s">
        <v>#N/A N/A</v>
        <stp/>
        <stp>BDP|10754921146097114738</stp>
        <tr r="S1456" s="2"/>
      </tp>
      <tp t="s">
        <v>#N/A N/A</v>
        <stp/>
        <stp>BDP|13384429712919227207</stp>
        <tr r="P1476" s="2"/>
      </tp>
      <tp t="s">
        <v>#N/A N/A</v>
        <stp/>
        <stp>BDP|13158953454100483253</stp>
        <tr r="A314" s="2"/>
      </tp>
      <tp t="s">
        <v>#N/A N/A</v>
        <stp/>
        <stp>BDP|13855624093821968013</stp>
        <tr r="A203" s="2"/>
      </tp>
      <tp t="s">
        <v>#N/A N/A</v>
        <stp/>
        <stp>BDP|11412612472874568931</stp>
        <tr r="J1112" s="2"/>
      </tp>
      <tp t="s">
        <v>#N/A N/A</v>
        <stp/>
        <stp>BDP|12841637614721810969</stp>
        <tr r="M453" s="2"/>
      </tp>
      <tp t="s">
        <v>#N/A N/A</v>
        <stp/>
        <stp>BDP|16840239887044889556</stp>
        <tr r="G1268" s="2"/>
      </tp>
      <tp t="s">
        <v>#N/A N/A</v>
        <stp/>
        <stp>BDP|14047135730533544873</stp>
        <tr r="N235" s="2"/>
      </tp>
      <tp t="s">
        <v>#N/A N/A</v>
        <stp/>
        <stp>BDP|10470146194772610734</stp>
        <tr r="T1642" s="2"/>
      </tp>
      <tp t="s">
        <v>#N/A N/A</v>
        <stp/>
        <stp>BDP|12044650584811483047</stp>
        <tr r="M45" s="2"/>
      </tp>
      <tp t="s">
        <v>#N/A N/A</v>
        <stp/>
        <stp>BDP|17056861641790667607</stp>
        <tr r="S694" s="2"/>
      </tp>
      <tp t="s">
        <v>#N/A N/A</v>
        <stp/>
        <stp>BDP|13593434620720282850</stp>
        <tr r="E658" s="2"/>
      </tp>
      <tp t="s">
        <v>#N/A N/A</v>
        <stp/>
        <stp>BDP|14143897398059636172</stp>
        <tr r="P1291" s="2"/>
      </tp>
      <tp t="s">
        <v>#N/A N/A</v>
        <stp/>
        <stp>BDP|18079540785549601163</stp>
        <tr r="N696" s="2"/>
      </tp>
      <tp t="s">
        <v>#N/A N/A</v>
        <stp/>
        <stp>BDP|12946760145649866535</stp>
        <tr r="N941" s="2"/>
      </tp>
      <tp t="s">
        <v>#N/A N/A</v>
        <stp/>
        <stp>BDP|15064277642239644726</stp>
        <tr r="P669" s="2"/>
      </tp>
      <tp t="s">
        <v>#N/A N/A</v>
        <stp/>
        <stp>BDP|13669836040557048540</stp>
        <tr r="F884" s="2"/>
      </tp>
      <tp t="s">
        <v>#N/A N/A</v>
        <stp/>
        <stp>BDP|14930090896415473530</stp>
        <tr r="H352" s="2"/>
      </tp>
      <tp t="s">
        <v>#N/A N/A</v>
        <stp/>
        <stp>BDP|17105782799312324624</stp>
        <tr r="K828" s="2"/>
      </tp>
      <tp t="s">
        <v>#N/A N/A</v>
        <stp/>
        <stp>BDP|17326621796101218445</stp>
        <tr r="Q969" s="2"/>
      </tp>
      <tp t="s">
        <v>#N/A N/A</v>
        <stp/>
        <stp>BDP|17243730633698576663</stp>
        <tr r="A468" s="2"/>
      </tp>
      <tp t="s">
        <v>#N/A N/A</v>
        <stp/>
        <stp>BDP|11500386721565512884</stp>
        <tr r="K111" s="2"/>
      </tp>
      <tp t="s">
        <v>#N/A N/A</v>
        <stp/>
        <stp>BDP|12468475599587801533</stp>
        <tr r="G475" s="2"/>
      </tp>
      <tp t="s">
        <v>#N/A N/A</v>
        <stp/>
        <stp>BDP|12843321400045287998</stp>
        <tr r="A167" s="2"/>
      </tp>
      <tp t="s">
        <v>#N/A N/A</v>
        <stp/>
        <stp>BDP|15429175397049038951</stp>
        <tr r="R892" s="2"/>
      </tp>
      <tp t="s">
        <v>#N/A N/A</v>
        <stp/>
        <stp>BDP|17533017634249557046</stp>
        <tr r="E1004" s="2"/>
      </tp>
      <tp t="s">
        <v>#N/A N/A</v>
        <stp/>
        <stp>BDP|17563826305352104026</stp>
        <tr r="J200" s="2"/>
      </tp>
      <tp t="s">
        <v>#N/A N/A</v>
        <stp/>
        <stp>BDP|10678438675208702669</stp>
        <tr r="S392" s="2"/>
      </tp>
      <tp t="s">
        <v>#N/A N/A</v>
        <stp/>
        <stp>BDP|13515931950575305741</stp>
        <tr r="R223" s="2"/>
      </tp>
      <tp t="s">
        <v>#N/A N/A</v>
        <stp/>
        <stp>BDP|12379678024912471955</stp>
        <tr r="R1664" s="2"/>
      </tp>
      <tp t="s">
        <v>#N/A N/A</v>
        <stp/>
        <stp>BDP|18163923283064262037</stp>
        <tr r="O275" s="2"/>
      </tp>
      <tp t="s">
        <v>#N/A N/A</v>
        <stp/>
        <stp>BDP|18432280117887292199</stp>
        <tr r="A396" s="2"/>
      </tp>
      <tp t="s">
        <v>#N/A N/A</v>
        <stp/>
        <stp>BDP|10385904522004338224</stp>
        <tr r="R166" s="2"/>
      </tp>
      <tp t="s">
        <v>#N/A N/A</v>
        <stp/>
        <stp>BDS|10924163214179187493</stp>
        <tr r="I175" s="2"/>
      </tp>
      <tp t="s">
        <v>#N/A N/A</v>
        <stp/>
        <stp>BDP|13050779836548527241</stp>
        <tr r="F10" s="2"/>
      </tp>
      <tp t="s">
        <v>#N/A N/A</v>
        <stp/>
        <stp>BDP|14198821991589033124</stp>
        <tr r="D856" s="2"/>
      </tp>
      <tp t="s">
        <v>#N/A N/A</v>
        <stp/>
        <stp>BDP|11635929964994111718</stp>
        <tr r="Q244" s="2"/>
      </tp>
      <tp t="s">
        <v>#N/A N/A</v>
        <stp/>
        <stp>BDP|14066251109959935257</stp>
        <tr r="N1113" s="2"/>
      </tp>
      <tp t="s">
        <v>#N/A N/A</v>
        <stp/>
        <stp>BDP|12225539366318163467</stp>
        <tr r="E625" s="2"/>
      </tp>
      <tp t="s">
        <v>#N/A N/A</v>
        <stp/>
        <stp>BDP|13696116891422058467</stp>
        <tr r="J367" s="2"/>
      </tp>
      <tp t="s">
        <v>#N/A N/A</v>
        <stp/>
        <stp>BDP|11375213992134688364</stp>
        <tr r="P908" s="2"/>
      </tp>
      <tp t="s">
        <v>#N/A N/A</v>
        <stp/>
        <stp>BDP|14786756373419414052</stp>
        <tr r="J1007" s="2"/>
      </tp>
      <tp t="s">
        <v>#N/A N/A</v>
        <stp/>
        <stp>BDP|11285462189147842756</stp>
        <tr r="C1456" s="2"/>
      </tp>
      <tp t="s">
        <v>#N/A N/A</v>
        <stp/>
        <stp>BDP|15364335137958762005</stp>
        <tr r="P302" s="2"/>
      </tp>
      <tp t="s">
        <v>#N/A N/A</v>
        <stp/>
        <stp>BDP|10351688159916284804</stp>
        <tr r="M896" s="2"/>
      </tp>
      <tp t="s">
        <v>#N/A N/A</v>
        <stp/>
        <stp>BDP|14375068694264565443</stp>
        <tr r="S240" s="2"/>
      </tp>
      <tp t="s">
        <v>#N/A N/A</v>
        <stp/>
        <stp>BDP|13008076357962786978</stp>
        <tr r="T275" s="2"/>
      </tp>
      <tp t="s">
        <v>#N/A N/A</v>
        <stp/>
        <stp>BDP|11259647514999416265</stp>
        <tr r="J248" s="2"/>
      </tp>
      <tp t="s">
        <v>#N/A N/A</v>
        <stp/>
        <stp>BDP|11176954613934071072</stp>
        <tr r="H47" s="2"/>
      </tp>
      <tp t="s">
        <v>#N/A N/A</v>
        <stp/>
        <stp>BDP|18097617755993509519</stp>
        <tr r="P1343" s="2"/>
      </tp>
      <tp t="s">
        <v>#N/A N/A</v>
        <stp/>
        <stp>BDP|18285514150705257010</stp>
        <tr r="J666" s="2"/>
      </tp>
      <tp t="s">
        <v>#N/A N/A</v>
        <stp/>
        <stp>BDP|17263653485903450764</stp>
        <tr r="J625" s="2"/>
      </tp>
      <tp t="s">
        <v>#N/A N/A</v>
        <stp/>
        <stp>BDP|16593100888957488595</stp>
        <tr r="F567" s="2"/>
      </tp>
      <tp t="s">
        <v>#N/A N/A</v>
        <stp/>
        <stp>BDP|16195027454608131666</stp>
        <tr r="C499" s="2"/>
      </tp>
      <tp t="s">
        <v>#N/A N/A</v>
        <stp/>
        <stp>BDP|14827567880812750694</stp>
        <tr r="C603" s="2"/>
      </tp>
      <tp t="s">
        <v>#N/A N/A</v>
        <stp/>
        <stp>BDP|13793634799005573486</stp>
        <tr r="N1655" s="2"/>
      </tp>
      <tp t="s">
        <v>#N/A N/A</v>
        <stp/>
        <stp>BDP|18018589658257819287</stp>
        <tr r="M1327" s="2"/>
      </tp>
      <tp t="s">
        <v>#N/A N/A</v>
        <stp/>
        <stp>BDP|11889060462399910359</stp>
        <tr r="M1624" s="2"/>
      </tp>
      <tp t="s">
        <v>#N/A N/A</v>
        <stp/>
        <stp>BDP|10212711587235644725</stp>
        <tr r="F1528" s="2"/>
      </tp>
      <tp t="s">
        <v>#N/A N/A</v>
        <stp/>
        <stp>BDP|16143944622614557420</stp>
        <tr r="A586" s="2"/>
      </tp>
      <tp t="s">
        <v>#N/A N/A</v>
        <stp/>
        <stp>BDP|10368573773647054874</stp>
        <tr r="F1215" s="2"/>
      </tp>
      <tp t="s">
        <v>#N/A N/A</v>
        <stp/>
        <stp>BDP|11501629221088322059</stp>
        <tr r="E163" s="2"/>
      </tp>
      <tp t="s">
        <v>#N/A N/A</v>
        <stp/>
        <stp>BDP|13426476853367311834</stp>
        <tr r="H1161" s="2"/>
      </tp>
      <tp t="s">
        <v>#N/A N/A</v>
        <stp/>
        <stp>BDP|11458013787532158634</stp>
        <tr r="P96" s="2"/>
      </tp>
      <tp t="s">
        <v>#N/A N/A</v>
        <stp/>
        <stp>BDP|11226656330258106164</stp>
        <tr r="H741" s="2"/>
      </tp>
      <tp t="s">
        <v>#N/A N/A</v>
        <stp/>
        <stp>BDP|10350761571675700830</stp>
        <tr r="C1094" s="2"/>
      </tp>
      <tp t="s">
        <v>#N/A N/A</v>
        <stp/>
        <stp>BDP|18279469362877330054</stp>
        <tr r="N884" s="2"/>
      </tp>
      <tp t="s">
        <v>#N/A N/A</v>
        <stp/>
        <stp>BDP|11568856714974316179</stp>
        <tr r="O528" s="2"/>
      </tp>
      <tp t="s">
        <v>#N/A N/A</v>
        <stp/>
        <stp>BDP|17072422140543569977</stp>
        <tr r="A1473" s="2"/>
      </tp>
      <tp t="s">
        <v>#N/A N/A</v>
        <stp/>
        <stp>BDS|12799872703526764179</stp>
        <tr r="I21" s="2"/>
      </tp>
      <tp t="s">
        <v>#N/A N/A</v>
        <stp/>
        <stp>BDP|10603526852635563837</stp>
        <tr r="N1514" s="2"/>
      </tp>
      <tp t="s">
        <v>#N/A N/A</v>
        <stp/>
        <stp>BDP|16122598357893755887</stp>
        <tr r="F665" s="2"/>
      </tp>
      <tp t="s">
        <v>#N/A N/A</v>
        <stp/>
        <stp>BDP|11338893717112878756</stp>
        <tr r="M778" s="2"/>
      </tp>
      <tp t="s">
        <v>#N/A N/A</v>
        <stp/>
        <stp>BDP|18120163065311122330</stp>
        <tr r="C719" s="2"/>
      </tp>
      <tp t="s">
        <v>#N/A N/A</v>
        <stp/>
        <stp>BDP|11435710808379967241</stp>
        <tr r="C378" s="2"/>
      </tp>
      <tp t="s">
        <v>#N/A N/A</v>
        <stp/>
        <stp>BDP|10361893123386060197</stp>
        <tr r="H1636" s="2"/>
      </tp>
      <tp t="s">
        <v>#N/A N/A</v>
        <stp/>
        <stp>BDP|13846806159371708266</stp>
        <tr r="D884" s="2"/>
      </tp>
      <tp t="s">
        <v>#N/A N/A</v>
        <stp/>
        <stp>BDP|12505909620103484717</stp>
        <tr r="K910" s="2"/>
      </tp>
      <tp t="s">
        <v>#N/A N/A</v>
        <stp/>
        <stp>BDP|11318847550242748307</stp>
        <tr r="F815" s="2"/>
      </tp>
      <tp t="s">
        <v>#N/A N/A</v>
        <stp/>
        <stp>BDP|12920494831039814191</stp>
        <tr r="C1128" s="2"/>
      </tp>
      <tp t="s">
        <v>#N/A N/A</v>
        <stp/>
        <stp>BDP|18175465572465791329</stp>
        <tr r="K340" s="2"/>
      </tp>
      <tp t="s">
        <v>#N/A N/A</v>
        <stp/>
        <stp>BDP|12093858374274406455</stp>
        <tr r="D1700" s="2"/>
      </tp>
      <tp t="s">
        <v>#N/A N/A</v>
        <stp/>
        <stp>BDP|17979433483141018792</stp>
        <tr r="C342" s="2"/>
      </tp>
      <tp t="s">
        <v>#N/A N/A</v>
        <stp/>
        <stp>BDP|17588352550965874981</stp>
        <tr r="S983" s="2"/>
      </tp>
      <tp t="s">
        <v>#N/A N/A</v>
        <stp/>
        <stp>BDP|17984126593886050486</stp>
        <tr r="N1470" s="2"/>
      </tp>
      <tp t="s">
        <v>#N/A N/A</v>
        <stp/>
        <stp>BDP|14601746788101243786</stp>
        <tr r="Q1635" s="2"/>
      </tp>
      <tp t="s">
        <v>#N/A N/A</v>
        <stp/>
        <stp>BDP|18273273334191379527</stp>
        <tr r="G242" s="2"/>
      </tp>
      <tp t="s">
        <v>#N/A N/A</v>
        <stp/>
        <stp>BDP|17868192311409274323</stp>
        <tr r="A1340" s="2"/>
      </tp>
      <tp t="s">
        <v>#N/A N/A</v>
        <stp/>
        <stp>BDP|12467753686571474133</stp>
        <tr r="C33" s="2"/>
      </tp>
      <tp t="s">
        <v>#N/A N/A</v>
        <stp/>
        <stp>BDP|14092435296153518737</stp>
        <tr r="C840" s="2"/>
      </tp>
      <tp t="s">
        <v>#N/A N/A</v>
        <stp/>
        <stp>BDP|18017936854540316978</stp>
        <tr r="H1055" s="2"/>
      </tp>
      <tp t="s">
        <v>#N/A N/A</v>
        <stp/>
        <stp>BDP|16938819026650578180</stp>
        <tr r="H713" s="2"/>
      </tp>
      <tp t="s">
        <v>#N/A N/A</v>
        <stp/>
        <stp>BDP|14863848209537276647</stp>
        <tr r="S1423" s="2"/>
      </tp>
      <tp t="s">
        <v>#N/A N/A</v>
        <stp/>
        <stp>BDP|17784610100559321564</stp>
        <tr r="Q1099" s="2"/>
      </tp>
      <tp t="s">
        <v>#N/A N/A</v>
        <stp/>
        <stp>BDS|18070961320547584930</stp>
        <tr r="I1314" s="2"/>
      </tp>
      <tp t="s">
        <v>#N/A N/A</v>
        <stp/>
        <stp>BDP|11964851504615295192</stp>
        <tr r="K1285" s="2"/>
      </tp>
      <tp t="s">
        <v>#N/A N/A</v>
        <stp/>
        <stp>BDP|14495787499607310053</stp>
        <tr r="J1341" s="2"/>
      </tp>
      <tp t="s">
        <v>#N/A N/A</v>
        <stp/>
        <stp>BDP|18348386388916324830</stp>
        <tr r="F1041" s="2"/>
      </tp>
      <tp t="s">
        <v>#N/A N/A</v>
        <stp/>
        <stp>BDP|18375107614330534519</stp>
        <tr r="R471" s="2"/>
      </tp>
      <tp t="s">
        <v>#N/A N/A</v>
        <stp/>
        <stp>BDP|10417802915210608448</stp>
        <tr r="A1512" s="2"/>
      </tp>
      <tp t="s">
        <v>#N/A N/A</v>
        <stp/>
        <stp>BDP|15133408684927787313</stp>
        <tr r="K1068" s="2"/>
      </tp>
      <tp t="s">
        <v>#N/A N/A</v>
        <stp/>
        <stp>BDP|17468958621774304501</stp>
        <tr r="D1343" s="2"/>
      </tp>
      <tp t="s">
        <v>#N/A N/A</v>
        <stp/>
        <stp>BDP|17009502372878310024</stp>
        <tr r="D263" s="2"/>
      </tp>
      <tp t="s">
        <v>#N/A N/A</v>
        <stp/>
        <stp>BDP|15991574490215888158</stp>
        <tr r="R64" s="2"/>
      </tp>
      <tp t="s">
        <v>#N/A N/A</v>
        <stp/>
        <stp>BDP|14258860060963421431</stp>
        <tr r="T82" s="2"/>
      </tp>
      <tp t="s">
        <v>#N/A N/A</v>
        <stp/>
        <stp>BDP|17849812909881271317</stp>
        <tr r="H813" s="2"/>
      </tp>
      <tp t="s">
        <v>#N/A N/A</v>
        <stp/>
        <stp>BDS|13035095899134794373</stp>
        <tr r="I1038" s="2"/>
      </tp>
      <tp t="s">
        <v>#N/A N/A</v>
        <stp/>
        <stp>BDP|10187722015633574806</stp>
        <tr r="K1406" s="2"/>
      </tp>
      <tp t="s">
        <v>#N/A N/A</v>
        <stp/>
        <stp>BDP|11391980529867896094</stp>
        <tr r="F1030" s="2"/>
      </tp>
      <tp t="s">
        <v>#N/A N/A</v>
        <stp/>
        <stp>BDP|12756426691231347349</stp>
        <tr r="A188" s="2"/>
      </tp>
      <tp t="s">
        <v>#N/A N/A</v>
        <stp/>
        <stp>BDP|18352857426789589661</stp>
        <tr r="M156" s="2"/>
      </tp>
      <tp t="s">
        <v>#N/A N/A</v>
        <stp/>
        <stp>BDP|10391520280504602440</stp>
        <tr r="G1010" s="2"/>
      </tp>
      <tp t="s">
        <v>#N/A N/A</v>
        <stp/>
        <stp>BDP|17616541286235619211</stp>
        <tr r="M929" s="2"/>
      </tp>
      <tp t="s">
        <v>#N/A N/A</v>
        <stp/>
        <stp>BDP|10078285925104918970</stp>
        <tr r="A51" s="2"/>
      </tp>
      <tp t="s">
        <v>#N/A N/A</v>
        <stp/>
        <stp>BDP|16566415610486472832</stp>
        <tr r="D1027" s="2"/>
      </tp>
      <tp t="s">
        <v>#N/A N/A</v>
        <stp/>
        <stp>BDP|14726868235524153668</stp>
        <tr r="K1229" s="2"/>
      </tp>
      <tp t="s">
        <v>#N/A N/A</v>
        <stp/>
        <stp>BDP|15276963537654793679</stp>
        <tr r="C1257" s="2"/>
      </tp>
      <tp t="s">
        <v>#N/A N/A</v>
        <stp/>
        <stp>BDP|10951389955219648218</stp>
        <tr r="P574" s="2"/>
      </tp>
      <tp t="s">
        <v>#N/A N/A</v>
        <stp/>
        <stp>BDP|13309034615358578732</stp>
        <tr r="A894" s="2"/>
      </tp>
      <tp t="s">
        <v>#N/A N/A</v>
        <stp/>
        <stp>BDP|13565221527477721940</stp>
        <tr r="G1050" s="2"/>
      </tp>
      <tp t="s">
        <v>#N/A N/A</v>
        <stp/>
        <stp>BDP|14914880039155382789</stp>
        <tr r="D76" s="2"/>
      </tp>
      <tp t="s">
        <v>#N/A N/A</v>
        <stp/>
        <stp>BDP|10896098194621177571</stp>
        <tr r="Q519" s="2"/>
      </tp>
      <tp t="s">
        <v>#N/A N/A</v>
        <stp/>
        <stp>BDP|15342616588795911304</stp>
        <tr r="S1642" s="2"/>
      </tp>
      <tp t="s">
        <v>#N/A N/A</v>
        <stp/>
        <stp>BDP|16997568978560763932</stp>
        <tr r="D324" s="2"/>
      </tp>
      <tp t="s">
        <v>#N/A N/A</v>
        <stp/>
        <stp>BDP|13655751023512221913</stp>
        <tr r="A1219" s="2"/>
      </tp>
      <tp t="s">
        <v>#N/A N/A</v>
        <stp/>
        <stp>BDP|10993244037989179583</stp>
        <tr r="H1061" s="2"/>
      </tp>
      <tp t="s">
        <v>#N/A N/A</v>
        <stp/>
        <stp>BDP|13621269354441780800</stp>
        <tr r="O619" s="2"/>
      </tp>
      <tp t="s">
        <v>#N/A N/A</v>
        <stp/>
        <stp>BDP|16033580662038977003</stp>
        <tr r="F135" s="2"/>
      </tp>
      <tp t="s">
        <v>#N/A N/A</v>
        <stp/>
        <stp>BDP|11304902879414040694</stp>
        <tr r="P1212" s="2"/>
      </tp>
      <tp t="s">
        <v>#N/A N/A</v>
        <stp/>
        <stp>BDP|15430881505798229881</stp>
        <tr r="R153" s="2"/>
      </tp>
      <tp t="s">
        <v>#N/A N/A</v>
        <stp/>
        <stp>BDP|15817608459963034825</stp>
        <tr r="N1114" s="2"/>
      </tp>
      <tp t="s">
        <v>#N/A N/A</v>
        <stp/>
        <stp>BDP|12668853624625022044</stp>
        <tr r="D369" s="2"/>
      </tp>
      <tp t="s">
        <v>#N/A N/A</v>
        <stp/>
        <stp>BDP|13796924051207438539</stp>
        <tr r="K1548" s="2"/>
      </tp>
      <tp t="s">
        <v>#N/A N/A</v>
        <stp/>
        <stp>BDP|14996850926977136486</stp>
        <tr r="A837" s="2"/>
      </tp>
      <tp t="s">
        <v>#N/A N/A</v>
        <stp/>
        <stp>BDP|14965676782423769487</stp>
        <tr r="D1281" s="2"/>
      </tp>
      <tp t="s">
        <v>#N/A N/A</v>
        <stp/>
        <stp>BDP|18144344221596259255</stp>
        <tr r="N827" s="2"/>
      </tp>
      <tp t="s">
        <v>#N/A N/A</v>
        <stp/>
        <stp>BDP|13632761787579031841</stp>
        <tr r="E585" s="2"/>
      </tp>
      <tp t="s">
        <v>#N/A N/A</v>
        <stp/>
        <stp>BDP|10920187998787203287</stp>
        <tr r="D1444" s="2"/>
      </tp>
      <tp t="s">
        <v>#N/A N/A</v>
        <stp/>
        <stp>BDP|12197899531505960136</stp>
        <tr r="J81" s="2"/>
      </tp>
      <tp t="s">
        <v>#N/A N/A</v>
        <stp/>
        <stp>BDP|18339604583483169821</stp>
        <tr r="H618" s="2"/>
      </tp>
      <tp t="s">
        <v>#N/A N/A</v>
        <stp/>
        <stp>BDP|12758597669269244560</stp>
        <tr r="G1422" s="2"/>
      </tp>
      <tp t="s">
        <v>#N/A N/A</v>
        <stp/>
        <stp>BDP|10473056961603255816</stp>
        <tr r="M1281" s="2"/>
      </tp>
      <tp t="s">
        <v>#N/A N/A</v>
        <stp/>
        <stp>BDP|16683204745724380937</stp>
        <tr r="G477" s="2"/>
      </tp>
      <tp t="s">
        <v>#N/A N/A</v>
        <stp/>
        <stp>BDP|12010065697550232606</stp>
        <tr r="E493" s="2"/>
      </tp>
      <tp t="s">
        <v>#N/A N/A</v>
        <stp/>
        <stp>BDP|11890958989248318559</stp>
        <tr r="F757" s="2"/>
      </tp>
      <tp t="s">
        <v>#N/A N/A</v>
        <stp/>
        <stp>BDP|18194295676777976756</stp>
        <tr r="J1515" s="2"/>
      </tp>
      <tp t="s">
        <v>#N/A N/A</v>
        <stp/>
        <stp>BDP|17790334908720859965</stp>
        <tr r="G1298" s="2"/>
      </tp>
      <tp t="s">
        <v>#N/A N/A</v>
        <stp/>
        <stp>BDP|12364119274569507013</stp>
        <tr r="C1472" s="2"/>
      </tp>
      <tp t="s">
        <v>#N/A N/A</v>
        <stp/>
        <stp>BDS|13667756703341522849</stp>
        <tr r="I1508" s="2"/>
      </tp>
      <tp t="s">
        <v>#N/A N/A</v>
        <stp/>
        <stp>BDP|13855102750658296280</stp>
        <tr r="J95" s="2"/>
      </tp>
      <tp t="s">
        <v>#N/A N/A</v>
        <stp/>
        <stp>BDP|12395764171018516734</stp>
        <tr r="N991" s="2"/>
      </tp>
      <tp t="s">
        <v>#N/A N/A</v>
        <stp/>
        <stp>BDP|16980436907557627897</stp>
        <tr r="P1689" s="2"/>
      </tp>
      <tp t="s">
        <v>#N/A N/A</v>
        <stp/>
        <stp>BDP|17514740621168080726</stp>
        <tr r="F470" s="2"/>
      </tp>
      <tp t="s">
        <v>#N/A N/A</v>
        <stp/>
        <stp>BDP|14380661123544204962</stp>
        <tr r="O543" s="2"/>
      </tp>
      <tp t="s">
        <v>#N/A N/A</v>
        <stp/>
        <stp>BDP|17013607257978433111</stp>
        <tr r="N911" s="2"/>
      </tp>
      <tp t="s">
        <v>#N/A N/A</v>
        <stp/>
        <stp>BDP|13752650991826448754</stp>
        <tr r="H578" s="2"/>
      </tp>
      <tp t="s">
        <v>#N/A N/A</v>
        <stp/>
        <stp>BDP|11496956827073175454</stp>
        <tr r="O1184" s="2"/>
      </tp>
      <tp t="s">
        <v>#N/A N/A</v>
        <stp/>
        <stp>BDS|15059681846409699395</stp>
        <tr r="I116" s="2"/>
      </tp>
      <tp t="s">
        <v>#N/A N/A</v>
        <stp/>
        <stp>BDP|14544692498234418229</stp>
        <tr r="K1698" s="2"/>
      </tp>
      <tp t="s">
        <v>#N/A N/A</v>
        <stp/>
        <stp>BDP|14696900232072579132</stp>
        <tr r="E243" s="2"/>
      </tp>
      <tp t="s">
        <v>#N/A N/A</v>
        <stp/>
        <stp>BDP|16858747375759962220</stp>
        <tr r="A1439" s="2"/>
      </tp>
      <tp t="s">
        <v>#N/A N/A</v>
        <stp/>
        <stp>BDP|10961143973539925251</stp>
        <tr r="R1712" s="2"/>
      </tp>
      <tp t="s">
        <v>#N/A N/A</v>
        <stp/>
        <stp>BDP|16788817422688131979</stp>
        <tr r="J927" s="2"/>
      </tp>
      <tp t="s">
        <v>#N/A N/A</v>
        <stp/>
        <stp>BDP|11113458684587660748</stp>
        <tr r="T803" s="2"/>
      </tp>
      <tp t="s">
        <v>#N/A N/A</v>
        <stp/>
        <stp>BDP|13030831782396113822</stp>
        <tr r="P984" s="2"/>
      </tp>
      <tp t="s">
        <v>#N/A N/A</v>
        <stp/>
        <stp>BDP|11799053640151414948</stp>
        <tr r="A570" s="2"/>
      </tp>
      <tp t="s">
        <v>#N/A N/A</v>
        <stp/>
        <stp>BDP|12231076134019750542</stp>
        <tr r="T1404" s="2"/>
      </tp>
      <tp t="s">
        <v>#N/A N/A</v>
        <stp/>
        <stp>BDP|10500763155849406609</stp>
        <tr r="K1321" s="2"/>
      </tp>
      <tp t="s">
        <v>#N/A N/A</v>
        <stp/>
        <stp>BDP|15263732703489282629</stp>
        <tr r="F454" s="2"/>
      </tp>
      <tp t="s">
        <v>#N/A N/A</v>
        <stp/>
        <stp>BDP|17339740109739503495</stp>
        <tr r="A911" s="2"/>
      </tp>
      <tp t="s">
        <v>#N/A N/A</v>
        <stp/>
        <stp>BDP|13917545478454462837</stp>
        <tr r="K1430" s="2"/>
      </tp>
      <tp t="s">
        <v>#N/A N/A</v>
        <stp/>
        <stp>BDS|11048786095506401487</stp>
        <tr r="I711" s="2"/>
      </tp>
      <tp t="s">
        <v>#N/A N/A</v>
        <stp/>
        <stp>BDP|17343552584706602161</stp>
        <tr r="N707" s="2"/>
      </tp>
      <tp t="s">
        <v>#N/A N/A</v>
        <stp/>
        <stp>BDP|13426430937288040124</stp>
        <tr r="F902" s="2"/>
      </tp>
      <tp t="s">
        <v>#N/A N/A</v>
        <stp/>
        <stp>BDP|13504554254516546835</stp>
        <tr r="M1008" s="2"/>
      </tp>
      <tp t="s">
        <v>#N/A N/A</v>
        <stp/>
        <stp>BDP|14696318207952501878</stp>
        <tr r="S517" s="2"/>
      </tp>
      <tp t="s">
        <v>#N/A N/A</v>
        <stp/>
        <stp>BDP|14930286122900682974</stp>
        <tr r="S888" s="2"/>
      </tp>
      <tp t="s">
        <v>#N/A N/A</v>
        <stp/>
        <stp>BDP|12969584693714972795</stp>
        <tr r="N432" s="2"/>
      </tp>
      <tp t="s">
        <v>#N/A N/A</v>
        <stp/>
        <stp>BDP|16723315232462679903</stp>
        <tr r="D854" s="2"/>
      </tp>
      <tp t="s">
        <v>#N/A N/A</v>
        <stp/>
        <stp>BDP|11780929272060337265</stp>
        <tr r="K305" s="2"/>
      </tp>
      <tp t="s">
        <v>#N/A N/A</v>
        <stp/>
        <stp>BDP|10367272972898031049</stp>
        <tr r="M1076" s="2"/>
      </tp>
      <tp t="s">
        <v>#N/A N/A</v>
        <stp/>
        <stp>BDP|10303961856911568048</stp>
        <tr r="M619" s="2"/>
      </tp>
      <tp t="s">
        <v>#N/A N/A</v>
        <stp/>
        <stp>BDP|16863518588821486778</stp>
        <tr r="H254" s="2"/>
      </tp>
      <tp t="s">
        <v>#N/A N/A</v>
        <stp/>
        <stp>BDP|12008349728838800664</stp>
        <tr r="P1049" s="2"/>
      </tp>
      <tp t="s">
        <v>#N/A N/A</v>
        <stp/>
        <stp>BDP|14672151143654652840</stp>
        <tr r="N1526" s="2"/>
      </tp>
      <tp t="s">
        <v>#N/A N/A</v>
        <stp/>
        <stp>BDP|13465761698244924412</stp>
        <tr r="J641" s="2"/>
      </tp>
      <tp t="s">
        <v>#N/A N/A</v>
        <stp/>
        <stp>BDP|15107477330387411801</stp>
        <tr r="O606" s="2"/>
      </tp>
      <tp t="s">
        <v>#N/A N/A</v>
        <stp/>
        <stp>BDP|18071154416753318621</stp>
        <tr r="C791" s="2"/>
      </tp>
      <tp t="s">
        <v>#N/A N/A</v>
        <stp/>
        <stp>BDP|15107710642729120211</stp>
        <tr r="K41" s="2"/>
      </tp>
      <tp t="s">
        <v>#N/A N/A</v>
        <stp/>
        <stp>BDP|15713130531943618962</stp>
        <tr r="C591" s="2"/>
      </tp>
      <tp t="s">
        <v>#N/A N/A</v>
        <stp/>
        <stp>BDP|16797255633568353277</stp>
        <tr r="D554" s="2"/>
      </tp>
      <tp t="s">
        <v>#N/A N/A</v>
        <stp/>
        <stp>BDP|12568764781230682012</stp>
        <tr r="N913" s="2"/>
      </tp>
      <tp t="s">
        <v>#N/A N/A</v>
        <stp/>
        <stp>BDP|13616979312187154176</stp>
        <tr r="E1047" s="2"/>
      </tp>
      <tp t="s">
        <v>#N/A N/A</v>
        <stp/>
        <stp>BDP|10072875654858140874</stp>
        <tr r="N1199" s="2"/>
      </tp>
      <tp t="s">
        <v>#N/A N/A</v>
        <stp/>
        <stp>BDP|10551650552536135869</stp>
        <tr r="M730" s="2"/>
      </tp>
      <tp t="s">
        <v>#N/A N/A</v>
        <stp/>
        <stp>BDP|13982409537749287096</stp>
        <tr r="E1650" s="2"/>
      </tp>
      <tp t="s">
        <v>#N/A N/A</v>
        <stp/>
        <stp>BDP|16596029588147810428</stp>
        <tr r="F1089" s="2"/>
      </tp>
      <tp t="s">
        <v>#N/A N/A</v>
        <stp/>
        <stp>BDP|10004440337803221942</stp>
        <tr r="G931" s="2"/>
      </tp>
      <tp t="s">
        <v>#N/A N/A</v>
        <stp/>
        <stp>BDP|10759488390310287089</stp>
        <tr r="K1753" s="2"/>
      </tp>
      <tp t="s">
        <v>#N/A N/A</v>
        <stp/>
        <stp>BDP|17537609544411226963</stp>
        <tr r="C35" s="2"/>
      </tp>
      <tp t="s">
        <v>#N/A N/A</v>
        <stp/>
        <stp>BDP|17015010408802446883</stp>
        <tr r="S1128" s="2"/>
      </tp>
      <tp t="s">
        <v>#N/A N/A</v>
        <stp/>
        <stp>BDP|16740051587641483245</stp>
        <tr r="T62" s="2"/>
      </tp>
      <tp t="s">
        <v>#N/A N/A</v>
        <stp/>
        <stp>BDP|12167421083884778725</stp>
        <tr r="M972" s="2"/>
      </tp>
      <tp t="s">
        <v>#N/A N/A</v>
        <stp/>
        <stp>BDP|17952638740270773885</stp>
        <tr r="M2" s="2"/>
      </tp>
      <tp t="s">
        <v>#N/A N/A</v>
        <stp/>
        <stp>BDP|11384632685627900591</stp>
        <tr r="A1438" s="2"/>
      </tp>
      <tp t="s">
        <v>#N/A N/A</v>
        <stp/>
        <stp>BDP|17580755282563724607</stp>
        <tr r="O730" s="2"/>
      </tp>
      <tp t="s">
        <v>#N/A N/A</v>
        <stp/>
        <stp>BDP|17414302910179081116</stp>
        <tr r="Q1490" s="2"/>
      </tp>
      <tp t="s">
        <v>#N/A N/A</v>
        <stp/>
        <stp>BDP|14981875020276974524</stp>
        <tr r="C458" s="2"/>
      </tp>
      <tp t="s">
        <v>#N/A N/A</v>
        <stp/>
        <stp>BDP|14041042945275101857</stp>
        <tr r="S767" s="2"/>
      </tp>
      <tp t="s">
        <v>#N/A N/A</v>
        <stp/>
        <stp>BDP|15867632840029704397</stp>
        <tr r="C546" s="2"/>
      </tp>
      <tp t="s">
        <v>#N/A N/A</v>
        <stp/>
        <stp>BDP|10710930105323571716</stp>
        <tr r="N1606" s="2"/>
      </tp>
      <tp t="s">
        <v>#N/A N/A</v>
        <stp/>
        <stp>BDP|10874158836218791796</stp>
        <tr r="S1266" s="2"/>
      </tp>
      <tp t="s">
        <v>#N/A N/A</v>
        <stp/>
        <stp>BDP|13048956967503403235</stp>
        <tr r="R724" s="2"/>
      </tp>
      <tp t="s">
        <v>#N/A N/A</v>
        <stp/>
        <stp>BDP|10690498619921118929</stp>
        <tr r="N1157" s="2"/>
      </tp>
      <tp t="s">
        <v>#N/A N/A</v>
        <stp/>
        <stp>BDP|10699446035649611348</stp>
        <tr r="S1414" s="2"/>
      </tp>
      <tp t="s">
        <v>#N/A N/A</v>
        <stp/>
        <stp>BDP|17194926171831203557</stp>
        <tr r="F133" s="2"/>
      </tp>
      <tp t="s">
        <v>#N/A N/A</v>
        <stp/>
        <stp>BDP|13323085957538119383</stp>
        <tr r="D1400" s="2"/>
      </tp>
      <tp t="s">
        <v>#N/A N/A</v>
        <stp/>
        <stp>BDP|13008837855254316704</stp>
        <tr r="O1145" s="2"/>
      </tp>
      <tp t="s">
        <v>#N/A N/A</v>
        <stp/>
        <stp>BDP|15621160585539905897</stp>
        <tr r="S92" s="2"/>
      </tp>
      <tp t="s">
        <v>#N/A N/A</v>
        <stp/>
        <stp>BDP|15728355750188448635</stp>
        <tr r="O994" s="2"/>
      </tp>
      <tp t="s">
        <v>#N/A N/A</v>
        <stp/>
        <stp>BDP|17490110319823924904</stp>
        <tr r="P390" s="2"/>
      </tp>
      <tp t="s">
        <v>#N/A N/A</v>
        <stp/>
        <stp>BDP|15815327266765864811</stp>
        <tr r="C882" s="2"/>
      </tp>
      <tp t="s">
        <v>#N/A N/A</v>
        <stp/>
        <stp>BDP|11467645386695569765</stp>
        <tr r="T1472" s="2"/>
      </tp>
      <tp t="s">
        <v>#N/A N/A</v>
        <stp/>
        <stp>BDP|16760972645710610664</stp>
        <tr r="H574" s="2"/>
      </tp>
      <tp t="s">
        <v>#N/A N/A</v>
        <stp/>
        <stp>BDP|15010121476029237735</stp>
        <tr r="H1174" s="2"/>
      </tp>
      <tp t="s">
        <v>#N/A N/A</v>
        <stp/>
        <stp>BDP|14954972290140880938</stp>
        <tr r="A699" s="2"/>
      </tp>
      <tp t="s">
        <v>#N/A N/A</v>
        <stp/>
        <stp>BDP|11845402664388007690</stp>
        <tr r="P23" s="2"/>
      </tp>
      <tp t="s">
        <v>#N/A N/A</v>
        <stp/>
        <stp>BDP|17064862807413171152</stp>
        <tr r="K168" s="2"/>
      </tp>
      <tp t="s">
        <v>#N/A N/A</v>
        <stp/>
        <stp>BDP|10477037504409258444</stp>
        <tr r="P1158" s="2"/>
      </tp>
      <tp t="s">
        <v>#N/A N/A</v>
        <stp/>
        <stp>BDP|15463983819785516556</stp>
        <tr r="P832" s="2"/>
      </tp>
      <tp t="s">
        <v>#N/A N/A</v>
        <stp/>
        <stp>BDP|13456984676151752180</stp>
        <tr r="S1430" s="2"/>
      </tp>
      <tp t="s">
        <v>#N/A N/A</v>
        <stp/>
        <stp>BDP|11478867163792660024</stp>
        <tr r="H478" s="2"/>
      </tp>
      <tp t="s">
        <v>#N/A N/A</v>
        <stp/>
        <stp>BDP|18106743004733065147</stp>
        <tr r="O453" s="2"/>
      </tp>
      <tp t="s">
        <v>#N/A N/A</v>
        <stp/>
        <stp>BDS|14438705163861082912</stp>
        <tr r="I543" s="2"/>
      </tp>
      <tp t="s">
        <v>#N/A N/A</v>
        <stp/>
        <stp>BDP|18134667637470039057</stp>
        <tr r="D334" s="2"/>
      </tp>
      <tp t="s">
        <v>#N/A N/A</v>
        <stp/>
        <stp>BDP|15995674824549949568</stp>
        <tr r="P594" s="2"/>
      </tp>
      <tp t="s">
        <v>#N/A N/A</v>
        <stp/>
        <stp>BDP|10339527250118589519</stp>
        <tr r="H614" s="2"/>
      </tp>
      <tp t="s">
        <v>#N/A N/A</v>
        <stp/>
        <stp>BDP|10578419498093987302</stp>
        <tr r="C712" s="2"/>
      </tp>
      <tp t="s">
        <v>#N/A N/A</v>
        <stp/>
        <stp>BDP|15251167460987159815</stp>
        <tr r="K615" s="2"/>
      </tp>
      <tp t="s">
        <v>#N/A N/A</v>
        <stp/>
        <stp>BDP|17409960952907711133</stp>
        <tr r="D943" s="2"/>
      </tp>
      <tp t="s">
        <v>#N/A N/A</v>
        <stp/>
        <stp>BDP|11682854755813661248</stp>
        <tr r="T1503" s="2"/>
      </tp>
      <tp t="s">
        <v>#N/A N/A</v>
        <stp/>
        <stp>BDP|18172106456036493772</stp>
        <tr r="O764" s="2"/>
      </tp>
      <tp t="s">
        <v>#N/A N/A</v>
        <stp/>
        <stp>BDP|13530103604837137841</stp>
        <tr r="T1113" s="2"/>
      </tp>
      <tp t="s">
        <v>#N/A N/A</v>
        <stp/>
        <stp>BDP|12840197880301385761</stp>
        <tr r="J286" s="2"/>
      </tp>
      <tp t="s">
        <v>#N/A N/A</v>
        <stp/>
        <stp>BDP|11674729822231433866</stp>
        <tr r="E1735" s="2"/>
      </tp>
      <tp t="s">
        <v>#N/A N/A</v>
        <stp/>
        <stp>BDP|17134772076908051244</stp>
        <tr r="T1204" s="2"/>
      </tp>
      <tp t="s">
        <v>#N/A N/A</v>
        <stp/>
        <stp>BDP|10610865437000580665</stp>
        <tr r="A1024" s="2"/>
      </tp>
      <tp t="s">
        <v>#N/A N/A</v>
        <stp/>
        <stp>BDP|13707140009938863766</stp>
        <tr r="J1133" s="2"/>
      </tp>
      <tp t="s">
        <v>#N/A N/A</v>
        <stp/>
        <stp>BDP|16107625411338797416</stp>
        <tr r="K1727" s="2"/>
      </tp>
      <tp t="s">
        <v>#N/A N/A</v>
        <stp/>
        <stp>BDP|18442973385830655443</stp>
        <tr r="C1238" s="2"/>
      </tp>
      <tp t="s">
        <v>#N/A N/A</v>
        <stp/>
        <stp>BDP|12894623392431552192</stp>
        <tr r="G1567" s="2"/>
      </tp>
      <tp t="s">
        <v>#N/A N/A</v>
        <stp/>
        <stp>BDP|11399643003188473245</stp>
        <tr r="G776" s="2"/>
      </tp>
      <tp t="s">
        <v>#N/A N/A</v>
        <stp/>
        <stp>BDP|12163740780228349828</stp>
        <tr r="O718" s="2"/>
      </tp>
      <tp t="s">
        <v>#N/A N/A</v>
        <stp/>
        <stp>BDP|12612620960907045804</stp>
        <tr r="R1211" s="2"/>
      </tp>
      <tp t="s">
        <v>#N/A N/A</v>
        <stp/>
        <stp>BDP|12646579535551718871</stp>
        <tr r="H750" s="2"/>
      </tp>
      <tp t="s">
        <v>#N/A N/A</v>
        <stp/>
        <stp>BDP|14995135539772636910</stp>
        <tr r="O439" s="2"/>
      </tp>
      <tp t="s">
        <v>#N/A N/A</v>
        <stp/>
        <stp>BDP|18057872856790514809</stp>
        <tr r="M1633" s="2"/>
      </tp>
      <tp t="s">
        <v>#N/A N/A</v>
        <stp/>
        <stp>BDP|10157798024000927810</stp>
        <tr r="E324" s="2"/>
      </tp>
      <tp t="s">
        <v>#N/A N/A</v>
        <stp/>
        <stp>BDP|11974098210275130850</stp>
        <tr r="C806" s="2"/>
      </tp>
      <tp t="s">
        <v>#N/A N/A</v>
        <stp/>
        <stp>BDP|10256852365101087260</stp>
        <tr r="C733" s="2"/>
      </tp>
      <tp t="s">
        <v>#N/A N/A</v>
        <stp/>
        <stp>BDP|10690278198043443598</stp>
        <tr r="Q970" s="2"/>
      </tp>
      <tp t="s">
        <v>#N/A N/A</v>
        <stp/>
        <stp>BDP|12379522981466380474</stp>
        <tr r="H466" s="2"/>
      </tp>
      <tp t="s">
        <v>#N/A N/A</v>
        <stp/>
        <stp>BDP|16796603191825176138</stp>
        <tr r="R314" s="2"/>
      </tp>
      <tp t="s">
        <v>#N/A N/A</v>
        <stp/>
        <stp>BDP|10219262082100174739</stp>
        <tr r="M1661" s="2"/>
      </tp>
      <tp t="s">
        <v>#N/A N/A</v>
        <stp/>
        <stp>BDS|15003312821821762800</stp>
        <tr r="I1027" s="2"/>
      </tp>
      <tp t="s">
        <v>#N/A N/A</v>
        <stp/>
        <stp>BDP|14965144749945115916</stp>
        <tr r="K295" s="2"/>
      </tp>
      <tp t="s">
        <v>#N/A N/A</v>
        <stp/>
        <stp>BDP|12971244858459109104</stp>
        <tr r="S1221" s="2"/>
      </tp>
      <tp t="s">
        <v>#N/A N/A</v>
        <stp/>
        <stp>BDP|11687833062064189621</stp>
        <tr r="E728" s="2"/>
      </tp>
      <tp t="s">
        <v>#N/A N/A</v>
        <stp/>
        <stp>BDP|10113931929571868771</stp>
        <tr r="E1024" s="2"/>
      </tp>
      <tp t="s">
        <v>#N/A N/A</v>
        <stp/>
        <stp>BDP|11135968726965197249</stp>
        <tr r="P1415" s="2"/>
      </tp>
      <tp t="s">
        <v>#N/A N/A</v>
        <stp/>
        <stp>BDP|10981998253339762807</stp>
        <tr r="R732" s="2"/>
      </tp>
      <tp t="s">
        <v>#N/A N/A</v>
        <stp/>
        <stp>BDP|10248360362459079126</stp>
        <tr r="N1355" s="2"/>
      </tp>
      <tp t="s">
        <v>#N/A N/A</v>
        <stp/>
        <stp>BDP|16247601468258641382</stp>
        <tr r="C1673" s="2"/>
      </tp>
      <tp t="s">
        <v>#N/A N/A</v>
        <stp/>
        <stp>BDP|11125911310380657425</stp>
        <tr r="A544" s="2"/>
      </tp>
      <tp t="s">
        <v>#N/A N/A</v>
        <stp/>
        <stp>BDP|12950238034336992837</stp>
        <tr r="A1610" s="2"/>
      </tp>
      <tp t="s">
        <v>#N/A N/A</v>
        <stp/>
        <stp>BDP|14875019581246487784</stp>
        <tr r="R1563" s="2"/>
      </tp>
      <tp t="s">
        <v>#N/A N/A</v>
        <stp/>
        <stp>BDS|10607954920273005541</stp>
        <tr r="I1215" s="2"/>
      </tp>
      <tp t="s">
        <v>#N/A N/A</v>
        <stp/>
        <stp>BDP|13238833224371649570</stp>
        <tr r="K132" s="2"/>
      </tp>
      <tp t="s">
        <v>#N/A N/A</v>
        <stp/>
        <stp>BDP|12860256887783907670</stp>
        <tr r="R161" s="2"/>
      </tp>
      <tp t="s">
        <v>#N/A N/A</v>
        <stp/>
        <stp>BDP|15839113619218633027</stp>
        <tr r="R1606" s="2"/>
      </tp>
      <tp t="s">
        <v>#N/A N/A</v>
        <stp/>
        <stp>BDP|10551233746049669226</stp>
        <tr r="Q1565" s="2"/>
      </tp>
      <tp t="s">
        <v>#N/A N/A</v>
        <stp/>
        <stp>BDP|17610322280090841181</stp>
        <tr r="M1715" s="2"/>
      </tp>
      <tp t="s">
        <v>#N/A N/A</v>
        <stp/>
        <stp>BDP|12915079937054446899</stp>
        <tr r="E1242" s="2"/>
      </tp>
      <tp t="s">
        <v>#N/A N/A</v>
        <stp/>
        <stp>BDP|12546105840303183931</stp>
        <tr r="E813" s="2"/>
      </tp>
      <tp t="s">
        <v>#N/A N/A</v>
        <stp/>
        <stp>BDP|16743329305140449833</stp>
        <tr r="A929" s="2"/>
      </tp>
      <tp t="s">
        <v>#N/A N/A</v>
        <stp/>
        <stp>BDP|11938988317443976783</stp>
        <tr r="E960" s="2"/>
      </tp>
      <tp t="s">
        <v>#N/A N/A</v>
        <stp/>
        <stp>BDS|16652029809288976303</stp>
        <tr r="I676" s="2"/>
      </tp>
      <tp t="s">
        <v>#N/A N/A</v>
        <stp/>
        <stp>BDP|11989855448331729146</stp>
        <tr r="R120" s="2"/>
      </tp>
      <tp t="s">
        <v>#N/A N/A</v>
        <stp/>
        <stp>BDP|11804737098453117158</stp>
        <tr r="S1064" s="2"/>
      </tp>
      <tp t="s">
        <v>#N/A N/A</v>
        <stp/>
        <stp>BDP|15912665451878831315</stp>
        <tr r="A57" s="2"/>
      </tp>
      <tp t="s">
        <v>#N/A N/A</v>
        <stp/>
        <stp>BDP|17316921203990182348</stp>
        <tr r="H581" s="2"/>
      </tp>
      <tp t="s">
        <v>#N/A N/A</v>
        <stp/>
        <stp>BDP|10605995540251199196</stp>
        <tr r="R1310" s="2"/>
      </tp>
      <tp t="s">
        <v>#N/A N/A</v>
        <stp/>
        <stp>BDP|15088873007479306947</stp>
        <tr r="P814" s="2"/>
      </tp>
      <tp t="s">
        <v>#N/A N/A</v>
        <stp/>
        <stp>BDP|17004415856519184210</stp>
        <tr r="H1393" s="2"/>
      </tp>
      <tp t="s">
        <v>#N/A N/A</v>
        <stp/>
        <stp>BDP|14739804832380051229</stp>
        <tr r="C1332" s="2"/>
      </tp>
      <tp t="s">
        <v>#N/A N/A</v>
        <stp/>
        <stp>BDP|14047820344950504545</stp>
        <tr r="D400" s="2"/>
      </tp>
      <tp t="s">
        <v>#N/A N/A</v>
        <stp/>
        <stp>BDP|15709025897870603135</stp>
        <tr r="S86" s="2"/>
      </tp>
      <tp t="s">
        <v>#N/A N/A</v>
        <stp/>
        <stp>BDP|15570968351370274473</stp>
        <tr r="P895" s="2"/>
      </tp>
      <tp t="s">
        <v>#N/A N/A</v>
        <stp/>
        <stp>BDP|17851242363857905917</stp>
        <tr r="R1110" s="2"/>
      </tp>
      <tp t="s">
        <v>#N/A N/A</v>
        <stp/>
        <stp>BDP|16671069380590623316</stp>
        <tr r="M358" s="2"/>
      </tp>
      <tp t="s">
        <v>#N/A N/A</v>
        <stp/>
        <stp>BDP|10738795987063708198</stp>
        <tr r="H184" s="2"/>
      </tp>
      <tp t="s">
        <v>#N/A N/A</v>
        <stp/>
        <stp>BDP|11583496634393903863</stp>
        <tr r="M824" s="2"/>
      </tp>
      <tp t="s">
        <v>#N/A N/A</v>
        <stp/>
        <stp>BDP|11129408568067811965</stp>
        <tr r="S1561" s="2"/>
      </tp>
      <tp t="s">
        <v>#N/A N/A</v>
        <stp/>
        <stp>BDP|10937255702489082694</stp>
        <tr r="H1426" s="2"/>
      </tp>
      <tp t="s">
        <v>#N/A N/A</v>
        <stp/>
        <stp>BDP|15780551745059922095</stp>
        <tr r="M1168" s="2"/>
      </tp>
      <tp t="s">
        <v>#N/A N/A</v>
        <stp/>
        <stp>BDP|16474054317969842390</stp>
        <tr r="S686" s="2"/>
      </tp>
      <tp t="s">
        <v>#N/A N/A</v>
        <stp/>
        <stp>BDP|10250256420945125815</stp>
        <tr r="N1653" s="2"/>
      </tp>
      <tp t="s">
        <v>#N/A N/A</v>
        <stp/>
        <stp>BDS|10025351348078070299</stp>
        <tr r="I238" s="2"/>
      </tp>
      <tp t="s">
        <v>#N/A N/A</v>
        <stp/>
        <stp>BDP|16095465040398252336</stp>
        <tr r="C758" s="2"/>
      </tp>
      <tp t="s">
        <v>#N/A N/A</v>
        <stp/>
        <stp>BDP|15288369363078796574</stp>
        <tr r="P939" s="2"/>
      </tp>
      <tp t="s">
        <v>#N/A N/A</v>
        <stp/>
        <stp>BDP|14816179696641953077</stp>
        <tr r="N544" s="2"/>
      </tp>
      <tp t="s">
        <v>#N/A N/A</v>
        <stp/>
        <stp>BDP|12660722012770861999</stp>
        <tr r="J1103" s="2"/>
      </tp>
      <tp t="s">
        <v>#N/A N/A</v>
        <stp/>
        <stp>BDP|13281846298756865913</stp>
        <tr r="T1702" s="2"/>
      </tp>
      <tp t="s">
        <v>#N/A N/A</v>
        <stp/>
        <stp>BDP|18341747454535094243</stp>
        <tr r="J378" s="2"/>
      </tp>
      <tp t="s">
        <v>#N/A N/A</v>
        <stp/>
        <stp>BDP|17245966771922799651</stp>
        <tr r="J1322" s="2"/>
      </tp>
      <tp t="s">
        <v>#N/A N/A</v>
        <stp/>
        <stp>BDP|13909840665236994668</stp>
        <tr r="N293" s="2"/>
      </tp>
      <tp t="s">
        <v>#N/A N/A</v>
        <stp/>
        <stp>BDP|13543978473096295646</stp>
        <tr r="F853" s="2"/>
      </tp>
      <tp t="s">
        <v>#N/A N/A</v>
        <stp/>
        <stp>BDP|16795835856141084757</stp>
        <tr r="D73" s="2"/>
      </tp>
      <tp t="s">
        <v>#N/A N/A</v>
        <stp/>
        <stp>BDP|13331207054231347830</stp>
        <tr r="Q549" s="2"/>
      </tp>
      <tp t="s">
        <v>#N/A N/A</v>
        <stp/>
        <stp>BDP|10208392388394406203</stp>
        <tr r="P615" s="2"/>
      </tp>
      <tp t="s">
        <v>#N/A N/A</v>
        <stp/>
        <stp>BDP|15478915704586617704</stp>
        <tr r="F296" s="2"/>
      </tp>
      <tp t="s">
        <v>#N/A N/A</v>
        <stp/>
        <stp>BDS|16372596764398320091</stp>
        <tr r="I1531" s="2"/>
      </tp>
      <tp t="s">
        <v>#N/A N/A</v>
        <stp/>
        <stp>BDS|16278755032407658872</stp>
        <tr r="I1510" s="2"/>
      </tp>
      <tp t="s">
        <v>#N/A N/A</v>
        <stp/>
        <stp>BDP|14018534822539390758</stp>
        <tr r="R269" s="2"/>
      </tp>
      <tp t="s">
        <v>#N/A N/A</v>
        <stp/>
        <stp>BDP|14659936354182205742</stp>
        <tr r="O470" s="2"/>
      </tp>
      <tp t="s">
        <v>#N/A N/A</v>
        <stp/>
        <stp>BDP|10172169582105194136</stp>
        <tr r="P73" s="2"/>
      </tp>
      <tp t="s">
        <v>#N/A N/A</v>
        <stp/>
        <stp>BDP|14002469870829545342</stp>
        <tr r="A124" s="2"/>
      </tp>
      <tp t="s">
        <v>#N/A N/A</v>
        <stp/>
        <stp>BDP|17303349484218299965</stp>
        <tr r="G909" s="2"/>
      </tp>
      <tp t="s">
        <v>#N/A N/A</v>
        <stp/>
        <stp>BDP|10148631934339377126</stp>
        <tr r="C376" s="2"/>
      </tp>
      <tp t="s">
        <v>#N/A N/A</v>
        <stp/>
        <stp>BDP|14585911259592327798</stp>
        <tr r="A1573" s="2"/>
      </tp>
      <tp t="s">
        <v>#N/A N/A</v>
        <stp/>
        <stp>BDP|16927494195627121134</stp>
        <tr r="P962" s="2"/>
      </tp>
      <tp t="s">
        <v>#N/A N/A</v>
        <stp/>
        <stp>BDP|16607586065249555197</stp>
        <tr r="T1026" s="2"/>
      </tp>
      <tp t="s">
        <v>#N/A N/A</v>
        <stp/>
        <stp>BDP|11451710280226273506</stp>
        <tr r="M853" s="2"/>
      </tp>
      <tp t="s">
        <v>#N/A N/A</v>
        <stp/>
        <stp>BDS|11909830819152366741</stp>
        <tr r="I310" s="2"/>
      </tp>
      <tp t="s">
        <v>#N/A N/A</v>
        <stp/>
        <stp>BDP|13527707583032286338</stp>
        <tr r="T1607" s="2"/>
      </tp>
      <tp t="s">
        <v>#N/A N/A</v>
        <stp/>
        <stp>BDP|16967880706664001705</stp>
        <tr r="D196" s="2"/>
      </tp>
      <tp t="s">
        <v>#N/A N/A</v>
        <stp/>
        <stp>BDP|16961916878603514623</stp>
        <tr r="E383" s="2"/>
      </tp>
      <tp t="s">
        <v>#N/A N/A</v>
        <stp/>
        <stp>BDP|16543064202589510230</stp>
        <tr r="H687" s="2"/>
      </tp>
      <tp t="s">
        <v>#N/A N/A</v>
        <stp/>
        <stp>BDP|15891154382859800801</stp>
        <tr r="M713" s="2"/>
      </tp>
      <tp t="s">
        <v>#N/A N/A</v>
        <stp/>
        <stp>BDP|15358350411599833387</stp>
        <tr r="C53" s="2"/>
      </tp>
      <tp t="s">
        <v>#N/A N/A</v>
        <stp/>
        <stp>BDP|17406125982663168021</stp>
        <tr r="D448" s="2"/>
      </tp>
      <tp t="s">
        <v>#N/A N/A</v>
        <stp/>
        <stp>BDP|18435004414604212054</stp>
        <tr r="T568" s="2"/>
      </tp>
      <tp t="s">
        <v>#N/A N/A</v>
        <stp/>
        <stp>BDP|14799111196601146071</stp>
        <tr r="H1352" s="2"/>
      </tp>
      <tp t="s">
        <v>#N/A N/A</v>
        <stp/>
        <stp>BDP|11269466820998707253</stp>
        <tr r="O3" s="2"/>
      </tp>
      <tp t="s">
        <v>#N/A N/A</v>
        <stp/>
        <stp>BDP|17321664142140383825</stp>
        <tr r="K576" s="2"/>
      </tp>
      <tp t="s">
        <v>#N/A N/A</v>
        <stp/>
        <stp>BDP|10179539954248812584</stp>
        <tr r="T65" s="2"/>
      </tp>
      <tp t="s">
        <v>#N/A N/A</v>
        <stp/>
        <stp>BDP|18199217947791156204</stp>
        <tr r="E908" s="2"/>
      </tp>
      <tp t="s">
        <v>#N/A N/A</v>
        <stp/>
        <stp>BDP|15851891603960615024</stp>
        <tr r="N809" s="2"/>
      </tp>
      <tp t="s">
        <v>#N/A N/A</v>
        <stp/>
        <stp>BDP|16493013585760760313</stp>
        <tr r="F1238" s="2"/>
      </tp>
      <tp t="s">
        <v>#N/A N/A</v>
        <stp/>
        <stp>BDP|15814010359895209846</stp>
        <tr r="K1134" s="2"/>
      </tp>
      <tp t="s">
        <v>#N/A N/A</v>
        <stp/>
        <stp>BDP|15857394167124581956</stp>
        <tr r="E1713" s="2"/>
      </tp>
      <tp t="s">
        <v>#N/A N/A</v>
        <stp/>
        <stp>BDP|16442476241549091240</stp>
        <tr r="H770" s="2"/>
      </tp>
      <tp t="s">
        <v>#N/A N/A</v>
        <stp/>
        <stp>BDP|12185677884688031944</stp>
        <tr r="A573" s="2"/>
      </tp>
      <tp t="s">
        <v>#N/A N/A</v>
        <stp/>
        <stp>BDP|14539889305784854566</stp>
        <tr r="G640" s="2"/>
      </tp>
      <tp t="s">
        <v>#N/A N/A</v>
        <stp/>
        <stp>BDP|11331774127021692830</stp>
        <tr r="S964" s="2"/>
      </tp>
      <tp t="s">
        <v>#N/A N/A</v>
        <stp/>
        <stp>BDP|11909199496482625661</stp>
        <tr r="Q402" s="2"/>
      </tp>
      <tp t="s">
        <v>#N/A N/A</v>
        <stp/>
        <stp>BDP|16381408342458197363</stp>
        <tr r="S1655" s="2"/>
      </tp>
      <tp t="s">
        <v>#N/A N/A</v>
        <stp/>
        <stp>BDP|14646772583456489007</stp>
        <tr r="K342" s="2"/>
      </tp>
      <tp t="s">
        <v>#N/A N/A</v>
        <stp/>
        <stp>BDS|13535947763886275756</stp>
        <tr r="I1265" s="2"/>
      </tp>
      <tp t="s">
        <v>#N/A N/A</v>
        <stp/>
        <stp>BDS|13937265303619042599</stp>
        <tr r="I760" s="2"/>
      </tp>
      <tp t="s">
        <v>#N/A N/A</v>
        <stp/>
        <stp>BDP|10904165118435441859</stp>
        <tr r="A1148" s="2"/>
      </tp>
      <tp t="s">
        <v>#N/A N/A</v>
        <stp/>
        <stp>BDP|15837972928342581149</stp>
        <tr r="C1063" s="2"/>
      </tp>
      <tp t="s">
        <v>#N/A N/A</v>
        <stp/>
        <stp>BDP|16355729456131467858</stp>
        <tr r="O611" s="2"/>
      </tp>
      <tp t="s">
        <v>#N/A N/A</v>
        <stp/>
        <stp>BDP|11134051147668202077</stp>
        <tr r="D729" s="2"/>
      </tp>
      <tp t="s">
        <v>#N/A N/A</v>
        <stp/>
        <stp>BDP|11522663222661075973</stp>
        <tr r="D606" s="2"/>
      </tp>
      <tp t="s">
        <v>#N/A N/A</v>
        <stp/>
        <stp>BDP|15471585708249015423</stp>
        <tr r="K180" s="2"/>
      </tp>
      <tp t="s">
        <v>#N/A N/A</v>
        <stp/>
        <stp>BDP|17473887108143758155</stp>
        <tr r="C170" s="2"/>
      </tp>
      <tp t="s">
        <v>#N/A N/A</v>
        <stp/>
        <stp>BDP|12031341186081523511</stp>
        <tr r="J1562" s="2"/>
      </tp>
      <tp t="s">
        <v>#N/A N/A</v>
        <stp/>
        <stp>BDP|11961923048758745927</stp>
        <tr r="G39" s="2"/>
      </tp>
      <tp t="s">
        <v>#N/A N/A</v>
        <stp/>
        <stp>BDP|15678860423986674438</stp>
        <tr r="G481" s="2"/>
      </tp>
      <tp t="s">
        <v>#N/A N/A</v>
        <stp/>
        <stp>BDP|11832007098145222047</stp>
        <tr r="M72" s="2"/>
      </tp>
      <tp t="s">
        <v>#N/A N/A</v>
        <stp/>
        <stp>BDP|10975343736285408896</stp>
        <tr r="F1657" s="2"/>
      </tp>
      <tp t="s">
        <v>#N/A N/A</v>
        <stp/>
        <stp>BDP|17707105777189167575</stp>
        <tr r="A1579" s="2"/>
      </tp>
      <tp t="s">
        <v>#N/A N/A</v>
        <stp/>
        <stp>BDP|10223945237287511023</stp>
        <tr r="A171" s="2"/>
      </tp>
      <tp t="s">
        <v>#N/A N/A</v>
        <stp/>
        <stp>BDP|17871988756870267626</stp>
        <tr r="S1644" s="2"/>
      </tp>
      <tp t="s">
        <v>#N/A N/A</v>
        <stp/>
        <stp>BDP|10060719629538957078</stp>
        <tr r="E1554" s="2"/>
      </tp>
      <tp t="s">
        <v>#N/A N/A</v>
        <stp/>
        <stp>BDP|10778484475417874946</stp>
        <tr r="A584" s="2"/>
      </tp>
      <tp t="s">
        <v>#N/A N/A</v>
        <stp/>
        <stp>BDP|10911900808762094679</stp>
        <tr r="R568" s="2"/>
      </tp>
      <tp t="s">
        <v>#N/A N/A</v>
        <stp/>
        <stp>BDP|12542244374438217213</stp>
        <tr r="C619" s="2"/>
      </tp>
      <tp t="s">
        <v>#N/A N/A</v>
        <stp/>
        <stp>BDP|17963458090577291084</stp>
        <tr r="P380" s="2"/>
      </tp>
      <tp t="s">
        <v>#N/A N/A</v>
        <stp/>
        <stp>BDP|12614751695269414846</stp>
        <tr r="S253" s="2"/>
      </tp>
      <tp t="s">
        <v>#N/A N/A</v>
        <stp/>
        <stp>BDP|14303971233115166602</stp>
        <tr r="S1529" s="2"/>
      </tp>
      <tp t="s">
        <v>#N/A N/A</v>
        <stp/>
        <stp>BDP|10230282482065953270</stp>
        <tr r="F589" s="2"/>
      </tp>
      <tp t="s">
        <v>#N/A N/A</v>
        <stp/>
        <stp>BDP|10206314163709647103</stp>
        <tr r="D1017" s="2"/>
      </tp>
      <tp t="s">
        <v>#N/A N/A</v>
        <stp/>
        <stp>BDS|11466160639376815860</stp>
        <tr r="I493" s="2"/>
      </tp>
      <tp t="s">
        <v>#N/A N/A</v>
        <stp/>
        <stp>BDP|11232379233072689199</stp>
        <tr r="O938" s="2"/>
      </tp>
      <tp t="s">
        <v>#N/A N/A</v>
        <stp/>
        <stp>BDP|12682092711042441335</stp>
        <tr r="C1704" s="2"/>
      </tp>
      <tp t="s">
        <v>#N/A N/A</v>
        <stp/>
        <stp>BDP|16607654305380845279</stp>
        <tr r="K762" s="2"/>
      </tp>
      <tp t="s">
        <v>#N/A N/A</v>
        <stp/>
        <stp>BDP|16561208269589653934</stp>
        <tr r="A1657" s="2"/>
      </tp>
      <tp t="s">
        <v>#N/A N/A</v>
        <stp/>
        <stp>BDS|11399939978249205408</stp>
        <tr r="I1644" s="2"/>
      </tp>
      <tp t="s">
        <v>#N/A N/A</v>
        <stp/>
        <stp>BDP|10777277413179208888</stp>
        <tr r="H518" s="2"/>
      </tp>
      <tp t="s">
        <v>#N/A N/A</v>
        <stp/>
        <stp>BDP|10536853408122119809</stp>
        <tr r="C154" s="2"/>
      </tp>
      <tp t="s">
        <v>#N/A N/A</v>
        <stp/>
        <stp>BDP|14904747912925626505</stp>
        <tr r="G1169" s="2"/>
      </tp>
      <tp t="s">
        <v>#N/A N/A</v>
        <stp/>
        <stp>BDP|13224424689224795974</stp>
        <tr r="D1325" s="2"/>
      </tp>
      <tp t="s">
        <v>#N/A N/A</v>
        <stp/>
        <stp>BDP|13457319154987083085</stp>
        <tr r="M1468" s="2"/>
      </tp>
      <tp t="s">
        <v>#N/A N/A</v>
        <stp/>
        <stp>BDP|14248726039534271628</stp>
        <tr r="S817" s="2"/>
      </tp>
      <tp t="s">
        <v>#N/A N/A</v>
        <stp/>
        <stp>BDP|12642697618692748599</stp>
        <tr r="M1271" s="2"/>
      </tp>
      <tp t="s">
        <v>#N/A N/A</v>
        <stp/>
        <stp>BDP|13254935618758299121</stp>
        <tr r="Q450" s="2"/>
      </tp>
      <tp t="s">
        <v>#N/A N/A</v>
        <stp/>
        <stp>BDP|13656399873800226579</stp>
        <tr r="A725" s="2"/>
      </tp>
      <tp t="s">
        <v>#N/A N/A</v>
        <stp/>
        <stp>BDP|12433769523651874404</stp>
        <tr r="E128" s="2"/>
      </tp>
      <tp t="s">
        <v>#N/A N/A</v>
        <stp/>
        <stp>BDP|15722907159972311943</stp>
        <tr r="S288" s="2"/>
      </tp>
      <tp t="s">
        <v>#N/A N/A</v>
        <stp/>
        <stp>BDP|16257495608209997935</stp>
        <tr r="N1721" s="2"/>
      </tp>
      <tp t="s">
        <v>#N/A N/A</v>
        <stp/>
        <stp>BDP|13018279697762048895</stp>
        <tr r="M932" s="2"/>
      </tp>
      <tp t="s">
        <v>#N/A N/A</v>
        <stp/>
        <stp>BDP|18110259493908994976</stp>
        <tr r="M148" s="2"/>
      </tp>
      <tp t="s">
        <v>#N/A N/A</v>
        <stp/>
        <stp>BDP|15651260388938622570</stp>
        <tr r="R840" s="2"/>
      </tp>
      <tp t="s">
        <v>#N/A N/A</v>
        <stp/>
        <stp>BDP|13811258977167251310</stp>
        <tr r="S824" s="2"/>
      </tp>
      <tp t="s">
        <v>#N/A N/A</v>
        <stp/>
        <stp>BDP|12445429855667915637</stp>
        <tr r="S634" s="2"/>
      </tp>
      <tp t="s">
        <v>#N/A N/A</v>
        <stp/>
        <stp>BDP|11581155891563116895</stp>
        <tr r="N1291" s="2"/>
      </tp>
      <tp t="s">
        <v>#N/A N/A</v>
        <stp/>
        <stp>BDS|14901698219482581368</stp>
        <tr r="I1699" s="2"/>
      </tp>
      <tp t="s">
        <v>#N/A N/A</v>
        <stp/>
        <stp>BDP|10408707343968608982</stp>
        <tr r="S851" s="2"/>
      </tp>
      <tp t="s">
        <v>#N/A N/A</v>
        <stp/>
        <stp>BDP|18110750462803944861</stp>
        <tr r="J287" s="2"/>
      </tp>
      <tp t="s">
        <v>#N/A N/A</v>
        <stp/>
        <stp>BDP|11634574449782266035</stp>
        <tr r="E79" s="2"/>
      </tp>
      <tp t="s">
        <v>#N/A N/A</v>
        <stp/>
        <stp>BDP|12414550462342391198</stp>
        <tr r="M1251" s="2"/>
      </tp>
      <tp t="s">
        <v>#N/A N/A</v>
        <stp/>
        <stp>BDP|10227621879731908297</stp>
        <tr r="D1610" s="2"/>
      </tp>
      <tp t="s">
        <v>#N/A N/A</v>
        <stp/>
        <stp>BDP|16106020671263890038</stp>
        <tr r="D1718" s="2"/>
      </tp>
      <tp t="s">
        <v>#N/A N/A</v>
        <stp/>
        <stp>BDP|11826231177231325760</stp>
        <tr r="J781" s="2"/>
      </tp>
      <tp t="s">
        <v>#N/A N/A</v>
        <stp/>
        <stp>BDP|12674249701414901639</stp>
        <tr r="A806" s="2"/>
      </tp>
      <tp t="s">
        <v>#N/A N/A</v>
        <stp/>
        <stp>BDP|11289075374220945419</stp>
        <tr r="T272" s="2"/>
      </tp>
      <tp t="s">
        <v>#N/A N/A</v>
        <stp/>
        <stp>BDP|12052647944641827314</stp>
        <tr r="K25" s="2"/>
      </tp>
      <tp t="s">
        <v>#N/A N/A</v>
        <stp/>
        <stp>BDP|11644222283338942173</stp>
        <tr r="Q1477" s="2"/>
      </tp>
      <tp t="s">
        <v>#N/A N/A</v>
        <stp/>
        <stp>BDP|12267196974510249643</stp>
        <tr r="K336" s="2"/>
      </tp>
      <tp t="s">
        <v>#N/A N/A</v>
        <stp/>
        <stp>BDP|15214211005435676092</stp>
        <tr r="A1722" s="2"/>
      </tp>
      <tp t="s">
        <v>#N/A N/A</v>
        <stp/>
        <stp>BDP|17091281163859735852</stp>
        <tr r="G1658" s="2"/>
      </tp>
      <tp t="s">
        <v>#N/A N/A</v>
        <stp/>
        <stp>BDP|10898775235955125327</stp>
        <tr r="O1711" s="2"/>
      </tp>
      <tp t="s">
        <v>#N/A N/A</v>
        <stp/>
        <stp>BDS|17986078073000053275</stp>
        <tr r="I1467" s="2"/>
      </tp>
      <tp t="s">
        <v>#N/A N/A</v>
        <stp/>
        <stp>BDP|11855534311755533265</stp>
        <tr r="P551" s="2"/>
      </tp>
      <tp t="s">
        <v>#N/A N/A</v>
        <stp/>
        <stp>BDP|10562731614074321085</stp>
        <tr r="M467" s="2"/>
      </tp>
      <tp t="s">
        <v>#N/A N/A</v>
        <stp/>
        <stp>BDP|13631314432295420480</stp>
        <tr r="C40" s="2"/>
      </tp>
      <tp t="s">
        <v>#N/A N/A</v>
        <stp/>
        <stp>BDS|14275902790793842501</stp>
        <tr r="I318" s="2"/>
      </tp>
      <tp t="s">
        <v>#N/A N/A</v>
        <stp/>
        <stp>BDP|15412392720646429000</stp>
        <tr r="R250" s="2"/>
      </tp>
      <tp t="s">
        <v>#N/A N/A</v>
        <stp/>
        <stp>BDP|17563203349620407315</stp>
        <tr r="N815" s="2"/>
      </tp>
      <tp t="s">
        <v>#N/A N/A</v>
        <stp/>
        <stp>BDP|10042112703207811433</stp>
        <tr r="R1234" s="2"/>
      </tp>
      <tp t="s">
        <v>#N/A N/A</v>
        <stp/>
        <stp>BDP|12054096605590166045</stp>
        <tr r="M642" s="2"/>
      </tp>
      <tp t="s">
        <v>#N/A N/A</v>
        <stp/>
        <stp>BDP|16639746659752455462</stp>
        <tr r="T733" s="2"/>
      </tp>
      <tp t="s">
        <v>#N/A N/A</v>
        <stp/>
        <stp>BDP|16170002876004930773</stp>
        <tr r="K851" s="2"/>
      </tp>
      <tp t="s">
        <v>#N/A N/A</v>
        <stp/>
        <stp>BDP|14142974346243861811</stp>
        <tr r="H1101" s="2"/>
      </tp>
      <tp t="s">
        <v>#N/A N/A</v>
        <stp/>
        <stp>BDP|17567679646353415498</stp>
        <tr r="M806" s="2"/>
      </tp>
      <tp t="s">
        <v>#N/A N/A</v>
        <stp/>
        <stp>BDP|11561552319595068202</stp>
        <tr r="E603" s="2"/>
      </tp>
      <tp t="s">
        <v>#N/A N/A</v>
        <stp/>
        <stp>BDP|15951277617232547651</stp>
        <tr r="N342" s="2"/>
      </tp>
      <tp t="s">
        <v>#N/A N/A</v>
        <stp/>
        <stp>BDP|16940501144544332177</stp>
        <tr r="D436" s="2"/>
      </tp>
      <tp t="s">
        <v>#N/A N/A</v>
        <stp/>
        <stp>BDP|17138180817464737100</stp>
        <tr r="P251" s="2"/>
      </tp>
      <tp t="s">
        <v>#N/A N/A</v>
        <stp/>
        <stp>BDP|13588342428117054715</stp>
        <tr r="G1345" s="2"/>
      </tp>
      <tp t="s">
        <v>#N/A N/A</v>
        <stp/>
        <stp>BDP|16755749068337251211</stp>
        <tr r="O79" s="2"/>
      </tp>
      <tp t="s">
        <v>#N/A N/A</v>
        <stp/>
        <stp>BDP|12182726083326062980</stp>
        <tr r="N754" s="2"/>
      </tp>
      <tp t="s">
        <v>#N/A N/A</v>
        <stp/>
        <stp>BDP|14299042337616036394</stp>
        <tr r="N1222" s="2"/>
      </tp>
      <tp t="s">
        <v>#N/A N/A</v>
        <stp/>
        <stp>BDP|16853479271082277541</stp>
        <tr r="Q1071" s="2"/>
      </tp>
      <tp t="s">
        <v>#N/A N/A</v>
        <stp/>
        <stp>BDP|15987754622244440620</stp>
        <tr r="G823" s="2"/>
      </tp>
      <tp t="s">
        <v>#N/A N/A</v>
        <stp/>
        <stp>BDP|15054753269805237367</stp>
        <tr r="H1224" s="2"/>
      </tp>
      <tp t="s">
        <v>#N/A N/A</v>
        <stp/>
        <stp>BDP|11145188055985040248</stp>
        <tr r="O632" s="2"/>
      </tp>
      <tp t="s">
        <v>#N/A N/A</v>
        <stp/>
        <stp>BDP|14379698042356011204</stp>
        <tr r="S430" s="2"/>
      </tp>
      <tp t="s">
        <v>#N/A N/A</v>
        <stp/>
        <stp>BDP|15622861144819478285</stp>
        <tr r="N1090" s="2"/>
      </tp>
      <tp t="s">
        <v>#N/A N/A</v>
        <stp/>
        <stp>BDP|11335192179865281098</stp>
        <tr r="A27" s="2"/>
      </tp>
      <tp t="s">
        <v>#N/A N/A</v>
        <stp/>
        <stp>BDP|18093309223648365388</stp>
        <tr r="N205" s="2"/>
      </tp>
      <tp t="s">
        <v>#N/A N/A</v>
        <stp/>
        <stp>BDP|10420389124413779077</stp>
        <tr r="A378" s="2"/>
      </tp>
      <tp t="s">
        <v>#N/A N/A</v>
        <stp/>
        <stp>BDP|12292125551694874012</stp>
        <tr r="O1677" s="2"/>
      </tp>
      <tp t="s">
        <v>#N/A N/A</v>
        <stp/>
        <stp>BDP|12039462749385740509</stp>
        <tr r="D1273" s="2"/>
      </tp>
      <tp t="s">
        <v>#N/A N/A</v>
        <stp/>
        <stp>BDP|15692146118712164531</stp>
        <tr r="J1701" s="2"/>
      </tp>
      <tp t="s">
        <v>#N/A N/A</v>
        <stp/>
        <stp>BDP|17912497958884855084</stp>
        <tr r="C1452" s="2"/>
      </tp>
      <tp t="s">
        <v>#N/A N/A</v>
        <stp/>
        <stp>BDP|13466611538424392065</stp>
        <tr r="O393" s="2"/>
      </tp>
      <tp t="s">
        <v>#N/A N/A</v>
        <stp/>
        <stp>BDP|16878844444970447840</stp>
        <tr r="E1329" s="2"/>
      </tp>
      <tp t="s">
        <v>#N/A N/A</v>
        <stp/>
        <stp>BDP|12939693931103989607</stp>
        <tr r="O1633" s="2"/>
      </tp>
      <tp t="s">
        <v>#N/A N/A</v>
        <stp/>
        <stp>BDP|16932138993585334923</stp>
        <tr r="G55" s="2"/>
      </tp>
      <tp t="s">
        <v>#N/A N/A</v>
        <stp/>
        <stp>BDP|12245195021920276301</stp>
        <tr r="E514" s="2"/>
      </tp>
      <tp t="s">
        <v>#N/A N/A</v>
        <stp/>
        <stp>BDP|17410006556824306491</stp>
        <tr r="T791" s="2"/>
      </tp>
      <tp t="s">
        <v>#N/A N/A</v>
        <stp/>
        <stp>BDP|11386214867950886750</stp>
        <tr r="Q1200" s="2"/>
      </tp>
      <tp t="s">
        <v>#N/A N/A</v>
        <stp/>
        <stp>BDP|12691152046697820252</stp>
        <tr r="M707" s="2"/>
      </tp>
      <tp t="s">
        <v>#N/A N/A</v>
        <stp/>
        <stp>BDP|15921124068327318789</stp>
        <tr r="R379" s="2"/>
      </tp>
      <tp t="s">
        <v>#N/A N/A</v>
        <stp/>
        <stp>BDP|13095879201270677988</stp>
        <tr r="S1748" s="2"/>
      </tp>
      <tp t="s">
        <v>#N/A N/A</v>
        <stp/>
        <stp>BDS|14293282581375432946</stp>
        <tr r="I656" s="2"/>
      </tp>
      <tp t="s">
        <v>#N/A N/A</v>
        <stp/>
        <stp>BDP|14402382775883278131</stp>
        <tr r="T427" s="2"/>
      </tp>
      <tp t="s">
        <v>#N/A N/A</v>
        <stp/>
        <stp>BDP|14913438100824290604</stp>
        <tr r="M256" s="2"/>
      </tp>
      <tp t="s">
        <v>#N/A N/A</v>
        <stp/>
        <stp>BDP|10678516068372522323</stp>
        <tr r="A1335" s="2"/>
      </tp>
      <tp t="s">
        <v>#N/A N/A</v>
        <stp/>
        <stp>BDP|11697544819963121425</stp>
        <tr r="F568" s="2"/>
      </tp>
      <tp t="s">
        <v>#N/A N/A</v>
        <stp/>
        <stp>BDP|14888008003433741543</stp>
        <tr r="E365" s="2"/>
      </tp>
      <tp t="s">
        <v>#N/A N/A</v>
        <stp/>
        <stp>BDP|14444591701340112354</stp>
        <tr r="M1128" s="2"/>
      </tp>
      <tp t="s">
        <v>#N/A N/A</v>
        <stp/>
        <stp>BDP|15552022768572643315</stp>
        <tr r="J379" s="2"/>
      </tp>
      <tp t="s">
        <v>#N/A N/A</v>
        <stp/>
        <stp>BDP|16527461030005825632</stp>
        <tr r="N1015" s="2"/>
      </tp>
      <tp t="s">
        <v>#N/A N/A</v>
        <stp/>
        <stp>BDP|11271946899805724609</stp>
        <tr r="P1539" s="2"/>
      </tp>
      <tp t="s">
        <v>#N/A N/A</v>
        <stp/>
        <stp>BDP|10028584316217133175</stp>
        <tr r="G1625" s="2"/>
      </tp>
      <tp t="s">
        <v>#N/A N/A</v>
        <stp/>
        <stp>BDP|15524691961361123640</stp>
        <tr r="S200" s="2"/>
      </tp>
      <tp t="s">
        <v>#N/A N/A</v>
        <stp/>
        <stp>BDP|14701129505175828208</stp>
        <tr r="S849" s="2"/>
      </tp>
      <tp t="s">
        <v>#N/A N/A</v>
        <stp/>
        <stp>BDS|15372751374112062590</stp>
        <tr r="I654" s="2"/>
      </tp>
      <tp t="s">
        <v>#N/A N/A</v>
        <stp/>
        <stp>BDP|10876389578596895082</stp>
        <tr r="D776" s="2"/>
      </tp>
      <tp t="s">
        <v>#N/A N/A</v>
        <stp/>
        <stp>BDP|17854232334167471331</stp>
        <tr r="M219" s="2"/>
      </tp>
      <tp t="s">
        <v>#N/A N/A</v>
        <stp/>
        <stp>BDP|15245438314781857359</stp>
        <tr r="P1142" s="2"/>
      </tp>
      <tp t="s">
        <v>#N/A N/A</v>
        <stp/>
        <stp>BDP|16190420335792980171</stp>
        <tr r="D105" s="2"/>
      </tp>
      <tp t="s">
        <v>#N/A N/A</v>
        <stp/>
        <stp>BDP|10386785676507389566</stp>
        <tr r="S346" s="2"/>
      </tp>
      <tp t="s">
        <v>#N/A N/A</v>
        <stp/>
        <stp>BDP|12153197140560722573</stp>
        <tr r="J1213" s="2"/>
      </tp>
      <tp t="s">
        <v>#N/A N/A</v>
        <stp/>
        <stp>BDP|15010357538667105046</stp>
        <tr r="C15" s="2"/>
      </tp>
      <tp t="s">
        <v>#N/A N/A</v>
        <stp/>
        <stp>BDP|12300963084578076997</stp>
        <tr r="R835" s="2"/>
      </tp>
      <tp t="s">
        <v>#N/A N/A</v>
        <stp/>
        <stp>BDP|15202764827481913327</stp>
        <tr r="F930" s="2"/>
      </tp>
      <tp t="s">
        <v>#N/A N/A</v>
        <stp/>
        <stp>BDP|16033065455578330986</stp>
        <tr r="N216" s="2"/>
      </tp>
      <tp t="s">
        <v>#N/A N/A</v>
        <stp/>
        <stp>BDP|15561881693180761615</stp>
        <tr r="R1680" s="2"/>
      </tp>
      <tp t="s">
        <v>#N/A N/A</v>
        <stp/>
        <stp>BDP|13412496015443203726</stp>
        <tr r="D210" s="2"/>
      </tp>
      <tp t="s">
        <v>#N/A N/A</v>
        <stp/>
        <stp>BDP|14888662878242941579</stp>
        <tr r="R746" s="2"/>
      </tp>
      <tp t="s">
        <v>#N/A N/A</v>
        <stp/>
        <stp>BDP|11848333158111859436</stp>
        <tr r="D225" s="2"/>
      </tp>
      <tp t="s">
        <v>#N/A N/A</v>
        <stp/>
        <stp>BDP|14366390351620638057</stp>
        <tr r="Q637" s="2"/>
      </tp>
      <tp t="s">
        <v>#N/A N/A</v>
        <stp/>
        <stp>BDP|12508279435843863273</stp>
        <tr r="M1217" s="2"/>
      </tp>
      <tp t="s">
        <v>#N/A N/A</v>
        <stp/>
        <stp>BDP|13574716022172924676</stp>
        <tr r="H426" s="2"/>
      </tp>
      <tp t="s">
        <v>#N/A N/A</v>
        <stp/>
        <stp>BDP|10802010857922554507</stp>
        <tr r="E420" s="2"/>
      </tp>
      <tp t="s">
        <v>#N/A N/A</v>
        <stp/>
        <stp>BDP|17895674646751755654</stp>
        <tr r="Q18" s="2"/>
      </tp>
      <tp t="s">
        <v>#N/A N/A</v>
        <stp/>
        <stp>BDP|11499452079520361002</stp>
        <tr r="O389" s="2"/>
      </tp>
      <tp t="s">
        <v>#N/A N/A</v>
        <stp/>
        <stp>BDP|12976494033861911610</stp>
        <tr r="N313" s="2"/>
      </tp>
      <tp t="s">
        <v>#N/A N/A</v>
        <stp/>
        <stp>BDP|15258533466310984454</stp>
        <tr r="J82" s="2"/>
      </tp>
      <tp t="s">
        <v>#N/A N/A</v>
        <stp/>
        <stp>BDP|15648387226894313203</stp>
        <tr r="T1070" s="2"/>
      </tp>
      <tp t="s">
        <v>#N/A N/A</v>
        <stp/>
        <stp>BDP|11585621044392001382</stp>
        <tr r="D1389" s="2"/>
      </tp>
      <tp t="s">
        <v>#N/A N/A</v>
        <stp/>
        <stp>BDP|12324112447546684385</stp>
        <tr r="T131" s="2"/>
      </tp>
      <tp t="s">
        <v>#N/A N/A</v>
        <stp/>
        <stp>BDP|15963329961845480750</stp>
        <tr r="H644" s="2"/>
      </tp>
      <tp t="s">
        <v>#N/A N/A</v>
        <stp/>
        <stp>BDP|17598576264166959044</stp>
        <tr r="Q988" s="2"/>
      </tp>
      <tp t="s">
        <v>#N/A N/A</v>
        <stp/>
        <stp>BDP|14510439761816471288</stp>
        <tr r="O335" s="2"/>
      </tp>
      <tp t="s">
        <v>#N/A N/A</v>
        <stp/>
        <stp>BDP|17957625412907305516</stp>
        <tr r="F739" s="2"/>
      </tp>
      <tp t="s">
        <v>#N/A N/A</v>
        <stp/>
        <stp>BDP|18380298621943222924</stp>
        <tr r="H1736" s="2"/>
      </tp>
      <tp t="s">
        <v>#N/A N/A</v>
        <stp/>
        <stp>BDP|12576190281649463028</stp>
        <tr r="J1387" s="2"/>
      </tp>
      <tp t="s">
        <v>#N/A N/A</v>
        <stp/>
        <stp>BDP|16155678279582303776</stp>
        <tr r="T1154" s="2"/>
      </tp>
      <tp t="s">
        <v>#N/A N/A</v>
        <stp/>
        <stp>BDP|16948785036674910458</stp>
        <tr r="G849" s="2"/>
      </tp>
      <tp t="s">
        <v>#N/A N/A</v>
        <stp/>
        <stp>BDP|12919312618984241690</stp>
        <tr r="P1224" s="2"/>
      </tp>
      <tp t="s">
        <v>#N/A N/A</v>
        <stp/>
        <stp>BDP|13013039646023621684</stp>
        <tr r="D849" s="2"/>
      </tp>
      <tp t="s">
        <v>#N/A N/A</v>
        <stp/>
        <stp>BDP|10823625536960475734</stp>
        <tr r="T1020" s="2"/>
      </tp>
      <tp t="s">
        <v>#N/A N/A</v>
        <stp/>
        <stp>BDP|10624773715944703085</stp>
        <tr r="N170" s="2"/>
      </tp>
      <tp t="s">
        <v>#N/A N/A</v>
        <stp/>
        <stp>BDP|15305830518738124628</stp>
        <tr r="Q1236" s="2"/>
      </tp>
      <tp t="s">
        <v>#N/A N/A</v>
        <stp/>
        <stp>BDP|15674944147723880961</stp>
        <tr r="E1056" s="2"/>
      </tp>
      <tp t="s">
        <v>#N/A N/A</v>
        <stp/>
        <stp>BDP|15816457154852474464</stp>
        <tr r="K1506" s="2"/>
      </tp>
      <tp t="s">
        <v>#N/A N/A</v>
        <stp/>
        <stp>BDP|16626164685478996576</stp>
        <tr r="A434" s="2"/>
      </tp>
      <tp t="s">
        <v>#N/A N/A</v>
        <stp/>
        <stp>BDS|13652246468430686542</stp>
        <tr r="I110" s="2"/>
      </tp>
      <tp t="s">
        <v>#N/A N/A</v>
        <stp/>
        <stp>BDP|15939699873414932210</stp>
        <tr r="P1657" s="2"/>
      </tp>
      <tp t="s">
        <v>#N/A N/A</v>
        <stp/>
        <stp>BDP|17872668416524578661</stp>
        <tr r="J583" s="2"/>
      </tp>
      <tp t="s">
        <v>#N/A N/A</v>
        <stp/>
        <stp>BDP|12888325312702223014</stp>
        <tr r="P330" s="2"/>
      </tp>
      <tp t="s">
        <v>#N/A N/A</v>
        <stp/>
        <stp>BDP|15863640016951757166</stp>
        <tr r="N187" s="2"/>
      </tp>
      <tp t="s">
        <v>#N/A N/A</v>
        <stp/>
        <stp>BDP|11278705729344848289</stp>
        <tr r="N1626" s="2"/>
      </tp>
      <tp t="s">
        <v>#N/A N/A</v>
        <stp/>
        <stp>BDP|13126240131437644791</stp>
        <tr r="J912" s="2"/>
      </tp>
      <tp t="s">
        <v>#N/A N/A</v>
        <stp/>
        <stp>BDP|17565804227756812917</stp>
        <tr r="S315" s="2"/>
      </tp>
      <tp t="s">
        <v>#N/A N/A</v>
        <stp/>
        <stp>BDP|12227933995852789282</stp>
        <tr r="G146" s="2"/>
      </tp>
      <tp t="s">
        <v>#N/A N/A</v>
        <stp/>
        <stp>BDP|17425864478158879292</stp>
        <tr r="G1277" s="2"/>
      </tp>
      <tp t="s">
        <v>#N/A N/A</v>
        <stp/>
        <stp>BDP|11964507655242784109</stp>
        <tr r="Q1475" s="2"/>
      </tp>
      <tp t="s">
        <v>#N/A N/A</v>
        <stp/>
        <stp>BDP|10823087132491984008</stp>
        <tr r="M836" s="2"/>
      </tp>
      <tp t="s">
        <v>#N/A N/A</v>
        <stp/>
        <stp>BDP|17766041908007065200</stp>
        <tr r="T2" s="2"/>
      </tp>
      <tp t="s">
        <v>#N/A N/A</v>
        <stp/>
        <stp>BDP|10849098598963437866</stp>
        <tr r="R1604" s="2"/>
      </tp>
      <tp t="s">
        <v>#N/A N/A</v>
        <stp/>
        <stp>BDP|15164176833433746690</stp>
        <tr r="R360" s="2"/>
      </tp>
      <tp t="s">
        <v>#N/A N/A</v>
        <stp/>
        <stp>BDP|17212732801130300282</stp>
        <tr r="E1001" s="2"/>
      </tp>
      <tp t="s">
        <v>#N/A N/A</v>
        <stp/>
        <stp>BDP|10810353149134727181</stp>
        <tr r="D1233" s="2"/>
      </tp>
      <tp t="s">
        <v>#N/A N/A</v>
        <stp/>
        <stp>BDP|15147676533240805260</stp>
        <tr r="S1553" s="2"/>
      </tp>
      <tp t="s">
        <v>#N/A N/A</v>
        <stp/>
        <stp>BDP|16174786679793995729</stp>
        <tr r="E1316" s="2"/>
      </tp>
      <tp t="s">
        <v>#N/A N/A</v>
        <stp/>
        <stp>BDP|17041102710757909227</stp>
        <tr r="O1571" s="2"/>
      </tp>
      <tp t="s">
        <v>#N/A N/A</v>
        <stp/>
        <stp>BDP|17666740126171776186</stp>
        <tr r="R937" s="2"/>
      </tp>
      <tp t="s">
        <v>#N/A N/A</v>
        <stp/>
        <stp>BDS|10271720718436256220</stp>
        <tr r="I1499" s="2"/>
      </tp>
      <tp t="s">
        <v>#N/A N/A</v>
        <stp/>
        <stp>BDP|10683783841360449109</stp>
        <tr r="K1233" s="2"/>
      </tp>
      <tp t="s">
        <v>#N/A N/A</v>
        <stp/>
        <stp>BDP|16691141848896171702</stp>
        <tr r="E1069" s="2"/>
      </tp>
      <tp t="s">
        <v>#N/A N/A</v>
        <stp/>
        <stp>BDP|17831629931261082104</stp>
        <tr r="C730" s="2"/>
      </tp>
      <tp t="s">
        <v>#N/A N/A</v>
        <stp/>
        <stp>BDP|10067458948233102178</stp>
        <tr r="Q376" s="2"/>
      </tp>
      <tp t="s">
        <v>#N/A N/A</v>
        <stp/>
        <stp>BDP|12129772186498804730</stp>
        <tr r="J16" s="2"/>
      </tp>
      <tp t="s">
        <v>#N/A N/A</v>
        <stp/>
        <stp>BDP|18427489111109371659</stp>
        <tr r="Q673" s="2"/>
      </tp>
      <tp t="s">
        <v>#N/A N/A</v>
        <stp/>
        <stp>BDP|17693019215603953707</stp>
        <tr r="P1141" s="2"/>
      </tp>
      <tp t="s">
        <v>#N/A N/A</v>
        <stp/>
        <stp>BDP|15045414464894625191</stp>
        <tr r="S840" s="2"/>
      </tp>
      <tp t="s">
        <v>#N/A N/A</v>
        <stp/>
        <stp>BDP|14858075705452592456</stp>
        <tr r="K1636" s="2"/>
      </tp>
      <tp t="s">
        <v>#N/A N/A</v>
        <stp/>
        <stp>BDP|16080761454011934711</stp>
        <tr r="S1185" s="2"/>
      </tp>
      <tp t="s">
        <v>#N/A N/A</v>
        <stp/>
        <stp>BDS|10382620848783310335</stp>
        <tr r="I709" s="2"/>
      </tp>
      <tp t="s">
        <v>#N/A N/A</v>
        <stp/>
        <stp>BDS|10805067344421588761</stp>
        <tr r="I1065" s="2"/>
      </tp>
      <tp t="s">
        <v>#N/A N/A</v>
        <stp/>
        <stp>BDP|10976139254286444002</stp>
        <tr r="K351" s="2"/>
      </tp>
      <tp t="s">
        <v>#N/A N/A</v>
        <stp/>
        <stp>BDP|10547774459165791562</stp>
        <tr r="E1330" s="2"/>
      </tp>
      <tp t="s">
        <v>#N/A N/A</v>
        <stp/>
        <stp>BDP|13605258626423717284</stp>
        <tr r="D291" s="2"/>
      </tp>
      <tp t="s">
        <v>#N/A N/A</v>
        <stp/>
        <stp>BDP|16940780992098096294</stp>
        <tr r="J166" s="2"/>
      </tp>
      <tp t="s">
        <v>#N/A N/A</v>
        <stp/>
        <stp>BDP|14517009158767111467</stp>
        <tr r="F323" s="2"/>
      </tp>
      <tp t="s">
        <v>#N/A N/A</v>
        <stp/>
        <stp>BDP|14245452961966427285</stp>
        <tr r="M210" s="2"/>
      </tp>
      <tp t="s">
        <v>#N/A N/A</v>
        <stp/>
        <stp>BDP|17501637801554590783</stp>
        <tr r="F1565" s="2"/>
      </tp>
      <tp t="s">
        <v>#N/A N/A</v>
        <stp/>
        <stp>BDP|14860498679483627640</stp>
        <tr r="M1622" s="2"/>
      </tp>
      <tp t="s">
        <v>#N/A N/A</v>
        <stp/>
        <stp>BDP|13520375009621796360</stp>
        <tr r="G1230" s="2"/>
      </tp>
      <tp t="s">
        <v>#N/A N/A</v>
        <stp/>
        <stp>BDP|13772698042421357256</stp>
        <tr r="M1490" s="2"/>
      </tp>
      <tp t="s">
        <v>#N/A N/A</v>
        <stp/>
        <stp>BDP|12798706856217917524</stp>
        <tr r="F114" s="2"/>
      </tp>
      <tp t="s">
        <v>#N/A N/A</v>
        <stp/>
        <stp>BDP|13497632936464234093</stp>
        <tr r="J710" s="2"/>
      </tp>
      <tp t="s">
        <v>#N/A N/A</v>
        <stp/>
        <stp>BDP|10098705698515251903</stp>
        <tr r="F957" s="2"/>
      </tp>
      <tp t="s">
        <v>#N/A N/A</v>
        <stp/>
        <stp>BDP|17293246629585725027</stp>
        <tr r="G1500" s="2"/>
      </tp>
      <tp t="s">
        <v>#N/A N/A</v>
        <stp/>
        <stp>BDP|13700908185176979610</stp>
        <tr r="C413" s="2"/>
      </tp>
      <tp t="s">
        <v>#N/A N/A</v>
        <stp/>
        <stp>BDP|14545008279684628506</stp>
        <tr r="E1326" s="2"/>
      </tp>
      <tp t="s">
        <v>#N/A N/A</v>
        <stp/>
        <stp>BDP|14991351839985766389</stp>
        <tr r="E1604" s="2"/>
      </tp>
      <tp t="s">
        <v>#N/A N/A</v>
        <stp/>
        <stp>BDP|16426665577796878379</stp>
        <tr r="D597" s="2"/>
      </tp>
      <tp t="s">
        <v>#N/A N/A</v>
        <stp/>
        <stp>BDP|10118639301253920705</stp>
        <tr r="N561" s="2"/>
      </tp>
      <tp t="s">
        <v>#N/A N/A</v>
        <stp/>
        <stp>BDP|11697875074554804874</stp>
        <tr r="Q1749" s="2"/>
      </tp>
      <tp t="s">
        <v>#N/A N/A</v>
        <stp/>
        <stp>BDP|15887323620917973199</stp>
        <tr r="R670" s="2"/>
      </tp>
      <tp t="s">
        <v>#N/A N/A</v>
        <stp/>
        <stp>BDP|15686241329291201638</stp>
        <tr r="F408" s="2"/>
      </tp>
      <tp t="s">
        <v>#N/A N/A</v>
        <stp/>
        <stp>BDP|15761401801596544595</stp>
        <tr r="T1059" s="2"/>
      </tp>
      <tp t="s">
        <v>#N/A N/A</v>
        <stp/>
        <stp>BDP|13785485501770700539</stp>
        <tr r="N909" s="2"/>
      </tp>
      <tp t="s">
        <v>#N/A N/A</v>
        <stp/>
        <stp>BDP|13165467317021875525</stp>
        <tr r="A1515" s="2"/>
      </tp>
      <tp t="s">
        <v>#N/A N/A</v>
        <stp/>
        <stp>BDP|10603097045546014000</stp>
        <tr r="Q678" s="2"/>
      </tp>
      <tp t="s">
        <v>#N/A N/A</v>
        <stp/>
        <stp>BDP|16948550216712755274</stp>
        <tr r="C584" s="2"/>
      </tp>
      <tp t="s">
        <v>#N/A N/A</v>
        <stp/>
        <stp>BDP|17769343600272063493</stp>
        <tr r="P1032" s="2"/>
      </tp>
      <tp t="s">
        <v>#N/A N/A</v>
        <stp/>
        <stp>BDP|13474407258665125576</stp>
        <tr r="C967" s="2"/>
      </tp>
      <tp t="s">
        <v>#N/A N/A</v>
        <stp/>
        <stp>BDP|14281130000185804238</stp>
        <tr r="O564" s="2"/>
      </tp>
      <tp t="s">
        <v>#N/A N/A</v>
        <stp/>
        <stp>BDP|12941161716191771142</stp>
        <tr r="M887" s="2"/>
      </tp>
      <tp t="s">
        <v>#N/A N/A</v>
        <stp/>
        <stp>BDS|13399448608950494520</stp>
        <tr r="I1209" s="2"/>
      </tp>
      <tp t="s">
        <v>#N/A N/A</v>
        <stp/>
        <stp>BDP|18169454538339797419</stp>
        <tr r="T637" s="2"/>
      </tp>
      <tp t="s">
        <v>#N/A N/A</v>
        <stp/>
        <stp>BDP|12032600255175870674</stp>
        <tr r="A433" s="2"/>
      </tp>
      <tp t="s">
        <v>#N/A N/A</v>
        <stp/>
        <stp>BDP|14568589635598520879</stp>
        <tr r="C1649" s="2"/>
      </tp>
      <tp t="s">
        <v>#N/A N/A</v>
        <stp/>
        <stp>BDP|13939936871606131901</stp>
        <tr r="O655" s="2"/>
      </tp>
      <tp t="s">
        <v>#N/A N/A</v>
        <stp/>
        <stp>BDP|15774436929995286451</stp>
        <tr r="K795" s="2"/>
      </tp>
      <tp t="s">
        <v>#N/A N/A</v>
        <stp/>
        <stp>BDP|18178007269909697540</stp>
        <tr r="E379" s="2"/>
      </tp>
      <tp t="s">
        <v>#N/A N/A</v>
        <stp/>
        <stp>BDP|16406447826773887148</stp>
        <tr r="K554" s="2"/>
      </tp>
      <tp t="s">
        <v>#N/A N/A</v>
        <stp/>
        <stp>BDP|11360483181189440640</stp>
        <tr r="N244" s="2"/>
      </tp>
      <tp t="s">
        <v>#N/A N/A</v>
        <stp/>
        <stp>BDP|15704460453445032387</stp>
        <tr r="T269" s="2"/>
      </tp>
      <tp t="s">
        <v>#N/A N/A</v>
        <stp/>
        <stp>BDP|12839461834051179612</stp>
        <tr r="M905" s="2"/>
      </tp>
      <tp t="s">
        <v>#N/A N/A</v>
        <stp/>
        <stp>BDP|13118708911957260081</stp>
        <tr r="K1536" s="2"/>
      </tp>
      <tp t="s">
        <v>#N/A N/A</v>
        <stp/>
        <stp>BDP|15627035163636401786</stp>
        <tr r="M753" s="2"/>
      </tp>
      <tp t="s">
        <v>#N/A N/A</v>
        <stp/>
        <stp>BDP|10891203842084747079</stp>
        <tr r="A1536" s="2"/>
      </tp>
      <tp t="s">
        <v>#N/A N/A</v>
        <stp/>
        <stp>BDP|10979301994279657116</stp>
        <tr r="D612" s="2"/>
      </tp>
      <tp t="s">
        <v>#N/A N/A</v>
        <stp/>
        <stp>BDP|17135839541809033096</stp>
        <tr r="N1408" s="2"/>
      </tp>
      <tp t="s">
        <v>#N/A N/A</v>
        <stp/>
        <stp>BDS|17060194760544281628</stp>
        <tr r="I1262" s="2"/>
      </tp>
      <tp t="s">
        <v>#N/A N/A</v>
        <stp/>
        <stp>BDP|13442471750509902906</stp>
        <tr r="D255" s="2"/>
      </tp>
      <tp t="s">
        <v>#N/A N/A</v>
        <stp/>
        <stp>BDP|13521511521715835371</stp>
        <tr r="S1294" s="2"/>
      </tp>
      <tp t="s">
        <v>#N/A N/A</v>
        <stp/>
        <stp>BDP|18039108836991558991</stp>
        <tr r="O1658" s="2"/>
      </tp>
      <tp t="s">
        <v>#N/A N/A</v>
        <stp/>
        <stp>BDP|18196889306664311661</stp>
        <tr r="N157" s="2"/>
      </tp>
      <tp t="s">
        <v>#N/A N/A</v>
        <stp/>
        <stp>BDP|16025711640136261191</stp>
        <tr r="J1749" s="2"/>
      </tp>
      <tp t="s">
        <v>#N/A N/A</v>
        <stp/>
        <stp>BDP|17808162925320013615</stp>
        <tr r="R1523" s="2"/>
      </tp>
      <tp t="s">
        <v>#N/A N/A</v>
        <stp/>
        <stp>BDP|12749465762487075597</stp>
        <tr r="S388" s="2"/>
      </tp>
      <tp t="s">
        <v>#N/A N/A</v>
        <stp/>
        <stp>BDP|11604564238564065123</stp>
        <tr r="C445" s="2"/>
      </tp>
      <tp t="s">
        <v>#N/A N/A</v>
        <stp/>
        <stp>BDP|12413393435218021826</stp>
        <tr r="T1608" s="2"/>
      </tp>
      <tp t="s">
        <v>#N/A N/A</v>
        <stp/>
        <stp>BDP|13813872415351934997</stp>
        <tr r="C1394" s="2"/>
      </tp>
      <tp t="s">
        <v>#N/A N/A</v>
        <stp/>
        <stp>BDP|12367593157775232555</stp>
        <tr r="A1205" s="2"/>
      </tp>
      <tp t="s">
        <v>#N/A N/A</v>
        <stp/>
        <stp>BDP|11644711646764346482</stp>
        <tr r="Q639" s="2"/>
      </tp>
      <tp t="s">
        <v>#N/A N/A</v>
        <stp/>
        <stp>BDP|15072630556164897004</stp>
        <tr r="N315" s="2"/>
      </tp>
      <tp t="s">
        <v>#N/A N/A</v>
        <stp/>
        <stp>BDP|12453031375691684690</stp>
        <tr r="M664" s="2"/>
      </tp>
      <tp t="s">
        <v>#N/A N/A</v>
        <stp/>
        <stp>BDP|14889614970792491508</stp>
        <tr r="N91" s="2"/>
      </tp>
      <tp t="s">
        <v>#N/A N/A</v>
        <stp/>
        <stp>BDP|13659199317138022955</stp>
        <tr r="N1305" s="2"/>
      </tp>
      <tp t="s">
        <v>#N/A N/A</v>
        <stp/>
        <stp>BDP|10626305145421991470</stp>
        <tr r="F1027" s="2"/>
      </tp>
      <tp t="s">
        <v>#N/A N/A</v>
        <stp/>
        <stp>BDP|12992183746754360191</stp>
        <tr r="R97" s="2"/>
      </tp>
      <tp t="s">
        <v>#N/A N/A</v>
        <stp/>
        <stp>BDP|16893697063650956467</stp>
        <tr r="F651" s="2"/>
      </tp>
      <tp t="s">
        <v>#N/A N/A</v>
        <stp/>
        <stp>BDP|11342162459064384327</stp>
        <tr r="D365" s="2"/>
      </tp>
      <tp t="s">
        <v>#N/A N/A</v>
        <stp/>
        <stp>BDP|10330305835980242292</stp>
        <tr r="G669" s="2"/>
      </tp>
      <tp t="s">
        <v>#N/A N/A</v>
        <stp/>
        <stp>BDP|17926882840038490181</stp>
        <tr r="J1666" s="2"/>
      </tp>
      <tp t="s">
        <v>#N/A N/A</v>
        <stp/>
        <stp>BDP|11182457520883993606</stp>
        <tr r="H1250" s="2"/>
      </tp>
      <tp t="s">
        <v>#N/A N/A</v>
        <stp/>
        <stp>BDP|17841140314503788621</stp>
        <tr r="C1249" s="2"/>
      </tp>
      <tp t="s">
        <v>#N/A N/A</v>
        <stp/>
        <stp>BDP|13044199026521422362</stp>
        <tr r="M423" s="2"/>
      </tp>
      <tp t="s">
        <v>#N/A N/A</v>
        <stp/>
        <stp>BDP|16213326840881834254</stp>
        <tr r="O1399" s="2"/>
      </tp>
      <tp t="s">
        <v>#N/A N/A</v>
        <stp/>
        <stp>BDP|11813046072276792244</stp>
        <tr r="T446" s="2"/>
      </tp>
      <tp t="s">
        <v>#N/A N/A</v>
        <stp/>
        <stp>BDP|14568444350084823348</stp>
        <tr r="N234" s="2"/>
      </tp>
      <tp t="s">
        <v>#N/A N/A</v>
        <stp/>
        <stp>BDP|10584453594019860612</stp>
        <tr r="O472" s="2"/>
      </tp>
      <tp t="s">
        <v>#N/A N/A</v>
        <stp/>
        <stp>BDP|14330395620792261559</stp>
        <tr r="D1349" s="2"/>
      </tp>
      <tp t="s">
        <v>#N/A N/A</v>
        <stp/>
        <stp>BDP|16760272401152589493</stp>
        <tr r="P1375" s="2"/>
      </tp>
      <tp t="s">
        <v>#N/A N/A</v>
        <stp/>
        <stp>BDP|14038778747374803156</stp>
        <tr r="O1626" s="2"/>
      </tp>
      <tp t="s">
        <v>#N/A N/A</v>
        <stp/>
        <stp>BDP|15996246787535708804</stp>
        <tr r="H1269" s="2"/>
      </tp>
      <tp t="s">
        <v>#N/A N/A</v>
        <stp/>
        <stp>BDP|11640505622326881214</stp>
        <tr r="T1435" s="2"/>
      </tp>
      <tp t="s">
        <v>#N/A N/A</v>
        <stp/>
        <stp>BDP|12917219762716364247</stp>
        <tr r="M18" s="2"/>
      </tp>
      <tp t="s">
        <v>#N/A N/A</v>
        <stp/>
        <stp>BDP|11945483962685848468</stp>
        <tr r="C1290" s="2"/>
      </tp>
      <tp t="s">
        <v>#N/A N/A</v>
        <stp/>
        <stp>BDP|10597473419480314752</stp>
        <tr r="R1194" s="2"/>
      </tp>
      <tp t="s">
        <v>#N/A N/A</v>
        <stp/>
        <stp>BDP|12332403548817208745</stp>
        <tr r="R588" s="2"/>
      </tp>
      <tp t="s">
        <v>#N/A N/A</v>
        <stp/>
        <stp>BDP|13070420688044323948</stp>
        <tr r="S953" s="2"/>
      </tp>
      <tp t="s">
        <v>#N/A N/A</v>
        <stp/>
        <stp>BDP|10626352356954073083</stp>
        <tr r="G212" s="2"/>
      </tp>
      <tp t="s">
        <v>#N/A N/A</v>
        <stp/>
        <stp>BDP|10923487965087111789</stp>
        <tr r="A1284" s="2"/>
      </tp>
      <tp t="s">
        <v>#N/A N/A</v>
        <stp/>
        <stp>BDP|13847569863065804781</stp>
        <tr r="D1590" s="2"/>
      </tp>
      <tp t="s">
        <v>#N/A N/A</v>
        <stp/>
        <stp>BDP|17454691851485494355</stp>
        <tr r="P1305" s="2"/>
      </tp>
      <tp t="s">
        <v>#N/A N/A</v>
        <stp/>
        <stp>BDP|11645864204299159284</stp>
        <tr r="Q217" s="2"/>
      </tp>
      <tp t="s">
        <v>#N/A N/A</v>
        <stp/>
        <stp>BDP|15710728837404698797</stp>
        <tr r="C874" s="2"/>
      </tp>
      <tp t="s">
        <v>#N/A N/A</v>
        <stp/>
        <stp>BDP|17658411232683031182</stp>
        <tr r="N1287" s="2"/>
      </tp>
      <tp t="s">
        <v>#N/A N/A</v>
        <stp/>
        <stp>BDS|10952547341410222307</stp>
        <tr r="I613" s="2"/>
      </tp>
      <tp t="s">
        <v>#N/A N/A</v>
        <stp/>
        <stp>BDP|11487880316788751208</stp>
        <tr r="O126" s="2"/>
      </tp>
      <tp t="s">
        <v>#N/A N/A</v>
        <stp/>
        <stp>BDS|16251099317880363510</stp>
        <tr r="I1188" s="2"/>
      </tp>
      <tp t="s">
        <v>#N/A N/A</v>
        <stp/>
        <stp>BDP|15610227919477214321</stp>
        <tr r="R138" s="2"/>
      </tp>
      <tp t="s">
        <v>#N/A N/A</v>
        <stp/>
        <stp>BDP|10175351434034415695</stp>
        <tr r="G914" s="2"/>
      </tp>
      <tp t="s">
        <v>#N/A N/A</v>
        <stp/>
        <stp>BDP|11055643234311811756</stp>
        <tr r="M142" s="2"/>
      </tp>
      <tp t="s">
        <v>#N/A N/A</v>
        <stp/>
        <stp>BDP|12610689595179525639</stp>
        <tr r="G941" s="2"/>
      </tp>
      <tp t="s">
        <v>#N/A N/A</v>
        <stp/>
        <stp>BDP|18151662742938996015</stp>
        <tr r="E511" s="2"/>
      </tp>
      <tp t="s">
        <v>#N/A N/A</v>
        <stp/>
        <stp>BDP|11475572884638271685</stp>
        <tr r="O169" s="2"/>
      </tp>
      <tp t="s">
        <v>#N/A N/A</v>
        <stp/>
        <stp>BDP|16562990184296554300</stp>
        <tr r="J307" s="2"/>
      </tp>
      <tp t="s">
        <v>#N/A N/A</v>
        <stp/>
        <stp>BDP|11602511504360839660</stp>
        <tr r="C107" s="2"/>
      </tp>
      <tp t="s">
        <v>#N/A N/A</v>
        <stp/>
        <stp>BDP|16275794901325157665</stp>
        <tr r="G1431" s="2"/>
      </tp>
      <tp t="s">
        <v>#N/A N/A</v>
        <stp/>
        <stp>BDP|18171032873344904956</stp>
        <tr r="N1016" s="2"/>
      </tp>
      <tp t="s">
        <v>#N/A N/A</v>
        <stp/>
        <stp>BDP|14725223804120977457</stp>
        <tr r="T1556" s="2"/>
      </tp>
      <tp t="s">
        <v>#N/A N/A</v>
        <stp/>
        <stp>BDP|10932607464551487349</stp>
        <tr r="M369" s="2"/>
      </tp>
      <tp t="s">
        <v>#N/A N/A</v>
        <stp/>
        <stp>BDP|15493784551574669169</stp>
        <tr r="O162" s="2"/>
      </tp>
      <tp t="s">
        <v>#N/A N/A</v>
        <stp/>
        <stp>BDP|16051313427786265390</stp>
        <tr r="K670" s="2"/>
      </tp>
      <tp t="s">
        <v>#N/A N/A</v>
        <stp/>
        <stp>BDP|18135364399256049636</stp>
        <tr r="H6" s="2"/>
      </tp>
      <tp t="s">
        <v>#N/A N/A</v>
        <stp/>
        <stp>BDP|14308061555347515485</stp>
        <tr r="R296" s="2"/>
      </tp>
      <tp t="s">
        <v>#N/A N/A</v>
        <stp/>
        <stp>BDP|15593498068135078091</stp>
        <tr r="E1122" s="2"/>
      </tp>
      <tp t="s">
        <v>#N/A N/A</v>
        <stp/>
        <stp>BDP|13398368178617552254</stp>
        <tr r="H1166" s="2"/>
      </tp>
      <tp t="s">
        <v>#N/A N/A</v>
        <stp/>
        <stp>BDP|17570259660922453394</stp>
        <tr r="J1129" s="2"/>
      </tp>
      <tp t="s">
        <v>#N/A N/A</v>
        <stp/>
        <stp>BDP|11665093002156133511</stp>
        <tr r="J1492" s="2"/>
      </tp>
      <tp t="s">
        <v>#N/A N/A</v>
        <stp/>
        <stp>BDP|12577511370433864112</stp>
        <tr r="S877" s="2"/>
      </tp>
      <tp t="s">
        <v>#N/A N/A</v>
        <stp/>
        <stp>BDP|10825155370405539155</stp>
        <tr r="N893" s="2"/>
      </tp>
      <tp t="s">
        <v>#N/A N/A</v>
        <stp/>
        <stp>BDP|13759279639128188850</stp>
        <tr r="C1531" s="2"/>
      </tp>
      <tp t="s">
        <v>#N/A N/A</v>
        <stp/>
        <stp>BDP|11542053472422800676</stp>
        <tr r="N1235" s="2"/>
      </tp>
      <tp t="s">
        <v>#N/A N/A</v>
        <stp/>
        <stp>BDP|13761767248143274163</stp>
        <tr r="D1500" s="2"/>
      </tp>
      <tp t="s">
        <v>#N/A N/A</v>
        <stp/>
        <stp>BDP|10800208402904246451</stp>
        <tr r="G1346" s="2"/>
      </tp>
      <tp t="s">
        <v>#N/A N/A</v>
        <stp/>
        <stp>BDP|17772665231154937444</stp>
        <tr r="H726" s="2"/>
      </tp>
      <tp t="s">
        <v>#N/A N/A</v>
        <stp/>
        <stp>BDP|10887230813351173057</stp>
        <tr r="P612" s="2"/>
      </tp>
      <tp t="s">
        <v>#N/A N/A</v>
        <stp/>
        <stp>BDP|17953755926908150877</stp>
        <tr r="Q1740" s="2"/>
      </tp>
      <tp t="s">
        <v>#N/A N/A</v>
        <stp/>
        <stp>BDP|16331840119765089826</stp>
        <tr r="A224" s="2"/>
      </tp>
      <tp t="s">
        <v>#N/A N/A</v>
        <stp/>
        <stp>BDP|11344552828163240709</stp>
        <tr r="O1382" s="2"/>
      </tp>
      <tp t="s">
        <v>#N/A N/A</v>
        <stp/>
        <stp>BDP|14191174760698875926</stp>
        <tr r="E53" s="2"/>
      </tp>
      <tp t="s">
        <v>#N/A N/A</v>
        <stp/>
        <stp>BDP|15803972885605561338</stp>
        <tr r="K509" s="2"/>
      </tp>
      <tp t="s">
        <v>#N/A N/A</v>
        <stp/>
        <stp>BDS|15671119544153555190</stp>
        <tr r="I1582" s="2"/>
      </tp>
      <tp t="s">
        <v>#N/A N/A</v>
        <stp/>
        <stp>BDP|13089058195508590095</stp>
        <tr r="T1389" s="2"/>
      </tp>
      <tp t="s">
        <v>#N/A N/A</v>
        <stp/>
        <stp>BDP|17005570809556483664</stp>
        <tr r="J940" s="2"/>
      </tp>
      <tp t="s">
        <v>#N/A N/A</v>
        <stp/>
        <stp>BDP|12416441331632883557</stp>
        <tr r="R1361" s="2"/>
      </tp>
      <tp t="s">
        <v>#N/A N/A</v>
        <stp/>
        <stp>BDP|10174562258022693055</stp>
        <tr r="A569" s="2"/>
      </tp>
      <tp t="s">
        <v>#N/A N/A</v>
        <stp/>
        <stp>BDP|10912212616933515272</stp>
        <tr r="A581" s="2"/>
      </tp>
      <tp t="s">
        <v>#N/A N/A</v>
        <stp/>
        <stp>BDP|14192215477211838235</stp>
        <tr r="T944" s="2"/>
      </tp>
      <tp t="s">
        <v>#N/A N/A</v>
        <stp/>
        <stp>BDP|13395109607894013481</stp>
        <tr r="J1211" s="2"/>
      </tp>
      <tp t="s">
        <v>#N/A N/A</v>
        <stp/>
        <stp>BDP|15814288731791853753</stp>
        <tr r="Q805" s="2"/>
      </tp>
      <tp t="s">
        <v>#N/A N/A</v>
        <stp/>
        <stp>BDP|13096685467637009632</stp>
        <tr r="H340" s="2"/>
      </tp>
      <tp t="s">
        <v>#N/A N/A</v>
        <stp/>
        <stp>BDP|12085237237623841205</stp>
        <tr r="E1666" s="2"/>
      </tp>
      <tp t="s">
        <v>#N/A N/A</v>
        <stp/>
        <stp>BDP|10852776652928241836</stp>
        <tr r="D169" s="2"/>
      </tp>
      <tp t="s">
        <v>#N/A N/A</v>
        <stp/>
        <stp>BDP|11914204417402691240</stp>
        <tr r="G1035" s="2"/>
      </tp>
      <tp t="s">
        <v>#N/A N/A</v>
        <stp/>
        <stp>BDP|15999434875767517363</stp>
        <tr r="F604" s="2"/>
      </tp>
      <tp t="s">
        <v>#N/A N/A</v>
        <stp/>
        <stp>BDP|14575999122528265505</stp>
        <tr r="T798" s="2"/>
      </tp>
      <tp t="s">
        <v>#N/A N/A</v>
        <stp/>
        <stp>BDP|14428714526934711781</stp>
        <tr r="O1280" s="2"/>
      </tp>
      <tp t="s">
        <v>#N/A N/A</v>
        <stp/>
        <stp>BDP|14852256610854042110</stp>
        <tr r="A969" s="2"/>
      </tp>
      <tp t="s">
        <v>#N/A N/A</v>
        <stp/>
        <stp>BDP|16998553094680122851</stp>
        <tr r="Q318" s="2"/>
      </tp>
      <tp t="s">
        <v>#N/A N/A</v>
        <stp/>
        <stp>BDP|12210375479497590357</stp>
        <tr r="A700" s="2"/>
      </tp>
      <tp t="s">
        <v>#N/A N/A</v>
        <stp/>
        <stp>BDP|13637668316726359097</stp>
        <tr r="K1064" s="2"/>
      </tp>
      <tp t="s">
        <v>#N/A N/A</v>
        <stp/>
        <stp>BDP|14900344914911471514</stp>
        <tr r="G427" s="2"/>
      </tp>
      <tp t="s">
        <v>#N/A N/A</v>
        <stp/>
        <stp>BDP|14270187831610013479</stp>
        <tr r="P357" s="2"/>
      </tp>
      <tp t="s">
        <v>#N/A N/A</v>
        <stp/>
        <stp>BDP|14180236229461710705</stp>
        <tr r="O1704" s="2"/>
      </tp>
      <tp t="s">
        <v>#N/A N/A</v>
        <stp/>
        <stp>BDP|12531284368545984104</stp>
        <tr r="E270" s="2"/>
      </tp>
      <tp t="s">
        <v>#N/A N/A</v>
        <stp/>
        <stp>BDP|14543759174490054681</stp>
        <tr r="K329" s="2"/>
      </tp>
      <tp t="s">
        <v>#N/A N/A</v>
        <stp/>
        <stp>BDP|13987031262464368376</stp>
        <tr r="R903" s="2"/>
      </tp>
      <tp t="s">
        <v>#N/A N/A</v>
        <stp/>
        <stp>BDP|10206152461944277181</stp>
        <tr r="F534" s="2"/>
      </tp>
      <tp t="s">
        <v>#N/A N/A</v>
        <stp/>
        <stp>BDP|13925017067777181027</stp>
        <tr r="C388" s="2"/>
      </tp>
      <tp t="s">
        <v>#N/A N/A</v>
        <stp/>
        <stp>BDP|10419433169067132732</stp>
        <tr r="P170" s="2"/>
      </tp>
      <tp t="s">
        <v>#N/A N/A</v>
        <stp/>
        <stp>BDP|16115852398692633765</stp>
        <tr r="R28" s="2"/>
      </tp>
      <tp t="s">
        <v>#N/A N/A</v>
        <stp/>
        <stp>BDP|10560411184799940757</stp>
        <tr r="R1665" s="2"/>
      </tp>
      <tp t="s">
        <v>#N/A N/A</v>
        <stp/>
        <stp>BDP|18438257889438235860</stp>
        <tr r="E1285" s="2"/>
      </tp>
      <tp t="s">
        <v>#N/A N/A</v>
        <stp/>
        <stp>BDP|11824757022636316001</stp>
        <tr r="Q1630" s="2"/>
      </tp>
      <tp t="s">
        <v>#N/A N/A</v>
        <stp/>
        <stp>BDP|12503012037511753281</stp>
        <tr r="F1605" s="2"/>
      </tp>
      <tp t="s">
        <v>#N/A N/A</v>
        <stp/>
        <stp>BDP|10051594452287052574</stp>
        <tr r="E1741" s="2"/>
      </tp>
      <tp t="s">
        <v>#N/A N/A</v>
        <stp/>
        <stp>BDP|15262191080387555923</stp>
        <tr r="P418" s="2"/>
      </tp>
      <tp t="s">
        <v>#N/A N/A</v>
        <stp/>
        <stp>BDP|13446496714396473214</stp>
        <tr r="D1486" s="2"/>
      </tp>
      <tp t="s">
        <v>#N/A N/A</v>
        <stp/>
        <stp>BDP|11621577306090961621</stp>
        <tr r="Q1423" s="2"/>
      </tp>
      <tp t="s">
        <v>#N/A N/A</v>
        <stp/>
        <stp>BDP|16056907315554953800</stp>
        <tr r="J1553" s="2"/>
      </tp>
      <tp t="s">
        <v>#N/A N/A</v>
        <stp/>
        <stp>BDP|15380318618866022368</stp>
        <tr r="S452" s="2"/>
      </tp>
      <tp t="s">
        <v>#N/A N/A</v>
        <stp/>
        <stp>BDP|10679330252797839332</stp>
        <tr r="K542" s="2"/>
      </tp>
      <tp t="s">
        <v>#N/A N/A</v>
        <stp/>
        <stp>BDP|14630135766733931263</stp>
        <tr r="F1014" s="2"/>
      </tp>
      <tp t="s">
        <v>#N/A N/A</v>
        <stp/>
        <stp>BDP|14992719562614353352</stp>
        <tr r="T497" s="2"/>
      </tp>
      <tp t="s">
        <v>#N/A N/A</v>
        <stp/>
        <stp>BDP|14919421651797637005</stp>
        <tr r="S1484" s="2"/>
      </tp>
      <tp t="s">
        <v>#N/A N/A</v>
        <stp/>
        <stp>BDP|13171435956136100693</stp>
        <tr r="A157" s="2"/>
      </tp>
      <tp t="s">
        <v>#N/A N/A</v>
        <stp/>
        <stp>BDP|12682550995948928433</stp>
        <tr r="O702" s="2"/>
      </tp>
      <tp t="s">
        <v>#N/A N/A</v>
        <stp/>
        <stp>BDP|10181484963488489827</stp>
        <tr r="C1021" s="2"/>
      </tp>
      <tp t="s">
        <v>#N/A N/A</v>
        <stp/>
        <stp>BDP|11863169903032510049</stp>
        <tr r="M1482" s="2"/>
      </tp>
      <tp t="s">
        <v>#N/A N/A</v>
        <stp/>
        <stp>BDP|15201350276112430195</stp>
        <tr r="O505" s="2"/>
      </tp>
      <tp t="s">
        <v>#N/A N/A</v>
        <stp/>
        <stp>BDP|14143692795800208938</stp>
        <tr r="Q1536" s="2"/>
      </tp>
      <tp t="s">
        <v>#N/A N/A</v>
        <stp/>
        <stp>BDP|11821473606202760523</stp>
        <tr r="M560" s="2"/>
      </tp>
      <tp t="s">
        <v>#N/A N/A</v>
        <stp/>
        <stp>BDP|15423818698864828295</stp>
        <tr r="P757" s="2"/>
      </tp>
      <tp t="s">
        <v>#N/A N/A</v>
        <stp/>
        <stp>BDP|18044911610881480390</stp>
        <tr r="A127" s="2"/>
      </tp>
      <tp t="s">
        <v>#N/A N/A</v>
        <stp/>
        <stp>BDP|16843695553627842066</stp>
        <tr r="S575" s="2"/>
      </tp>
      <tp t="s">
        <v>#N/A N/A</v>
        <stp/>
        <stp>BDP|11035529101420995662</stp>
        <tr r="R620" s="2"/>
      </tp>
      <tp t="s">
        <v>#N/A N/A</v>
        <stp/>
        <stp>BDP|10976316312216168671</stp>
        <tr r="N1281" s="2"/>
      </tp>
      <tp t="s">
        <v>#N/A N/A</v>
        <stp/>
        <stp>BDP|16167957989700652577</stp>
        <tr r="J189" s="2"/>
      </tp>
      <tp t="s">
        <v>#N/A N/A</v>
        <stp/>
        <stp>BDP|11156647901567017282</stp>
        <tr r="E261" s="2"/>
      </tp>
      <tp t="s">
        <v>#N/A N/A</v>
        <stp/>
        <stp>BDP|17743595831520371307</stp>
        <tr r="J543" s="2"/>
      </tp>
      <tp t="s">
        <v>#N/A N/A</v>
        <stp/>
        <stp>BDP|16648688061872535663</stp>
        <tr r="G1734" s="2"/>
      </tp>
      <tp t="s">
        <v>#N/A N/A</v>
        <stp/>
        <stp>BDP|17751628399902488848</stp>
        <tr r="K963" s="2"/>
      </tp>
      <tp t="s">
        <v>#N/A N/A</v>
        <stp/>
        <stp>BDP|11065461221011224491</stp>
        <tr r="E219" s="2"/>
      </tp>
      <tp t="s">
        <v>#N/A N/A</v>
        <stp/>
        <stp>BDP|14972805027495695974</stp>
        <tr r="N143" s="2"/>
      </tp>
      <tp t="s">
        <v>#N/A N/A</v>
        <stp/>
        <stp>BDP|17879621532327087776</stp>
        <tr r="H177" s="2"/>
      </tp>
      <tp t="s">
        <v>#N/A N/A</v>
        <stp/>
        <stp>BDP|17685171792205928852</stp>
        <tr r="M1401" s="2"/>
      </tp>
      <tp t="s">
        <v>#N/A N/A</v>
        <stp/>
        <stp>BDP|17149598351140729514</stp>
        <tr r="T376" s="2"/>
      </tp>
      <tp t="s">
        <v>#N/A N/A</v>
        <stp/>
        <stp>BDP|10801543365875088469</stp>
        <tr r="H142" s="2"/>
      </tp>
      <tp t="s">
        <v>#N/A N/A</v>
        <stp/>
        <stp>BDP|12088617322604815042</stp>
        <tr r="N93" s="2"/>
      </tp>
      <tp t="s">
        <v>#N/A N/A</v>
        <stp/>
        <stp>BDP|17211743337491996076</stp>
        <tr r="H1084" s="2"/>
      </tp>
      <tp t="s">
        <v>#N/A N/A</v>
        <stp/>
        <stp>BDP|10315315678736392063</stp>
        <tr r="S1312" s="2"/>
      </tp>
      <tp t="s">
        <v>#N/A N/A</v>
        <stp/>
        <stp>BDP|12700120455816676297</stp>
        <tr r="D459" s="2"/>
      </tp>
      <tp t="s">
        <v>#N/A N/A</v>
        <stp/>
        <stp>BDP|11998376550975895090</stp>
        <tr r="G853" s="2"/>
      </tp>
      <tp t="s">
        <v>#N/A N/A</v>
        <stp/>
        <stp>BDP|11903046920150291101</stp>
        <tr r="K1243" s="2"/>
      </tp>
      <tp t="s">
        <v>#N/A N/A</v>
        <stp/>
        <stp>BDP|15717822733228888417</stp>
        <tr r="J19" s="2"/>
      </tp>
      <tp t="s">
        <v>#N/A N/A</v>
        <stp/>
        <stp>BDP|15505363461796829458</stp>
        <tr r="S1249" s="2"/>
      </tp>
      <tp t="s">
        <v>#N/A N/A</v>
        <stp/>
        <stp>BDP|14709013712465234299</stp>
        <tr r="F1344" s="2"/>
      </tp>
      <tp t="s">
        <v>#N/A N/A</v>
        <stp/>
        <stp>BDP|15416787057997151257</stp>
        <tr r="O1400" s="2"/>
      </tp>
      <tp t="s">
        <v>#N/A N/A</v>
        <stp/>
        <stp>BDP|16832555239132998023</stp>
        <tr r="N1213" s="2"/>
      </tp>
      <tp t="s">
        <v>#N/A N/A</v>
        <stp/>
        <stp>BDP|15163615717844061480</stp>
        <tr r="G672" s="2"/>
      </tp>
      <tp t="s">
        <v>#N/A N/A</v>
        <stp/>
        <stp>BDP|11052491023420380565</stp>
        <tr r="F1130" s="2"/>
      </tp>
      <tp t="s">
        <v>#N/A N/A</v>
        <stp/>
        <stp>BDP|10590925323330842936</stp>
        <tr r="A6" s="2"/>
      </tp>
      <tp t="s">
        <v>#N/A N/A</v>
        <stp/>
        <stp>BDP|14099083536062365720</stp>
        <tr r="Q1395" s="2"/>
      </tp>
      <tp t="s">
        <v>#N/A N/A</v>
        <stp/>
        <stp>BDP|17943420328707888448</stp>
        <tr r="N955" s="2"/>
      </tp>
      <tp t="s">
        <v>#N/A N/A</v>
        <stp/>
        <stp>BDP|12443040778983289456</stp>
        <tr r="H1624" s="2"/>
      </tp>
      <tp t="s">
        <v>#N/A N/A</v>
        <stp/>
        <stp>BDP|13382392484868426253</stp>
        <tr r="H1598" s="2"/>
      </tp>
      <tp t="s">
        <v>#N/A N/A</v>
        <stp/>
        <stp>BDP|15656013515587508180</stp>
        <tr r="C1619" s="2"/>
      </tp>
      <tp t="s">
        <v>#N/A N/A</v>
        <stp/>
        <stp>BDP|10462532958277163512</stp>
        <tr r="T1115" s="2"/>
      </tp>
      <tp t="s">
        <v>#N/A N/A</v>
        <stp/>
        <stp>BDP|11642966549006567836</stp>
        <tr r="T209" s="2"/>
      </tp>
      <tp t="s">
        <v>#N/A N/A</v>
        <stp/>
        <stp>BDP|13984018613628303874</stp>
        <tr r="O869" s="2"/>
      </tp>
      <tp t="s">
        <v>#N/A N/A</v>
        <stp/>
        <stp>BDP|14271501458607600131</stp>
        <tr r="S323" s="2"/>
      </tp>
      <tp t="s">
        <v>#N/A N/A</v>
        <stp/>
        <stp>BDP|17610205376328707886</stp>
        <tr r="D220" s="2"/>
      </tp>
      <tp t="s">
        <v>#N/A N/A</v>
        <stp/>
        <stp>BDP|12577397415112033063</stp>
        <tr r="R1644" s="2"/>
      </tp>
      <tp t="s">
        <v>#N/A N/A</v>
        <stp/>
        <stp>BDP|17148121770291926254</stp>
        <tr r="F780" s="2"/>
      </tp>
      <tp t="s">
        <v>#N/A N/A</v>
        <stp/>
        <stp>BDP|10136393321535768613</stp>
        <tr r="E141" s="2"/>
      </tp>
      <tp t="s">
        <v>#N/A N/A</v>
        <stp/>
        <stp>BDP|12478986810798540062</stp>
        <tr r="O1514" s="2"/>
      </tp>
      <tp t="s">
        <v>#N/A N/A</v>
        <stp/>
        <stp>BDP|12445628277376989770</stp>
        <tr r="S431" s="2"/>
      </tp>
      <tp t="s">
        <v>#N/A N/A</v>
        <stp/>
        <stp>BDP|17609574938360608301</stp>
        <tr r="F801" s="2"/>
      </tp>
      <tp t="s">
        <v>#N/A N/A</v>
        <stp/>
        <stp>BDP|15450095861606351705</stp>
        <tr r="S1639" s="2"/>
      </tp>
      <tp t="s">
        <v>#N/A N/A</v>
        <stp/>
        <stp>BDP|16294862819419784451</stp>
        <tr r="E19" s="2"/>
      </tp>
      <tp t="s">
        <v>#N/A N/A</v>
        <stp/>
        <stp>BDP|12912406020784768210</stp>
        <tr r="P1204" s="2"/>
      </tp>
      <tp t="s">
        <v>#N/A N/A</v>
        <stp/>
        <stp>BDP|12653583645968688922</stp>
        <tr r="E1305" s="2"/>
      </tp>
      <tp t="s">
        <v>#N/A N/A</v>
        <stp/>
        <stp>BDP|10534235722857882533</stp>
        <tr r="A702" s="2"/>
      </tp>
      <tp t="s">
        <v>#N/A N/A</v>
        <stp/>
        <stp>BDP|15878061923646444361</stp>
        <tr r="D1046" s="2"/>
      </tp>
      <tp t="s">
        <v>#N/A N/A</v>
        <stp/>
        <stp>BDP|11684780000516707268</stp>
        <tr r="P467" s="2"/>
      </tp>
      <tp t="s">
        <v>#N/A N/A</v>
        <stp/>
        <stp>BDP|14928205094719435467</stp>
        <tr r="T228" s="2"/>
      </tp>
      <tp t="s">
        <v>#N/A N/A</v>
        <stp/>
        <stp>BDP|12404781367667059646</stp>
        <tr r="E1394" s="2"/>
      </tp>
      <tp t="s">
        <v>#N/A N/A</v>
        <stp/>
        <stp>BDP|13837184398798635108</stp>
        <tr r="M1061" s="2"/>
      </tp>
      <tp t="s">
        <v>#N/A N/A</v>
        <stp/>
        <stp>BDP|12767931390112982235</stp>
        <tr r="N1357" s="2"/>
      </tp>
      <tp t="s">
        <v>#N/A N/A</v>
        <stp/>
        <stp>BDP|18355488443303740911</stp>
        <tr r="J39" s="2"/>
      </tp>
      <tp t="s">
        <v>#N/A N/A</v>
        <stp/>
        <stp>BDP|16744481393911154832</stp>
        <tr r="A940" s="2"/>
      </tp>
      <tp t="s">
        <v>#N/A N/A</v>
        <stp/>
        <stp>BDP|15326927688247188165</stp>
        <tr r="H432" s="2"/>
      </tp>
      <tp t="s">
        <v>#N/A N/A</v>
        <stp/>
        <stp>BDP|13770243699342686825</stp>
        <tr r="O871" s="2"/>
      </tp>
      <tp t="s">
        <v>#N/A N/A</v>
        <stp/>
        <stp>BDP|11403127433544989523</stp>
        <tr r="J1113" s="2"/>
      </tp>
      <tp t="s">
        <v>#N/A N/A</v>
        <stp/>
        <stp>BDP|11355089968694930140</stp>
        <tr r="M434" s="2"/>
      </tp>
      <tp t="s">
        <v>#N/A N/A</v>
        <stp/>
        <stp>BDP|14360559565303861653</stp>
        <tr r="C415" s="2"/>
      </tp>
      <tp t="s">
        <v>#N/A N/A</v>
        <stp/>
        <stp>BDP|12452279268973480714</stp>
        <tr r="S198" s="2"/>
      </tp>
      <tp t="s">
        <v>#N/A N/A</v>
        <stp/>
        <stp>BDP|10977731838504486283</stp>
        <tr r="P1408" s="2"/>
      </tp>
      <tp t="s">
        <v>#N/A N/A</v>
        <stp/>
        <stp>BDP|18081807328184642402</stp>
        <tr r="J1597" s="2"/>
      </tp>
      <tp t="s">
        <v>#N/A N/A</v>
        <stp/>
        <stp>BDP|14381496264684510051</stp>
        <tr r="T926" s="2"/>
      </tp>
      <tp t="s">
        <v>#N/A N/A</v>
        <stp/>
        <stp>BDP|18130386780187098675</stp>
        <tr r="J617" s="2"/>
      </tp>
      <tp t="s">
        <v>#N/A N/A</v>
        <stp/>
        <stp>BDP|17457186625512186466</stp>
        <tr r="N405" s="2"/>
      </tp>
      <tp t="s">
        <v>#N/A N/A</v>
        <stp/>
        <stp>BDP|10503996797562292072</stp>
        <tr r="D1459" s="2"/>
      </tp>
      <tp t="s">
        <v>#N/A N/A</v>
        <stp/>
        <stp>BDP|16881539003778486926</stp>
        <tr r="M699" s="2"/>
      </tp>
      <tp t="s">
        <v>#N/A N/A</v>
        <stp/>
        <stp>BDP|16548645307804154693</stp>
        <tr r="D1722" s="2"/>
      </tp>
      <tp t="s">
        <v>#N/A N/A</v>
        <stp/>
        <stp>BDP|11598644506437020294</stp>
        <tr r="H1606" s="2"/>
      </tp>
      <tp t="s">
        <v>#N/A N/A</v>
        <stp/>
        <stp>BDP|15600700418384851588</stp>
        <tr r="K1471" s="2"/>
      </tp>
      <tp t="s">
        <v>#N/A N/A</v>
        <stp/>
        <stp>BDP|14764896815207171848</stp>
        <tr r="R1557" s="2"/>
      </tp>
      <tp t="s">
        <v>#N/A N/A</v>
        <stp/>
        <stp>BDP|10627736855993778397</stp>
        <tr r="O1355" s="2"/>
      </tp>
      <tp t="s">
        <v>#N/A N/A</v>
        <stp/>
        <stp>BDP|17913578067690340646</stp>
        <tr r="D1157" s="2"/>
      </tp>
      <tp t="s">
        <v>#N/A N/A</v>
        <stp/>
        <stp>BDP|13729743940973523187</stp>
        <tr r="P545" s="2"/>
      </tp>
      <tp t="s">
        <v>#N/A N/A</v>
        <stp/>
        <stp>BDP|11483539258552312128</stp>
        <tr r="E222" s="2"/>
      </tp>
      <tp t="s">
        <v>#N/A N/A</v>
        <stp/>
        <stp>BDP|13840263720545671468</stp>
        <tr r="K1575" s="2"/>
      </tp>
      <tp t="s">
        <v>#N/A N/A</v>
        <stp/>
        <stp>BDP|10938271207252182264</stp>
        <tr r="P1373" s="2"/>
      </tp>
      <tp t="s">
        <v>#N/A N/A</v>
        <stp/>
        <stp>BDP|11110130473890646591</stp>
        <tr r="G1282" s="2"/>
      </tp>
      <tp t="s">
        <v>#N/A N/A</v>
        <stp/>
        <stp>BDP|16200228999449119661</stp>
        <tr r="S1096" s="2"/>
      </tp>
      <tp t="s">
        <v>#N/A N/A</v>
        <stp/>
        <stp>BDP|12127286746653929583</stp>
        <tr r="A1364" s="2"/>
      </tp>
      <tp t="s">
        <v>#N/A N/A</v>
        <stp/>
        <stp>BDP|10945581902046401196</stp>
        <tr r="Q2" s="2"/>
      </tp>
      <tp t="s">
        <v>#N/A N/A</v>
        <stp/>
        <stp>BDP|18425047922001845942</stp>
        <tr r="M19" s="2"/>
      </tp>
      <tp t="s">
        <v>#N/A N/A</v>
        <stp/>
        <stp>BDP|12535355139284106467</stp>
        <tr r="Q554" s="2"/>
      </tp>
      <tp t="s">
        <v>#N/A N/A</v>
        <stp/>
        <stp>BDS|17368444734461933376</stp>
        <tr r="I247" s="2"/>
      </tp>
      <tp t="s">
        <v>#N/A N/A</v>
        <stp/>
        <stp>BDP|13405062218719370971</stp>
        <tr r="Q607" s="2"/>
      </tp>
      <tp t="s">
        <v>#N/A N/A</v>
        <stp/>
        <stp>BDP|14965852301136736845</stp>
        <tr r="O238" s="2"/>
      </tp>
      <tp t="s">
        <v>#N/A N/A</v>
        <stp/>
        <stp>BDP|16807540286278257165</stp>
        <tr r="F680" s="2"/>
      </tp>
      <tp t="s">
        <v>#N/A N/A</v>
        <stp/>
        <stp>BDP|17856263231124500045</stp>
        <tr r="D1249" s="2"/>
      </tp>
      <tp t="s">
        <v>#N/A N/A</v>
        <stp/>
        <stp>BDP|15821610354152046635</stp>
        <tr r="F1659" s="2"/>
      </tp>
      <tp t="s">
        <v>#N/A N/A</v>
        <stp/>
        <stp>BDP|16053762857782703482</stp>
        <tr r="A807" s="2"/>
      </tp>
      <tp t="s">
        <v>#N/A N/A</v>
        <stp/>
        <stp>BDP|12816973886472302347</stp>
        <tr r="J428" s="2"/>
      </tp>
      <tp t="s">
        <v>#N/A N/A</v>
        <stp/>
        <stp>BDP|18353707535887099982</stp>
        <tr r="O1263" s="2"/>
      </tp>
      <tp t="s">
        <v>#N/A N/A</v>
        <stp/>
        <stp>BDS|11289808232281874954</stp>
        <tr r="I1091" s="2"/>
      </tp>
      <tp t="s">
        <v>#N/A N/A</v>
        <stp/>
        <stp>BDP|16712124873393845103</stp>
        <tr r="C432" s="2"/>
      </tp>
      <tp t="s">
        <v>#N/A N/A</v>
        <stp/>
        <stp>BDP|14649761878147024167</stp>
        <tr r="A15" s="2"/>
      </tp>
      <tp t="s">
        <v>#N/A N/A</v>
        <stp/>
        <stp>BDP|14850250961506678446</stp>
        <tr r="O4" s="2"/>
      </tp>
      <tp t="s">
        <v>#N/A N/A</v>
        <stp/>
        <stp>BDP|16674411113943270289</stp>
        <tr r="D739" s="2"/>
      </tp>
      <tp t="s">
        <v>#N/A N/A</v>
        <stp/>
        <stp>BDP|13603510208297728361</stp>
        <tr r="J1040" s="2"/>
      </tp>
      <tp t="s">
        <v>#N/A N/A</v>
        <stp/>
        <stp>BDP|13963599270352844169</stp>
        <tr r="O1602" s="2"/>
      </tp>
      <tp t="s">
        <v>#N/A N/A</v>
        <stp/>
        <stp>BDP|15326085860884576509</stp>
        <tr r="F1205" s="2"/>
      </tp>
      <tp t="s">
        <v>#N/A N/A</v>
        <stp/>
        <stp>BDP|13042367188569517356</stp>
        <tr r="O1616" s="2"/>
      </tp>
      <tp t="s">
        <v>#N/A N/A</v>
        <stp/>
        <stp>BDP|10823050430197231610</stp>
        <tr r="D1231" s="2"/>
      </tp>
      <tp t="s">
        <v>#N/A N/A</v>
        <stp/>
        <stp>BDP|16751703954362444491</stp>
        <tr r="R889" s="2"/>
      </tp>
      <tp t="s">
        <v>#N/A N/A</v>
        <stp/>
        <stp>BDP|12626841769337444914</stp>
        <tr r="S1710" s="2"/>
      </tp>
      <tp t="s">
        <v>#N/A N/A</v>
        <stp/>
        <stp>BDP|13187285968032698793</stp>
        <tr r="A1285" s="2"/>
      </tp>
      <tp t="s">
        <v>#N/A N/A</v>
        <stp/>
        <stp>BDP|17657144136305913234</stp>
        <tr r="N645" s="2"/>
      </tp>
      <tp t="s">
        <v>#N/A N/A</v>
        <stp/>
        <stp>BDP|15247347051430813111</stp>
        <tr r="C1315" s="2"/>
      </tp>
      <tp t="s">
        <v>#N/A N/A</v>
        <stp/>
        <stp>BDP|12026119214861304184</stp>
        <tr r="G1232" s="2"/>
      </tp>
      <tp t="s">
        <v>#N/A N/A</v>
        <stp/>
        <stp>BDP|16168847589456534270</stp>
        <tr r="A404" s="2"/>
      </tp>
      <tp t="s">
        <v>#N/A N/A</v>
        <stp/>
        <stp>BDP|12798166415049280981</stp>
        <tr r="T1259" s="2"/>
      </tp>
      <tp t="s">
        <v>#N/A N/A</v>
        <stp/>
        <stp>BDP|17350265628840598567</stp>
        <tr r="R498" s="2"/>
      </tp>
      <tp t="s">
        <v>#N/A N/A</v>
        <stp/>
        <stp>BDP|17574350771717843672</stp>
        <tr r="N792" s="2"/>
      </tp>
      <tp t="s">
        <v>#N/A N/A</v>
        <stp/>
        <stp>BDS|14393597344965416270</stp>
        <tr r="I274" s="2"/>
      </tp>
      <tp t="s">
        <v>#N/A N/A</v>
        <stp/>
        <stp>BDP|12234700952860871269</stp>
        <tr r="O673" s="2"/>
      </tp>
      <tp t="s">
        <v>#N/A N/A</v>
        <stp/>
        <stp>BDP|11882960066958162472</stp>
        <tr r="K894" s="2"/>
      </tp>
      <tp t="s">
        <v>#N/A N/A</v>
        <stp/>
        <stp>BDP|11100085341316331150</stp>
        <tr r="O897" s="2"/>
      </tp>
      <tp t="s">
        <v>#N/A N/A</v>
        <stp/>
        <stp>BDP|10906322645301602464</stp>
        <tr r="P958" s="2"/>
      </tp>
      <tp t="s">
        <v>#N/A N/A</v>
        <stp/>
        <stp>BDP|14273016008193256571</stp>
        <tr r="K1576" s="2"/>
      </tp>
      <tp t="s">
        <v>#N/A N/A</v>
        <stp/>
        <stp>BDP|18330154685292443195</stp>
        <tr r="N1295" s="2"/>
      </tp>
      <tp t="s">
        <v>#N/A N/A</v>
        <stp/>
        <stp>BDP|16889152354007364748</stp>
        <tr r="Q1082" s="2"/>
      </tp>
      <tp t="s">
        <v>#N/A N/A</v>
        <stp/>
        <stp>BDP|12623797260366052717</stp>
        <tr r="C519" s="2"/>
      </tp>
      <tp t="s">
        <v>#N/A N/A</v>
        <stp/>
        <stp>BDP|11263536560979559957</stp>
        <tr r="E667" s="2"/>
      </tp>
      <tp t="s">
        <v>#N/A N/A</v>
        <stp/>
        <stp>BDP|16542060511960449572</stp>
        <tr r="Q430" s="2"/>
      </tp>
      <tp t="s">
        <v>#N/A N/A</v>
        <stp/>
        <stp>BDP|15070229333341973790</stp>
        <tr r="D1228" s="2"/>
      </tp>
      <tp t="s">
        <v>#N/A N/A</v>
        <stp/>
        <stp>BDS|12331755514927622167</stp>
        <tr r="I1153" s="2"/>
      </tp>
      <tp t="s">
        <v>#N/A N/A</v>
        <stp/>
        <stp>BDP|15685263821480577752</stp>
        <tr r="M1425" s="2"/>
      </tp>
      <tp t="s">
        <v>#N/A N/A</v>
        <stp/>
        <stp>BDP|16767267652771281207</stp>
        <tr r="T257" s="2"/>
      </tp>
      <tp t="s">
        <v>#N/A N/A</v>
        <stp/>
        <stp>BDP|10221099755492649592</stp>
        <tr r="E1332" s="2"/>
      </tp>
      <tp t="s">
        <v>#N/A N/A</v>
        <stp/>
        <stp>BDP|11993067755064204297</stp>
        <tr r="C958" s="2"/>
      </tp>
      <tp t="s">
        <v>#N/A N/A</v>
        <stp/>
        <stp>BDP|11976419288619177606</stp>
        <tr r="M512" s="2"/>
      </tp>
      <tp t="s">
        <v>#N/A N/A</v>
        <stp/>
        <stp>BDP|11070749947562562275</stp>
        <tr r="P145" s="2"/>
      </tp>
      <tp t="s">
        <v>#N/A N/A</v>
        <stp/>
        <stp>BDP|10077800911772217929</stp>
        <tr r="H82" s="2"/>
      </tp>
      <tp t="s">
        <v>#N/A N/A</v>
        <stp/>
        <stp>BDP|13036230511191324308</stp>
        <tr r="G758" s="2"/>
      </tp>
      <tp t="s">
        <v>#N/A N/A</v>
        <stp/>
        <stp>BDP|15366919866671428913</stp>
        <tr r="P838" s="2"/>
      </tp>
      <tp t="s">
        <v>#N/A N/A</v>
        <stp/>
        <stp>BDS|14004285473327193487</stp>
        <tr r="I804" s="2"/>
      </tp>
      <tp t="s">
        <v>#N/A N/A</v>
        <stp/>
        <stp>BDP|12153049611115114444</stp>
        <tr r="G1224" s="2"/>
      </tp>
      <tp t="s">
        <v>#N/A N/A</v>
        <stp/>
        <stp>BDP|14409908343142560930</stp>
        <tr r="C1089" s="2"/>
      </tp>
      <tp t="s">
        <v>#N/A N/A</v>
        <stp/>
        <stp>BDP|16992162577823049199</stp>
        <tr r="D249" s="2"/>
      </tp>
      <tp t="s">
        <v>#N/A N/A</v>
        <stp/>
        <stp>BDP|18300228784767519710</stp>
        <tr r="N1173" s="2"/>
      </tp>
      <tp t="s">
        <v>#N/A N/A</v>
        <stp/>
        <stp>BDP|18241706159729385193</stp>
        <tr r="N1089" s="2"/>
      </tp>
      <tp t="s">
        <v>#N/A N/A</v>
        <stp/>
        <stp>BDP|12135268581342626814</stp>
        <tr r="C218" s="2"/>
      </tp>
      <tp t="s">
        <v>#N/A N/A</v>
        <stp/>
        <stp>BDP|16840555747297970229</stp>
        <tr r="N1677" s="2"/>
      </tp>
      <tp t="s">
        <v>#N/A N/A</v>
        <stp/>
        <stp>BDP|15482216901451626435</stp>
        <tr r="J318" s="2"/>
      </tp>
      <tp t="s">
        <v>#N/A N/A</v>
        <stp/>
        <stp>BDP|10585404438294853146</stp>
        <tr r="Q196" s="2"/>
      </tp>
      <tp t="s">
        <v>#N/A N/A</v>
        <stp/>
        <stp>BDP|10336530200347751068</stp>
        <tr r="F1592" s="2"/>
      </tp>
      <tp t="s">
        <v>#N/A N/A</v>
        <stp/>
        <stp>BDS|18340920722449292834</stp>
        <tr r="I1471" s="2"/>
      </tp>
      <tp t="s">
        <v>#N/A N/A</v>
        <stp/>
        <stp>BDP|16468462765855349355</stp>
        <tr r="K137" s="2"/>
      </tp>
      <tp t="s">
        <v>#N/A N/A</v>
        <stp/>
        <stp>BDP|16340038840350644077</stp>
        <tr r="A387" s="2"/>
      </tp>
      <tp t="s">
        <v>#N/A N/A</v>
        <stp/>
        <stp>BDP|11755480559581680314</stp>
        <tr r="R1587" s="2"/>
      </tp>
      <tp t="s">
        <v>#N/A N/A</v>
        <stp/>
        <stp>BDP|17430900754581937889</stp>
        <tr r="R887" s="2"/>
      </tp>
      <tp t="s">
        <v>#N/A N/A</v>
        <stp/>
        <stp>BDP|14826327308695368009</stp>
        <tr r="K7" s="2"/>
      </tp>
      <tp t="s">
        <v>#N/A N/A</v>
        <stp/>
        <stp>BDP|13129881992818270880</stp>
        <tr r="K812" s="2"/>
      </tp>
      <tp t="s">
        <v>#N/A N/A</v>
        <stp/>
        <stp>BDP|11294568425242084607</stp>
        <tr r="D1589" s="2"/>
      </tp>
      <tp t="s">
        <v>#N/A N/A</v>
        <stp/>
        <stp>BDS|12994538378824499643</stp>
        <tr r="I346" s="2"/>
      </tp>
      <tp t="s">
        <v>#N/A N/A</v>
        <stp/>
        <stp>BDP|16187340964644995594</stp>
        <tr r="P1359" s="2"/>
      </tp>
      <tp t="s">
        <v>#N/A N/A</v>
        <stp/>
        <stp>BDP|12235666656453418073</stp>
        <tr r="C387" s="2"/>
      </tp>
      <tp t="s">
        <v>#N/A N/A</v>
        <stp/>
        <stp>BDP|13441353018384937714</stp>
        <tr r="D1597" s="2"/>
      </tp>
      <tp t="s">
        <v>#N/A N/A</v>
        <stp/>
        <stp>BDP|13155614176653119365</stp>
        <tr r="Q235" s="2"/>
      </tp>
      <tp t="s">
        <v>#N/A N/A</v>
        <stp/>
        <stp>BDS|10324170125195236412</stp>
        <tr r="I1343" s="2"/>
      </tp>
      <tp t="s">
        <v>#N/A N/A</v>
        <stp/>
        <stp>BDP|11128587337527758287</stp>
        <tr r="S854" s="2"/>
      </tp>
      <tp t="s">
        <v>#N/A N/A</v>
        <stp/>
        <stp>BDP|15028052777381135122</stp>
        <tr r="K934" s="2"/>
      </tp>
      <tp t="s">
        <v>#N/A N/A</v>
        <stp/>
        <stp>BDP|11538782641463566382</stp>
        <tr r="N1701" s="2"/>
      </tp>
      <tp t="s">
        <v>#N/A N/A</v>
        <stp/>
        <stp>BDP|17385080357737863758</stp>
        <tr r="T139" s="2"/>
      </tp>
      <tp t="s">
        <v>#N/A N/A</v>
        <stp/>
        <stp>BDP|16169897135217403883</stp>
        <tr r="K1403" s="2"/>
      </tp>
      <tp t="s">
        <v>#N/A N/A</v>
        <stp/>
        <stp>BDP|11356578824525688170</stp>
        <tr r="E556" s="2"/>
      </tp>
      <tp t="s">
        <v>#N/A N/A</v>
        <stp/>
        <stp>BDP|10212440272536145740</stp>
        <tr r="S116" s="2"/>
      </tp>
      <tp t="s">
        <v>#N/A N/A</v>
        <stp/>
        <stp>BDP|17481060375544350658</stp>
        <tr r="N656" s="2"/>
      </tp>
      <tp t="s">
        <v>#N/A N/A</v>
        <stp/>
        <stp>BDS|18145955275195348104</stp>
        <tr r="I1010" s="2"/>
      </tp>
      <tp t="s">
        <v>#N/A N/A</v>
        <stp/>
        <stp>BDP|17443576700484331412</stp>
        <tr r="F1054" s="2"/>
      </tp>
      <tp t="s">
        <v>#N/A N/A</v>
        <stp/>
        <stp>BDP|10933387811751315125</stp>
        <tr r="O602" s="2"/>
      </tp>
      <tp t="s">
        <v>#N/A N/A</v>
        <stp/>
        <stp>BDP|14804824805079930770</stp>
        <tr r="N245" s="2"/>
      </tp>
      <tp t="s">
        <v>#N/A N/A</v>
        <stp/>
        <stp>BDP|13750730414077107002</stp>
        <tr r="T907" s="2"/>
      </tp>
      <tp t="s">
        <v>#N/A N/A</v>
        <stp/>
        <stp>BDP|11028355150593245660</stp>
        <tr r="T602" s="2"/>
      </tp>
      <tp t="s">
        <v>#N/A N/A</v>
        <stp/>
        <stp>BDP|17882258526466324390</stp>
        <tr r="D1402" s="2"/>
      </tp>
      <tp t="s">
        <v>#N/A N/A</v>
        <stp/>
        <stp>BDP|12972135957495876147</stp>
        <tr r="C1468" s="2"/>
      </tp>
      <tp t="s">
        <v>#N/A N/A</v>
        <stp/>
        <stp>BDP|16125132255286048660</stp>
        <tr r="S420" s="2"/>
      </tp>
      <tp t="s">
        <v>#N/A N/A</v>
        <stp/>
        <stp>BDP|18146111409319975217</stp>
        <tr r="E1029" s="2"/>
      </tp>
      <tp t="s">
        <v>#N/A N/A</v>
        <stp/>
        <stp>BDP|15989090864062767328</stp>
        <tr r="P1269" s="2"/>
      </tp>
      <tp t="s">
        <v>#N/A N/A</v>
        <stp/>
        <stp>BDP|17719949427988675630</stp>
        <tr r="O1258" s="2"/>
      </tp>
      <tp t="s">
        <v>#N/A N/A</v>
        <stp/>
        <stp>BDP|17651029046713082235</stp>
        <tr r="F1708" s="2"/>
      </tp>
      <tp t="s">
        <v>#N/A N/A</v>
        <stp/>
        <stp>BDP|16510753877505517133</stp>
        <tr r="G821" s="2"/>
      </tp>
      <tp t="s">
        <v>#N/A N/A</v>
        <stp/>
        <stp>BDP|16354707563270418554</stp>
        <tr r="H918" s="2"/>
      </tp>
      <tp t="s">
        <v>#N/A N/A</v>
        <stp/>
        <stp>BDP|14110180052591202381</stp>
        <tr r="C1513" s="2"/>
      </tp>
      <tp t="s">
        <v>#N/A N/A</v>
        <stp/>
        <stp>BDP|16433339067819178800</stp>
        <tr r="J542" s="2"/>
      </tp>
      <tp t="s">
        <v>#N/A N/A</v>
        <stp/>
        <stp>BDP|13786523120130684627</stp>
        <tr r="O681" s="2"/>
      </tp>
      <tp t="s">
        <v>#N/A N/A</v>
        <stp/>
        <stp>BDP|10154420975175719400</stp>
        <tr r="R1132" s="2"/>
      </tp>
      <tp t="s">
        <v>#N/A N/A</v>
        <stp/>
        <stp>BDP|13003625105173486429</stp>
        <tr r="Q272" s="2"/>
      </tp>
      <tp t="s">
        <v>#N/A N/A</v>
        <stp/>
        <stp>BDP|16351860774758101317</stp>
        <tr r="S1006" s="2"/>
      </tp>
      <tp t="s">
        <v>#N/A N/A</v>
        <stp/>
        <stp>BDP|18158921352165368337</stp>
        <tr r="O1240" s="2"/>
      </tp>
      <tp t="s">
        <v>#N/A N/A</v>
        <stp/>
        <stp>BDP|13695314095343796843</stp>
        <tr r="S624" s="2"/>
      </tp>
      <tp t="s">
        <v>#N/A N/A</v>
        <stp/>
        <stp>BDP|17635906495736274301</stp>
        <tr r="C1512" s="2"/>
      </tp>
      <tp t="s">
        <v>#N/A N/A</v>
        <stp/>
        <stp>BDP|13469892808321412802</stp>
        <tr r="M930" s="2"/>
      </tp>
      <tp t="s">
        <v>#N/A N/A</v>
        <stp/>
        <stp>BDP|15791815603539649636</stp>
        <tr r="T740" s="2"/>
      </tp>
      <tp t="s">
        <v>#N/A N/A</v>
        <stp/>
        <stp>BDP|16088800094183707632</stp>
        <tr r="G1413" s="2"/>
      </tp>
      <tp t="s">
        <v>#N/A N/A</v>
        <stp/>
        <stp>BDP|10364053806950977291</stp>
        <tr r="A536" s="2"/>
      </tp>
      <tp t="s">
        <v>#N/A N/A</v>
        <stp/>
        <stp>BDP|16754315433852521600</stp>
        <tr r="H21" s="2"/>
      </tp>
      <tp t="s">
        <v>#N/A N/A</v>
        <stp/>
        <stp>BDP|15474551520516497650</stp>
        <tr r="N1052" s="2"/>
      </tp>
      <tp t="s">
        <v>#N/A N/A</v>
        <stp/>
        <stp>BDP|12528751716116618009</stp>
        <tr r="C1056" s="2"/>
      </tp>
      <tp t="s">
        <v>#N/A N/A</v>
        <stp/>
        <stp>BDP|15226113526452377668</stp>
        <tr r="E1103" s="2"/>
      </tp>
      <tp t="s">
        <v>#N/A N/A</v>
        <stp/>
        <stp>BDP|11703736161861314365</stp>
        <tr r="M477" s="2"/>
      </tp>
      <tp t="s">
        <v>#N/A N/A</v>
        <stp/>
        <stp>BDP|17401142763627694557</stp>
        <tr r="T542" s="2"/>
      </tp>
      <tp t="s">
        <v>#N/A N/A</v>
        <stp/>
        <stp>BDP|10674379401754973597</stp>
        <tr r="F1292" s="2"/>
      </tp>
      <tp t="s">
        <v>#N/A N/A</v>
        <stp/>
        <stp>BDP|12487921985364063534</stp>
        <tr r="R1395" s="2"/>
      </tp>
      <tp t="s">
        <v>#N/A N/A</v>
        <stp/>
        <stp>BDP|15891730866571444790</stp>
        <tr r="J194" s="2"/>
      </tp>
      <tp t="s">
        <v>#N/A N/A</v>
        <stp/>
        <stp>BDP|11103786794088411598</stp>
        <tr r="K1026" s="2"/>
      </tp>
      <tp t="s">
        <v>#N/A N/A</v>
        <stp/>
        <stp>BDP|16556419627741169322</stp>
        <tr r="E47" s="2"/>
      </tp>
      <tp t="s">
        <v>#N/A N/A</v>
        <stp/>
        <stp>BDP|18180556846242761955</stp>
        <tr r="R1558" s="2"/>
      </tp>
      <tp t="s">
        <v>#N/A N/A</v>
        <stp/>
        <stp>BDP|12818689410745596259</stp>
        <tr r="J1098" s="2"/>
      </tp>
      <tp t="s">
        <v>#N/A N/A</v>
        <stp/>
        <stp>BDP|15249604261867718046</stp>
        <tr r="A590" s="2"/>
      </tp>
      <tp t="s">
        <v>#N/A N/A</v>
        <stp/>
        <stp>BDP|14237525111375320728</stp>
        <tr r="G1248" s="2"/>
      </tp>
      <tp t="s">
        <v>#N/A N/A</v>
        <stp/>
        <stp>BDP|10747466834954639137</stp>
        <tr r="J603" s="2"/>
      </tp>
      <tp t="s">
        <v>#N/A N/A</v>
        <stp/>
        <stp>BDP|14809579544720271797</stp>
        <tr r="S1122" s="2"/>
      </tp>
      <tp t="s">
        <v>#N/A N/A</v>
        <stp/>
        <stp>BDP|13577256040810138714</stp>
        <tr r="M1198" s="2"/>
      </tp>
      <tp t="s">
        <v>#N/A N/A</v>
        <stp/>
        <stp>BDP|16241315023802469741</stp>
        <tr r="T194" s="2"/>
      </tp>
      <tp t="s">
        <v>#N/A N/A</v>
        <stp/>
        <stp>BDP|17423550050301698475</stp>
        <tr r="C742" s="2"/>
      </tp>
      <tp t="s">
        <v>#N/A N/A</v>
        <stp/>
        <stp>BDP|17111664574414050039</stp>
        <tr r="Q304" s="2"/>
      </tp>
      <tp t="s">
        <v>#N/A N/A</v>
        <stp/>
        <stp>BDP|12774333743572685514</stp>
        <tr r="G1466" s="2"/>
      </tp>
      <tp t="s">
        <v>#N/A N/A</v>
        <stp/>
        <stp>BDP|15881055338306523201</stp>
        <tr r="R88" s="2"/>
      </tp>
      <tp t="s">
        <v>#N/A N/A</v>
        <stp/>
        <stp>BDP|16361044972913349062</stp>
        <tr r="Q1431" s="2"/>
      </tp>
      <tp t="s">
        <v>#N/A N/A</v>
        <stp/>
        <stp>BDS|13097313216231236266</stp>
        <tr r="I199" s="2"/>
      </tp>
      <tp t="s">
        <v>#N/A N/A</v>
        <stp/>
        <stp>BDP|12207792609996614146</stp>
        <tr r="H247" s="2"/>
      </tp>
      <tp t="s">
        <v>#N/A N/A</v>
        <stp/>
        <stp>BDP|15737245633563418541</stp>
        <tr r="S699" s="2"/>
      </tp>
      <tp t="s">
        <v>#N/A N/A</v>
        <stp/>
        <stp>BDP|14564555135439718925</stp>
        <tr r="O622" s="2"/>
      </tp>
      <tp t="s">
        <v>#N/A N/A</v>
        <stp/>
        <stp>BDP|16398272984569159718</stp>
        <tr r="P1691" s="2"/>
      </tp>
      <tp t="s">
        <v>#N/A N/A</v>
        <stp/>
        <stp>BDP|10113478733620383565</stp>
        <tr r="P1361" s="2"/>
      </tp>
      <tp t="s">
        <v>#N/A N/A</v>
        <stp/>
        <stp>BDP|11723126524001170101</stp>
        <tr r="J1270" s="2"/>
      </tp>
      <tp t="s">
        <v>#N/A N/A</v>
        <stp/>
        <stp>BDP|16288925495953658733</stp>
        <tr r="Q835" s="2"/>
      </tp>
      <tp t="s">
        <v>#N/A N/A</v>
        <stp/>
        <stp>BDP|12813776071684925472</stp>
        <tr r="E84" s="2"/>
      </tp>
      <tp t="s">
        <v>#N/A N/A</v>
        <stp/>
        <stp>BDP|10515726053780035042</stp>
        <tr r="E1191" s="2"/>
      </tp>
      <tp t="s">
        <v>#N/A N/A</v>
        <stp/>
        <stp>BDP|11757652370571676344</stp>
        <tr r="F732" s="2"/>
      </tp>
      <tp t="s">
        <v>#N/A N/A</v>
        <stp/>
        <stp>BDP|10643094123265972554</stp>
        <tr r="C326" s="2"/>
      </tp>
      <tp t="s">
        <v>#N/A N/A</v>
        <stp/>
        <stp>BDS|13294138531500330306</stp>
        <tr r="I69" s="2"/>
      </tp>
      <tp t="s">
        <v>#N/A N/A</v>
        <stp/>
        <stp>BDP|17765149570997634455</stp>
        <tr r="T1522" s="2"/>
      </tp>
      <tp t="s">
        <v>#N/A N/A</v>
        <stp/>
        <stp>BDP|10789342442771752468</stp>
        <tr r="M271" s="2"/>
      </tp>
      <tp t="s">
        <v>#N/A N/A</v>
        <stp/>
        <stp>BDP|14267081648100509276</stp>
        <tr r="Q547" s="2"/>
      </tp>
      <tp t="s">
        <v>#N/A N/A</v>
        <stp/>
        <stp>BDP|13276253772072001654</stp>
        <tr r="D1557" s="2"/>
      </tp>
      <tp t="s">
        <v>#N/A N/A</v>
        <stp/>
        <stp>BDP|12100663654775003634</stp>
        <tr r="R564" s="2"/>
      </tp>
      <tp t="s">
        <v>#N/A N/A</v>
        <stp/>
        <stp>BDP|15187478562734139153</stp>
        <tr r="J956" s="2"/>
      </tp>
      <tp t="s">
        <v>#N/A N/A</v>
        <stp/>
        <stp>BDP|16821898762708283212</stp>
        <tr r="T442" s="2"/>
      </tp>
      <tp t="s">
        <v>#N/A N/A</v>
        <stp/>
        <stp>BDP|12027972183025370470</stp>
        <tr r="S1490" s="2"/>
      </tp>
      <tp t="s">
        <v>#N/A N/A</v>
        <stp/>
        <stp>BDP|15966155537534847135</stp>
        <tr r="T61" s="2"/>
      </tp>
      <tp t="s">
        <v>#N/A N/A</v>
        <stp/>
        <stp>BDP|11086127402827260526</stp>
        <tr r="T494" s="2"/>
      </tp>
      <tp t="s">
        <v>#N/A N/A</v>
        <stp/>
        <stp>BDP|16040853699230807542</stp>
        <tr r="K53" s="2"/>
      </tp>
      <tp t="s">
        <v>#N/A N/A</v>
        <stp/>
        <stp>BDP|16311190829501263614</stp>
        <tr r="F1331" s="2"/>
      </tp>
      <tp t="s">
        <v>#N/A N/A</v>
        <stp/>
        <stp>BDP|11388533774554487503</stp>
        <tr r="H153" s="2"/>
      </tp>
      <tp t="s">
        <v>#N/A N/A</v>
        <stp/>
        <stp>BDP|18288963115474783662</stp>
        <tr r="M344" s="2"/>
      </tp>
      <tp t="s">
        <v>#N/A N/A</v>
        <stp/>
        <stp>BDP|10111562875371457160</stp>
        <tr r="Q1435" s="2"/>
      </tp>
      <tp t="s">
        <v>#N/A N/A</v>
        <stp/>
        <stp>BDP|18065918423810045127</stp>
        <tr r="N986" s="2"/>
      </tp>
      <tp t="s">
        <v>#N/A N/A</v>
        <stp/>
        <stp>BDP|14247158748753871079</stp>
        <tr r="E341" s="2"/>
      </tp>
      <tp t="s">
        <v>#N/A N/A</v>
        <stp/>
        <stp>BDP|15561179436021483402</stp>
        <tr r="P334" s="2"/>
      </tp>
      <tp t="s">
        <v>#N/A N/A</v>
        <stp/>
        <stp>BDP|15212433157110765610</stp>
        <tr r="P637" s="2"/>
      </tp>
      <tp t="s">
        <v>#N/A N/A</v>
        <stp/>
        <stp>BDP|10327675173285430632</stp>
        <tr r="N70" s="2"/>
      </tp>
      <tp t="s">
        <v>#N/A N/A</v>
        <stp/>
        <stp>BDP|14761798261752958568</stp>
        <tr r="E955" s="2"/>
      </tp>
      <tp t="s">
        <v>#N/A N/A</v>
        <stp/>
        <stp>BDP|16635374970708052811</stp>
        <tr r="J732" s="2"/>
      </tp>
      <tp t="s">
        <v>#N/A N/A</v>
        <stp/>
        <stp>BDP|11879150766815886133</stp>
        <tr r="G27" s="2"/>
      </tp>
      <tp t="s">
        <v>#N/A N/A</v>
        <stp/>
        <stp>BDP|11490172239412988333</stp>
        <tr r="P58" s="2"/>
      </tp>
      <tp t="s">
        <v>#N/A N/A</v>
        <stp/>
        <stp>BDP|13175767624661133521</stp>
        <tr r="A54" s="2"/>
      </tp>
      <tp t="s">
        <v>#N/A N/A</v>
        <stp/>
        <stp>BDP|14547110364510216124</stp>
        <tr r="A9" s="2"/>
      </tp>
      <tp t="s">
        <v>#N/A N/A</v>
        <stp/>
        <stp>BDP|16502954630738694651</stp>
        <tr r="M428" s="2"/>
      </tp>
      <tp t="s">
        <v>#N/A N/A</v>
        <stp/>
        <stp>BDP|12105158903237632623</stp>
        <tr r="Q980" s="2"/>
      </tp>
      <tp t="s">
        <v>#N/A N/A</v>
        <stp/>
        <stp>BDP|15604698350536508297</stp>
        <tr r="F115" s="2"/>
      </tp>
      <tp t="s">
        <v>#N/A N/A</v>
        <stp/>
        <stp>BDP|14305398880545147883</stp>
        <tr r="E59" s="2"/>
      </tp>
      <tp t="s">
        <v>#N/A N/A</v>
        <stp/>
        <stp>BDP|16397102705425168043</stp>
        <tr r="S715" s="2"/>
      </tp>
      <tp t="s">
        <v>#N/A N/A</v>
        <stp/>
        <stp>BDP|12685041670015726261</stp>
        <tr r="G995" s="2"/>
      </tp>
      <tp t="s">
        <v>#N/A N/A</v>
        <stp/>
        <stp>BDP|15101603867856388169</stp>
        <tr r="F1733" s="2"/>
      </tp>
      <tp t="s">
        <v>#N/A N/A</v>
        <stp/>
        <stp>BDP|16490701312526476413</stp>
        <tr r="K59" s="2"/>
      </tp>
      <tp t="s">
        <v>#N/A N/A</v>
        <stp/>
        <stp>BDP|10224317329716820519</stp>
        <tr r="D402" s="2"/>
      </tp>
      <tp t="s">
        <v>#N/A N/A</v>
        <stp/>
        <stp>BDP|10584768162430759359</stp>
        <tr r="G1111" s="2"/>
      </tp>
      <tp t="s">
        <v>#N/A N/A</v>
        <stp/>
        <stp>BDP|14585617948056627295</stp>
        <tr r="O589" s="2"/>
      </tp>
      <tp t="s">
        <v>#N/A N/A</v>
        <stp/>
        <stp>BDP|15520792063912868447</stp>
        <tr r="E195" s="2"/>
      </tp>
      <tp t="s">
        <v>#N/A N/A</v>
        <stp/>
        <stp>BDP|12406968214140613830</stp>
        <tr r="Q269" s="2"/>
      </tp>
      <tp t="s">
        <v>#N/A N/A</v>
        <stp/>
        <stp>BDS|14289657546077566346</stp>
        <tr r="I768" s="2"/>
      </tp>
      <tp t="s">
        <v>#N/A N/A</v>
        <stp/>
        <stp>BDP|14583489818477226448</stp>
        <tr r="P1085" s="2"/>
      </tp>
      <tp t="s">
        <v>#N/A N/A</v>
        <stp/>
        <stp>BDP|16018135897054320849</stp>
        <tr r="F22" s="2"/>
      </tp>
      <tp t="s">
        <v>#N/A N/A</v>
        <stp/>
        <stp>BDP|17116298538470510463</stp>
        <tr r="H210" s="2"/>
      </tp>
      <tp t="s">
        <v>#N/A N/A</v>
        <stp/>
        <stp>BDP|17492470034524173654</stp>
        <tr r="H1616" s="2"/>
      </tp>
      <tp t="s">
        <v>#N/A N/A</v>
        <stp/>
        <stp>BDP|13499570590039313436</stp>
        <tr r="O506" s="2"/>
      </tp>
      <tp t="s">
        <v>#N/A N/A</v>
        <stp/>
        <stp>BDP|15499710764324065222</stp>
        <tr r="C123" s="2"/>
      </tp>
      <tp t="s">
        <v>#N/A N/A</v>
        <stp/>
        <stp>BDP|12416025517589670848</stp>
        <tr r="R1117" s="2"/>
      </tp>
      <tp t="s">
        <v>#N/A N/A</v>
        <stp/>
        <stp>BDP|16775672362846556246</stp>
        <tr r="C78" s="2"/>
      </tp>
      <tp t="s">
        <v>#N/A N/A</v>
        <stp/>
        <stp>BDP|14242416095769199241</stp>
        <tr r="J103" s="2"/>
      </tp>
      <tp t="s">
        <v>#N/A N/A</v>
        <stp/>
        <stp>BDP|11788036666147176205</stp>
        <tr r="A343" s="2"/>
      </tp>
      <tp t="s">
        <v>#N/A N/A</v>
        <stp/>
        <stp>BDP|18320578561768248144</stp>
        <tr r="A1423" s="2"/>
      </tp>
      <tp t="s">
        <v>#N/A N/A</v>
        <stp/>
        <stp>BDP|14994076869250763036</stp>
        <tr r="J1499" s="2"/>
      </tp>
      <tp t="s">
        <v>#N/A N/A</v>
        <stp/>
        <stp>BDP|11762607543964450530</stp>
        <tr r="E1297" s="2"/>
      </tp>
      <tp t="s">
        <v>#N/A N/A</v>
        <stp/>
        <stp>BDP|15249429035724468421</stp>
        <tr r="G1391" s="2"/>
      </tp>
      <tp t="s">
        <v>#N/A N/A</v>
        <stp/>
        <stp>BDP|14547055960298369809</stp>
        <tr r="T17" s="2"/>
      </tp>
      <tp t="s">
        <v>#N/A N/A</v>
        <stp/>
        <stp>BDP|10447712323295514209</stp>
        <tr r="G1297" s="2"/>
      </tp>
      <tp t="s">
        <v>#N/A N/A</v>
        <stp/>
        <stp>BDS|12442882172548866769</stp>
        <tr r="I1105" s="2"/>
      </tp>
      <tp t="s">
        <v>#N/A N/A</v>
        <stp/>
        <stp>BDP|13676403992264347841</stp>
        <tr r="N1609" s="2"/>
      </tp>
      <tp t="s">
        <v>#N/A N/A</v>
        <stp/>
        <stp>BDP|13424662770360922082</stp>
        <tr r="M1441" s="2"/>
      </tp>
      <tp t="s">
        <v>#N/A N/A</v>
        <stp/>
        <stp>BDP|16497737120948215965</stp>
        <tr r="K747" s="2"/>
      </tp>
      <tp t="s">
        <v>#N/A N/A</v>
        <stp/>
        <stp>BDP|13759469619976300287</stp>
        <tr r="N1348" s="2"/>
      </tp>
      <tp t="s">
        <v>#N/A N/A</v>
        <stp/>
        <stp>BDP|16707513146382655757</stp>
        <tr r="F1229" s="2"/>
      </tp>
      <tp t="s">
        <v>#N/A N/A</v>
        <stp/>
        <stp>BDP|12761344661653337625</stp>
        <tr r="F1561" s="2"/>
      </tp>
      <tp t="s">
        <v>#N/A N/A</v>
        <stp/>
        <stp>BDS|10025000117513436036</stp>
        <tr r="I1631" s="2"/>
      </tp>
      <tp t="s">
        <v>#N/A N/A</v>
        <stp/>
        <stp>BDP|16790445304482597210</stp>
        <tr r="M614" s="2"/>
      </tp>
      <tp t="s">
        <v>#N/A N/A</v>
        <stp/>
        <stp>BDP|17468290276713834303</stp>
        <tr r="T1614" s="2"/>
      </tp>
      <tp t="s">
        <v>#N/A N/A</v>
        <stp/>
        <stp>BDP|15166627055181610530</stp>
        <tr r="R893" s="2"/>
      </tp>
      <tp t="s">
        <v>#N/A N/A</v>
        <stp/>
        <stp>BDP|18075515146283232862</stp>
        <tr r="O14" s="2"/>
      </tp>
      <tp t="s">
        <v>#N/A N/A</v>
        <stp/>
        <stp>BDP|11160915462548375420</stp>
        <tr r="S151" s="2"/>
      </tp>
      <tp t="s">
        <v>#N/A N/A</v>
        <stp/>
        <stp>BDP|16364072573607443407</stp>
        <tr r="M1669" s="2"/>
      </tp>
      <tp t="s">
        <v>#N/A N/A</v>
        <stp/>
        <stp>BDS|11872069305842847132</stp>
        <tr r="I1354" s="2"/>
      </tp>
      <tp t="s">
        <v>#N/A N/A</v>
        <stp/>
        <stp>BDP|13157312367095217161</stp>
        <tr r="T347" s="2"/>
      </tp>
      <tp t="s">
        <v>#N/A N/A</v>
        <stp/>
        <stp>BDP|12222503529312802505</stp>
        <tr r="C937" s="2"/>
      </tp>
      <tp t="s">
        <v>#N/A N/A</v>
        <stp/>
        <stp>BDP|11536343937515629630</stp>
        <tr r="T307" s="2"/>
      </tp>
      <tp t="s">
        <v>#N/A N/A</v>
        <stp/>
        <stp>BDP|16313270305967360119</stp>
        <tr r="D1282" s="2"/>
      </tp>
      <tp t="s">
        <v>#N/A N/A</v>
        <stp/>
        <stp>BDP|12123079277202792557</stp>
        <tr r="S113" s="2"/>
      </tp>
      <tp t="s">
        <v>#N/A N/A</v>
        <stp/>
        <stp>BDP|14858472681292805852</stp>
        <tr r="M324" s="2"/>
      </tp>
      <tp t="s">
        <v>#N/A N/A</v>
        <stp/>
        <stp>BDP|10704996807182919930</stp>
        <tr r="R640" s="2"/>
      </tp>
      <tp t="s">
        <v>#N/A N/A</v>
        <stp/>
        <stp>BDP|12238282239448103913</stp>
        <tr r="N1620" s="2"/>
      </tp>
      <tp t="s">
        <v>#N/A N/A</v>
        <stp/>
        <stp>BDP|17008906886224007052</stp>
        <tr r="F1267" s="2"/>
      </tp>
      <tp t="s">
        <v>#N/A N/A</v>
        <stp/>
        <stp>BDP|14876877781433964544</stp>
        <tr r="T1596" s="2"/>
      </tp>
      <tp t="s">
        <v>#N/A N/A</v>
        <stp/>
        <stp>BDP|13705060107421609031</stp>
        <tr r="A1349" s="2"/>
      </tp>
      <tp t="s">
        <v>#N/A N/A</v>
        <stp/>
        <stp>BDP|11355242390010371875</stp>
        <tr r="K1044" s="2"/>
      </tp>
      <tp t="s">
        <v>#N/A N/A</v>
        <stp/>
        <stp>BDP|12308616421587472340</stp>
        <tr r="N756" s="2"/>
      </tp>
      <tp t="s">
        <v>#N/A N/A</v>
        <stp/>
        <stp>BDS|16428055570497826495</stp>
        <tr r="I1058" s="2"/>
      </tp>
      <tp t="s">
        <v>#N/A N/A</v>
        <stp/>
        <stp>BDP|18077537847352296941</stp>
        <tr r="D1257" s="2"/>
      </tp>
      <tp t="s">
        <v>#N/A N/A</v>
        <stp/>
        <stp>BDP|12338159471037347165</stp>
        <tr r="S739" s="2"/>
      </tp>
      <tp t="s">
        <v>#N/A N/A</v>
        <stp/>
        <stp>BDP|15362449457265405366</stp>
        <tr r="A1204" s="2"/>
      </tp>
      <tp t="s">
        <v>#N/A N/A</v>
        <stp/>
        <stp>BDP|15818859108398114761</stp>
        <tr r="S1747" s="2"/>
      </tp>
      <tp t="s">
        <v>#N/A N/A</v>
        <stp/>
        <stp>BDP|17339949334299833690</stp>
        <tr r="K614" s="2"/>
      </tp>
      <tp t="s">
        <v>#N/A N/A</v>
        <stp/>
        <stp>BDP|10223230201119288901</stp>
        <tr r="M1541" s="2"/>
      </tp>
      <tp t="s">
        <v>#N/A N/A</v>
        <stp/>
        <stp>BDP|17176461923851471223</stp>
        <tr r="O1369" s="2"/>
      </tp>
      <tp t="s">
        <v>#N/A N/A</v>
        <stp/>
        <stp>BDP|12062576540940502103</stp>
        <tr r="M1581" s="2"/>
      </tp>
      <tp t="s">
        <v>#N/A N/A</v>
        <stp/>
        <stp>BDP|10263159441981365679</stp>
        <tr r="D511" s="2"/>
      </tp>
      <tp t="s">
        <v>#N/A N/A</v>
        <stp/>
        <stp>BDP|12148564623361035668</stp>
        <tr r="S626" s="2"/>
      </tp>
      <tp t="s">
        <v>#N/A N/A</v>
        <stp/>
        <stp>BDP|10692208602246688603</stp>
        <tr r="M553" s="2"/>
      </tp>
      <tp t="s">
        <v>#N/A N/A</v>
        <stp/>
        <stp>BDS|17037878124247389819</stp>
        <tr r="I720" s="2"/>
      </tp>
      <tp t="s">
        <v>#N/A N/A</v>
        <stp/>
        <stp>BDP|15311600154847575306</stp>
        <tr r="G1694" s="2"/>
      </tp>
      <tp t="s">
        <v>#N/A N/A</v>
        <stp/>
        <stp>BDP|14752784263953856465</stp>
        <tr r="S1346" s="2"/>
      </tp>
      <tp t="s">
        <v>#N/A N/A</v>
        <stp/>
        <stp>BDP|12746927887437706678</stp>
        <tr r="M1150" s="2"/>
      </tp>
      <tp t="s">
        <v>#N/A N/A</v>
        <stp/>
        <stp>BDP|10318209261523302532</stp>
        <tr r="N1197" s="2"/>
      </tp>
      <tp t="s">
        <v>#N/A N/A</v>
        <stp/>
        <stp>BDP|16000090760482829039</stp>
        <tr r="F800" s="2"/>
      </tp>
      <tp t="s">
        <v>#N/A N/A</v>
        <stp/>
        <stp>BDP|13198323409341169390</stp>
        <tr r="F1271" s="2"/>
      </tp>
      <tp t="s">
        <v>#N/A N/A</v>
        <stp/>
        <stp>BDP|18361827046456695033</stp>
        <tr r="S1055" s="2"/>
      </tp>
      <tp t="s">
        <v>#N/A N/A</v>
        <stp/>
        <stp>BDP|11240354244544684072</stp>
        <tr r="M759" s="2"/>
      </tp>
      <tp t="s">
        <v>#N/A N/A</v>
        <stp/>
        <stp>BDP|17666741810514152719</stp>
        <tr r="A1422" s="2"/>
      </tp>
      <tp t="s">
        <v>#N/A N/A</v>
        <stp/>
        <stp>BDP|11038834079649173598</stp>
        <tr r="G186" s="2"/>
      </tp>
      <tp t="s">
        <v>#N/A N/A</v>
        <stp/>
        <stp>BDP|11913792039304378389</stp>
        <tr r="H1218" s="2"/>
      </tp>
      <tp t="s">
        <v>#N/A N/A</v>
        <stp/>
        <stp>BDP|14831592458163867538</stp>
        <tr r="C856" s="2"/>
      </tp>
      <tp t="s">
        <v>#N/A N/A</v>
        <stp/>
        <stp>BDP|17052626576866436226</stp>
        <tr r="K551" s="2"/>
      </tp>
      <tp t="s">
        <v>#N/A N/A</v>
        <stp/>
        <stp>BDP|12764161275273527539</stp>
        <tr r="Q359" s="2"/>
      </tp>
      <tp t="s">
        <v>#N/A N/A</v>
        <stp/>
        <stp>BDP|16756488441152565694</stp>
        <tr r="S1557" s="2"/>
      </tp>
      <tp t="s">
        <v>#N/A N/A</v>
        <stp/>
        <stp>BDP|10125349325240456361</stp>
        <tr r="N556" s="2"/>
      </tp>
      <tp t="s">
        <v>#N/A N/A</v>
        <stp/>
        <stp>BDP|13255769176820915198</stp>
        <tr r="D132" s="2"/>
      </tp>
      <tp t="s">
        <v>#N/A N/A</v>
        <stp/>
        <stp>BDP|12517652347262580004</stp>
        <tr r="C737" s="2"/>
      </tp>
      <tp t="s">
        <v>#N/A N/A</v>
        <stp/>
        <stp>BDP|10389912436261236947</stp>
        <tr r="Q813" s="2"/>
      </tp>
      <tp t="s">
        <v>#N/A N/A</v>
        <stp/>
        <stp>BDP|17959552186869937110</stp>
        <tr r="M1130" s="2"/>
      </tp>
      <tp t="s">
        <v>#N/A N/A</v>
        <stp/>
        <stp>BDP|16294645621886782620</stp>
        <tr r="O1276" s="2"/>
      </tp>
      <tp t="s">
        <v>#N/A N/A</v>
        <stp/>
        <stp>BDP|13618232283982768930</stp>
        <tr r="H627" s="2"/>
      </tp>
      <tp t="s">
        <v>#N/A N/A</v>
        <stp/>
        <stp>BDP|16152158162235355676</stp>
        <tr r="A1585" s="2"/>
      </tp>
      <tp t="s">
        <v>#N/A N/A</v>
        <stp/>
        <stp>BDP|11672400449506860558</stp>
        <tr r="R1244" s="2"/>
      </tp>
      <tp t="s">
        <v>#N/A N/A</v>
        <stp/>
        <stp>BDP|14683958989886114195</stp>
        <tr r="F300" s="2"/>
      </tp>
      <tp t="s">
        <v>#N/A N/A</v>
        <stp/>
        <stp>BDP|11072978750699495613</stp>
        <tr r="A1029" s="2"/>
      </tp>
      <tp t="s">
        <v>#N/A N/A</v>
        <stp/>
        <stp>BDP|18172865993609712216</stp>
        <tr r="Q1729" s="2"/>
      </tp>
      <tp t="s">
        <v>#N/A N/A</v>
        <stp/>
        <stp>BDP|17172045054386531661</stp>
        <tr r="E914" s="2"/>
      </tp>
      <tp t="s">
        <v>#N/A N/A</v>
        <stp/>
        <stp>BDP|15546051087097547803</stp>
        <tr r="G859" s="2"/>
      </tp>
      <tp t="s">
        <v>#N/A N/A</v>
        <stp/>
        <stp>BDS|14781458786203353965</stp>
        <tr r="I972" s="2"/>
      </tp>
      <tp t="s">
        <v>#N/A N/A</v>
        <stp/>
        <stp>BDP|13449660030086176211</stp>
        <tr r="M830" s="2"/>
      </tp>
      <tp t="s">
        <v>#N/A N/A</v>
        <stp/>
        <stp>BDP|14571251294474463926</stp>
        <tr r="C1395" s="2"/>
      </tp>
      <tp t="s">
        <v>#N/A N/A</v>
        <stp/>
        <stp>BDP|16445283399736016973</stp>
        <tr r="D1118" s="2"/>
      </tp>
      <tp t="s">
        <v>#N/A N/A</v>
        <stp/>
        <stp>BDP|16143640241314471221</stp>
        <tr r="N1719" s="2"/>
      </tp>
      <tp t="s">
        <v>#N/A N/A</v>
        <stp/>
        <stp>BDP|16391870405644472879</stp>
        <tr r="C372" s="2"/>
      </tp>
      <tp t="s">
        <v>#N/A N/A</v>
        <stp/>
        <stp>BDP|13811573451880520198</stp>
        <tr r="E1536" s="2"/>
      </tp>
      <tp t="s">
        <v>#N/A N/A</v>
        <stp/>
        <stp>BDP|11074152872451630432</stp>
        <tr r="F55" s="2"/>
      </tp>
      <tp t="s">
        <v>#N/A N/A</v>
        <stp/>
        <stp>BDP|11853302109106226614</stp>
        <tr r="K499" s="2"/>
      </tp>
      <tp t="s">
        <v>#N/A N/A</v>
        <stp/>
        <stp>BDP|15225770052430665530</stp>
        <tr r="Q1706" s="2"/>
      </tp>
      <tp t="s">
        <v>#N/A N/A</v>
        <stp/>
        <stp>BDP|16193746043056608128</stp>
        <tr r="S1476" s="2"/>
      </tp>
      <tp t="s">
        <v>#N/A N/A</v>
        <stp/>
        <stp>BDP|11349247980599430012</stp>
        <tr r="G1682" s="2"/>
      </tp>
      <tp t="s">
        <v>#N/A N/A</v>
        <stp/>
        <stp>BDP|15648866414366251843</stp>
        <tr r="E649" s="2"/>
      </tp>
      <tp t="s">
        <v>#N/A N/A</v>
        <stp/>
        <stp>BDP|15383053723575789001</stp>
        <tr r="C1528" s="2"/>
      </tp>
      <tp t="s">
        <v>#N/A N/A</v>
        <stp/>
        <stp>BDP|15555355970190131335</stp>
        <tr r="S658" s="2"/>
      </tp>
      <tp t="s">
        <v>#N/A N/A</v>
        <stp/>
        <stp>BDP|16530701286302736965</stp>
        <tr r="R1187" s="2"/>
      </tp>
      <tp t="s">
        <v>#N/A N/A</v>
        <stp/>
        <stp>BDP|16833374066157271696</stp>
        <tr r="N915" s="2"/>
      </tp>
      <tp t="s">
        <v>#N/A N/A</v>
        <stp/>
        <stp>BDP|13251996197089718895</stp>
        <tr r="H1277" s="2"/>
      </tp>
      <tp t="s">
        <v>#N/A N/A</v>
        <stp/>
        <stp>BDP|17652746304002579012</stp>
        <tr r="H1684" s="2"/>
      </tp>
      <tp t="s">
        <v>#N/A N/A</v>
        <stp/>
        <stp>BDP|17959354074565234481</stp>
        <tr r="A525" s="2"/>
      </tp>
      <tp t="s">
        <v>#N/A N/A</v>
        <stp/>
        <stp>BDP|15052310348151845136</stp>
        <tr r="S383" s="2"/>
      </tp>
      <tp t="s">
        <v>#N/A N/A</v>
        <stp/>
        <stp>BDP|10617919154729507749</stp>
        <tr r="T223" s="2"/>
      </tp>
      <tp t="s">
        <v>#N/A N/A</v>
        <stp/>
        <stp>BDP|17140510173861798660</stp>
        <tr r="N1447" s="2"/>
      </tp>
      <tp t="s">
        <v>#N/A N/A</v>
        <stp/>
        <stp>BDP|10802466763788923866</stp>
        <tr r="H1266" s="2"/>
      </tp>
      <tp t="s">
        <v>#N/A N/A</v>
        <stp/>
        <stp>BDP|10199723583868503576</stp>
        <tr r="H1510" s="2"/>
      </tp>
      <tp t="s">
        <v>#N/A N/A</v>
        <stp/>
        <stp>BDP|12367761670667702705</stp>
        <tr r="G1218" s="2"/>
      </tp>
      <tp t="s">
        <v>#N/A N/A</v>
        <stp/>
        <stp>BDP|16967022468225874795</stp>
        <tr r="C222" s="2"/>
      </tp>
      <tp t="s">
        <v>#N/A N/A</v>
        <stp/>
        <stp>BDP|17765287175587839703</stp>
        <tr r="K1677" s="2"/>
      </tp>
      <tp t="s">
        <v>#N/A N/A</v>
        <stp/>
        <stp>BDP|12976534211272065693</stp>
        <tr r="N124" s="2"/>
      </tp>
      <tp t="s">
        <v>#N/A N/A</v>
        <stp/>
        <stp>BDP|15009143408445096395</stp>
        <tr r="C1283" s="2"/>
      </tp>
      <tp t="s">
        <v>#N/A N/A</v>
        <stp/>
        <stp>BDP|18192859170446092316</stp>
        <tr r="K34" s="2"/>
      </tp>
      <tp t="s">
        <v>#N/A N/A</v>
        <stp/>
        <stp>BDP|11980005252045661380</stp>
        <tr r="D243" s="2"/>
      </tp>
      <tp t="s">
        <v>#N/A N/A</v>
        <stp/>
        <stp>BDP|15381232632704729205</stp>
        <tr r="Q395" s="2"/>
      </tp>
      <tp t="s">
        <v>#N/A N/A</v>
        <stp/>
        <stp>BDP|10382717811677034360</stp>
        <tr r="J727" s="2"/>
      </tp>
      <tp t="s">
        <v>#N/A N/A</v>
        <stp/>
        <stp>BDP|11928580141362038058</stp>
        <tr r="R916" s="2"/>
      </tp>
      <tp t="s">
        <v>#N/A N/A</v>
        <stp/>
        <stp>BDP|12507658815801999693</stp>
        <tr r="K1546" s="2"/>
      </tp>
      <tp t="s">
        <v>#N/A N/A</v>
        <stp/>
        <stp>BDP|11586450737355749156</stp>
        <tr r="H361" s="2"/>
      </tp>
      <tp t="s">
        <v>#N/A N/A</v>
        <stp/>
        <stp>BDP|15127089549672559101</stp>
        <tr r="N505" s="2"/>
      </tp>
      <tp t="s">
        <v>#N/A N/A</v>
        <stp/>
        <stp>BDP|13231714932552592712</stp>
        <tr r="S979" s="2"/>
      </tp>
      <tp t="s">
        <v>#N/A N/A</v>
        <stp/>
        <stp>BDP|14600419247747456112</stp>
        <tr r="T1344" s="2"/>
      </tp>
      <tp t="s">
        <v>#N/A N/A</v>
        <stp/>
        <stp>BDP|11336775832595398202</stp>
        <tr r="C1686" s="2"/>
      </tp>
      <tp t="s">
        <v>#N/A N/A</v>
        <stp/>
        <stp>BDP|10493925957969052748</stp>
        <tr r="S1228" s="2"/>
      </tp>
      <tp t="s">
        <v>#N/A N/A</v>
        <stp/>
        <stp>BDP|12278902503820174952</stp>
        <tr r="C1077" s="2"/>
      </tp>
      <tp t="s">
        <v>#N/A N/A</v>
        <stp/>
        <stp>BDP|15966680067506333108</stp>
        <tr r="G820" s="2"/>
      </tp>
      <tp t="s">
        <v>#N/A N/A</v>
        <stp/>
        <stp>BDP|17092430676731531755</stp>
        <tr r="K961" s="2"/>
      </tp>
      <tp t="s">
        <v>#N/A N/A</v>
        <stp/>
        <stp>BDP|15187569359936846134</stp>
        <tr r="T250" s="2"/>
      </tp>
      <tp t="s">
        <v>#N/A N/A</v>
        <stp/>
        <stp>BDP|14320537942925118265</stp>
        <tr r="N885" s="2"/>
      </tp>
      <tp t="s">
        <v>#N/A N/A</v>
        <stp/>
        <stp>BDP|14940051409703337539</stp>
        <tr r="D604" s="2"/>
      </tp>
      <tp t="s">
        <v>#N/A N/A</v>
        <stp/>
        <stp>BDP|12843746197398919678</stp>
        <tr r="J876" s="2"/>
      </tp>
      <tp t="s">
        <v>#N/A N/A</v>
        <stp/>
        <stp>BDP|12622317301412779149</stp>
        <tr r="E371" s="2"/>
      </tp>
      <tp t="s">
        <v>#N/A N/A</v>
        <stp/>
        <stp>BDP|13417039482748907190</stp>
        <tr r="R963" s="2"/>
      </tp>
      <tp t="s">
        <v>#N/A N/A</v>
        <stp/>
        <stp>BDP|18440740657599594176</stp>
        <tr r="N789" s="2"/>
      </tp>
      <tp t="s">
        <v>#N/A N/A</v>
        <stp/>
        <stp>BDP|14473397384449818448</stp>
        <tr r="R21" s="2"/>
      </tp>
      <tp t="s">
        <v>#N/A N/A</v>
        <stp/>
        <stp>BDP|11995570021550824423</stp>
        <tr r="J761" s="2"/>
      </tp>
      <tp t="s">
        <v>#N/A N/A</v>
        <stp/>
        <stp>BDP|16879001573897772494</stp>
        <tr r="G571" s="2"/>
      </tp>
      <tp t="s">
        <v>#N/A N/A</v>
        <stp/>
        <stp>BDP|14078629654500212516</stp>
        <tr r="P728" s="2"/>
      </tp>
      <tp t="s">
        <v>#N/A N/A</v>
        <stp/>
        <stp>BDP|16672462213470548139</stp>
        <tr r="Q1057" s="2"/>
      </tp>
      <tp t="s">
        <v>#N/A N/A</v>
        <stp/>
        <stp>BDP|16844616577012999727</stp>
        <tr r="Q1598" s="2"/>
      </tp>
      <tp t="s">
        <v>#N/A N/A</v>
        <stp/>
        <stp>BDP|14367303745351282012</stp>
        <tr r="E1248" s="2"/>
      </tp>
      <tp t="s">
        <v>#N/A N/A</v>
        <stp/>
        <stp>BDP|10275138557911127728</stp>
        <tr r="K161" s="2"/>
      </tp>
      <tp t="s">
        <v>#N/A N/A</v>
        <stp/>
        <stp>BDP|12414150194909103114</stp>
        <tr r="D1207" s="2"/>
      </tp>
      <tp t="s">
        <v>#N/A N/A</v>
        <stp/>
        <stp>BDP|16370107726100086705</stp>
        <tr r="O848" s="2"/>
      </tp>
      <tp t="s">
        <v>#N/A N/A</v>
        <stp/>
        <stp>BDP|17949706704771115397</stp>
        <tr r="C1555" s="2"/>
      </tp>
      <tp t="s">
        <v>#N/A N/A</v>
        <stp/>
        <stp>BDP|10689723546764694516</stp>
        <tr r="C790" s="2"/>
      </tp>
      <tp t="s">
        <v>#N/A N/A</v>
        <stp/>
        <stp>BDP|15623590787899508389</stp>
        <tr r="G334" s="2"/>
      </tp>
      <tp t="s">
        <v>#N/A N/A</v>
        <stp/>
        <stp>BDP|13020193624194958616</stp>
        <tr r="T1314" s="2"/>
      </tp>
      <tp t="s">
        <v>#N/A N/A</v>
        <stp/>
        <stp>BDP|16263250290598089728</stp>
        <tr r="K1463" s="2"/>
      </tp>
      <tp t="s">
        <v>#N/A N/A</v>
        <stp/>
        <stp>BDP|18369914822887696631</stp>
        <tr r="F890" s="2"/>
      </tp>
      <tp t="s">
        <v>#N/A N/A</v>
        <stp/>
        <stp>BDP|11632844411019470322</stp>
        <tr r="P780" s="2"/>
      </tp>
      <tp t="s">
        <v>#N/A N/A</v>
        <stp/>
        <stp>BDP|14635157327687701263</stp>
        <tr r="O362" s="2"/>
      </tp>
      <tp t="s">
        <v>#N/A N/A</v>
        <stp/>
        <stp>BDP|14467350912867062369</stp>
        <tr r="F932" s="2"/>
      </tp>
      <tp t="s">
        <v>#N/A N/A</v>
        <stp/>
        <stp>BDP|10244815474579577472</stp>
        <tr r="F723" s="2"/>
      </tp>
      <tp t="s">
        <v>#N/A N/A</v>
        <stp/>
        <stp>BDP|15653184849833615148</stp>
        <tr r="S795" s="2"/>
      </tp>
      <tp t="s">
        <v>#N/A N/A</v>
        <stp/>
        <stp>BDP|11049667337910282662</stp>
        <tr r="O99" s="2"/>
      </tp>
      <tp t="s">
        <v>#N/A N/A</v>
        <stp/>
        <stp>BDP|13906178458493152629</stp>
        <tr r="O26" s="2"/>
      </tp>
      <tp t="s">
        <v>#N/A N/A</v>
        <stp/>
        <stp>BDP|10803357829082539144</stp>
        <tr r="H593" s="2"/>
      </tp>
      <tp t="s">
        <v>#N/A N/A</v>
        <stp/>
        <stp>BDP|13355141413503930282</stp>
        <tr r="E860" s="2"/>
      </tp>
      <tp t="s">
        <v>#N/A N/A</v>
        <stp/>
        <stp>BDP|15166823752058474202</stp>
        <tr r="J1234" s="2"/>
      </tp>
      <tp t="s">
        <v>#N/A N/A</v>
        <stp/>
        <stp>BDP|16975850898031614471</stp>
        <tr r="E1494" s="2"/>
      </tp>
      <tp t="s">
        <v>#N/A N/A</v>
        <stp/>
        <stp>BDP|17588336145850406221</stp>
        <tr r="R1168" s="2"/>
      </tp>
      <tp t="s">
        <v>#N/A N/A</v>
        <stp/>
        <stp>BDP|11646561076083431270</stp>
        <tr r="T1208" s="2"/>
      </tp>
      <tp t="s">
        <v>#N/A N/A</v>
        <stp/>
        <stp>BDP|10032564854603273150</stp>
        <tr r="P872" s="2"/>
      </tp>
      <tp t="s">
        <v>#N/A N/A</v>
        <stp/>
        <stp>BDP|16076058307205220159</stp>
        <tr r="K82" s="2"/>
      </tp>
      <tp t="s">
        <v>#N/A N/A</v>
        <stp/>
        <stp>BDP|13262014460503000461</stp>
        <tr r="A510" s="2"/>
      </tp>
      <tp t="s">
        <v>#N/A N/A</v>
        <stp/>
        <stp>BDP|17062632127534106507</stp>
        <tr r="J668" s="2"/>
      </tp>
      <tp t="s">
        <v>#N/A N/A</v>
        <stp/>
        <stp>BDP|14802289957218361918</stp>
        <tr r="N253" s="2"/>
      </tp>
      <tp t="s">
        <v>#N/A N/A</v>
        <stp/>
        <stp>BDP|13682011714616326658</stp>
        <tr r="J413" s="2"/>
      </tp>
      <tp t="s">
        <v>#N/A N/A</v>
        <stp/>
        <stp>BDP|12270473835842711529</stp>
        <tr r="Q419" s="2"/>
      </tp>
      <tp t="s">
        <v>#N/A N/A</v>
        <stp/>
        <stp>BDP|17023426177035198319</stp>
        <tr r="A232" s="2"/>
      </tp>
      <tp t="s">
        <v>#N/A N/A</v>
        <stp/>
        <stp>BDP|17252543821760458260</stp>
        <tr r="F1399" s="2"/>
      </tp>
      <tp t="s">
        <v>#N/A N/A</v>
        <stp/>
        <stp>BDP|16922068836821810658</stp>
        <tr r="C513" s="2"/>
      </tp>
      <tp t="s">
        <v>#N/A N/A</v>
        <stp/>
        <stp>BDP|17315064906111189467</stp>
        <tr r="A312" s="2"/>
      </tp>
      <tp t="s">
        <v>#N/A N/A</v>
        <stp/>
        <stp>BDP|14112808029905885943</stp>
        <tr r="Q37" s="2"/>
      </tp>
      <tp t="s">
        <v>#N/A N/A</v>
        <stp/>
        <stp>BDP|11020979608169837333</stp>
        <tr r="Q319" s="2"/>
      </tp>
      <tp t="s">
        <v>#N/A N/A</v>
        <stp/>
        <stp>BDP|17578735484818226241</stp>
        <tr r="K1692" s="2"/>
      </tp>
      <tp t="s">
        <v>#N/A N/A</v>
        <stp/>
        <stp>BDP|17690463465702523546</stp>
        <tr r="S1075" s="2"/>
      </tp>
      <tp t="s">
        <v>#N/A N/A</v>
        <stp/>
        <stp>BDP|12086621167355533540</stp>
        <tr r="Q440" s="2"/>
      </tp>
      <tp t="s">
        <v>#N/A N/A</v>
        <stp/>
        <stp>BDP|10083338860467250059</stp>
        <tr r="Q1442" s="2"/>
      </tp>
      <tp t="s">
        <v>#N/A N/A</v>
        <stp/>
        <stp>BDP|13250489197799036590</stp>
        <tr r="M1449" s="2"/>
      </tp>
      <tp t="s">
        <v>#N/A N/A</v>
        <stp/>
        <stp>BDP|10161387318209637938</stp>
        <tr r="C948" s="2"/>
      </tp>
      <tp t="s">
        <v>#N/A N/A</v>
        <stp/>
        <stp>BDP|14199107953753170176</stp>
        <tr r="F119" s="2"/>
      </tp>
      <tp t="s">
        <v>#N/A N/A</v>
        <stp/>
        <stp>BDP|16303923106854141927</stp>
        <tr r="D22" s="2"/>
      </tp>
      <tp t="s">
        <v>#N/A N/A</v>
        <stp/>
        <stp>BDP|18368050495996219551</stp>
        <tr r="H1417" s="2"/>
      </tp>
      <tp t="s">
        <v>#N/A N/A</v>
        <stp/>
        <stp>BDP|17513210062106498766</stp>
        <tr r="H827" s="2"/>
      </tp>
      <tp t="s">
        <v>#N/A N/A</v>
        <stp/>
        <stp>BDP|12585565976604449650</stp>
        <tr r="D1087" s="2"/>
      </tp>
      <tp t="s">
        <v>#N/A N/A</v>
        <stp/>
        <stp>BDP|14215588458846091067</stp>
        <tr r="G346" s="2"/>
      </tp>
      <tp t="s">
        <v>#N/A N/A</v>
        <stp/>
        <stp>BDP|11057504121561638539</stp>
        <tr r="Q1414" s="2"/>
      </tp>
      <tp t="s">
        <v>#N/A N/A</v>
        <stp/>
        <stp>BDP|12628784619207088132</stp>
        <tr r="C1450" s="2"/>
      </tp>
      <tp t="s">
        <v>#N/A N/A</v>
        <stp/>
        <stp>BDP|13251828745784468952</stp>
        <tr r="N987" s="2"/>
      </tp>
      <tp t="s">
        <v>#N/A N/A</v>
        <stp/>
        <stp>BDP|11582858336848054023</stp>
        <tr r="J1715" s="2"/>
      </tp>
      <tp t="s">
        <v>#N/A N/A</v>
        <stp/>
        <stp>BDP|14089610902150024075</stp>
        <tr r="P518" s="2"/>
      </tp>
      <tp t="s">
        <v>#N/A N/A</v>
        <stp/>
        <stp>BDP|10749573196297081923</stp>
        <tr r="D1052" s="2"/>
      </tp>
      <tp t="s">
        <v>#N/A N/A</v>
        <stp/>
        <stp>BDP|11425712974563783020</stp>
        <tr r="S549" s="2"/>
      </tp>
      <tp t="s">
        <v>#N/A N/A</v>
        <stp/>
        <stp>BDP|12476559806961292413</stp>
        <tr r="E665" s="2"/>
      </tp>
      <tp t="s">
        <v>#N/A N/A</v>
        <stp/>
        <stp>BDP|13052166273850840792</stp>
        <tr r="S60" s="2"/>
      </tp>
      <tp t="s">
        <v>#N/A N/A</v>
        <stp/>
        <stp>BDP|17492848797810633457</stp>
        <tr r="F923" s="2"/>
      </tp>
      <tp t="s">
        <v>#N/A N/A</v>
        <stp/>
        <stp>BDP|12939094610114282562</stp>
        <tr r="H1108" s="2"/>
      </tp>
      <tp t="s">
        <v>#N/A N/A</v>
        <stp/>
        <stp>BDP|12366007736911968282</stp>
        <tr r="F1218" s="2"/>
      </tp>
      <tp t="s">
        <v>#N/A N/A</v>
        <stp/>
        <stp>BDP|14950114050853960153</stp>
        <tr r="R795" s="2"/>
      </tp>
      <tp t="s">
        <v>#N/A N/A</v>
        <stp/>
        <stp>BDP|17082022102597083244</stp>
        <tr r="O923" s="2"/>
      </tp>
      <tp t="s">
        <v>#N/A N/A</v>
        <stp/>
        <stp>BDP|16671562769397458090</stp>
        <tr r="A1477" s="2"/>
      </tp>
      <tp t="s">
        <v>#N/A N/A</v>
        <stp/>
        <stp>BDP|13425262982449530215</stp>
        <tr r="C1546" s="2"/>
      </tp>
      <tp t="s">
        <v>#N/A N/A</v>
        <stp/>
        <stp>BDP|11916812271714962840</stp>
        <tr r="O7" s="2"/>
      </tp>
      <tp t="s">
        <v>#N/A N/A</v>
        <stp/>
        <stp>BDP|12281427848284986457</stp>
        <tr r="D561" s="2"/>
      </tp>
      <tp t="s">
        <v>#N/A N/A</v>
        <stp/>
        <stp>BDS|15489232888844193999</stp>
        <tr r="I589" s="2"/>
      </tp>
      <tp t="s">
        <v>#N/A N/A</v>
        <stp/>
        <stp>BDP|11789660955488088806</stp>
        <tr r="C672" s="2"/>
      </tp>
      <tp t="s">
        <v>#N/A N/A</v>
        <stp/>
        <stp>BDP|14712055131606401330</stp>
        <tr r="K1378" s="2"/>
      </tp>
      <tp t="s">
        <v>#N/A N/A</v>
        <stp/>
        <stp>BDP|16998171088929568475</stp>
        <tr r="J520" s="2"/>
      </tp>
      <tp t="s">
        <v>#N/A N/A</v>
        <stp/>
        <stp>BDP|17545454530540128256</stp>
        <tr r="G1622" s="2"/>
      </tp>
      <tp t="s">
        <v>#N/A N/A</v>
        <stp/>
        <stp>BDP|15157202142597720601</stp>
        <tr r="M353" s="2"/>
      </tp>
      <tp t="s">
        <v>#N/A N/A</v>
        <stp/>
        <stp>BDP|11484762505983170725</stp>
        <tr r="E686" s="2"/>
      </tp>
      <tp t="s">
        <v>#N/A N/A</v>
        <stp/>
        <stp>BDP|16772909618044961829</stp>
        <tr r="A1550" s="2"/>
      </tp>
      <tp t="s">
        <v>#N/A N/A</v>
        <stp/>
        <stp>BDP|17991288602702056572</stp>
        <tr r="R473" s="2"/>
      </tp>
      <tp t="s">
        <v>#N/A N/A</v>
        <stp/>
        <stp>BDP|18295960676842757615</stp>
        <tr r="N382" s="2"/>
      </tp>
      <tp t="s">
        <v>#N/A N/A</v>
        <stp/>
        <stp>BDP|10469731576404761625</stp>
        <tr r="N29" s="2"/>
      </tp>
      <tp t="s">
        <v>#N/A N/A</v>
        <stp/>
        <stp>BDP|13198724368524997461</stp>
        <tr r="R290" s="2"/>
      </tp>
      <tp t="s">
        <v>#N/A N/A</v>
        <stp/>
        <stp>BDP|10263314950501642513</stp>
        <tr r="C269" s="2"/>
      </tp>
      <tp t="s">
        <v>#N/A N/A</v>
        <stp/>
        <stp>BDP|17443057011650072442</stp>
        <tr r="K1128" s="2"/>
      </tp>
      <tp t="s">
        <v>#N/A N/A</v>
        <stp/>
        <stp>BDP|13322379039025086493</stp>
        <tr r="T69" s="2"/>
      </tp>
      <tp t="s">
        <v>#N/A N/A</v>
        <stp/>
        <stp>BDP|15551115413902613558</stp>
        <tr r="T1328" s="2"/>
      </tp>
      <tp t="s">
        <v>#N/A N/A</v>
        <stp/>
        <stp>BDP|15735582279067500271</stp>
        <tr r="C1406" s="2"/>
      </tp>
      <tp t="s">
        <v>#N/A N/A</v>
        <stp/>
        <stp>BDP|14017452361420979497</stp>
        <tr r="T1442" s="2"/>
      </tp>
      <tp t="s">
        <v>#N/A N/A</v>
        <stp/>
        <stp>BDP|10262779106976481339</stp>
        <tr r="M1209" s="2"/>
      </tp>
      <tp t="s">
        <v>#N/A N/A</v>
        <stp/>
        <stp>BDS|12746971090070366044</stp>
        <tr r="I918" s="2"/>
      </tp>
      <tp t="s">
        <v>#N/A N/A</v>
        <stp/>
        <stp>BDP|11260195345383814527</stp>
        <tr r="G352" s="2"/>
      </tp>
      <tp t="s">
        <v>#N/A N/A</v>
        <stp/>
        <stp>BDP|17101333137963053619</stp>
        <tr r="N1727" s="2"/>
      </tp>
      <tp t="s">
        <v>#N/A N/A</v>
        <stp/>
        <stp>BDP|12396698779263107265</stp>
        <tr r="K790" s="2"/>
      </tp>
      <tp t="s">
        <v>#N/A N/A</v>
        <stp/>
        <stp>BDP|15738536965065007153</stp>
        <tr r="H250" s="2"/>
      </tp>
      <tp t="s">
        <v>#N/A N/A</v>
        <stp/>
        <stp>BDP|12024270121777330710</stp>
        <tr r="K77" s="2"/>
      </tp>
      <tp t="s">
        <v>#N/A N/A</v>
        <stp/>
        <stp>BDP|12265766502761529670</stp>
        <tr r="A495" s="2"/>
      </tp>
      <tp t="s">
        <v>#N/A N/A</v>
        <stp/>
        <stp>BDP|12629108742302241728</stp>
        <tr r="F291" s="2"/>
      </tp>
      <tp t="s">
        <v>#N/A N/A</v>
        <stp/>
        <stp>BDP|15365337351203729224</stp>
        <tr r="K1396" s="2"/>
      </tp>
      <tp t="s">
        <v>#N/A N/A</v>
        <stp/>
        <stp>BDP|11677414405106455122</stp>
        <tr r="J1220" s="2"/>
      </tp>
      <tp t="s">
        <v>#N/A N/A</v>
        <stp/>
        <stp>BDP|12930066613539166893</stp>
        <tr r="H808" s="2"/>
      </tp>
      <tp t="s">
        <v>#N/A N/A</v>
        <stp/>
        <stp>BDP|16321726144441909684</stp>
        <tr r="E363" s="2"/>
      </tp>
      <tp t="s">
        <v>#N/A N/A</v>
        <stp/>
        <stp>BDP|10578157922726325751</stp>
        <tr r="S23" s="2"/>
      </tp>
      <tp t="s">
        <v>#N/A N/A</v>
        <stp/>
        <stp>BDP|13524737654637037464</stp>
        <tr r="F999" s="2"/>
      </tp>
      <tp t="s">
        <v>#N/A N/A</v>
        <stp/>
        <stp>BDP|16412140105671415452</stp>
        <tr r="A596" s="2"/>
      </tp>
      <tp t="s">
        <v>#N/A N/A</v>
        <stp/>
        <stp>BDP|16864731342745572283</stp>
        <tr r="H845" s="2"/>
      </tp>
      <tp t="s">
        <v>#N/A N/A</v>
        <stp/>
        <stp>BDP|16127192552212963270</stp>
        <tr r="T651" s="2"/>
      </tp>
      <tp t="s">
        <v>#N/A N/A</v>
        <stp/>
        <stp>BDP|12662736690907447959</stp>
        <tr r="T56" s="2"/>
      </tp>
      <tp t="s">
        <v>#N/A N/A</v>
        <stp/>
        <stp>BDP|17136894807129890404</stp>
        <tr r="A1048" s="2"/>
      </tp>
      <tp t="s">
        <v>#N/A N/A</v>
        <stp/>
        <stp>BDP|12567938992754270415</stp>
        <tr r="S1706" s="2"/>
      </tp>
      <tp t="s">
        <v>#N/A N/A</v>
        <stp/>
        <stp>BDP|14033945993760127618</stp>
        <tr r="E624" s="2"/>
      </tp>
      <tp t="s">
        <v>#N/A N/A</v>
        <stp/>
        <stp>BDP|14471754382098512118</stp>
        <tr r="O1430" s="2"/>
      </tp>
      <tp t="s">
        <v>#N/A N/A</v>
        <stp/>
        <stp>BDP|15874791476403505458</stp>
        <tr r="A649" s="2"/>
      </tp>
      <tp t="s">
        <v>#N/A N/A</v>
        <stp/>
        <stp>BDP|13016548303255679165</stp>
        <tr r="C1317" s="2"/>
      </tp>
      <tp t="s">
        <v>#N/A N/A</v>
        <stp/>
        <stp>BDP|11321497732015982164</stp>
        <tr r="E1092" s="2"/>
      </tp>
      <tp t="s">
        <v>#N/A N/A</v>
        <stp/>
        <stp>BDP|15189237630890699636</stp>
        <tr r="P255" s="2"/>
      </tp>
      <tp t="s">
        <v>#N/A N/A</v>
        <stp/>
        <stp>BDP|10654614663737268518</stp>
        <tr r="H310" s="2"/>
      </tp>
      <tp t="s">
        <v>#N/A N/A</v>
        <stp/>
        <stp>BDP|16086073118142918713</stp>
        <tr r="G1264" s="2"/>
      </tp>
      <tp t="s">
        <v>#N/A N/A</v>
        <stp/>
        <stp>BDP|15143068557047618515</stp>
        <tr r="K1435" s="2"/>
      </tp>
      <tp t="s">
        <v>#N/A N/A</v>
        <stp/>
        <stp>BDP|13833329742607652191</stp>
        <tr r="S1341" s="2"/>
      </tp>
      <tp t="s">
        <v>#N/A N/A</v>
        <stp/>
        <stp>BDP|12397930362388531706</stp>
        <tr r="M1644" s="2"/>
      </tp>
      <tp t="s">
        <v>#N/A N/A</v>
        <stp/>
        <stp>BDP|11951579420183860715</stp>
        <tr r="G706" s="2"/>
      </tp>
      <tp t="s">
        <v>#N/A N/A</v>
        <stp/>
        <stp>BDP|16574119161300505370</stp>
        <tr r="A1745" s="2"/>
      </tp>
      <tp t="s">
        <v>#N/A N/A</v>
        <stp/>
        <stp>BDP|16833291563863260371</stp>
        <tr r="H563" s="2"/>
      </tp>
      <tp t="s">
        <v>#N/A N/A</v>
        <stp/>
        <stp>BDP|13376559804793154741</stp>
        <tr r="O1380" s="2"/>
      </tp>
      <tp t="s">
        <v>#N/A N/A</v>
        <stp/>
        <stp>BDP|14365552941380998792</stp>
        <tr r="E1130" s="2"/>
      </tp>
      <tp t="s">
        <v>#N/A N/A</v>
        <stp/>
        <stp>BDS|13620570888849963540</stp>
        <tr r="I668" s="2"/>
      </tp>
      <tp t="s">
        <v>#N/A N/A</v>
        <stp/>
        <stp>BDP|11615741860120386265</stp>
        <tr r="H1184" s="2"/>
      </tp>
      <tp t="s">
        <v>#N/A N/A</v>
        <stp/>
        <stp>BDP|13791018975822561413</stp>
        <tr r="S741" s="2"/>
      </tp>
      <tp t="s">
        <v>#N/A N/A</v>
        <stp/>
        <stp>BDP|10152612293884594915</stp>
        <tr r="Q1680" s="2"/>
      </tp>
      <tp t="s">
        <v>#N/A N/A</v>
        <stp/>
        <stp>BDP|14406557804155433666</stp>
        <tr r="E262" s="2"/>
      </tp>
      <tp t="s">
        <v>#N/A N/A</v>
        <stp/>
        <stp>BDP|13049728560433725329</stp>
        <tr r="E388" s="2"/>
      </tp>
      <tp t="s">
        <v>#N/A N/A</v>
        <stp/>
        <stp>BDP|18212914090488360274</stp>
        <tr r="T394" s="2"/>
      </tp>
      <tp t="s">
        <v>#N/A N/A</v>
        <stp/>
        <stp>BDP|12156424331735161243</stp>
        <tr r="G556" s="2"/>
      </tp>
      <tp t="s">
        <v>#N/A N/A</v>
        <stp/>
        <stp>BDP|10650619077151365248</stp>
        <tr r="G302" s="2"/>
      </tp>
      <tp t="s">
        <v>#N/A N/A</v>
        <stp/>
        <stp>BDP|17409737531513740264</stp>
        <tr r="J812" s="2"/>
      </tp>
      <tp t="s">
        <v>#N/A N/A</v>
        <stp/>
        <stp>BDP|10362426541542109067</stp>
        <tr r="S968" s="2"/>
      </tp>
      <tp t="s">
        <v>#N/A N/A</v>
        <stp/>
        <stp>BDP|12710157442654776105</stp>
        <tr r="P1155" s="2"/>
      </tp>
      <tp t="s">
        <v>#N/A N/A</v>
        <stp/>
        <stp>BDP|18376999773253972779</stp>
        <tr r="A1040" s="2"/>
      </tp>
      <tp t="s">
        <v>#N/A N/A</v>
        <stp/>
        <stp>BDP|10370186938241775135</stp>
        <tr r="E932" s="2"/>
      </tp>
      <tp t="s">
        <v>#N/A N/A</v>
        <stp/>
        <stp>BDP|11613622102794551140</stp>
        <tr r="C1541" s="2"/>
      </tp>
      <tp t="s">
        <v>#N/A N/A</v>
        <stp/>
        <stp>BDP|18172646649429320186</stp>
        <tr r="O1359" s="2"/>
      </tp>
      <tp t="s">
        <v>#N/A N/A</v>
        <stp/>
        <stp>BDP|11620015443173333404</stp>
        <tr r="R1031" s="2"/>
      </tp>
      <tp t="s">
        <v>#N/A N/A</v>
        <stp/>
        <stp>BDP|11212075535302444232</stp>
        <tr r="O1160" s="2"/>
      </tp>
      <tp t="s">
        <v>#N/A N/A</v>
        <stp/>
        <stp>BDP|11886414569394095576</stp>
        <tr r="O1344" s="2"/>
      </tp>
      <tp t="s">
        <v>#N/A N/A</v>
        <stp/>
        <stp>BDP|11007686028467558027</stp>
        <tr r="G1210" s="2"/>
      </tp>
      <tp t="s">
        <v>#N/A N/A</v>
        <stp/>
        <stp>BDP|12750835979586379992</stp>
        <tr r="T1348" s="2"/>
      </tp>
      <tp t="s">
        <v>#N/A N/A</v>
        <stp/>
        <stp>BDS|17415061867242801192</stp>
        <tr r="I823" s="2"/>
      </tp>
      <tp t="s">
        <v>#N/A N/A</v>
        <stp/>
        <stp>BDP|17729795682112854833</stp>
        <tr r="T1283" s="2"/>
      </tp>
      <tp t="s">
        <v>#N/A N/A</v>
        <stp/>
        <stp>BDP|10573276507455506575</stp>
        <tr r="Q1413" s="2"/>
      </tp>
      <tp t="s">
        <v>#N/A N/A</v>
        <stp/>
        <stp>BDP|12364120460127335054</stp>
        <tr r="M1454" s="2"/>
      </tp>
      <tp t="s">
        <v>#N/A N/A</v>
        <stp/>
        <stp>BDS|11837673539673273501</stp>
        <tr r="I221" s="2"/>
      </tp>
      <tp t="s">
        <v>#N/A N/A</v>
        <stp/>
        <stp>BDP|12537146653503521702</stp>
        <tr r="J1071" s="2"/>
      </tp>
      <tp t="s">
        <v>#N/A N/A</v>
        <stp/>
        <stp>BDP|10583648844784440463</stp>
        <tr r="E283" s="2"/>
      </tp>
      <tp t="s">
        <v>#N/A N/A</v>
        <stp/>
        <stp>BDP|11113177375254219162</stp>
        <tr r="J373" s="2"/>
      </tp>
      <tp t="s">
        <v>#N/A N/A</v>
        <stp/>
        <stp>BDP|12747921472387265927</stp>
        <tr r="F44" s="2"/>
      </tp>
      <tp t="s">
        <v>#N/A N/A</v>
        <stp/>
        <stp>BDP|13698731043903862190</stp>
        <tr r="K1704" s="2"/>
      </tp>
      <tp t="s">
        <v>#N/A N/A</v>
        <stp/>
        <stp>BDP|17526358834290792546</stp>
        <tr r="K200" s="2"/>
      </tp>
      <tp t="s">
        <v>#N/A N/A</v>
        <stp/>
        <stp>BDP|13023779837960279552</stp>
        <tr r="F1750" s="2"/>
      </tp>
      <tp t="s">
        <v>#N/A N/A</v>
        <stp/>
        <stp>BDP|13322506000287322372</stp>
        <tr r="Q1454" s="2"/>
      </tp>
      <tp t="s">
        <v>#N/A N/A</v>
        <stp/>
        <stp>BDP|13267110649033852755</stp>
        <tr r="M399" s="2"/>
      </tp>
      <tp t="s">
        <v>#N/A N/A</v>
        <stp/>
        <stp>BDP|11442542444062093039</stp>
        <tr r="P1498" s="2"/>
      </tp>
      <tp t="s">
        <v>#N/A N/A</v>
        <stp/>
        <stp>BDP|14292154647890040374</stp>
        <tr r="G523" s="2"/>
      </tp>
      <tp t="s">
        <v>#N/A N/A</v>
        <stp/>
        <stp>BDP|15604576833925020458</stp>
        <tr r="H1141" s="2"/>
      </tp>
      <tp t="s">
        <v>#N/A N/A</v>
        <stp/>
        <stp>BDP|17035672512313719156</stp>
        <tr r="T461" s="2"/>
      </tp>
      <tp t="s">
        <v>#N/A N/A</v>
        <stp/>
        <stp>BDP|17701064576356209422</stp>
        <tr r="N327" s="2"/>
      </tp>
      <tp t="s">
        <v>#N/A N/A</v>
        <stp/>
        <stp>BDP|10314110692503667917</stp>
        <tr r="N928" s="2"/>
      </tp>
      <tp t="s">
        <v>#N/A N/A</v>
        <stp/>
        <stp>BDP|15344724205713753347</stp>
        <tr r="C1683" s="2"/>
      </tp>
      <tp t="s">
        <v>#N/A N/A</v>
        <stp/>
        <stp>BDP|10106268717566085770</stp>
        <tr r="E474" s="2"/>
      </tp>
      <tp t="s">
        <v>#N/A N/A</v>
        <stp/>
        <stp>BDP|14456669565881349735</stp>
        <tr r="J282" s="2"/>
      </tp>
      <tp t="s">
        <v>#N/A N/A</v>
        <stp/>
        <stp>BDP|17752701814473242060</stp>
        <tr r="S440" s="2"/>
      </tp>
      <tp t="s">
        <v>#N/A N/A</v>
        <stp/>
        <stp>BDP|10547927310042349833</stp>
        <tr r="G623" s="2"/>
      </tp>
      <tp t="s">
        <v>#N/A N/A</v>
        <stp/>
        <stp>BDP|16302094033390695795</stp>
        <tr r="F1111" s="2"/>
      </tp>
      <tp t="s">
        <v>#N/A N/A</v>
        <stp/>
        <stp>BDP|16441035140659197905</stp>
        <tr r="J523" s="2"/>
      </tp>
      <tp t="s">
        <v>#N/A N/A</v>
        <stp/>
        <stp>BDP|16456951497412734679</stp>
        <tr r="H998" s="2"/>
      </tp>
      <tp t="s">
        <v>#N/A N/A</v>
        <stp/>
        <stp>BDP|12059537864696278539</stp>
        <tr r="C1267" s="2"/>
      </tp>
      <tp t="s">
        <v>#N/A N/A</v>
        <stp/>
        <stp>BDP|13410617293829724775</stp>
        <tr r="C863" s="2"/>
      </tp>
      <tp t="s">
        <v>#N/A N/A</v>
        <stp/>
        <stp>BDP|10500971114219481342</stp>
        <tr r="E1432" s="2"/>
      </tp>
      <tp t="s">
        <v>#N/A N/A</v>
        <stp/>
        <stp>BDP|12541349097652815883</stp>
        <tr r="Q1564" s="2"/>
      </tp>
      <tp t="s">
        <v>#N/A N/A</v>
        <stp/>
        <stp>BDP|12845764948996895589</stp>
        <tr r="G1740" s="2"/>
      </tp>
      <tp t="s">
        <v>#N/A N/A</v>
        <stp/>
        <stp>BDP|16409127962955019627</stp>
        <tr r="R578" s="2"/>
      </tp>
      <tp t="s">
        <v>#N/A N/A</v>
        <stp/>
        <stp>BDP|14619369142056604720</stp>
        <tr r="F1110" s="2"/>
      </tp>
      <tp t="s">
        <v>#N/A N/A</v>
        <stp/>
        <stp>BDP|11081115815366538575</stp>
        <tr r="T1273" s="2"/>
      </tp>
      <tp t="s">
        <v>#N/A N/A</v>
        <stp/>
        <stp>BDP|13616618551300913293</stp>
        <tr r="T884" s="2"/>
      </tp>
      <tp t="s">
        <v>#N/A N/A</v>
        <stp/>
        <stp>BDP|16841178459276133612</stp>
        <tr r="K599" s="2"/>
      </tp>
      <tp t="s">
        <v>#N/A N/A</v>
        <stp/>
        <stp>BDP|17820455102552055398</stp>
        <tr r="T1265" s="2"/>
      </tp>
      <tp t="s">
        <v>#N/A N/A</v>
        <stp/>
        <stp>BDP|11601405324436082347</stp>
        <tr r="P466" s="2"/>
      </tp>
      <tp t="s">
        <v>#N/A N/A</v>
        <stp/>
        <stp>BDP|12538004000063183322</stp>
        <tr r="C1197" s="2"/>
      </tp>
      <tp t="s">
        <v>#N/A N/A</v>
        <stp/>
        <stp>BDP|13462222217811508321</stp>
        <tr r="H433" s="2"/>
      </tp>
      <tp t="s">
        <v>#N/A N/A</v>
        <stp/>
        <stp>BDP|18322347332728682257</stp>
        <tr r="H31" s="2"/>
      </tp>
      <tp t="s">
        <v>#N/A N/A</v>
        <stp/>
        <stp>BDP|11349908625260336831</stp>
        <tr r="A1608" s="2"/>
      </tp>
      <tp t="s">
        <v>#N/A N/A</v>
        <stp/>
        <stp>BDP|14139289333715454284</stp>
        <tr r="K1119" s="2"/>
      </tp>
      <tp t="s">
        <v>#N/A N/A</v>
        <stp/>
        <stp>BDP|14745552163872126760</stp>
        <tr r="D1364" s="2"/>
      </tp>
      <tp t="s">
        <v>#N/A N/A</v>
        <stp/>
        <stp>BDP|10746627356972256373</stp>
        <tr r="Q651" s="2"/>
      </tp>
      <tp t="s">
        <v>#N/A N/A</v>
        <stp/>
        <stp>BDP|15798314842124155435</stp>
        <tr r="S1083" s="2"/>
      </tp>
      <tp t="s">
        <v>#N/A N/A</v>
        <stp/>
        <stp>BDP|14567218748246875627</stp>
        <tr r="J547" s="2"/>
      </tp>
      <tp t="s">
        <v>#N/A N/A</v>
        <stp/>
        <stp>BDP|15245698417881966131</stp>
        <tr r="E666" s="2"/>
      </tp>
      <tp t="s">
        <v>#N/A N/A</v>
        <stp/>
        <stp>BDP|15119103664595148520</stp>
        <tr r="G1236" s="2"/>
      </tp>
      <tp t="s">
        <v>#N/A N/A</v>
        <stp/>
        <stp>BDS|14972816508798036656</stp>
        <tr r="I244" s="2"/>
      </tp>
      <tp t="s">
        <v>#N/A N/A</v>
        <stp/>
        <stp>BDP|11779554724097455345</stp>
        <tr r="D1482" s="2"/>
      </tp>
      <tp t="s">
        <v>#N/A N/A</v>
        <stp/>
        <stp>BDP|10535100873371854587</stp>
        <tr r="M31" s="2"/>
      </tp>
      <tp t="s">
        <v>#N/A N/A</v>
        <stp/>
        <stp>BDP|11629211927161403220</stp>
        <tr r="N1326" s="2"/>
      </tp>
      <tp t="s">
        <v>#N/A N/A</v>
        <stp/>
        <stp>BDP|15142457286943198852</stp>
        <tr r="N849" s="2"/>
      </tp>
      <tp t="s">
        <v>#N/A N/A</v>
        <stp/>
        <stp>BDP|17415548665990085639</stp>
        <tr r="T1291" s="2"/>
      </tp>
      <tp t="s">
        <v>#N/A N/A</v>
        <stp/>
        <stp>BDP|13633931221389317311</stp>
        <tr r="E359" s="2"/>
      </tp>
      <tp t="s">
        <v>#N/A N/A</v>
        <stp/>
        <stp>BDP|13502592538104435361</stp>
        <tr r="C618" s="2"/>
      </tp>
      <tp t="s">
        <v>#N/A N/A</v>
        <stp/>
        <stp>BDP|11369575750445105637</stp>
        <tr r="R682" s="2"/>
      </tp>
      <tp t="s">
        <v>#N/A N/A</v>
        <stp/>
        <stp>BDP|16008570739620136295</stp>
        <tr r="H1098" s="2"/>
      </tp>
      <tp t="s">
        <v>#N/A N/A</v>
        <stp/>
        <stp>BDP|17746224701483022426</stp>
        <tr r="E370" s="2"/>
      </tp>
      <tp t="s">
        <v>#N/A N/A</v>
        <stp/>
        <stp>BDP|17055442658831974538</stp>
        <tr r="S604" s="2"/>
      </tp>
      <tp t="s">
        <v>#N/A N/A</v>
        <stp/>
        <stp>BDP|17324237678906746698</stp>
        <tr r="F222" s="2"/>
      </tp>
      <tp t="s">
        <v>#N/A N/A</v>
        <stp/>
        <stp>BDP|14606045510932457509</stp>
        <tr r="E1209" s="2"/>
      </tp>
      <tp t="s">
        <v>#N/A N/A</v>
        <stp/>
        <stp>BDP|11434562626023580779</stp>
        <tr r="H335" s="2"/>
      </tp>
      <tp t="s">
        <v>#N/A N/A</v>
        <stp/>
        <stp>BDP|12136490838487235044</stp>
        <tr r="S1683" s="2"/>
      </tp>
      <tp t="s">
        <v>#N/A N/A</v>
        <stp/>
        <stp>BDS|13306748576018581910</stp>
        <tr r="I270" s="2"/>
      </tp>
      <tp t="s">
        <v>#N/A N/A</v>
        <stp/>
        <stp>BDS|12035305335996090601</stp>
        <tr r="I829" s="2"/>
      </tp>
      <tp t="s">
        <v>#N/A N/A</v>
        <stp/>
        <stp>BDP|12365966691503208302</stp>
        <tr r="T1506" s="2"/>
      </tp>
      <tp t="s">
        <v>#N/A N/A</v>
        <stp/>
        <stp>BDP|18147441396164538300</stp>
        <tr r="J500" s="2"/>
      </tp>
      <tp t="s">
        <v>#N/A N/A</v>
        <stp/>
        <stp>BDP|17307626284603232814</stp>
        <tr r="N1153" s="2"/>
      </tp>
      <tp t="s">
        <v>#N/A N/A</v>
        <stp/>
        <stp>BDP|11629070161000408525</stp>
        <tr r="S1366" s="2"/>
      </tp>
      <tp t="s">
        <v>#N/A N/A</v>
        <stp/>
        <stp>BDP|18268836548484848276</stp>
        <tr r="E527" s="2"/>
      </tp>
      <tp t="s">
        <v>#N/A N/A</v>
        <stp/>
        <stp>BDP|12061138344736456359</stp>
        <tr r="S1052" s="2"/>
      </tp>
      <tp t="s">
        <v>#N/A N/A</v>
        <stp/>
        <stp>BDP|14484425062810205400</stp>
        <tr r="J104" s="2"/>
      </tp>
      <tp t="s">
        <v>#N/A N/A</v>
        <stp/>
        <stp>BDP|17772523719475222487</stp>
        <tr r="Q104" s="2"/>
      </tp>
      <tp t="s">
        <v>#N/A N/A</v>
        <stp/>
        <stp>BDP|12638707244615758632</stp>
        <tr r="E1176" s="2"/>
      </tp>
      <tp t="s">
        <v>#N/A N/A</v>
        <stp/>
        <stp>BDP|15505693708680379117</stp>
        <tr r="Q1509" s="2"/>
      </tp>
      <tp t="s">
        <v>#N/A N/A</v>
        <stp/>
        <stp>BDP|13503709312807572043</stp>
        <tr r="C21" s="2"/>
      </tp>
      <tp t="s">
        <v>#N/A N/A</v>
        <stp/>
        <stp>BDP|16543861027047389919</stp>
        <tr r="K1731" s="2"/>
      </tp>
      <tp t="s">
        <v>#N/A N/A</v>
        <stp/>
        <stp>BDP|13890576400286009299</stp>
        <tr r="S1157" s="2"/>
      </tp>
      <tp t="s">
        <v>#N/A N/A</v>
        <stp/>
        <stp>BDP|16896438818943217382</stp>
        <tr r="C188" s="2"/>
      </tp>
      <tp t="s">
        <v>#N/A N/A</v>
        <stp/>
        <stp>BDP|13723162955934410093</stp>
        <tr r="T904" s="2"/>
      </tp>
      <tp t="s">
        <v>#N/A N/A</v>
        <stp/>
        <stp>BDP|14994930698511869631</stp>
        <tr r="J142" s="2"/>
      </tp>
      <tp t="s">
        <v>#N/A N/A</v>
        <stp/>
        <stp>BDP|12720186228426820469</stp>
        <tr r="R1358" s="2"/>
      </tp>
      <tp t="s">
        <v>#N/A N/A</v>
        <stp/>
        <stp>BDP|15384493058720275790</stp>
        <tr r="F1508" s="2"/>
      </tp>
      <tp t="s">
        <v>#N/A N/A</v>
        <stp/>
        <stp>BDP|14468531699452490930</stp>
        <tr r="P1231" s="2"/>
      </tp>
      <tp t="s">
        <v>#N/A N/A</v>
        <stp/>
        <stp>BDP|17929449129761445392</stp>
        <tr r="N1385" s="2"/>
      </tp>
      <tp t="s">
        <v>#N/A N/A</v>
        <stp/>
        <stp>BDP|15925031638130817539</stp>
        <tr r="K28" s="2"/>
      </tp>
      <tp t="s">
        <v>#N/A N/A</v>
        <stp/>
        <stp>BDP|17037383062756742749</stp>
        <tr r="F281" s="2"/>
      </tp>
      <tp t="s">
        <v>#N/A N/A</v>
        <stp/>
        <stp>BDP|12988954047719057527</stp>
        <tr r="P607" s="2"/>
      </tp>
      <tp t="s">
        <v>#N/A N/A</v>
        <stp/>
        <stp>BDP|17846737802021285223</stp>
        <tr r="A40" s="2"/>
      </tp>
      <tp t="s">
        <v>#N/A N/A</v>
        <stp/>
        <stp>BDP|14661439268683603621</stp>
        <tr r="N272" s="2"/>
      </tp>
      <tp t="s">
        <v>#N/A N/A</v>
        <stp/>
        <stp>BDP|16899032866335138653</stp>
        <tr r="J644" s="2"/>
      </tp>
      <tp t="s">
        <v>#N/A N/A</v>
        <stp/>
        <stp>BDP|15336642118905743414</stp>
        <tr r="H71" s="2"/>
      </tp>
      <tp t="s">
        <v>#N/A N/A</v>
        <stp/>
        <stp>BDP|16671625775843936711</stp>
        <tr r="A1035" s="2"/>
      </tp>
      <tp t="s">
        <v>#N/A N/A</v>
        <stp/>
        <stp>BDP|15331900010679247789</stp>
        <tr r="A1392" s="2"/>
      </tp>
      <tp t="s">
        <v>#N/A N/A</v>
        <stp/>
        <stp>BDP|17261587156347235379</stp>
        <tr r="N1630" s="2"/>
      </tp>
      <tp t="s">
        <v>#N/A N/A</v>
        <stp/>
        <stp>BDP|17533090085094629869</stp>
        <tr r="P740" s="2"/>
      </tp>
      <tp t="s">
        <v>#N/A N/A</v>
        <stp/>
        <stp>BDP|13733995032928669236</stp>
        <tr r="J615" s="2"/>
      </tp>
      <tp t="s">
        <v>#N/A N/A</v>
        <stp/>
        <stp>BDP|13896733453747852597</stp>
        <tr r="G938" s="2"/>
      </tp>
      <tp t="s">
        <v>#N/A N/A</v>
        <stp/>
        <stp>BDP|17552393364520651179</stp>
        <tr r="C116" s="2"/>
      </tp>
      <tp t="s">
        <v>#N/A N/A</v>
        <stp/>
        <stp>BDP|15278129936106875276</stp>
        <tr r="F181" s="2"/>
      </tp>
      <tp t="s">
        <v>#N/A N/A</v>
        <stp/>
        <stp>BDP|16631209103273436485</stp>
        <tr r="R570" s="2"/>
      </tp>
      <tp t="s">
        <v>#N/A N/A</v>
        <stp/>
        <stp>BDP|18083129488960431275</stp>
        <tr r="G602" s="2"/>
      </tp>
      <tp t="s">
        <v>#N/A N/A</v>
        <stp/>
        <stp>BDP|11640679548082480248</stp>
        <tr r="R637" s="2"/>
      </tp>
      <tp t="s">
        <v>#N/A N/A</v>
        <stp/>
        <stp>BDP|16713399394366519967</stp>
        <tr r="K366" s="2"/>
      </tp>
      <tp t="s">
        <v>#N/A N/A</v>
        <stp/>
        <stp>BDP|17146213208952259436</stp>
        <tr r="G532" s="2"/>
      </tp>
      <tp t="s">
        <v>#N/A N/A</v>
        <stp/>
        <stp>BDP|11378193537205136558</stp>
        <tr r="D1333" s="2"/>
      </tp>
      <tp t="s">
        <v>#N/A N/A</v>
        <stp/>
        <stp>BDP|12683917399590153162</stp>
        <tr r="A33" s="2"/>
      </tp>
      <tp t="s">
        <v>#N/A N/A</v>
        <stp/>
        <stp>BDP|13989646220566548212</stp>
        <tr r="H885" s="2"/>
      </tp>
      <tp t="s">
        <v>#N/A N/A</v>
        <stp/>
        <stp>BDP|10445402833831817563</stp>
        <tr r="F212" s="2"/>
      </tp>
      <tp t="s">
        <v>#N/A N/A</v>
        <stp/>
        <stp>BDP|13097535528211368614</stp>
        <tr r="E255" s="2"/>
      </tp>
      <tp t="s">
        <v>#N/A N/A</v>
        <stp/>
        <stp>BDP|13401648509341646763</stp>
        <tr r="R1010" s="2"/>
      </tp>
      <tp t="s">
        <v>#N/A N/A</v>
        <stp/>
        <stp>BDP|12327186884779100170</stp>
        <tr r="N47" s="2"/>
      </tp>
      <tp t="s">
        <v>#N/A N/A</v>
        <stp/>
        <stp>BDP|16474057517314628092</stp>
        <tr r="C676" s="2"/>
      </tp>
      <tp t="s">
        <v>#N/A N/A</v>
        <stp/>
        <stp>BDP|14213027872180217095</stp>
        <tr r="D1050" s="2"/>
      </tp>
      <tp t="s">
        <v>#N/A N/A</v>
        <stp/>
        <stp>BDP|13561330871877981374</stp>
        <tr r="P359" s="2"/>
      </tp>
      <tp t="s">
        <v>#N/A N/A</v>
        <stp/>
        <stp>BDP|17827916916138772410</stp>
        <tr r="H488" s="2"/>
      </tp>
      <tp t="s">
        <v>#N/A N/A</v>
        <stp/>
        <stp>BDP|18390557644403284990</stp>
        <tr r="S157" s="2"/>
      </tp>
      <tp t="s">
        <v>#N/A N/A</v>
        <stp/>
        <stp>BDP|12909657697028726654</stp>
        <tr r="Q628" s="2"/>
      </tp>
      <tp t="s">
        <v>#N/A N/A</v>
        <stp/>
        <stp>BDP|13881326757161287766</stp>
        <tr r="C608" s="2"/>
      </tp>
      <tp t="s">
        <v>#N/A N/A</v>
        <stp/>
        <stp>BDP|15267503779424299008</stp>
        <tr r="G92" s="2"/>
      </tp>
      <tp t="s">
        <v>#N/A N/A</v>
        <stp/>
        <stp>BDP|17716686339906974769</stp>
        <tr r="F377" s="2"/>
      </tp>
      <tp t="s">
        <v>#N/A N/A</v>
        <stp/>
        <stp>BDP|18146082043487006835</stp>
        <tr r="N1584" s="2"/>
      </tp>
      <tp t="s">
        <v>#N/A N/A</v>
        <stp/>
        <stp>BDP|14829382379051745273</stp>
        <tr r="G761" s="2"/>
      </tp>
      <tp t="s">
        <v>#N/A N/A</v>
        <stp/>
        <stp>BDP|14107378099884520934</stp>
        <tr r="R614" s="2"/>
      </tp>
      <tp t="s">
        <v>#N/A N/A</v>
        <stp/>
        <stp>BDP|14769184433084350161</stp>
        <tr r="C1445" s="2"/>
      </tp>
      <tp t="s">
        <v>#N/A N/A</v>
        <stp/>
        <stp>BDS|12174136217108755983</stp>
        <tr r="I401" s="2"/>
      </tp>
      <tp t="s">
        <v>#N/A N/A</v>
        <stp/>
        <stp>BDP|17453956698690000400</stp>
        <tr r="P1592" s="2"/>
      </tp>
      <tp t="s">
        <v>#N/A N/A</v>
        <stp/>
        <stp>BDP|16562497962150161763</stp>
        <tr r="N649" s="2"/>
      </tp>
      <tp t="s">
        <v>#N/A N/A</v>
        <stp/>
        <stp>BDS|13358294900593671166</stp>
        <tr r="I84" s="2"/>
      </tp>
      <tp t="s">
        <v>#N/A N/A</v>
        <stp/>
        <stp>BDP|11223239830646105598</stp>
        <tr r="D1514" s="2"/>
      </tp>
      <tp t="s">
        <v>#N/A N/A</v>
        <stp/>
        <stp>BDP|17601288643945047740</stp>
        <tr r="G1234" s="2"/>
      </tp>
      <tp t="s">
        <v>#N/A N/A</v>
        <stp/>
        <stp>BDP|16829991978689121213</stp>
        <tr r="A666" s="2"/>
      </tp>
      <tp t="s">
        <v>#N/A N/A</v>
        <stp/>
        <stp>BDP|10628372278942745579</stp>
        <tr r="R804" s="2"/>
      </tp>
      <tp t="s">
        <v>#N/A N/A</v>
        <stp/>
        <stp>BDP|12647549839240088723</stp>
        <tr r="J1545" s="2"/>
      </tp>
      <tp t="s">
        <v>#N/A N/A</v>
        <stp/>
        <stp>BDP|12526774509845338306</stp>
        <tr r="C1125" s="2"/>
      </tp>
      <tp t="s">
        <v>#N/A N/A</v>
        <stp/>
        <stp>BDP|13399269828311615139</stp>
        <tr r="N1102" s="2"/>
      </tp>
      <tp t="s">
        <v>#N/A N/A</v>
        <stp/>
        <stp>BDP|13519095006887705757</stp>
        <tr r="G431" s="2"/>
      </tp>
      <tp t="s">
        <v>#N/A N/A</v>
        <stp/>
        <stp>BDP|12244285657770442619</stp>
        <tr r="Q681" s="2"/>
      </tp>
      <tp t="s">
        <v>#N/A N/A</v>
        <stp/>
        <stp>BDP|17110924564808602396</stp>
        <tr r="G416" s="2"/>
      </tp>
      <tp t="s">
        <v>#N/A N/A</v>
        <stp/>
        <stp>BDP|17807779571822237649</stp>
        <tr r="O262" s="2"/>
      </tp>
      <tp t="s">
        <v>#N/A N/A</v>
        <stp/>
        <stp>BDP|17105290805884129240</stp>
        <tr r="E220" s="2"/>
      </tp>
      <tp t="s">
        <v>#N/A N/A</v>
        <stp/>
        <stp>BDP|10400015461047866249</stp>
        <tr r="N1150" s="2"/>
      </tp>
      <tp t="s">
        <v>#N/A N/A</v>
        <stp/>
        <stp>BDP|11977460834445326008</stp>
        <tr r="P280" s="2"/>
      </tp>
      <tp t="s">
        <v>#N/A N/A</v>
        <stp/>
        <stp>BDP|17327259040870839269</stp>
        <tr r="N135" s="2"/>
      </tp>
      <tp t="s">
        <v>#N/A N/A</v>
        <stp/>
        <stp>BDP|10143091911807239537</stp>
        <tr r="A1153" s="2"/>
      </tp>
      <tp t="s">
        <v>#N/A N/A</v>
        <stp/>
        <stp>BDP|15435690116846519762</stp>
        <tr r="K1246" s="2"/>
      </tp>
      <tp t="s">
        <v>#N/A N/A</v>
        <stp/>
        <stp>BDP|17964466557804678167</stp>
        <tr r="D496" s="2"/>
      </tp>
      <tp t="s">
        <v>#N/A N/A</v>
        <stp/>
        <stp>BDP|12816370175474054128</stp>
        <tr r="O104" s="2"/>
      </tp>
      <tp t="s">
        <v>#N/A N/A</v>
        <stp/>
        <stp>BDP|16789478555024899051</stp>
        <tr r="T1124" s="2"/>
      </tp>
      <tp t="s">
        <v>#N/A N/A</v>
        <stp/>
        <stp>BDS|16016746003994571696</stp>
        <tr r="I550" s="2"/>
      </tp>
      <tp t="s">
        <v>#N/A N/A</v>
        <stp/>
        <stp>BDP|12180885585194667524</stp>
        <tr r="G488" s="2"/>
      </tp>
      <tp t="s">
        <v>#N/A N/A</v>
        <stp/>
        <stp>BDP|17380746620736901767</stp>
        <tr r="H615" s="2"/>
      </tp>
      <tp t="s">
        <v>#N/A N/A</v>
        <stp/>
        <stp>BDP|12610555598879140426</stp>
        <tr r="A149" s="2"/>
      </tp>
      <tp t="s">
        <v>#N/A N/A</v>
        <stp/>
        <stp>BDP|10875606545905724427</stp>
        <tr r="J441" s="2"/>
      </tp>
      <tp t="s">
        <v>#N/A N/A</v>
        <stp/>
        <stp>BDP|13051308118837984590</stp>
        <tr r="K72" s="2"/>
      </tp>
      <tp t="s">
        <v>#N/A N/A</v>
        <stp/>
        <stp>BDP|12004119349217607366</stp>
        <tr r="A222" s="2"/>
      </tp>
      <tp t="s">
        <v>#N/A N/A</v>
        <stp/>
        <stp>BDP|12404619401901850648</stp>
        <tr r="M1244" s="2"/>
      </tp>
      <tp t="s">
        <v>#N/A N/A</v>
        <stp/>
        <stp>BDP|13578083545775987197</stp>
        <tr r="D195" s="2"/>
      </tp>
      <tp t="s">
        <v>#N/A N/A</v>
        <stp/>
        <stp>BDP|11329286702734071418</stp>
        <tr r="R1716" s="2"/>
      </tp>
      <tp t="s">
        <v>#N/A N/A</v>
        <stp/>
        <stp>BDP|11007516376793794384</stp>
        <tr r="A1208" s="2"/>
      </tp>
      <tp t="s">
        <v>#N/A N/A</v>
        <stp/>
        <stp>BDP|11674681665491491377</stp>
        <tr r="C1551" s="2"/>
      </tp>
      <tp t="s">
        <v>#N/A N/A</v>
        <stp/>
        <stp>BDP|16011505413297399683</stp>
        <tr r="C582" s="2"/>
      </tp>
      <tp t="s">
        <v>#N/A N/A</v>
        <stp/>
        <stp>BDP|12526271296903545992</stp>
        <tr r="N582" s="2"/>
      </tp>
      <tp t="s">
        <v>#N/A N/A</v>
        <stp/>
        <stp>BDP|15880731007252535314</stp>
        <tr r="Q1182" s="2"/>
      </tp>
      <tp t="s">
        <v>#N/A N/A</v>
        <stp/>
        <stp>BDP|10761390351227093271</stp>
        <tr r="K1629" s="2"/>
      </tp>
      <tp t="s">
        <v>#N/A N/A</v>
        <stp/>
        <stp>BDP|12129394532639035820</stp>
        <tr r="R1304" s="2"/>
      </tp>
      <tp t="s">
        <v>#N/A N/A</v>
        <stp/>
        <stp>BDS|13094644508820029674</stp>
        <tr r="I909" s="2"/>
      </tp>
      <tp t="s">
        <v>#N/A N/A</v>
        <stp/>
        <stp>BDP|18294449885385896239</stp>
        <tr r="O644" s="2"/>
      </tp>
      <tp t="s">
        <v>#N/A N/A</v>
        <stp/>
        <stp>BDP|15945442857704171334</stp>
        <tr r="T1096" s="2"/>
      </tp>
      <tp t="s">
        <v>#N/A N/A</v>
        <stp/>
        <stp>BDP|13326326968981268439</stp>
        <tr r="G1301" s="2"/>
      </tp>
      <tp t="s">
        <v>#N/A N/A</v>
        <stp/>
        <stp>BDP|16537019943870657195</stp>
        <tr r="C482" s="2"/>
      </tp>
      <tp t="s">
        <v>#N/A N/A</v>
        <stp/>
        <stp>BDP|11290179754762858410</stp>
        <tr r="S1572" s="2"/>
      </tp>
      <tp t="s">
        <v>#N/A N/A</v>
        <stp/>
        <stp>BDP|17068160049108433936</stp>
        <tr r="G1404" s="2"/>
      </tp>
      <tp t="s">
        <v>#N/A N/A</v>
        <stp/>
        <stp>BDP|12055320909624464677</stp>
        <tr r="S1733" s="2"/>
      </tp>
      <tp t="s">
        <v>#N/A N/A</v>
        <stp/>
        <stp>BDP|10423397016202103325</stp>
        <tr r="N1212" s="2"/>
      </tp>
      <tp t="s">
        <v>#N/A N/A</v>
        <stp/>
        <stp>BDP|13304572656122990238</stp>
        <tr r="N1074" s="2"/>
      </tp>
      <tp t="s">
        <v>#N/A N/A</v>
        <stp/>
        <stp>BDP|16971551901350172043</stp>
        <tr r="F1147" s="2"/>
      </tp>
      <tp t="s">
        <v>#N/A N/A</v>
        <stp/>
        <stp>BDP|16385174568133696125</stp>
        <tr r="T620" s="2"/>
      </tp>
      <tp t="s">
        <v>#N/A N/A</v>
        <stp/>
        <stp>BDP|16689867199130981486</stp>
        <tr r="T902" s="2"/>
      </tp>
      <tp t="s">
        <v>#N/A N/A</v>
        <stp/>
        <stp>BDP|12678811422588910345</stp>
        <tr r="K400" s="2"/>
      </tp>
      <tp t="s">
        <v>#N/A N/A</v>
        <stp/>
        <stp>BDP|16264010828137258015</stp>
        <tr r="E773" s="2"/>
      </tp>
      <tp t="s">
        <v>#N/A N/A</v>
        <stp/>
        <stp>BDP|10828716121463039504</stp>
        <tr r="S1612" s="2"/>
      </tp>
      <tp t="s">
        <v>#N/A N/A</v>
        <stp/>
        <stp>BDS|14086883003327775878</stp>
        <tr r="I751" s="2"/>
      </tp>
      <tp t="s">
        <v>#N/A N/A</v>
        <stp/>
        <stp>BDP|10533431998297021965</stp>
        <tr r="M7" s="2"/>
      </tp>
      <tp t="s">
        <v>#N/A N/A</v>
        <stp/>
        <stp>BDP|11136527679024423460</stp>
        <tr r="H497" s="2"/>
      </tp>
      <tp t="s">
        <v>#N/A N/A</v>
        <stp/>
        <stp>BDP|13055674429895269149</stp>
        <tr r="H1468" s="2"/>
      </tp>
      <tp t="s">
        <v>#N/A N/A</v>
        <stp/>
        <stp>BDP|12894786318150400748</stp>
        <tr r="O1495" s="2"/>
      </tp>
      <tp t="s">
        <v>#N/A N/A</v>
        <stp/>
        <stp>BDP|18053589794703299467</stp>
        <tr r="P1047" s="2"/>
      </tp>
      <tp t="s">
        <v>#N/A N/A</v>
        <stp/>
        <stp>BDP|15662510066485855012</stp>
        <tr r="D1658" s="2"/>
      </tp>
      <tp t="s">
        <v>#N/A N/A</v>
        <stp/>
        <stp>BDP|13827615256785533626</stp>
        <tr r="N681" s="2"/>
      </tp>
      <tp t="s">
        <v>#N/A N/A</v>
        <stp/>
        <stp>BDP|14942268420876014170</stp>
        <tr r="G274" s="2"/>
      </tp>
      <tp t="s">
        <v>#N/A N/A</v>
        <stp/>
        <stp>BDP|12031680830287041300</stp>
        <tr r="E1131" s="2"/>
      </tp>
      <tp t="s">
        <v>#N/A N/A</v>
        <stp/>
        <stp>BDP|12331127849625758172</stp>
        <tr r="S88" s="2"/>
      </tp>
      <tp t="s">
        <v>#N/A N/A</v>
        <stp/>
        <stp>BDP|13706965171027168997</stp>
        <tr r="Q1597" s="2"/>
      </tp>
      <tp t="s">
        <v>#N/A N/A</v>
        <stp/>
        <stp>BDP|16809087945211907041</stp>
        <tr r="C1173" s="2"/>
      </tp>
      <tp t="s">
        <v>#N/A N/A</v>
        <stp/>
        <stp>BDP|13910659257937552460</stp>
        <tr r="K793" s="2"/>
      </tp>
      <tp t="s">
        <v>#N/A N/A</v>
        <stp/>
        <stp>BDP|12272198400420038003</stp>
        <tr r="K113" s="2"/>
      </tp>
      <tp t="s">
        <v>#N/A N/A</v>
        <stp/>
        <stp>BDP|11172508319402695459</stp>
        <tr r="P889" s="2"/>
      </tp>
      <tp t="s">
        <v>#N/A N/A</v>
        <stp/>
        <stp>BDP|18345185884795747739</stp>
        <tr r="P782" s="2"/>
      </tp>
      <tp t="s">
        <v>#N/A N/A</v>
        <stp/>
        <stp>BDP|16011662170997460396</stp>
        <tr r="A850" s="2"/>
      </tp>
      <tp t="s">
        <v>#N/A N/A</v>
        <stp/>
        <stp>BDP|17721799451793665520</stp>
        <tr r="E1021" s="2"/>
      </tp>
      <tp t="s">
        <v>#N/A N/A</v>
        <stp/>
        <stp>BDP|14889486173491125592</stp>
        <tr r="K333" s="2"/>
      </tp>
      <tp t="s">
        <v>#N/A N/A</v>
        <stp/>
        <stp>BDP|12727483840887018641</stp>
        <tr r="N1516" s="2"/>
      </tp>
      <tp t="s">
        <v>#N/A N/A</v>
        <stp/>
        <stp>BDP|11866708750030314006</stp>
        <tr r="J87" s="2"/>
      </tp>
      <tp t="s">
        <v>#N/A N/A</v>
        <stp/>
        <stp>BDP|15749709229806049558</stp>
        <tr r="Q823" s="2"/>
      </tp>
      <tp t="s">
        <v>#N/A N/A</v>
        <stp/>
        <stp>BDP|17388005649458902881</stp>
        <tr r="C449" s="2"/>
      </tp>
      <tp t="s">
        <v>#N/A N/A</v>
        <stp/>
        <stp>BDP|14881324805596328273</stp>
        <tr r="G750" s="2"/>
      </tp>
      <tp t="s">
        <v>#N/A N/A</v>
        <stp/>
        <stp>BDP|13735635758983076076</stp>
        <tr r="J10" s="2"/>
      </tp>
      <tp t="s">
        <v>#N/A N/A</v>
        <stp/>
        <stp>BDP|10763541419421396624</stp>
        <tr r="F1420" s="2"/>
      </tp>
      <tp t="s">
        <v>#N/A N/A</v>
        <stp/>
        <stp>BDP|12325451699808708436</stp>
        <tr r="C1746" s="2"/>
      </tp>
      <tp t="s">
        <v>#N/A N/A</v>
        <stp/>
        <stp>BDP|11386756634033900503</stp>
        <tr r="E945" s="2"/>
      </tp>
      <tp t="s">
        <v>#N/A N/A</v>
        <stp/>
        <stp>BDP|12645192911296780720</stp>
        <tr r="A101" s="2"/>
      </tp>
      <tp t="s">
        <v>#N/A N/A</v>
        <stp/>
        <stp>BDP|10983556151703313054</stp>
        <tr r="M195" s="2"/>
      </tp>
      <tp t="s">
        <v>#N/A N/A</v>
        <stp/>
        <stp>BDP|17850066067976447462</stp>
        <tr r="T439" s="2"/>
      </tp>
      <tp t="s">
        <v>#N/A N/A</v>
        <stp/>
        <stp>BDP|11066021979640459548</stp>
        <tr r="O458" s="2"/>
      </tp>
      <tp t="s">
        <v>#N/A N/A</v>
        <stp/>
        <stp>BDP|15733211747581973133</stp>
        <tr r="T1299" s="2"/>
      </tp>
      <tp t="s">
        <v>#N/A N/A</v>
        <stp/>
        <stp>BDP|12082112446113993751</stp>
        <tr r="A957" s="2"/>
      </tp>
      <tp t="s">
        <v>#N/A N/A</v>
        <stp/>
        <stp>BDP|10291591526247791310</stp>
        <tr r="A1193" s="2"/>
      </tp>
      <tp t="s">
        <v>#N/A N/A</v>
        <stp/>
        <stp>BDP|11101585743823465058</stp>
        <tr r="C315" s="2"/>
      </tp>
      <tp t="s">
        <v>#N/A N/A</v>
        <stp/>
        <stp>BDP|15157317080615846833</stp>
        <tr r="D610" s="2"/>
      </tp>
      <tp t="s">
        <v>#N/A N/A</v>
        <stp/>
        <stp>BDP|11164624462764875621</stp>
        <tr r="S367" s="2"/>
      </tp>
      <tp t="s">
        <v>#N/A N/A</v>
        <stp/>
        <stp>BDP|15822422033176126731</stp>
        <tr r="O80" s="2"/>
      </tp>
      <tp t="s">
        <v>#N/A N/A</v>
        <stp/>
        <stp>BDP|16069125152875980422</stp>
        <tr r="C1109" s="2"/>
      </tp>
      <tp t="s">
        <v>#N/A N/A</v>
        <stp/>
        <stp>BDP|14570410970602601690</stp>
        <tr r="F202" s="2"/>
      </tp>
      <tp t="s">
        <v>#N/A N/A</v>
        <stp/>
        <stp>BDP|10117614645042841360</stp>
        <tr r="F116" s="2"/>
      </tp>
      <tp t="s">
        <v>#N/A N/A</v>
        <stp/>
        <stp>BDP|11568408129100276458</stp>
        <tr r="A1305" s="2"/>
      </tp>
      <tp t="s">
        <v>#N/A N/A</v>
        <stp/>
        <stp>BDP|13787671361269839928</stp>
        <tr r="K821" s="2"/>
      </tp>
      <tp t="s">
        <v>#N/A N/A</v>
        <stp/>
        <stp>BDP|15824507617360040242</stp>
        <tr r="N1406" s="2"/>
      </tp>
      <tp t="s">
        <v>#N/A N/A</v>
        <stp/>
        <stp>BDP|13289623438311188427</stp>
        <tr r="N1463" s="2"/>
      </tp>
      <tp t="s">
        <v>#N/A N/A</v>
        <stp/>
        <stp>BDS|11796690465475081732</stp>
        <tr r="I109" s="2"/>
      </tp>
      <tp t="s">
        <v>#N/A N/A</v>
        <stp/>
        <stp>BDP|11717676811187851224</stp>
        <tr r="M474" s="2"/>
      </tp>
      <tp t="s">
        <v>#N/A N/A</v>
        <stp/>
        <stp>BDP|10273740228225712323</stp>
        <tr r="O1135" s="2"/>
      </tp>
      <tp t="s">
        <v>#N/A N/A</v>
        <stp/>
        <stp>BDP|10947696540518360986</stp>
        <tr r="G668" s="2"/>
      </tp>
      <tp t="s">
        <v>#N/A N/A</v>
        <stp/>
        <stp>BDP|11310554727133266685</stp>
        <tr r="E235" s="2"/>
      </tp>
      <tp t="s">
        <v>#N/A N/A</v>
        <stp/>
        <stp>BDP|12541605058205764713</stp>
        <tr r="F1457" s="2"/>
      </tp>
      <tp t="s">
        <v>#N/A N/A</v>
        <stp/>
        <stp>BDP|14578728303987881778</stp>
        <tr r="T278" s="2"/>
      </tp>
      <tp t="s">
        <v>#N/A N/A</v>
        <stp/>
        <stp>BDP|16456820858011132943</stp>
        <tr r="Q1342" s="2"/>
      </tp>
      <tp t="s">
        <v>#N/A N/A</v>
        <stp/>
        <stp>BDP|15730681790128710137</stp>
        <tr r="S1712" s="2"/>
      </tp>
      <tp t="s">
        <v>#N/A N/A</v>
        <stp/>
        <stp>BDP|18129673708308279570</stp>
        <tr r="S1303" s="2"/>
      </tp>
      <tp t="s">
        <v>#N/A N/A</v>
        <stp/>
        <stp>BDS|11842044163271413536</stp>
        <tr r="I1180" s="2"/>
      </tp>
      <tp t="s">
        <v>#N/A N/A</v>
        <stp/>
        <stp>BDP|11454019814842834123</stp>
        <tr r="T148" s="2"/>
      </tp>
      <tp t="s">
        <v>#N/A N/A</v>
        <stp/>
        <stp>BDP|16743279137486946259</stp>
        <tr r="D1527" s="2"/>
      </tp>
      <tp t="s">
        <v>#N/A N/A</v>
        <stp/>
        <stp>BDP|14822122639456839303</stp>
        <tr r="H457" s="2"/>
      </tp>
      <tp t="s">
        <v>#N/A N/A</v>
        <stp/>
        <stp>BDP|12066068878833076555</stp>
        <tr r="M114" s="2"/>
      </tp>
      <tp t="s">
        <v>#N/A N/A</v>
        <stp/>
        <stp>BDP|14347957444203042991</stp>
        <tr r="M1665" s="2"/>
      </tp>
      <tp t="s">
        <v>#N/A N/A</v>
        <stp/>
        <stp>BDP|11561670949202018201</stp>
        <tr r="G702" s="2"/>
      </tp>
      <tp t="s">
        <v>#N/A N/A</v>
        <stp/>
        <stp>BDP|11401340359646475265</stp>
        <tr r="T363" s="2"/>
      </tp>
      <tp t="s">
        <v>#N/A N/A</v>
        <stp/>
        <stp>BDP|12193181143266467258</stp>
        <tr r="K1075" s="2"/>
      </tp>
      <tp t="s">
        <v>#N/A N/A</v>
        <stp/>
        <stp>BDP|13435199429047876479</stp>
        <tr r="S1252" s="2"/>
      </tp>
      <tp t="s">
        <v>#N/A N/A</v>
        <stp/>
        <stp>BDP|10489286510578661806</stp>
        <tr r="G675" s="2"/>
      </tp>
      <tp t="s">
        <v>#N/A N/A</v>
        <stp/>
        <stp>BDP|15945979991685773327</stp>
        <tr r="K1376" s="2"/>
      </tp>
      <tp t="s">
        <v>#N/A N/A</v>
        <stp/>
        <stp>BDP|12378108649731701572</stp>
        <tr r="S1688" s="2"/>
      </tp>
      <tp t="s">
        <v>#N/A N/A</v>
        <stp/>
        <stp>BDP|15968390113392169689</stp>
        <tr r="J1677" s="2"/>
      </tp>
      <tp t="s">
        <v>#N/A N/A</v>
        <stp/>
        <stp>BDP|16194554899001156862</stp>
        <tr r="R524" s="2"/>
      </tp>
      <tp t="s">
        <v>#N/A N/A</v>
        <stp/>
        <stp>BDP|13934207265407583332</stp>
        <tr r="N391" s="2"/>
      </tp>
      <tp t="s">
        <v>#N/A N/A</v>
        <stp/>
        <stp>BDP|17768541761263080484</stp>
        <tr r="O795" s="2"/>
      </tp>
      <tp t="s">
        <v>#N/A N/A</v>
        <stp/>
        <stp>BDP|12101129668435766362</stp>
        <tr r="S299" s="2"/>
      </tp>
      <tp t="s">
        <v>#N/A N/A</v>
        <stp/>
        <stp>BDP|11479628436057964031</stp>
        <tr r="R246" s="2"/>
      </tp>
      <tp t="s">
        <v>#N/A N/A</v>
        <stp/>
        <stp>BDP|14181948842829461396</stp>
        <tr r="A654" s="2"/>
      </tp>
      <tp t="s">
        <v>#N/A N/A</v>
        <stp/>
        <stp>BDP|12915924944898767423</stp>
        <tr r="C851" s="2"/>
      </tp>
      <tp t="s">
        <v>#N/A N/A</v>
        <stp/>
        <stp>BDP|10834225800990978197</stp>
        <tr r="M1029" s="2"/>
      </tp>
      <tp t="s">
        <v>#N/A N/A</v>
        <stp/>
        <stp>BDP|11385761723075922254</stp>
        <tr r="H228" s="2"/>
      </tp>
      <tp t="s">
        <v>#N/A N/A</v>
        <stp/>
        <stp>BDP|11110739263874293796</stp>
        <tr r="N1283" s="2"/>
      </tp>
      <tp t="s">
        <v>#N/A N/A</v>
        <stp/>
        <stp>BDP|14776976002708182690</stp>
        <tr r="D1172" s="2"/>
      </tp>
      <tp t="s">
        <v>#N/A N/A</v>
        <stp/>
        <stp>BDP|13710417747956343685</stp>
        <tr r="D796" s="2"/>
      </tp>
      <tp t="s">
        <v>#N/A N/A</v>
        <stp/>
        <stp>BDP|17117885664508291256</stp>
        <tr r="H1427" s="2"/>
      </tp>
      <tp t="s">
        <v>#N/A N/A</v>
        <stp/>
        <stp>BDS|11642573229166829399</stp>
        <tr r="I1157" s="2"/>
      </tp>
      <tp t="s">
        <v>#N/A N/A</v>
        <stp/>
        <stp>BDS|13552276727951467181</stp>
        <tr r="I728" s="2"/>
      </tp>
      <tp t="s">
        <v>#N/A N/A</v>
        <stp/>
        <stp>BDP|10355262020837606492</stp>
        <tr r="N1433" s="2"/>
      </tp>
      <tp t="s">
        <v>#N/A N/A</v>
        <stp/>
        <stp>BDP|14968839783665039237</stp>
        <tr r="E636" s="2"/>
      </tp>
      <tp t="s">
        <v>#N/A N/A</v>
        <stp/>
        <stp>BDS|13492673473442151386</stp>
        <tr r="I39" s="2"/>
      </tp>
      <tp t="s">
        <v>#N/A N/A</v>
        <stp/>
        <stp>BDP|12559323245572080487</stp>
        <tr r="G947" s="2"/>
      </tp>
      <tp t="s">
        <v>#N/A N/A</v>
        <stp/>
        <stp>BDP|15559206775422982133</stp>
        <tr r="D30" s="2"/>
      </tp>
      <tp t="s">
        <v>#N/A N/A</v>
        <stp/>
        <stp>BDP|17249195853444185431</stp>
        <tr r="M147" s="2"/>
      </tp>
      <tp t="s">
        <v>#N/A N/A</v>
        <stp/>
        <stp>BDP|11993713275882770006</stp>
        <tr r="T499" s="2"/>
      </tp>
      <tp t="s">
        <v>#N/A N/A</v>
        <stp/>
        <stp>BDP|16205737827185520597</stp>
        <tr r="G955" s="2"/>
      </tp>
      <tp t="s">
        <v>#N/A N/A</v>
        <stp/>
        <stp>BDP|15750557068266951396</stp>
        <tr r="E153" s="2"/>
      </tp>
      <tp t="s">
        <v>#N/A N/A</v>
        <stp/>
        <stp>BDP|10551571882278866622</stp>
        <tr r="G257" s="2"/>
      </tp>
      <tp t="s">
        <v>#N/A N/A</v>
        <stp/>
        <stp>BDP|14617036441795852667</stp>
        <tr r="E1559" s="2"/>
      </tp>
      <tp t="s">
        <v>#N/A N/A</v>
        <stp/>
        <stp>BDP|13544767613315808322</stp>
        <tr r="A1652" s="2"/>
      </tp>
      <tp t="s">
        <v>#N/A N/A</v>
        <stp/>
        <stp>BDP|14329985876020329947</stp>
        <tr r="O147" s="2"/>
      </tp>
      <tp t="s">
        <v>#N/A N/A</v>
        <stp/>
        <stp>BDP|10873322436255646601</stp>
        <tr r="H1252" s="2"/>
      </tp>
      <tp t="s">
        <v>#N/A N/A</v>
        <stp/>
        <stp>BDP|15782755456320787494</stp>
        <tr r="Q1238" s="2"/>
      </tp>
      <tp t="s">
        <v>#N/A N/A</v>
        <stp/>
        <stp>BDP|11464917077355803900</stp>
        <tr r="P147" s="2"/>
      </tp>
      <tp t="s">
        <v>#N/A N/A</v>
        <stp/>
        <stp>BDP|12333133334222846167</stp>
        <tr r="J1442" s="2"/>
      </tp>
      <tp t="s">
        <v>#N/A N/A</v>
        <stp/>
        <stp>BDP|15105079077949275896</stp>
        <tr r="A293" s="2"/>
      </tp>
      <tp t="s">
        <v>#N/A N/A</v>
        <stp/>
        <stp>BDP|17813020701473505744</stp>
        <tr r="F569" s="2"/>
      </tp>
      <tp t="s">
        <v>#N/A N/A</v>
        <stp/>
        <stp>BDP|17935733710765072701</stp>
        <tr r="H801" s="2"/>
      </tp>
      <tp t="s">
        <v>#N/A N/A</v>
        <stp/>
        <stp>BDP|18172264598242545204</stp>
        <tr r="R196" s="2"/>
      </tp>
      <tp t="s">
        <v>#N/A N/A</v>
        <stp/>
        <stp>BDP|17766751824347403684</stp>
        <tr r="G350" s="2"/>
      </tp>
      <tp t="s">
        <v>#N/A N/A</v>
        <stp/>
        <stp>BDP|17635385360392377372</stp>
        <tr r="T712" s="2"/>
      </tp>
      <tp t="s">
        <v>#N/A N/A</v>
        <stp/>
        <stp>BDP|10015398545885262140</stp>
        <tr r="F74" s="2"/>
      </tp>
      <tp t="s">
        <v>#N/A N/A</v>
        <stp/>
        <stp>BDP|14566040236275854156</stp>
        <tr r="N108" s="2"/>
      </tp>
      <tp t="s">
        <v>#N/A N/A</v>
        <stp/>
        <stp>BDP|10023703419056634355</stp>
        <tr r="J1121" s="2"/>
      </tp>
      <tp t="s">
        <v>#N/A N/A</v>
        <stp/>
        <stp>BDP|15000018966568486893</stp>
        <tr r="H902" s="2"/>
      </tp>
      <tp t="s">
        <v>#N/A N/A</v>
        <stp/>
        <stp>BDP|12962943265796533877</stp>
        <tr r="J85" s="2"/>
      </tp>
      <tp t="s">
        <v>#N/A N/A</v>
        <stp/>
        <stp>BDP|13178085711198127934</stp>
        <tr r="C861" s="2"/>
      </tp>
      <tp t="s">
        <v>#N/A N/A</v>
        <stp/>
        <stp>BDP|13974943122958201378</stp>
        <tr r="A1242" s="2"/>
      </tp>
      <tp t="s">
        <v>#N/A N/A</v>
        <stp/>
        <stp>BDP|15500695616650472141</stp>
        <tr r="E206" s="2"/>
      </tp>
      <tp t="s">
        <v>#N/A N/A</v>
        <stp/>
        <stp>BDP|18097712981116262288</stp>
        <tr r="Q1643" s="2"/>
      </tp>
      <tp t="s">
        <v>#N/A N/A</v>
        <stp/>
        <stp>BDP|13441127195399055191</stp>
        <tr r="S714" s="2"/>
      </tp>
      <tp t="s">
        <v>#N/A N/A</v>
        <stp/>
        <stp>BDP|16182723318796714569</stp>
        <tr r="C423" s="2"/>
      </tp>
      <tp t="s">
        <v>#N/A N/A</v>
        <stp/>
        <stp>BDP|17705854265068405290</stp>
        <tr r="C1066" s="2"/>
      </tp>
      <tp t="s">
        <v>#N/A N/A</v>
        <stp/>
        <stp>BDP|16948076727692491579</stp>
        <tr r="H616" s="2"/>
      </tp>
      <tp t="s">
        <v>#N/A N/A</v>
        <stp/>
        <stp>BDP|12224106807620958063</stp>
        <tr r="A1294" s="2"/>
      </tp>
      <tp t="s">
        <v>#N/A N/A</v>
        <stp/>
        <stp>BDP|15555122007501273681</stp>
        <tr r="S1161" s="2"/>
      </tp>
      <tp t="s">
        <v>#N/A N/A</v>
        <stp/>
        <stp>BDP|10539597792917444872</stp>
        <tr r="C337" s="2"/>
      </tp>
      <tp t="s">
        <v>#N/A N/A</v>
        <stp/>
        <stp>BDS|12707223358557440179</stp>
        <tr r="I1259" s="2"/>
      </tp>
      <tp t="s">
        <v>#N/A N/A</v>
        <stp/>
        <stp>BDP|15649025435172827748</stp>
        <tr r="N1650" s="2"/>
      </tp>
      <tp t="s">
        <v>#N/A N/A</v>
        <stp/>
        <stp>BDP|11870459776040302154</stp>
        <tr r="C1628" s="2"/>
      </tp>
      <tp t="s">
        <v>#N/A N/A</v>
        <stp/>
        <stp>BDP|12237411311915885179</stp>
        <tr r="J1368" s="2"/>
      </tp>
      <tp t="s">
        <v>#N/A N/A</v>
        <stp/>
        <stp>BDP|13488378450043687581</stp>
        <tr r="N433" s="2"/>
      </tp>
      <tp t="s">
        <v>#N/A N/A</v>
        <stp/>
        <stp>BDP|15854666763540689667</stp>
        <tr r="K760" s="2"/>
      </tp>
      <tp t="s">
        <v>#N/A N/A</v>
        <stp/>
        <stp>BDP|10020643563487896425</stp>
        <tr r="H405" s="2"/>
      </tp>
      <tp t="s">
        <v>#N/A N/A</v>
        <stp/>
        <stp>BDP|16776546010977961677</stp>
        <tr r="A973" s="2"/>
      </tp>
      <tp t="s">
        <v>#N/A N/A</v>
        <stp/>
        <stp>BDS|14606361339472642518</stp>
        <tr r="I224" s="2"/>
      </tp>
      <tp t="s">
        <v>#N/A N/A</v>
        <stp/>
        <stp>BDP|18409231145834808970</stp>
        <tr r="K1110" s="2"/>
      </tp>
      <tp t="s">
        <v>#N/A N/A</v>
        <stp/>
        <stp>BDP|14505580621293832399</stp>
        <tr r="R334" s="2"/>
      </tp>
      <tp t="s">
        <v>#N/A N/A</v>
        <stp/>
        <stp>BDP|10897686627035258282</stp>
        <tr r="E1144" s="2"/>
      </tp>
      <tp t="s">
        <v>#N/A N/A</v>
        <stp/>
        <stp>BDP|12793890886320729120</stp>
        <tr r="F818" s="2"/>
      </tp>
      <tp t="s">
        <v>#N/A N/A</v>
        <stp/>
        <stp>BDP|10557432468822099339</stp>
        <tr r="P71" s="2"/>
      </tp>
      <tp t="s">
        <v>#N/A N/A</v>
        <stp/>
        <stp>BDP|11274026120751495190</stp>
        <tr r="D1326" s="2"/>
      </tp>
      <tp t="s">
        <v>#N/A N/A</v>
        <stp/>
        <stp>BDP|13275588770617513527</stp>
        <tr r="E78" s="2"/>
      </tp>
      <tp t="s">
        <v>#N/A N/A</v>
        <stp/>
        <stp>BDS|11953570685796054959</stp>
        <tr r="I1125" s="2"/>
      </tp>
      <tp t="s">
        <v>#N/A N/A</v>
        <stp/>
        <stp>BDP|16721536662572875438</stp>
        <tr r="E392" s="2"/>
      </tp>
      <tp t="s">
        <v>#N/A N/A</v>
        <stp/>
        <stp>BDP|12560779060524932467</stp>
        <tr r="C774" s="2"/>
      </tp>
      <tp t="s">
        <v>#N/A N/A</v>
        <stp/>
        <stp>BDP|13885413127921686754</stp>
        <tr r="G762" s="2"/>
      </tp>
      <tp t="s">
        <v>#N/A N/A</v>
        <stp/>
        <stp>BDP|17253182446830494158</stp>
        <tr r="K1015" s="2"/>
      </tp>
      <tp t="s">
        <v>#N/A N/A</v>
        <stp/>
        <stp>BDP|13622913842278095587</stp>
        <tr r="J310" s="2"/>
      </tp>
      <tp t="s">
        <v>#N/A N/A</v>
        <stp/>
        <stp>BDP|18377217143919904454</stp>
        <tr r="O131" s="2"/>
      </tp>
      <tp t="s">
        <v>#N/A N/A</v>
        <stp/>
        <stp>BDP|11574098736484232554</stp>
        <tr r="J239" s="2"/>
      </tp>
      <tp t="s">
        <v>#N/A N/A</v>
        <stp/>
        <stp>BDP|17572146366811236286</stp>
        <tr r="E830" s="2"/>
      </tp>
      <tp t="s">
        <v>#N/A N/A</v>
        <stp/>
        <stp>BDP|11975756667960128379</stp>
        <tr r="M698" s="2"/>
      </tp>
      <tp t="s">
        <v>#N/A N/A</v>
        <stp/>
        <stp>BDP|16631774654120168793</stp>
        <tr r="H333" s="2"/>
      </tp>
      <tp t="s">
        <v>#N/A N/A</v>
        <stp/>
        <stp>BDP|11948390024375936607</stp>
        <tr r="R391" s="2"/>
      </tp>
      <tp t="s">
        <v>#N/A N/A</v>
        <stp/>
        <stp>BDP|17960695487173250984</stp>
        <tr r="N512" s="2"/>
      </tp>
      <tp t="s">
        <v>#N/A N/A</v>
        <stp/>
        <stp>BDP|12646321045592863444</stp>
        <tr r="N700" s="2"/>
      </tp>
      <tp t="s">
        <v>#N/A N/A</v>
        <stp/>
        <stp>BDP|15951958265098066149</stp>
        <tr r="R525" s="2"/>
      </tp>
      <tp t="s">
        <v>#N/A N/A</v>
        <stp/>
        <stp>BDP|12766371908487018550</stp>
        <tr r="G342" s="2"/>
      </tp>
      <tp t="s">
        <v>#N/A N/A</v>
        <stp/>
        <stp>BDP|13111453958468345920</stp>
        <tr r="S518" s="2"/>
      </tp>
      <tp t="s">
        <v>#N/A N/A</v>
        <stp/>
        <stp>BDP|12065090837544363607</stp>
        <tr r="R843" s="2"/>
      </tp>
      <tp t="s">
        <v>#N/A N/A</v>
        <stp/>
        <stp>BDP|15456283576676330541</stp>
        <tr r="P1276" s="2"/>
      </tp>
      <tp t="s">
        <v>#N/A N/A</v>
        <stp/>
        <stp>BDP|16237331769507616734</stp>
        <tr r="C1663" s="2"/>
      </tp>
      <tp t="s">
        <v>#N/A N/A</v>
        <stp/>
        <stp>BDP|16050400159287148351</stp>
        <tr r="F1373" s="2"/>
      </tp>
      <tp t="s">
        <v>#N/A N/A</v>
        <stp/>
        <stp>BDP|13375782210736034063</stp>
        <tr r="T1173" s="2"/>
      </tp>
      <tp t="s">
        <v>#N/A N/A</v>
        <stp/>
        <stp>BDP|12684890821353225818</stp>
        <tr r="O1754" s="2"/>
      </tp>
      <tp t="s">
        <v>#N/A N/A</v>
        <stp/>
        <stp>BDP|14635347253887996654</stp>
        <tr r="M1153" s="2"/>
      </tp>
      <tp t="s">
        <v>#N/A N/A</v>
        <stp/>
        <stp>BDP|11454900212683225990</stp>
        <tr r="E1026" s="2"/>
      </tp>
      <tp t="s">
        <v>#N/A N/A</v>
        <stp/>
        <stp>BDP|18385614110194944869</stp>
        <tr r="G705" s="2"/>
      </tp>
      <tp t="s">
        <v>#N/A N/A</v>
        <stp/>
        <stp>BDP|17277133109464244174</stp>
        <tr r="Q865" s="2"/>
      </tp>
      <tp t="s">
        <v>#N/A N/A</v>
        <stp/>
        <stp>BDP|18191873534737753788</stp>
        <tr r="E117" s="2"/>
      </tp>
      <tp t="s">
        <v>#N/A N/A</v>
        <stp/>
        <stp>BDP|15323652140290319483</stp>
        <tr r="T1421" s="2"/>
      </tp>
      <tp t="s">
        <v>#N/A N/A</v>
        <stp/>
        <stp>BDP|11834512793388370642</stp>
        <tr r="A752" s="2"/>
      </tp>
      <tp t="s">
        <v>#N/A N/A</v>
        <stp/>
        <stp>BDP|13118298691538286363</stp>
        <tr r="F294" s="2"/>
      </tp>
      <tp t="s">
        <v>#N/A N/A</v>
        <stp/>
        <stp>BDP|16853400117377192738</stp>
        <tr r="D1639" s="2"/>
      </tp>
      <tp t="s">
        <v>#N/A N/A</v>
        <stp/>
        <stp>BDP|12936625375317711742</stp>
        <tr r="S700" s="2"/>
      </tp>
      <tp t="s">
        <v>#N/A N/A</v>
        <stp/>
        <stp>BDP|14080751548702012609</stp>
        <tr r="H484" s="2"/>
      </tp>
      <tp t="s">
        <v>#N/A N/A</v>
        <stp/>
        <stp>BDP|10610085723188059906</stp>
        <tr r="D70" s="2"/>
      </tp>
      <tp t="s">
        <v>#N/A N/A</v>
        <stp/>
        <stp>BDP|12916739609736989072</stp>
        <tr r="Q1229" s="2"/>
      </tp>
      <tp t="s">
        <v>#N/A N/A</v>
        <stp/>
        <stp>BDP|16839748023989215906</stp>
        <tr r="R696" s="2"/>
      </tp>
      <tp t="s">
        <v>#N/A N/A</v>
        <stp/>
        <stp>BDP|18215159840148887625</stp>
        <tr r="H1608" s="2"/>
      </tp>
      <tp t="s">
        <v>#N/A N/A</v>
        <stp/>
        <stp>BDP|16751333591308120793</stp>
        <tr r="T634" s="2"/>
      </tp>
      <tp t="s">
        <v>#N/A N/A</v>
        <stp/>
        <stp>BDP|12653324838407264628</stp>
        <tr r="A1519" s="2"/>
      </tp>
      <tp t="s">
        <v>#N/A N/A</v>
        <stp/>
        <stp>BDP|10779619684438622583</stp>
        <tr r="E844" s="2"/>
      </tp>
      <tp t="s">
        <v>#N/A N/A</v>
        <stp/>
        <stp>BDP|12655774496869921621</stp>
        <tr r="A228" s="2"/>
      </tp>
      <tp t="s">
        <v>#N/A N/A</v>
        <stp/>
        <stp>BDP|17972004302761787506</stp>
        <tr r="R907" s="2"/>
      </tp>
      <tp t="s">
        <v>#N/A N/A</v>
        <stp/>
        <stp>BDP|12980276820514637541</stp>
        <tr r="F1526" s="2"/>
      </tp>
      <tp t="s">
        <v>#N/A N/A</v>
        <stp/>
        <stp>BDP|16894392538270041554</stp>
        <tr r="Q623" s="2"/>
      </tp>
      <tp t="s">
        <v>#N/A N/A</v>
        <stp/>
        <stp>BDP|17870763750447694140</stp>
        <tr r="O1482" s="2"/>
      </tp>
      <tp t="s">
        <v>#N/A N/A</v>
        <stp/>
        <stp>BDP|12510888599560155090</stp>
        <tr r="H126" s="2"/>
      </tp>
      <tp t="s">
        <v>#N/A N/A</v>
        <stp/>
        <stp>BDS|15989473622972599262</stp>
        <tr r="I1012" s="2"/>
      </tp>
      <tp t="s">
        <v>#N/A N/A</v>
        <stp/>
        <stp>BDP|13033711972661781184</stp>
        <tr r="J1187" s="2"/>
      </tp>
      <tp t="s">
        <v>#N/A N/A</v>
        <stp/>
        <stp>BDP|15146358812246272281</stp>
        <tr r="P738" s="2"/>
      </tp>
      <tp t="s">
        <v>#N/A N/A</v>
        <stp/>
        <stp>BDP|13893562951956438679</stp>
        <tr r="K22" s="2"/>
      </tp>
      <tp t="s">
        <v>#N/A N/A</v>
        <stp/>
        <stp>BDP|16743126522061827738</stp>
        <tr r="N345" s="2"/>
      </tp>
      <tp t="s">
        <v>#N/A N/A</v>
        <stp/>
        <stp>BDP|11582248687660394897</stp>
        <tr r="G1666" s="2"/>
      </tp>
      <tp t="s">
        <v>#N/A N/A</v>
        <stp/>
        <stp>BDS|11294024425217942733</stp>
        <tr r="I1213" s="2"/>
      </tp>
      <tp t="s">
        <v>#N/A N/A</v>
        <stp/>
        <stp>BDP|12304081506891467050</stp>
        <tr r="O1393" s="2"/>
      </tp>
      <tp t="s">
        <v>#N/A N/A</v>
        <stp/>
        <stp>BDP|16450321706876514092</stp>
        <tr r="S1479" s="2"/>
      </tp>
      <tp t="s">
        <v>#N/A N/A</v>
        <stp/>
        <stp>BDP|16778683019363296183</stp>
        <tr r="C1656" s="2"/>
      </tp>
      <tp t="s">
        <v>#N/A N/A</v>
        <stp/>
        <stp>BDP|15986420910666432530</stp>
        <tr r="D946" s="2"/>
      </tp>
      <tp t="s">
        <v>#N/A N/A</v>
        <stp/>
        <stp>BDP|12608598333205421245</stp>
        <tr r="F474" s="2"/>
      </tp>
      <tp t="s">
        <v>#N/A N/A</v>
        <stp/>
        <stp>BDP|13954018616105311410</stp>
        <tr r="C1385" s="2"/>
      </tp>
      <tp t="s">
        <v>#N/A N/A</v>
        <stp/>
        <stp>BDP|16069798448117473194</stp>
        <tr r="G557" s="2"/>
      </tp>
      <tp t="s">
        <v>#N/A N/A</v>
        <stp/>
        <stp>BDP|16364238969800782122</stp>
        <tr r="N984" s="2"/>
      </tp>
      <tp t="s">
        <v>#N/A N/A</v>
        <stp/>
        <stp>BDP|13028369025360968162</stp>
        <tr r="N1195" s="2"/>
      </tp>
      <tp t="s">
        <v>#N/A N/A</v>
        <stp/>
        <stp>BDP|10442246918409207965</stp>
        <tr r="M1702" s="2"/>
      </tp>
      <tp t="s">
        <v>#N/A N/A</v>
        <stp/>
        <stp>BDP|16867592217180354193</stp>
        <tr r="O664" s="2"/>
      </tp>
      <tp t="s">
        <v>#N/A N/A</v>
        <stp/>
        <stp>BDP|16324287352246769422</stp>
        <tr r="S1657" s="2"/>
      </tp>
      <tp t="s">
        <v>#N/A N/A</v>
        <stp/>
        <stp>BDP|10692305111350383184</stp>
        <tr r="J717" s="2"/>
      </tp>
      <tp t="s">
        <v>#N/A N/A</v>
        <stp/>
        <stp>BDP|10194850925039532088</stp>
        <tr r="Q146" s="2"/>
      </tp>
      <tp t="s">
        <v>#N/A N/A</v>
        <stp/>
        <stp>BDP|17782191717771548508</stp>
        <tr r="S1146" s="2"/>
      </tp>
      <tp t="s">
        <v>#N/A N/A</v>
        <stp/>
        <stp>BDP|11925017014255855680</stp>
        <tr r="P1431" s="2"/>
      </tp>
      <tp t="s">
        <v>#N/A N/A</v>
        <stp/>
        <stp>BDP|12976620064735412473</stp>
        <tr r="Q1293" s="2"/>
      </tp>
      <tp t="s">
        <v>#N/A N/A</v>
        <stp/>
        <stp>BDP|15843537946991505648</stp>
        <tr r="J1600" s="2"/>
      </tp>
      <tp t="s">
        <v>#N/A N/A</v>
        <stp/>
        <stp>BDP|17151832792302877741</stp>
        <tr r="J280" s="2"/>
      </tp>
      <tp t="s">
        <v>#N/A N/A</v>
        <stp/>
        <stp>BDP|14560416757496610095</stp>
        <tr r="H1638" s="2"/>
      </tp>
      <tp t="s">
        <v>#N/A N/A</v>
        <stp/>
        <stp>BDP|11941787000634429197</stp>
        <tr r="O1021" s="2"/>
      </tp>
      <tp t="s">
        <v>#N/A N/A</v>
        <stp/>
        <stp>BDP|12489714627794890062</stp>
        <tr r="K1490" s="2"/>
      </tp>
      <tp t="s">
        <v>#N/A N/A</v>
        <stp/>
        <stp>BDP|12035438874012851039</stp>
        <tr r="G738" s="2"/>
      </tp>
      <tp t="s">
        <v>#N/A N/A</v>
        <stp/>
        <stp>BDP|16294904829436062878</stp>
        <tr r="G1586" s="2"/>
      </tp>
      <tp t="s">
        <v>#N/A N/A</v>
        <stp/>
        <stp>BDP|10506426128015010030</stp>
        <tr r="T640" s="2"/>
      </tp>
      <tp t="s">
        <v>#N/A N/A</v>
        <stp/>
        <stp>BDP|13940171693370317820</stp>
        <tr r="J962" s="2"/>
      </tp>
      <tp t="s">
        <v>#N/A N/A</v>
        <stp/>
        <stp>BDP|15414488532764011529</stp>
        <tr r="H1263" s="2"/>
      </tp>
      <tp t="s">
        <v>#N/A N/A</v>
        <stp/>
        <stp>BDP|13507308458815310327</stp>
        <tr r="S903" s="2"/>
      </tp>
      <tp t="s">
        <v>#N/A N/A</v>
        <stp/>
        <stp>BDP|13516593822994589376</stp>
        <tr r="K663" s="2"/>
      </tp>
      <tp t="s">
        <v>#N/A N/A</v>
        <stp/>
        <stp>BDP|16330497874925004328</stp>
        <tr r="E10" s="2"/>
      </tp>
      <tp t="s">
        <v>#N/A N/A</v>
        <stp/>
        <stp>BDP|16458402618346983699</stp>
        <tr r="Q962" s="2"/>
      </tp>
      <tp t="s">
        <v>#N/A N/A</v>
        <stp/>
        <stp>BDP|16501831908038370513</stp>
        <tr r="C1501" s="2"/>
      </tp>
      <tp t="s">
        <v>#N/A N/A</v>
        <stp/>
        <stp>BDP|13850464560310450262</stp>
        <tr r="J106" s="2"/>
      </tp>
      <tp t="s">
        <v>#N/A N/A</v>
        <stp/>
        <stp>BDP|12159904709691721930</stp>
        <tr r="M1034" s="2"/>
      </tp>
      <tp t="s">
        <v>#N/A N/A</v>
        <stp/>
        <stp>BDP|16470802886205658087</stp>
        <tr r="D181" s="2"/>
      </tp>
      <tp t="s">
        <v>#N/A N/A</v>
        <stp/>
        <stp>BDP|11160548274946579684</stp>
        <tr r="C867" s="2"/>
      </tp>
      <tp t="s">
        <v>#N/A N/A</v>
        <stp/>
        <stp>BDP|14371523038469238877</stp>
        <tr r="P184" s="2"/>
      </tp>
      <tp t="s">
        <v>#N/A N/A</v>
        <stp/>
        <stp>BDS|11828212177712806593</stp>
        <tr r="I547" s="2"/>
      </tp>
      <tp t="s">
        <v>#N/A N/A</v>
        <stp/>
        <stp>BDP|14980510156827240000</stp>
        <tr r="F428" s="2"/>
      </tp>
      <tp t="s">
        <v>#N/A N/A</v>
        <stp/>
        <stp>BDP|14595677843706624380</stp>
        <tr r="T9" s="2"/>
      </tp>
      <tp t="s">
        <v>#N/A N/A</v>
        <stp/>
        <stp>BDP|17693212359320515342</stp>
        <tr r="N838" s="2"/>
      </tp>
      <tp t="s">
        <v>#N/A N/A</v>
        <stp/>
        <stp>BDP|14298618647997865235</stp>
        <tr r="H693" s="2"/>
      </tp>
      <tp t="s">
        <v>#N/A N/A</v>
        <stp/>
        <stp>BDP|14119167328515991190</stp>
        <tr r="R345" s="2"/>
      </tp>
      <tp t="s">
        <v>#N/A N/A</v>
        <stp/>
        <stp>BDP|15287697019656535780</stp>
        <tr r="E430" s="2"/>
      </tp>
      <tp t="s">
        <v>#N/A N/A</v>
        <stp/>
        <stp>BDS|15394736012568825862</stp>
        <tr r="I1279" s="2"/>
      </tp>
      <tp t="s">
        <v>#N/A N/A</v>
        <stp/>
        <stp>BDP|14463067576858925821</stp>
        <tr r="H1452" s="2"/>
      </tp>
      <tp t="s">
        <v>#N/A N/A</v>
        <stp/>
        <stp>BDP|11222680458839446894</stp>
        <tr r="K293" s="2"/>
      </tp>
      <tp t="s">
        <v>#N/A N/A</v>
        <stp/>
        <stp>BDP|14098207411370648483</stp>
        <tr r="D600" s="2"/>
      </tp>
      <tp t="s">
        <v>#N/A N/A</v>
        <stp/>
        <stp>BDP|10483585283009713776</stp>
        <tr r="H1235" s="2"/>
      </tp>
      <tp t="s">
        <v>#N/A N/A</v>
        <stp/>
        <stp>BDP|14299262688654126926</stp>
        <tr r="M629" s="2"/>
      </tp>
      <tp t="s">
        <v>#N/A N/A</v>
        <stp/>
        <stp>BDP|17257599732684337650</stp>
        <tr r="P153" s="2"/>
      </tp>
      <tp t="s">
        <v>#N/A N/A</v>
        <stp/>
        <stp>BDP|13400489517391458406</stp>
        <tr r="O1180" s="2"/>
      </tp>
      <tp t="s">
        <v>#N/A N/A</v>
        <stp/>
        <stp>BDP|15165305810692782694</stp>
        <tr r="K1028" s="2"/>
      </tp>
      <tp t="s">
        <v>#N/A N/A</v>
        <stp/>
        <stp>BDP|15220526069092349759</stp>
        <tr r="H187" s="2"/>
      </tp>
      <tp t="s">
        <v>#N/A N/A</v>
        <stp/>
        <stp>BDP|16134099663682525116</stp>
        <tr r="M117" s="2"/>
      </tp>
      <tp t="s">
        <v>#N/A N/A</v>
        <stp/>
        <stp>BDP|17435117535006896075</stp>
        <tr r="P127" s="2"/>
      </tp>
      <tp t="s">
        <v>#N/A N/A</v>
        <stp/>
        <stp>BDP|16653566522437898551</stp>
        <tr r="O1516" s="2"/>
      </tp>
      <tp t="s">
        <v>#N/A N/A</v>
        <stp/>
        <stp>BDP|12259696435930250430</stp>
        <tr r="K1073" s="2"/>
      </tp>
      <tp t="s">
        <v>#N/A N/A</v>
        <stp/>
        <stp>BDP|12068413315793951728</stp>
        <tr r="C961" s="2"/>
      </tp>
      <tp t="s">
        <v>#N/A N/A</v>
        <stp/>
        <stp>BDP|11019699529887780186</stp>
        <tr r="A1389" s="2"/>
      </tp>
      <tp t="s">
        <v>#N/A N/A</v>
        <stp/>
        <stp>BDP|10345409248204651724</stp>
        <tr r="R1421" s="2"/>
      </tp>
      <tp t="s">
        <v>#N/A N/A</v>
        <stp/>
        <stp>BDP|14883295197599818517</stp>
        <tr r="S1358" s="2"/>
      </tp>
      <tp t="s">
        <v>#N/A N/A</v>
        <stp/>
        <stp>BDS|11389258336370581396</stp>
        <tr r="I81" s="2"/>
      </tp>
      <tp t="s">
        <v>#N/A N/A</v>
        <stp/>
        <stp>BDP|15480990070138128036</stp>
        <tr r="P1369" s="2"/>
      </tp>
      <tp t="s">
        <v>#N/A N/A</v>
        <stp/>
        <stp>BDP|10782955098825780620</stp>
        <tr r="H1444" s="2"/>
      </tp>
      <tp t="s">
        <v>#N/A N/A</v>
        <stp/>
        <stp>BDP|13024599199205619994</stp>
        <tr r="R8" s="2"/>
      </tp>
      <tp t="s">
        <v>#N/A N/A</v>
        <stp/>
        <stp>BDP|14008710461103952568</stp>
        <tr r="P537" s="2"/>
      </tp>
      <tp t="s">
        <v>#N/A N/A</v>
        <stp/>
        <stp>BDP|17869856032246187916</stp>
        <tr r="Q90" s="2"/>
      </tp>
      <tp t="s">
        <v>#N/A N/A</v>
        <stp/>
        <stp>BDP|16739896854960383868</stp>
        <tr r="J1670" s="2"/>
      </tp>
      <tp t="s">
        <v>#N/A N/A</v>
        <stp/>
        <stp>BDP|10228276109230336106</stp>
        <tr r="E857" s="2"/>
      </tp>
      <tp t="s">
        <v>#N/A N/A</v>
        <stp/>
        <stp>BDP|16219180360495045752</stp>
        <tr r="R1174" s="2"/>
      </tp>
      <tp t="s">
        <v>#N/A N/A</v>
        <stp/>
        <stp>BDP|17082445609956520675</stp>
        <tr r="M1359" s="2"/>
      </tp>
      <tp t="s">
        <v>#N/A N/A</v>
        <stp/>
        <stp>BDP|17615791823140039131</stp>
        <tr r="M1323" s="2"/>
      </tp>
      <tp t="s">
        <v>#N/A N/A</v>
        <stp/>
        <stp>BDP|13904682850064968777</stp>
        <tr r="D1140" s="2"/>
      </tp>
      <tp t="s">
        <v>#N/A N/A</v>
        <stp/>
        <stp>BDP|15992083563195497590</stp>
        <tr r="F456" s="2"/>
      </tp>
      <tp t="s">
        <v>#N/A N/A</v>
        <stp/>
        <stp>BDS|11071592683068739714</stp>
        <tr r="I1089" s="2"/>
      </tp>
      <tp t="s">
        <v>#N/A N/A</v>
        <stp/>
        <stp>BDP|11601542037313865725</stp>
        <tr r="Q1308" s="2"/>
      </tp>
      <tp t="s">
        <v>#N/A N/A</v>
        <stp/>
        <stp>BDP|13676083520241930387</stp>
        <tr r="G21" s="2"/>
      </tp>
      <tp t="s">
        <v>#N/A N/A</v>
        <stp/>
        <stp>BDP|10216493420514535116</stp>
        <tr r="K310" s="2"/>
      </tp>
      <tp t="s">
        <v>#N/A N/A</v>
        <stp/>
        <stp>BDP|13193691676302630379</stp>
        <tr r="F776" s="2"/>
      </tp>
      <tp t="s">
        <v>#N/A N/A</v>
        <stp/>
        <stp>BDP|18331609299700347468</stp>
        <tr r="O1018" s="2"/>
      </tp>
      <tp t="s">
        <v>#N/A N/A</v>
        <stp/>
        <stp>BDP|14759941518356052942</stp>
        <tr r="J486" s="2"/>
      </tp>
      <tp t="s">
        <v>#N/A N/A</v>
        <stp/>
        <stp>BDP|15508580142712072500</stp>
        <tr r="T563" s="2"/>
      </tp>
      <tp t="s">
        <v>#N/A N/A</v>
        <stp/>
        <stp>BDP|12397390230724692537</stp>
        <tr r="S1519" s="2"/>
      </tp>
      <tp t="s">
        <v>#N/A N/A</v>
        <stp/>
        <stp>BDP|11806639156416182735</stp>
        <tr r="E159" s="2"/>
      </tp>
      <tp t="s">
        <v>#N/A N/A</v>
        <stp/>
        <stp>BDP|12217525993798453586</stp>
        <tr r="P1147" s="2"/>
      </tp>
      <tp t="s">
        <v>#N/A N/A</v>
        <stp/>
        <stp>BDP|17667612303692810034</stp>
        <tr r="J585" s="2"/>
      </tp>
      <tp t="s">
        <v>#N/A N/A</v>
        <stp/>
        <stp>BDP|15203360029444329311</stp>
        <tr r="E738" s="2"/>
      </tp>
      <tp t="s">
        <v>#N/A N/A</v>
        <stp/>
        <stp>BDP|17285457963835354385</stp>
        <tr r="T1199" s="2"/>
      </tp>
      <tp t="s">
        <v>#N/A N/A</v>
        <stp/>
        <stp>BDP|16048447347212530795</stp>
        <tr r="J949" s="2"/>
      </tp>
      <tp t="s">
        <v>#N/A N/A</v>
        <stp/>
        <stp>BDP|15494868741813496987</stp>
        <tr r="Q1735" s="2"/>
      </tp>
      <tp t="s">
        <v>#N/A N/A</v>
        <stp/>
        <stp>BDP|11104463596549962677</stp>
        <tr r="M1629" s="2"/>
      </tp>
      <tp t="s">
        <v>#N/A N/A</v>
        <stp/>
        <stp>BDS|13916406900884701028</stp>
        <tr r="I1216" s="2"/>
      </tp>
      <tp t="s">
        <v>#N/A N/A</v>
        <stp/>
        <stp>BDP|18186830363012775798</stp>
        <tr r="H143" s="2"/>
      </tp>
      <tp t="s">
        <v>#N/A N/A</v>
        <stp/>
        <stp>BDP|14428321071146801504</stp>
        <tr r="E698" s="2"/>
      </tp>
      <tp t="s">
        <v>#N/A N/A</v>
        <stp/>
        <stp>BDP|13878531263260523320</stp>
        <tr r="Q852" s="2"/>
      </tp>
      <tp t="s">
        <v>#N/A N/A</v>
        <stp/>
        <stp>BDP|14081055428831408463</stp>
        <tr r="N1068" s="2"/>
      </tp>
      <tp t="s">
        <v>#N/A N/A</v>
        <stp/>
        <stp>BDP|11102325806293934231</stp>
        <tr r="N713" s="2"/>
      </tp>
      <tp t="s">
        <v>#N/A N/A</v>
        <stp/>
        <stp>BDP|14227737706905180591</stp>
        <tr r="E391" s="2"/>
      </tp>
      <tp t="s">
        <v>#N/A N/A</v>
        <stp/>
        <stp>BDP|10961048718634958626</stp>
        <tr r="J98" s="2"/>
      </tp>
      <tp t="s">
        <v>#N/A N/A</v>
        <stp/>
        <stp>BDP|13595315871767293399</stp>
        <tr r="J1682" s="2"/>
      </tp>
      <tp t="s">
        <v>#N/A N/A</v>
        <stp/>
        <stp>BDP|10528709718485771043</stp>
        <tr r="E1441" s="2"/>
      </tp>
      <tp t="s">
        <v>#N/A N/A</v>
        <stp/>
        <stp>BDP|16487174560270928246</stp>
        <tr r="P847" s="2"/>
      </tp>
      <tp t="s">
        <v>#N/A N/A</v>
        <stp/>
        <stp>BDP|10673632892225047999</stp>
        <tr r="C369" s="2"/>
      </tp>
      <tp t="s">
        <v>#N/A N/A</v>
        <stp/>
        <stp>BDP|10133195444436382010</stp>
        <tr r="K1157" s="2"/>
      </tp>
      <tp t="s">
        <v>#N/A N/A</v>
        <stp/>
        <stp>BDP|14703452221354583580</stp>
        <tr r="G1343" s="2"/>
      </tp>
      <tp t="s">
        <v>#N/A N/A</v>
        <stp/>
        <stp>BDP|10495352188659634116</stp>
        <tr r="J709" s="2"/>
      </tp>
      <tp t="s">
        <v>#N/A N/A</v>
        <stp/>
        <stp>BDS|17427844645731914918</stp>
        <tr r="I345" s="2"/>
      </tp>
      <tp t="s">
        <v>#N/A N/A</v>
        <stp/>
        <stp>BDP|13786136077200966642</stp>
        <tr r="D1462" s="2"/>
      </tp>
      <tp t="s">
        <v>#N/A N/A</v>
        <stp/>
        <stp>BDP|17904564804673484215</stp>
        <tr r="P1401" s="2"/>
      </tp>
      <tp t="s">
        <v>#N/A N/A</v>
        <stp/>
        <stp>BDP|11642975957718814608</stp>
        <tr r="D985" s="2"/>
      </tp>
      <tp t="s">
        <v>#N/A N/A</v>
        <stp/>
        <stp>BDP|14593642819594716410</stp>
        <tr r="O12" s="2"/>
      </tp>
      <tp t="s">
        <v>#N/A N/A</v>
        <stp/>
        <stp>BDP|12732037529154483772</stp>
        <tr r="K1686" s="2"/>
      </tp>
      <tp t="s">
        <v>#N/A N/A</v>
        <stp/>
        <stp>BDP|15803068812432267504</stp>
        <tr r="Q418" s="2"/>
      </tp>
      <tp t="s">
        <v>#N/A N/A</v>
        <stp/>
        <stp>BDP|15343152815222881452</stp>
        <tr r="T68" s="2"/>
      </tp>
      <tp t="s">
        <v>#N/A N/A</v>
        <stp/>
        <stp>BDP|10888614796715153903</stp>
        <tr r="P1430" s="2"/>
      </tp>
      <tp t="s">
        <v>#N/A N/A</v>
        <stp/>
        <stp>BDP|12885031392581477936</stp>
        <tr r="E435" s="2"/>
      </tp>
      <tp t="s">
        <v>#N/A N/A</v>
        <stp/>
        <stp>BDP|17116055591565291895</stp>
        <tr r="N872" s="2"/>
      </tp>
      <tp t="s">
        <v>#N/A N/A</v>
        <stp/>
        <stp>BDP|12495445897475079992</stp>
        <tr r="D90" s="2"/>
      </tp>
      <tp t="s">
        <v>#N/A N/A</v>
        <stp/>
        <stp>BDP|15224181614954415246</stp>
        <tr r="C713" s="2"/>
      </tp>
      <tp t="s">
        <v>#N/A N/A</v>
        <stp/>
        <stp>BDS|10386793222287627137</stp>
        <tr r="I1169" s="2"/>
      </tp>
      <tp t="s">
        <v>#N/A N/A</v>
        <stp/>
        <stp>BDS|10407597471262200339</stp>
        <tr r="I647" s="2"/>
      </tp>
      <tp t="s">
        <v>#N/A N/A</v>
        <stp/>
        <stp>BDS|13579316058565808398</stp>
        <tr r="I1622" s="2"/>
      </tp>
      <tp t="s">
        <v>#N/A N/A</v>
        <stp/>
        <stp>BDP|11736738973716838413</stp>
        <tr r="C846" s="2"/>
      </tp>
      <tp t="s">
        <v>#N/A N/A</v>
        <stp/>
        <stp>BDP|10463382315865357445</stp>
        <tr r="K369" s="2"/>
      </tp>
      <tp t="s">
        <v>#N/A N/A</v>
        <stp/>
        <stp>BDP|13731154019490473017</stp>
        <tr r="K810" s="2"/>
      </tp>
      <tp t="s">
        <v>#N/A N/A</v>
        <stp/>
        <stp>BDP|10024365173220273791</stp>
        <tr r="D1667" s="2"/>
      </tp>
      <tp t="s">
        <v>#N/A N/A</v>
        <stp/>
        <stp>BDP|14946253879681326380</stp>
        <tr r="K839" s="2"/>
      </tp>
      <tp t="s">
        <v>#N/A N/A</v>
        <stp/>
        <stp>BDP|16819573117143365257</stp>
        <tr r="K324" s="2"/>
      </tp>
      <tp t="s">
        <v>#N/A N/A</v>
        <stp/>
        <stp>BDP|12818221043122072574</stp>
        <tr r="P1732" s="2"/>
      </tp>
      <tp t="s">
        <v>#N/A N/A</v>
        <stp/>
        <stp>BDP|14095986134689036428</stp>
        <tr r="J862" s="2"/>
      </tp>
      <tp t="s">
        <v>#N/A N/A</v>
        <stp/>
        <stp>BDP|10536451256837906518</stp>
        <tr r="T74" s="2"/>
      </tp>
      <tp t="s">
        <v>#N/A N/A</v>
        <stp/>
        <stp>BDP|17414584946091226465</stp>
        <tr r="N1692" s="2"/>
      </tp>
      <tp t="s">
        <v>#N/A N/A</v>
        <stp/>
        <stp>BDS|16373761108037933597</stp>
        <tr r="I657" s="2"/>
      </tp>
      <tp t="s">
        <v>#N/A N/A</v>
        <stp/>
        <stp>BDP|13529289667203794731</stp>
        <tr r="J683" s="2"/>
      </tp>
      <tp t="s">
        <v>#N/A N/A</v>
        <stp/>
        <stp>BDP|13764063917031971012</stp>
        <tr r="F267" s="2"/>
      </tp>
      <tp t="s">
        <v>#N/A N/A</v>
        <stp/>
        <stp>BDP|16720632485179824273</stp>
        <tr r="D1650" s="2"/>
      </tp>
      <tp t="s">
        <v>#N/A N/A</v>
        <stp/>
        <stp>BDP|10318331553603516680</stp>
        <tr r="N296" s="2"/>
      </tp>
      <tp t="s">
        <v>#N/A N/A</v>
        <stp/>
        <stp>BDP|12278989084793180316</stp>
        <tr r="J1748" s="2"/>
      </tp>
      <tp t="s">
        <v>#N/A N/A</v>
        <stp/>
        <stp>BDP|17710803899133619665</stp>
        <tr r="J50" s="2"/>
      </tp>
      <tp t="s">
        <v>#N/A N/A</v>
        <stp/>
        <stp>BDP|14158038924914945116</stp>
        <tr r="Q1035" s="2"/>
      </tp>
      <tp t="s">
        <v>#N/A N/A</v>
        <stp/>
        <stp>BDP|14376147263816280686</stp>
        <tr r="R1317" s="2"/>
      </tp>
      <tp t="s">
        <v>#N/A N/A</v>
        <stp/>
        <stp>BDP|11161686825687536173</stp>
        <tr r="T1637" s="2"/>
      </tp>
      <tp t="s">
        <v>#N/A N/A</v>
        <stp/>
        <stp>BDP|10989552975218477939</stp>
        <tr r="C536" s="2"/>
      </tp>
      <tp t="s">
        <v>#N/A N/A</v>
        <stp/>
        <stp>BDP|12983490833551802758</stp>
        <tr r="M1443" s="2"/>
      </tp>
      <tp t="s">
        <v>#N/A N/A</v>
        <stp/>
        <stp>BDP|15195088945341328315</stp>
        <tr r="M787" s="2"/>
      </tp>
      <tp t="s">
        <v>#N/A N/A</v>
        <stp/>
        <stp>BDP|17470065559524027550</stp>
        <tr r="A1096" s="2"/>
      </tp>
      <tp t="s">
        <v>#N/A N/A</v>
        <stp/>
        <stp>BDS|12036559718586895382</stp>
        <tr r="I431" s="2"/>
      </tp>
      <tp t="s">
        <v>#N/A N/A</v>
        <stp/>
        <stp>BDP|13940761275788365870</stp>
        <tr r="H391" s="2"/>
      </tp>
      <tp t="s">
        <v>#N/A N/A</v>
        <stp/>
        <stp>BDP|12763533807267874354</stp>
        <tr r="N744" s="2"/>
      </tp>
      <tp t="s">
        <v>#N/A N/A</v>
        <stp/>
        <stp>BDP|13162124701786974756</stp>
        <tr r="E1706" s="2"/>
      </tp>
      <tp t="s">
        <v>#N/A N/A</v>
        <stp/>
        <stp>BDP|17168838844031017975</stp>
        <tr r="A1346" s="2"/>
      </tp>
      <tp t="s">
        <v>#N/A N/A</v>
        <stp/>
        <stp>BDS|13255071702894257470</stp>
        <tr r="I1398" s="2"/>
      </tp>
      <tp t="s">
        <v>#N/A N/A</v>
        <stp/>
        <stp>BDP|12352529547889356948</stp>
        <tr r="Q1385" s="2"/>
      </tp>
      <tp t="s">
        <v>#N/A N/A</v>
        <stp/>
        <stp>BDP|16898633463404814116</stp>
        <tr r="P1390" s="2"/>
      </tp>
      <tp t="s">
        <v>#N/A N/A</v>
        <stp/>
        <stp>BDP|14178044274891239121</stp>
        <tr r="T1603" s="2"/>
      </tp>
      <tp t="s">
        <v>#N/A N/A</v>
        <stp/>
        <stp>BDP|15402563102972731160</stp>
        <tr r="N1412" s="2"/>
      </tp>
      <tp t="s">
        <v>#N/A N/A</v>
        <stp/>
        <stp>BDP|16160123600976570272</stp>
        <tr r="O1402" s="2"/>
      </tp>
      <tp t="s">
        <v>#N/A N/A</v>
        <stp/>
        <stp>BDP|13051568824331176621</stp>
        <tr r="S1715" s="2"/>
      </tp>
      <tp t="s">
        <v>#N/A N/A</v>
        <stp/>
        <stp>BDP|14483565054387242052</stp>
        <tr r="R1706" s="2"/>
      </tp>
      <tp t="s">
        <v>#N/A N/A</v>
        <stp/>
        <stp>BDP|17011529655632341652</stp>
        <tr r="O1687" s="2"/>
      </tp>
      <tp t="s">
        <v>#N/A N/A</v>
        <stp/>
        <stp>BDP|17752634260760182446</stp>
        <tr r="G1557" s="2"/>
      </tp>
      <tp t="s">
        <v>#N/A N/A</v>
        <stp/>
        <stp>BDP|13899465208726553221</stp>
        <tr r="F1348" s="2"/>
      </tp>
      <tp t="s">
        <v>#N/A N/A</v>
        <stp/>
        <stp>BDP|12716398557194954313</stp>
        <tr r="M802" s="2"/>
      </tp>
      <tp t="s">
        <v>#N/A N/A</v>
        <stp/>
        <stp>BDP|12763172092708690154</stp>
        <tr r="A364" s="2"/>
      </tp>
      <tp t="s">
        <v>#N/A N/A</v>
        <stp/>
        <stp>BDP|17260139325190143747</stp>
        <tr r="J407" s="2"/>
      </tp>
      <tp t="s">
        <v>#N/A N/A</v>
        <stp/>
        <stp>BDP|15409948724534526902</stp>
        <tr r="F1422" s="2"/>
      </tp>
      <tp t="s">
        <v>#N/A N/A</v>
        <stp/>
        <stp>BDP|12308028287469360046</stp>
        <tr r="R1306" s="2"/>
      </tp>
      <tp t="s">
        <v>#N/A N/A</v>
        <stp/>
        <stp>BDP|12462659142243600041</stp>
        <tr r="A1115" s="2"/>
      </tp>
      <tp t="s">
        <v>#N/A N/A</v>
        <stp/>
        <stp>BDP|10627414907367345022</stp>
        <tr r="Q340" s="2"/>
      </tp>
      <tp t="s">
        <v>#N/A N/A</v>
        <stp/>
        <stp>BDP|11348672324326526044</stp>
        <tr r="P1149" s="2"/>
      </tp>
      <tp t="s">
        <v>#N/A N/A</v>
        <stp/>
        <stp>BDP|17577320391486623812</stp>
        <tr r="C1455" s="2"/>
      </tp>
      <tp t="s">
        <v>#N/A N/A</v>
        <stp/>
        <stp>BDP|15100045249275570783</stp>
        <tr r="M328" s="2"/>
      </tp>
      <tp t="s">
        <v>#N/A N/A</v>
        <stp/>
        <stp>BDP|11346672345526615661</stp>
        <tr r="N1646" s="2"/>
      </tp>
      <tp t="s">
        <v>#N/A N/A</v>
        <stp/>
        <stp>BDP|10750211205257168632</stp>
        <tr r="H679" s="2"/>
      </tp>
      <tp t="s">
        <v>#N/A N/A</v>
        <stp/>
        <stp>BDP|14239567845663178517</stp>
        <tr r="P836" s="2"/>
      </tp>
      <tp t="s">
        <v>#N/A N/A</v>
        <stp/>
        <stp>BDP|15294724630035697776</stp>
        <tr r="O903" s="2"/>
      </tp>
      <tp t="s">
        <v>#N/A N/A</v>
        <stp/>
        <stp>BDP|14716435012776020473</stp>
        <tr r="E277" s="2"/>
      </tp>
      <tp t="s">
        <v>#N/A N/A</v>
        <stp/>
        <stp>BDP|16286745204333173128</stp>
        <tr r="F515" s="2"/>
      </tp>
      <tp t="s">
        <v>#N/A N/A</v>
        <stp/>
        <stp>BDP|11447244512965182420</stp>
        <tr r="H346" s="2"/>
      </tp>
      <tp t="s">
        <v>#N/A N/A</v>
        <stp/>
        <stp>BDP|11402203271105751236</stp>
        <tr r="N607" s="2"/>
      </tp>
      <tp t="s">
        <v>#N/A N/A</v>
        <stp/>
        <stp>BDP|13195451085019507559</stp>
        <tr r="C1641" s="2"/>
      </tp>
      <tp t="s">
        <v>#N/A N/A</v>
        <stp/>
        <stp>BDP|15386151635840617441</stp>
        <tr r="S1461" s="2"/>
      </tp>
      <tp t="s">
        <v>#N/A N/A</v>
        <stp/>
        <stp>BDP|12750639707003655448</stp>
        <tr r="M1226" s="2"/>
      </tp>
      <tp t="s">
        <v>#N/A N/A</v>
        <stp/>
        <stp>BDP|15454908155058459248</stp>
        <tr r="F129" s="2"/>
      </tp>
      <tp t="s">
        <v>#N/A N/A</v>
        <stp/>
        <stp>BDP|18420122011443471823</stp>
        <tr r="F1430" s="2"/>
      </tp>
      <tp t="s">
        <v>#N/A N/A</v>
        <stp/>
        <stp>BDP|12200064954873449758</stp>
        <tr r="C908" s="2"/>
      </tp>
      <tp t="s">
        <v>#N/A N/A</v>
        <stp/>
        <stp>BDP|15703388799724161869</stp>
        <tr r="G124" s="2"/>
      </tp>
      <tp t="s">
        <v>#N/A N/A</v>
        <stp/>
        <stp>BDP|12747596608854625018</stp>
        <tr r="C152" s="2"/>
      </tp>
      <tp t="s">
        <v>#N/A N/A</v>
        <stp/>
        <stp>BDP|15402150117797524122</stp>
        <tr r="K597" s="2"/>
      </tp>
      <tp t="s">
        <v>#N/A N/A</v>
        <stp/>
        <stp>BDP|15706430826234558460</stp>
        <tr r="P1256" s="2"/>
      </tp>
      <tp t="s">
        <v>#N/A N/A</v>
        <stp/>
        <stp>BDP|13141607346026651401</stp>
        <tr r="S1506" s="2"/>
      </tp>
      <tp t="s">
        <v>#N/A N/A</v>
        <stp/>
        <stp>BDP|17776669520736893687</stp>
        <tr r="P149" s="2"/>
      </tp>
      <tp t="s">
        <v>#N/A N/A</v>
        <stp/>
        <stp>BDP|16316032802087479272</stp>
        <tr r="J1290" s="2"/>
      </tp>
      <tp t="s">
        <v>#N/A N/A</v>
        <stp/>
        <stp>BDP|10725665446184247544</stp>
        <tr r="E14" s="2"/>
      </tp>
      <tp t="s">
        <v>#N/A N/A</v>
        <stp/>
        <stp>BDP|12924961279199608614</stp>
        <tr r="H1203" s="2"/>
      </tp>
      <tp t="s">
        <v>#N/A N/A</v>
        <stp/>
        <stp>BDP|14560496768142002757</stp>
        <tr r="Q588" s="2"/>
      </tp>
      <tp t="s">
        <v>#N/A N/A</v>
        <stp/>
        <stp>BDP|14788569726174439425</stp>
        <tr r="F909" s="2"/>
      </tp>
      <tp t="s">
        <v>#N/A N/A</v>
        <stp/>
        <stp>BDP|11680944642869763664</stp>
        <tr r="P1066" s="2"/>
      </tp>
      <tp t="s">
        <v>#N/A N/A</v>
        <stp/>
        <stp>BDP|15472128399519642788</stp>
        <tr r="J205" s="2"/>
      </tp>
      <tp t="s">
        <v>#N/A N/A</v>
        <stp/>
        <stp>BDP|16229624873947780352</stp>
        <tr r="D269" s="2"/>
      </tp>
      <tp t="s">
        <v>#N/A N/A</v>
        <stp/>
        <stp>BDP|10470674846398655920</stp>
        <tr r="K1508" s="2"/>
      </tp>
      <tp t="s">
        <v>#N/A N/A</v>
        <stp/>
        <stp>BDP|15425253846885545538</stp>
        <tr r="E1492" s="2"/>
      </tp>
      <tp t="s">
        <v>#N/A N/A</v>
        <stp/>
        <stp>BDP|15510101967591174026</stp>
        <tr r="K229" s="2"/>
      </tp>
      <tp t="s">
        <v>#N/A N/A</v>
        <stp/>
        <stp>BDP|16441252225421627434</stp>
        <tr r="H809" s="2"/>
      </tp>
      <tp t="s">
        <v>#N/A N/A</v>
        <stp/>
        <stp>BDP|14865539818584264708</stp>
        <tr r="K1234" s="2"/>
      </tp>
      <tp t="s">
        <v>#N/A N/A</v>
        <stp/>
        <stp>BDP|10263160925112296235</stp>
        <tr r="N1110" s="2"/>
      </tp>
      <tp t="s">
        <v>#N/A N/A</v>
        <stp/>
        <stp>BDP|13339191621237286493</stp>
        <tr r="N1580" s="2"/>
      </tp>
      <tp t="s">
        <v>#N/A N/A</v>
        <stp/>
        <stp>BDP|13697291158342636513</stp>
        <tr r="J224" s="2"/>
      </tp>
      <tp t="s">
        <v>#N/A N/A</v>
        <stp/>
        <stp>BDP|13991172229116776506</stp>
        <tr r="O766" s="2"/>
      </tp>
      <tp t="s">
        <v>#N/A N/A</v>
        <stp/>
        <stp>BDP|10751496128276531339</stp>
        <tr r="C1228" s="2"/>
      </tp>
      <tp t="s">
        <v>#N/A N/A</v>
        <stp/>
        <stp>BDP|17564346618757851119</stp>
        <tr r="Q1358" s="2"/>
      </tp>
      <tp t="s">
        <v>#N/A N/A</v>
        <stp/>
        <stp>BDP|16314253747297389423</stp>
        <tr r="R1214" s="2"/>
      </tp>
      <tp t="s">
        <v>#N/A N/A</v>
        <stp/>
        <stp>BDP|13665407782629242568</stp>
        <tr r="S1174" s="2"/>
      </tp>
      <tp t="s">
        <v>#N/A N/A</v>
        <stp/>
        <stp>BDP|14544275959869257996</stp>
        <tr r="E1654" s="2"/>
      </tp>
      <tp t="s">
        <v>#N/A N/A</v>
        <stp/>
        <stp>BDP|12479142514766304778</stp>
        <tr r="G611" s="2"/>
      </tp>
      <tp t="s">
        <v>#N/A N/A</v>
        <stp/>
        <stp>BDP|12815694847317555439</stp>
        <tr r="G807" s="2"/>
      </tp>
      <tp t="s">
        <v>#N/A N/A</v>
        <stp/>
        <stp>BDP|17481238755685454669</stp>
        <tr r="P1752" s="2"/>
      </tp>
      <tp t="s">
        <v>#N/A N/A</v>
        <stp/>
        <stp>BDP|10452099323807687686</stp>
        <tr r="D1319" s="2"/>
      </tp>
      <tp t="s">
        <v>#N/A N/A</v>
        <stp/>
        <stp>BDP|12272725204384789233</stp>
        <tr r="R1235" s="2"/>
      </tp>
      <tp t="s">
        <v>#N/A N/A</v>
        <stp/>
        <stp>BDP|16653413163876204164</stp>
        <tr r="F334" s="2"/>
      </tp>
      <tp t="s">
        <v>#N/A N/A</v>
        <stp/>
        <stp>BDS|18020345699379672889</stp>
        <tr r="I698" s="2"/>
      </tp>
      <tp t="s">
        <v>#N/A N/A</v>
        <stp/>
        <stp>BDP|17728743522380317129</stp>
        <tr r="N438" s="2"/>
      </tp>
      <tp t="s">
        <v>#N/A N/A</v>
        <stp/>
        <stp>BDP|12127189998951426859</stp>
        <tr r="T748" s="2"/>
      </tp>
      <tp t="s">
        <v>#N/A N/A</v>
        <stp/>
        <stp>BDP|13566575445076089772</stp>
        <tr r="Q869" s="2"/>
      </tp>
      <tp t="s">
        <v>#N/A N/A</v>
        <stp/>
        <stp>BDP|15536625107715894581</stp>
        <tr r="H1214" s="2"/>
      </tp>
      <tp t="s">
        <v>#N/A N/A</v>
        <stp/>
        <stp>BDP|16935105943399297985</stp>
        <tr r="N1741" s="2"/>
      </tp>
      <tp t="s">
        <v>#N/A N/A</v>
        <stp/>
        <stp>BDP|17916288534797540205</stp>
        <tr r="Q1424" s="2"/>
      </tp>
      <tp t="s">
        <v>#N/A N/A</v>
        <stp/>
        <stp>BDP|12296347353275414212</stp>
        <tr r="A202" s="2"/>
      </tp>
      <tp t="s">
        <v>#N/A N/A</v>
        <stp/>
        <stp>BDP|16774319143371212373</stp>
        <tr r="R1594" s="2"/>
      </tp>
      <tp t="s">
        <v>#N/A N/A</v>
        <stp/>
        <stp>BDP|18170453543809559227</stp>
        <tr r="E791" s="2"/>
      </tp>
      <tp t="s">
        <v>#N/A N/A</v>
        <stp/>
        <stp>BDP|13148215457743716409</stp>
        <tr r="O493" s="2"/>
      </tp>
      <tp t="s">
        <v>#N/A N/A</v>
        <stp/>
        <stp>BDP|15814240202870824465</stp>
        <tr r="K1666" s="2"/>
      </tp>
      <tp t="s">
        <v>#N/A N/A</v>
        <stp/>
        <stp>BDP|17525475660862693448</stp>
        <tr r="A363" s="2"/>
      </tp>
      <tp t="s">
        <v>#N/A N/A</v>
        <stp/>
        <stp>BDP|11047908595045677735</stp>
        <tr r="N414" s="2"/>
      </tp>
      <tp t="s">
        <v>#N/A N/A</v>
        <stp/>
        <stp>BDP|11803024418753642049</stp>
        <tr r="K1253" s="2"/>
      </tp>
      <tp t="s">
        <v>#N/A N/A</v>
        <stp/>
        <stp>BDP|12058220895673484935</stp>
        <tr r="O1573" s="2"/>
      </tp>
      <tp t="s">
        <v>#N/A N/A</v>
        <stp/>
        <stp>BDP|15647905969861712885</stp>
        <tr r="Q839" s="2"/>
      </tp>
      <tp t="s">
        <v>#N/A N/A</v>
        <stp/>
        <stp>BDP|10151598620417122396</stp>
        <tr r="J1606" s="2"/>
      </tp>
      <tp t="s">
        <v>#N/A N/A</v>
        <stp/>
        <stp>BDP|13410340625655227478</stp>
        <tr r="Q951" s="2"/>
      </tp>
      <tp t="s">
        <v>#N/A N/A</v>
        <stp/>
        <stp>BDP|14257457732646013658</stp>
        <tr r="Q906" s="2"/>
      </tp>
      <tp t="s">
        <v>#N/A N/A</v>
        <stp/>
        <stp>BDP|11613738043011662002</stp>
        <tr r="S823" s="2"/>
      </tp>
      <tp t="s">
        <v>#N/A N/A</v>
        <stp/>
        <stp>BDP|18036913320577081710</stp>
        <tr r="H1389" s="2"/>
      </tp>
      <tp t="s">
        <v>#N/A N/A</v>
        <stp/>
        <stp>BDP|15554385232156692094</stp>
        <tr r="D1143" s="2"/>
      </tp>
      <tp t="s">
        <v>#N/A N/A</v>
        <stp/>
        <stp>BDP|15302600253684913194</stp>
        <tr r="A1059" s="2"/>
      </tp>
      <tp t="s">
        <v>#N/A N/A</v>
        <stp/>
        <stp>BDP|11156073821345520524</stp>
        <tr r="G860" s="2"/>
      </tp>
      <tp t="s">
        <v>#N/A N/A</v>
        <stp/>
        <stp>BDP|13676956550208139422</stp>
        <tr r="H1302" s="2"/>
      </tp>
      <tp t="s">
        <v>#N/A N/A</v>
        <stp/>
        <stp>BDP|13834005694750546997</stp>
        <tr r="A1135" s="2"/>
      </tp>
      <tp t="s">
        <v>#N/A N/A</v>
        <stp/>
        <stp>BDP|13867165422155508693</stp>
        <tr r="H1401" s="2"/>
      </tp>
      <tp t="s">
        <v>#N/A N/A</v>
        <stp/>
        <stp>BDP|13201625973451535063</stp>
        <tr r="P825" s="2"/>
      </tp>
      <tp t="s">
        <v>#N/A N/A</v>
        <stp/>
        <stp>BDP|14230577920045535506</stp>
        <tr r="R494" s="2"/>
      </tp>
      <tp t="s">
        <v>#N/A N/A</v>
        <stp/>
        <stp>BDP|15668113050595289758</stp>
        <tr r="E453" s="2"/>
      </tp>
      <tp t="s">
        <v>#N/A N/A</v>
        <stp/>
        <stp>BDS|11139004636078523915</stp>
        <tr r="I1550" s="2"/>
      </tp>
      <tp t="s">
        <v>#N/A N/A</v>
        <stp/>
        <stp>BDP|12227741199489644693</stp>
        <tr r="S156" s="2"/>
      </tp>
      <tp t="s">
        <v>#N/A N/A</v>
        <stp/>
        <stp>BDP|11434016141420592618</stp>
        <tr r="T1685" s="2"/>
      </tp>
      <tp t="s">
        <v>#N/A N/A</v>
        <stp/>
        <stp>BDP|17265164601300385569</stp>
        <tr r="A1614" s="2"/>
      </tp>
      <tp t="s">
        <v>#N/A N/A</v>
        <stp/>
        <stp>BDP|12031434839881370798</stp>
        <tr r="K1738" s="2"/>
      </tp>
      <tp t="s">
        <v>#N/A N/A</v>
        <stp/>
        <stp>BDP|12152280790988881213</stp>
        <tr r="Q1388" s="2"/>
      </tp>
      <tp t="s">
        <v>#N/A N/A</v>
        <stp/>
        <stp>BDP|14164748615342921398</stp>
        <tr r="K1314" s="2"/>
      </tp>
      <tp t="s">
        <v>#N/A N/A</v>
        <stp/>
        <stp>BDP|10031592570629060896</stp>
        <tr r="P1483" s="2"/>
      </tp>
      <tp t="s">
        <v>#N/A N/A</v>
        <stp/>
        <stp>BDP|16290371216830567761</stp>
        <tr r="E1399" s="2"/>
      </tp>
      <tp t="s">
        <v>#N/A N/A</v>
        <stp/>
        <stp>BDP|14309253874071237307</stp>
        <tr r="R1069" s="2"/>
      </tp>
      <tp t="s">
        <v>#N/A N/A</v>
        <stp/>
        <stp>BDP|17535777803863589043</stp>
        <tr r="D1322" s="2"/>
      </tp>
      <tp t="s">
        <v>#N/A N/A</v>
        <stp/>
        <stp>BDP|14838162469004526425</stp>
        <tr r="K443" s="2"/>
      </tp>
      <tp t="s">
        <v>#N/A N/A</v>
        <stp/>
        <stp>BDP|11077454052961296255</stp>
        <tr r="J1172" s="2"/>
      </tp>
      <tp t="s">
        <v>#N/A N/A</v>
        <stp/>
        <stp>BDS|15876751159562676612</stp>
        <tr r="I574" s="2"/>
      </tp>
      <tp t="s">
        <v>#N/A N/A</v>
        <stp/>
        <stp>BDP|11096143861483284670</stp>
        <tr r="K1060" s="2"/>
      </tp>
      <tp t="s">
        <v>#N/A N/A</v>
        <stp/>
        <stp>BDP|13804099920252376029</stp>
        <tr r="H1046" s="2"/>
      </tp>
      <tp t="s">
        <v>#N/A N/A</v>
        <stp/>
        <stp>BDP|10628321640976363279</stp>
        <tr r="Q1459" s="2"/>
      </tp>
      <tp t="s">
        <v>#N/A N/A</v>
        <stp/>
        <stp>BDP|13577005923790793219</stp>
        <tr r="O259" s="2"/>
      </tp>
      <tp t="s">
        <v>#N/A N/A</v>
        <stp/>
        <stp>BDP|18418999472241989467</stp>
        <tr r="N225" s="2"/>
      </tp>
      <tp t="s">
        <v>#N/A N/A</v>
        <stp/>
        <stp>BDP|18037805827365686419</stp>
        <tr r="A1717" s="2"/>
      </tp>
      <tp t="s">
        <v>#N/A N/A</v>
        <stp/>
        <stp>BDP|15936560864162940722</stp>
        <tr r="Q241" s="2"/>
      </tp>
      <tp t="s">
        <v>#N/A N/A</v>
        <stp/>
        <stp>BDP|14013070034440041435</stp>
        <tr r="H507" s="2"/>
      </tp>
      <tp t="s">
        <v>#N/A N/A</v>
        <stp/>
        <stp>BDP|18040223850155945989</stp>
        <tr r="D1310" s="2"/>
      </tp>
      <tp t="s">
        <v>#N/A N/A</v>
        <stp/>
        <stp>BDP|10003125467747408329</stp>
        <tr r="A1465" s="2"/>
      </tp>
      <tp t="s">
        <v>#N/A N/A</v>
        <stp/>
        <stp>BDP|10399292505098531993</stp>
        <tr r="D1538" s="2"/>
      </tp>
      <tp t="s">
        <v>#N/A N/A</v>
        <stp/>
        <stp>BDP|17842355209273581420</stp>
        <tr r="R51" s="2"/>
      </tp>
      <tp t="s">
        <v>#N/A N/A</v>
        <stp/>
        <stp>BDP|10599647482159428446</stp>
        <tr r="H1188" s="2"/>
      </tp>
      <tp t="s">
        <v>#N/A N/A</v>
        <stp/>
        <stp>BDP|14723114260937221776</stp>
        <tr r="D149" s="2"/>
      </tp>
      <tp t="s">
        <v>#N/A N/A</v>
        <stp/>
        <stp>BDP|17345784029969219832</stp>
        <tr r="N532" s="2"/>
      </tp>
      <tp t="s">
        <v>#N/A N/A</v>
        <stp/>
        <stp>BDP|17820939377963713989</stp>
        <tr r="Q1338" s="2"/>
      </tp>
      <tp t="s">
        <v>#N/A N/A</v>
        <stp/>
        <stp>BDP|14060213526977640022</stp>
        <tr r="D1272" s="2"/>
      </tp>
      <tp t="s">
        <v>#N/A N/A</v>
        <stp/>
        <stp>BDS|16322204448521906229</stp>
        <tr r="I941" s="2"/>
      </tp>
      <tp t="s">
        <v>#N/A N/A</v>
        <stp/>
        <stp>BDS|13800866295789307888</stp>
        <tr r="I1742" s="2"/>
      </tp>
      <tp t="s">
        <v>#N/A N/A</v>
        <stp/>
        <stp>BDS|12395415070053069123</stp>
        <tr r="I1526" s="2"/>
      </tp>
      <tp t="s">
        <v>#N/A N/A</v>
        <stp/>
        <stp>BDP|11507411927937825383</stp>
        <tr r="M140" s="2"/>
      </tp>
      <tp t="s">
        <v>#N/A N/A</v>
        <stp/>
        <stp>BDP|14409669010751524144</stp>
        <tr r="T831" s="2"/>
      </tp>
      <tp t="s">
        <v>#N/A N/A</v>
        <stp/>
        <stp>BDP|16993093426133131440</stp>
        <tr r="A1300" s="2"/>
      </tp>
      <tp t="s">
        <v>#N/A N/A</v>
        <stp/>
        <stp>BDP|11977161810800980259</stp>
        <tr r="P248" s="2"/>
      </tp>
      <tp t="s">
        <v>#N/A N/A</v>
        <stp/>
        <stp>BDP|11722360500032151338</stp>
        <tr r="H243" s="2"/>
      </tp>
      <tp t="s">
        <v>#N/A N/A</v>
        <stp/>
        <stp>BDP|10776622416355091100</stp>
        <tr r="E980" s="2"/>
      </tp>
      <tp t="s">
        <v>#N/A N/A</v>
        <stp/>
        <stp>BDP|17494402630541350244</stp>
        <tr r="Q317" s="2"/>
      </tp>
      <tp t="s">
        <v>#N/A N/A</v>
        <stp/>
        <stp>BDP|10747979141357783959</stp>
        <tr r="Q503" s="2"/>
      </tp>
      <tp t="s">
        <v>#N/A N/A</v>
        <stp/>
        <stp>BDP|15031427652826376105</stp>
        <tr r="Q1078" s="2"/>
      </tp>
      <tp t="s">
        <v>#N/A N/A</v>
        <stp/>
        <stp>BDP|17553645815715589621</stp>
        <tr r="G879" s="2"/>
      </tp>
      <tp t="s">
        <v>#N/A N/A</v>
        <stp/>
        <stp>BDP|10652171096992292969</stp>
        <tr r="K1610" s="2"/>
      </tp>
      <tp t="s">
        <v>#N/A N/A</v>
        <stp/>
        <stp>BDP|11630420390668483730</stp>
        <tr r="J1212" s="2"/>
      </tp>
      <tp t="s">
        <v>#N/A N/A</v>
        <stp/>
        <stp>BDP|12391705514165574217</stp>
        <tr r="A1753" s="2"/>
      </tp>
      <tp t="s">
        <v>#N/A N/A</v>
        <stp/>
        <stp>BDP|15196825697471666613</stp>
        <tr r="P1267" s="2"/>
      </tp>
      <tp t="s">
        <v>#N/A N/A</v>
        <stp/>
        <stp>BDP|14836596691928480379</stp>
        <tr r="T1110" s="2"/>
      </tp>
      <tp t="s">
        <v>#N/A N/A</v>
        <stp/>
        <stp>BDP|17021606862027799360</stp>
        <tr r="D682" s="2"/>
      </tp>
      <tp t="s">
        <v>#N/A N/A</v>
        <stp/>
        <stp>BDP|11208826695353316058</stp>
        <tr r="T167" s="2"/>
      </tp>
      <tp t="s">
        <v>#N/A N/A</v>
        <stp/>
        <stp>BDP|11496316927221561247</stp>
        <tr r="K1581" s="2"/>
      </tp>
      <tp t="s">
        <v>#N/A N/A</v>
        <stp/>
        <stp>BDP|16046377712572391553</stp>
        <tr r="P635" s="2"/>
      </tp>
      <tp t="s">
        <v>#N/A N/A</v>
        <stp/>
        <stp>BDS|16406018133506117070</stp>
        <tr r="I1348" s="2"/>
      </tp>
      <tp t="s">
        <v>#N/A N/A</v>
        <stp/>
        <stp>BDP|10642744064691088352</stp>
        <tr r="Q1142" s="2"/>
      </tp>
      <tp t="s">
        <v>#N/A N/A</v>
        <stp/>
        <stp>BDP|16473730406542180036</stp>
        <tr r="Q1210" s="2"/>
      </tp>
      <tp t="s">
        <v>#N/A N/A</v>
        <stp/>
        <stp>BDP|13444667927084177078</stp>
        <tr r="J546" s="2"/>
      </tp>
      <tp t="s">
        <v>#N/A N/A</v>
        <stp/>
        <stp>BDP|15151745192640269863</stp>
        <tr r="F882" s="2"/>
      </tp>
      <tp t="s">
        <v>#N/A N/A</v>
        <stp/>
        <stp>BDP|15585035831253191655</stp>
        <tr r="E1469" s="2"/>
      </tp>
      <tp t="s">
        <v>#N/A N/A</v>
        <stp/>
        <stp>BDP|13837331136060640085</stp>
        <tr r="A989" s="2"/>
      </tp>
      <tp t="s">
        <v>#N/A N/A</v>
        <stp/>
        <stp>BDP|11422650995729015476</stp>
        <tr r="K1402" s="2"/>
      </tp>
      <tp t="s">
        <v>#N/A N/A</v>
        <stp/>
        <stp>BDP|17325176963140006347</stp>
        <tr r="T444" s="2"/>
      </tp>
      <tp t="s">
        <v>#N/A N/A</v>
        <stp/>
        <stp>BDP|17356933012885871998</stp>
        <tr r="J1168" s="2"/>
      </tp>
      <tp t="s">
        <v>#N/A N/A</v>
        <stp/>
        <stp>BDS|11415850961234336831</stp>
        <tr r="I73" s="2"/>
      </tp>
      <tp t="s">
        <v>#N/A N/A</v>
        <stp/>
        <stp>BDP|16332256016230065630</stp>
        <tr r="O382" s="2"/>
      </tp>
      <tp t="s">
        <v>#N/A N/A</v>
        <stp/>
        <stp>BDS|13509240592122488978</stp>
        <tr r="I754" s="2"/>
      </tp>
      <tp t="s">
        <v>#N/A N/A</v>
        <stp/>
        <stp>BDP|13428922390216167644</stp>
        <tr r="J868" s="2"/>
      </tp>
      <tp t="s">
        <v>#N/A N/A</v>
        <stp/>
        <stp>BDP|15263052961177710724</stp>
        <tr r="D1115" s="2"/>
      </tp>
      <tp t="s">
        <v>#N/A N/A</v>
        <stp/>
        <stp>BDP|14163860856228346210</stp>
        <tr r="C140" s="2"/>
      </tp>
      <tp t="s">
        <v>#N/A N/A</v>
        <stp/>
        <stp>BDS|14835671264245339283</stp>
        <tr r="I1187" s="2"/>
      </tp>
      <tp t="s">
        <v>#N/A N/A</v>
        <stp/>
        <stp>BDP|17733276469331802126</stp>
        <tr r="S815" s="2"/>
      </tp>
      <tp t="s">
        <v>#N/A N/A</v>
        <stp/>
        <stp>BDP|16737432073415464303</stp>
        <tr r="N1044" s="2"/>
      </tp>
      <tp t="s">
        <v>#N/A N/A</v>
        <stp/>
        <stp>BDP|15669451020458453841</stp>
        <tr r="R719" s="2"/>
      </tp>
      <tp t="s">
        <v>#N/A N/A</v>
        <stp/>
        <stp>BDP|16711965065112545826</stp>
        <tr r="J870" s="2"/>
      </tp>
      <tp t="s">
        <v>#N/A N/A</v>
        <stp/>
        <stp>BDP|11867531219250617673</stp>
        <tr r="O68" s="2"/>
      </tp>
      <tp t="s">
        <v>#N/A N/A</v>
        <stp/>
        <stp>BDP|12891305532501896017</stp>
        <tr r="G1003" s="2"/>
      </tp>
      <tp t="s">
        <v>#N/A N/A</v>
        <stp/>
        <stp>BDP|16949310555412670181</stp>
        <tr r="F1505" s="2"/>
      </tp>
      <tp t="s">
        <v>#N/A N/A</v>
        <stp/>
        <stp>BDP|15710284292488616586</stp>
        <tr r="C79" s="2"/>
      </tp>
      <tp t="s">
        <v>#N/A N/A</v>
        <stp/>
        <stp>BDP|11040533544270047347</stp>
        <tr r="A392" s="2"/>
      </tp>
      <tp t="s">
        <v>#N/A N/A</v>
        <stp/>
        <stp>BDP|11124048510950475322</stp>
        <tr r="H1555" s="2"/>
      </tp>
      <tp t="s">
        <v>#N/A N/A</v>
        <stp/>
        <stp>BDP|15658524342406649137</stp>
        <tr r="A390" s="2"/>
      </tp>
      <tp t="s">
        <v>#N/A N/A</v>
        <stp/>
        <stp>BDP|13715192043404658187</stp>
        <tr r="N1151" s="2"/>
      </tp>
      <tp t="s">
        <v>#N/A N/A</v>
        <stp/>
        <stp>BDP|17594209487459188709</stp>
        <tr r="P866" s="2"/>
      </tp>
      <tp t="s">
        <v>#N/A N/A</v>
        <stp/>
        <stp>BDP|10526236081139659025</stp>
        <tr r="T800" s="2"/>
      </tp>
      <tp t="s">
        <v>#N/A N/A</v>
        <stp/>
        <stp>BDP|12073770713093146466</stp>
        <tr r="D827" s="2"/>
      </tp>
      <tp t="s">
        <v>#N/A N/A</v>
        <stp/>
        <stp>BDP|17673380606674274393</stp>
        <tr r="J1104" s="2"/>
      </tp>
      <tp t="s">
        <v>#N/A N/A</v>
        <stp/>
        <stp>BDP|10303093859357231127</stp>
        <tr r="T1527" s="2"/>
      </tp>
      <tp t="s">
        <v>#N/A N/A</v>
        <stp/>
        <stp>BDP|15304001740782143016</stp>
        <tr r="G85" s="2"/>
      </tp>
      <tp t="s">
        <v>#N/A N/A</v>
        <stp/>
        <stp>BDP|15079014744343240140</stp>
        <tr r="M281" s="2"/>
      </tp>
      <tp t="s">
        <v>#N/A N/A</v>
        <stp/>
        <stp>BDP|16715631633674023440</stp>
        <tr r="J1539" s="2"/>
      </tp>
      <tp t="s">
        <v>#N/A N/A</v>
        <stp/>
        <stp>BDP|11968115411496313492</stp>
        <tr r="E609" s="2"/>
      </tp>
      <tp t="s">
        <v>#N/A N/A</v>
        <stp/>
        <stp>BDP|17660522133061051345</stp>
        <tr r="N506" s="2"/>
      </tp>
      <tp t="s">
        <v>#N/A N/A</v>
        <stp/>
        <stp>BDP|10210377636317699477</stp>
        <tr r="K1388" s="2"/>
      </tp>
      <tp t="s">
        <v>#N/A N/A</v>
        <stp/>
        <stp>BDP|12448621006282058529</stp>
        <tr r="H894" s="2"/>
      </tp>
      <tp t="s">
        <v>#N/A N/A</v>
        <stp/>
        <stp>BDP|15799716825253311027</stp>
        <tr r="G203" s="2"/>
      </tp>
      <tp t="s">
        <v>#N/A N/A</v>
        <stp/>
        <stp>BDP|17641904325329386620</stp>
        <tr r="A782" s="2"/>
      </tp>
      <tp t="s">
        <v>#N/A N/A</v>
        <stp/>
        <stp>BDS|12509802397723189326</stp>
        <tr r="I1468" s="2"/>
      </tp>
      <tp t="s">
        <v>#N/A N/A</v>
        <stp/>
        <stp>BDS|13672309616116268433</stp>
        <tr r="I1751" s="2"/>
      </tp>
      <tp t="s">
        <v>#N/A N/A</v>
        <stp/>
        <stp>BDS|12755220462914477121</stp>
        <tr r="I994" s="2"/>
      </tp>
      <tp t="s">
        <v>#N/A N/A</v>
        <stp/>
        <stp>BDP|13584445511464461165</stp>
        <tr r="O381" s="2"/>
      </tp>
      <tp t="s">
        <v>#N/A N/A</v>
        <stp/>
        <stp>BDP|17459997158198238059</stp>
        <tr r="P773" s="2"/>
      </tp>
      <tp t="s">
        <v>#N/A N/A</v>
        <stp/>
        <stp>BDP|11392809984927743524</stp>
        <tr r="C16" s="2"/>
      </tp>
      <tp t="s">
        <v>#N/A N/A</v>
        <stp/>
        <stp>BDP|16093073666411451272</stp>
        <tr r="A739" s="2"/>
      </tp>
      <tp t="s">
        <v>#N/A N/A</v>
        <stp/>
        <stp>BDP|14790753052414610146</stp>
        <tr r="T156" s="2"/>
      </tp>
      <tp t="s">
        <v>#N/A N/A</v>
        <stp/>
        <stp>BDP|16387419602698469968</stp>
        <tr r="O1054" s="2"/>
      </tp>
      <tp t="s">
        <v>#N/A N/A</v>
        <stp/>
        <stp>BDP|16805313410505980227</stp>
        <tr r="P986" s="2"/>
      </tp>
      <tp t="s">
        <v>#N/A N/A</v>
        <stp/>
        <stp>BDP|10063550284506681852</stp>
        <tr r="P1594" s="2"/>
      </tp>
      <tp t="s">
        <v>#N/A N/A</v>
        <stp/>
        <stp>BDP|14770567650970474776</stp>
        <tr r="N711" s="2"/>
      </tp>
      <tp t="s">
        <v>#N/A N/A</v>
        <stp/>
        <stp>BDP|12721207857087296104</stp>
        <tr r="E1647" s="2"/>
      </tp>
      <tp t="s">
        <v>#N/A N/A</v>
        <stp/>
        <stp>BDP|16693199154076889717</stp>
        <tr r="H1716" s="2"/>
      </tp>
      <tp t="s">
        <v>#N/A N/A</v>
        <stp/>
        <stp>BDP|12948729328055407152</stp>
        <tr r="Q1009" s="2"/>
      </tp>
      <tp t="s">
        <v>#N/A N/A</v>
        <stp/>
        <stp>BDP|12903826023539244288</stp>
        <tr r="T1699" s="2"/>
      </tp>
      <tp t="s">
        <v>#N/A N/A</v>
        <stp/>
        <stp>BDP|11307806611929495249</stp>
        <tr r="S138" s="2"/>
      </tp>
      <tp t="s">
        <v>#N/A N/A</v>
        <stp/>
        <stp>BDP|12422587369686358449</stp>
        <tr r="C633" s="2"/>
      </tp>
      <tp t="s">
        <v>#N/A N/A</v>
        <stp/>
        <stp>BDS|12512655839253984710</stp>
        <tr r="I1685" s="2"/>
      </tp>
      <tp t="s">
        <v>#N/A N/A</v>
        <stp/>
        <stp>BDP|11908308485061620884</stp>
        <tr r="Q210" s="2"/>
      </tp>
      <tp t="s">
        <v>#N/A N/A</v>
        <stp/>
        <stp>BDP|17269564356530386432</stp>
        <tr r="C842" s="2"/>
      </tp>
      <tp t="s">
        <v>#N/A N/A</v>
        <stp/>
        <stp>BDP|10580789855738281983</stp>
        <tr r="P1238" s="2"/>
      </tp>
      <tp t="s">
        <v>#N/A N/A</v>
        <stp/>
        <stp>BDP|11077402355734199767</stp>
        <tr r="J914" s="2"/>
      </tp>
      <tp t="s">
        <v>#N/A N/A</v>
        <stp/>
        <stp>BDP|12517808900040704905</stp>
        <tr r="O108" s="2"/>
      </tp>
      <tp t="s">
        <v>#N/A N/A</v>
        <stp/>
        <stp>BDP|12311395312905259684</stp>
        <tr r="F1019" s="2"/>
      </tp>
      <tp t="s">
        <v>#N/A N/A</v>
        <stp/>
        <stp>BDP|14768484798838326264</stp>
        <tr r="F441" s="2"/>
      </tp>
      <tp t="s">
        <v>#N/A N/A</v>
        <stp/>
        <stp>BDP|10186035020540057101</stp>
        <tr r="A53" s="2"/>
      </tp>
      <tp t="s">
        <v>#N/A N/A</v>
        <stp/>
        <stp>BDP|12983298165710194562</stp>
        <tr r="O245" s="2"/>
      </tp>
      <tp t="s">
        <v>#N/A N/A</v>
        <stp/>
        <stp>BDP|18163291290474368496</stp>
        <tr r="F80" s="2"/>
      </tp>
      <tp t="s">
        <v>#N/A N/A</v>
        <stp/>
        <stp>BDS|10975389155123498615</stp>
        <tr r="I539" s="2"/>
      </tp>
      <tp t="s">
        <v>#N/A N/A</v>
        <stp/>
        <stp>BDP|11965560830380573481</stp>
        <tr r="K939" s="2"/>
      </tp>
      <tp t="s">
        <v>#N/A N/A</v>
        <stp/>
        <stp>BDP|13753951794831386177</stp>
        <tr r="O57" s="2"/>
      </tp>
      <tp t="s">
        <v>#N/A N/A</v>
        <stp/>
        <stp>BDP|10736106404444311622</stp>
        <tr r="T725" s="2"/>
      </tp>
      <tp t="s">
        <v>#N/A N/A</v>
        <stp/>
        <stp>BDP|12436363393252606950</stp>
        <tr r="C220" s="2"/>
      </tp>
      <tp t="s">
        <v>#N/A N/A</v>
        <stp/>
        <stp>BDP|16788840970539781367</stp>
        <tr r="N549" s="2"/>
      </tp>
      <tp t="s">
        <v>#N/A N/A</v>
        <stp/>
        <stp>BDP|15809353977262077087</stp>
        <tr r="O173" s="2"/>
      </tp>
      <tp t="s">
        <v>#N/A N/A</v>
        <stp/>
        <stp>BDP|14415377561604770676</stp>
        <tr r="K1616" s="2"/>
      </tp>
      <tp t="s">
        <v>#N/A N/A</v>
        <stp/>
        <stp>BDP|13001568386659795456</stp>
        <tr r="E1347" s="2"/>
      </tp>
      <tp t="s">
        <v>#N/A N/A</v>
        <stp/>
        <stp>BDP|12010752948471820375</stp>
        <tr r="N1296" s="2"/>
      </tp>
      <tp t="s">
        <v>#N/A N/A</v>
        <stp/>
        <stp>BDP|15874157494228874635</stp>
        <tr r="Q901" s="2"/>
      </tp>
      <tp t="s">
        <v>#N/A N/A</v>
        <stp/>
        <stp>BDP|15282937024899368441</stp>
        <tr r="F1129" s="2"/>
      </tp>
      <tp t="s">
        <v>#N/A N/A</v>
        <stp/>
        <stp>BDP|14490613839704790693</stp>
        <tr r="K1513" s="2"/>
      </tp>
      <tp t="s">
        <v>#N/A N/A</v>
        <stp/>
        <stp>BDP|16737590810537877646</stp>
        <tr r="E571" s="2"/>
      </tp>
      <tp t="s">
        <v>#N/A N/A</v>
        <stp/>
        <stp>BDP|14226709470943032406</stp>
        <tr r="D1037" s="2"/>
      </tp>
      <tp t="s">
        <v>#N/A N/A</v>
        <stp/>
        <stp>BDP|10829704198194427962</stp>
        <tr r="E1417" s="2"/>
      </tp>
      <tp t="s">
        <v>#N/A N/A</v>
        <stp/>
        <stp>BDP|15212634413038803982</stp>
        <tr r="T1362" s="2"/>
      </tp>
      <tp t="s">
        <v>#N/A N/A</v>
        <stp/>
        <stp>BDP|13365882808690279833</stp>
        <tr r="N1390" s="2"/>
      </tp>
      <tp t="s">
        <v>#N/A N/A</v>
        <stp/>
        <stp>BDP|16096039904967380267</stp>
        <tr r="A1252" s="2"/>
      </tp>
      <tp t="s">
        <v>#N/A N/A</v>
        <stp/>
        <stp>BDP|10866614512125079192</stp>
        <tr r="T1122" s="2"/>
      </tp>
      <tp t="s">
        <v>#N/A N/A</v>
        <stp/>
        <stp>BDP|15807092626507390368</stp>
        <tr r="E1455" s="2"/>
      </tp>
      <tp t="s">
        <v>#N/A N/A</v>
        <stp/>
        <stp>BDP|15369772784540207904</stp>
        <tr r="F313" s="2"/>
      </tp>
      <tp t="s">
        <v>#N/A N/A</v>
        <stp/>
        <stp>BDP|18367245191389023947</stp>
        <tr r="C957" s="2"/>
      </tp>
      <tp t="s">
        <v>#N/A N/A</v>
        <stp/>
        <stp>BDP|11556660344327008753</stp>
        <tr r="R869" s="2"/>
      </tp>
      <tp t="s">
        <v>#N/A N/A</v>
        <stp/>
        <stp>BDP|15422310498009869571</stp>
        <tr r="N1311" s="2"/>
      </tp>
      <tp t="s">
        <v>#N/A N/A</v>
        <stp/>
        <stp>BDP|11468294413719443884</stp>
        <tr r="M1100" s="2"/>
      </tp>
      <tp t="s">
        <v>#N/A N/A</v>
        <stp/>
        <stp>BDP|17589068706815496134</stp>
        <tr r="N1557" s="2"/>
      </tp>
      <tp t="s">
        <v>#N/A N/A</v>
        <stp/>
        <stp>BDP|10242172033754140550</stp>
        <tr r="Q14" s="2"/>
      </tp>
      <tp t="s">
        <v>#N/A N/A</v>
        <stp/>
        <stp>BDP|14433217767560225326</stp>
        <tr r="Q62" s="2"/>
      </tp>
      <tp t="s">
        <v>#N/A N/A</v>
        <stp/>
        <stp>BDP|11445147352656482048</stp>
        <tr r="O1533" s="2"/>
      </tp>
      <tp t="s">
        <v>#N/A N/A</v>
        <stp/>
        <stp>BDP|13384211060026557259</stp>
        <tr r="R464" s="2"/>
      </tp>
      <tp t="s">
        <v>#N/A N/A</v>
        <stp/>
        <stp>BDP|11211433775713637203</stp>
        <tr r="K1140" s="2"/>
      </tp>
      <tp t="s">
        <v>#N/A N/A</v>
        <stp/>
        <stp>BDP|15556454737612340366</stp>
        <tr r="M1181" s="2"/>
      </tp>
      <tp t="s">
        <v>#N/A N/A</v>
        <stp/>
        <stp>BDP|10811781057517378666</stp>
        <tr r="S30" s="2"/>
      </tp>
      <tp t="s">
        <v>#N/A N/A</v>
        <stp/>
        <stp>BDP|12043982628678138237</stp>
        <tr r="R853" s="2"/>
      </tp>
      <tp t="s">
        <v>#N/A N/A</v>
        <stp/>
        <stp>BDS|12694073744652405708</stp>
        <tr r="I1278" s="2"/>
      </tp>
      <tp t="s">
        <v>#N/A N/A</v>
        <stp/>
        <stp>BDP|18286961875527211266</stp>
        <tr r="N748" s="2"/>
      </tp>
      <tp t="s">
        <v>#N/A N/A</v>
        <stp/>
        <stp>BDP|15055644561484463248</stp>
        <tr r="R209" s="2"/>
      </tp>
      <tp t="s">
        <v>#N/A N/A</v>
        <stp/>
        <stp>BDP|10076300580061140948</stp>
        <tr r="A463" s="2"/>
      </tp>
      <tp t="s">
        <v>#N/A N/A</v>
        <stp/>
        <stp>BDP|10413266501878278942</stp>
        <tr r="M1105" s="2"/>
      </tp>
      <tp t="s">
        <v>#N/A N/A</v>
        <stp/>
        <stp>BDP|17698548350785646118</stp>
        <tr r="P222" s="2"/>
      </tp>
      <tp t="s">
        <v>#N/A N/A</v>
        <stp/>
        <stp>BDS|14740859796642580479</stp>
        <tr r="I953" s="2"/>
      </tp>
      <tp t="s">
        <v>#N/A N/A</v>
        <stp/>
        <stp>BDP|11734478936333696658</stp>
        <tr r="P261" s="2"/>
      </tp>
      <tp t="s">
        <v>#N/A N/A</v>
        <stp/>
        <stp>BDP|16511392942586296496</stp>
        <tr r="H1564" s="2"/>
      </tp>
      <tp t="s">
        <v>#N/A N/A</v>
        <stp/>
        <stp>BDP|16278839298294450080</stp>
        <tr r="H481" s="2"/>
      </tp>
      <tp t="s">
        <v>#N/A N/A</v>
        <stp/>
        <stp>BDP|18437890926834711592</stp>
        <tr r="S47" s="2"/>
      </tp>
      <tp t="s">
        <v>#N/A N/A</v>
        <stp/>
        <stp>BDS|14269536864457688354</stp>
        <tr r="I1480" s="2"/>
      </tp>
      <tp t="s">
        <v>#N/A N/A</v>
        <stp/>
        <stp>BDP|12809683529402874748</stp>
        <tr r="R1519" s="2"/>
      </tp>
      <tp t="s">
        <v>#N/A N/A</v>
        <stp/>
        <stp>BDP|10805735818176391355</stp>
        <tr r="E380" s="2"/>
      </tp>
      <tp t="s">
        <v>#N/A N/A</v>
        <stp/>
        <stp>BDP|13158360207380194347</stp>
        <tr r="F1617" s="2"/>
      </tp>
      <tp t="s">
        <v>#N/A N/A</v>
        <stp/>
        <stp>BDP|16781486516910983057</stp>
        <tr r="A906" s="2"/>
      </tp>
      <tp t="s">
        <v>#N/A N/A</v>
        <stp/>
        <stp>BDS|14342059423332688759</stp>
        <tr r="I66" s="2"/>
      </tp>
      <tp t="s">
        <v>#N/A N/A</v>
        <stp/>
        <stp>BDP|12683727904571134746</stp>
        <tr r="E1585" s="2"/>
      </tp>
      <tp t="s">
        <v>#N/A N/A</v>
        <stp/>
        <stp>BDP|16038219269576424792</stp>
        <tr r="E1413" s="2"/>
      </tp>
      <tp t="s">
        <v>#N/A N/A</v>
        <stp/>
        <stp>BDP|18367469657133149965</stp>
        <tr r="C725" s="2"/>
      </tp>
      <tp t="s">
        <v>#N/A N/A</v>
        <stp/>
        <stp>BDP|10186337124430157221</stp>
        <tr r="K1410" s="2"/>
      </tp>
      <tp t="s">
        <v>#N/A N/A</v>
        <stp/>
        <stp>BDP|17018472800971525177</stp>
        <tr r="P150" s="2"/>
      </tp>
      <tp t="s">
        <v>#N/A N/A</v>
        <stp/>
        <stp>BDP|13399027301039791929</stp>
        <tr r="H294" s="2"/>
      </tp>
      <tp t="s">
        <v>#N/A N/A</v>
        <stp/>
        <stp>BDP|14656741644892442676</stp>
        <tr r="S1135" s="2"/>
      </tp>
      <tp t="s">
        <v>#N/A N/A</v>
        <stp/>
        <stp>BDP|11612646640822031272</stp>
        <tr r="S1458" s="2"/>
      </tp>
      <tp t="s">
        <v>#N/A N/A</v>
        <stp/>
        <stp>BDP|10638643611862066663</stp>
        <tr r="H1597" s="2"/>
      </tp>
      <tp t="s">
        <v>#N/A N/A</v>
        <stp/>
        <stp>BDP|13528649234134513156</stp>
        <tr r="H868" s="2"/>
      </tp>
      <tp t="s">
        <v>#N/A N/A</v>
        <stp/>
        <stp>BDP|11254713164041236208</stp>
        <tr r="F699" s="2"/>
      </tp>
      <tp t="s">
        <v>#N/A N/A</v>
        <stp/>
        <stp>BDP|15458986965548824149</stp>
        <tr r="D1062" s="2"/>
      </tp>
      <tp t="s">
        <v>#N/A N/A</v>
        <stp/>
        <stp>BDP|14557522498318200389</stp>
        <tr r="S1692" s="2"/>
      </tp>
      <tp t="s">
        <v>#N/A N/A</v>
        <stp/>
        <stp>BDP|16278667212574411678</stp>
        <tr r="H958" s="2"/>
      </tp>
      <tp t="s">
        <v>#N/A N/A</v>
        <stp/>
        <stp>BDP|14308111844282762049</stp>
        <tr r="Q334" s="2"/>
      </tp>
      <tp t="s">
        <v>#N/A N/A</v>
        <stp/>
        <stp>BDP|11178514279946879641</stp>
        <tr r="T125" s="2"/>
      </tp>
      <tp t="s">
        <v>#N/A N/A</v>
        <stp/>
        <stp>BDP|18362415258912742882</stp>
        <tr r="G1129" s="2"/>
      </tp>
      <tp t="s">
        <v>#N/A N/A</v>
        <stp/>
        <stp>BDP|16033567403391522156</stp>
        <tr r="J1528" s="2"/>
      </tp>
      <tp t="s">
        <v>#N/A N/A</v>
        <stp/>
        <stp>BDP|17746210733482356736</stp>
        <tr r="K253" s="2"/>
      </tp>
      <tp t="s">
        <v>#N/A N/A</v>
        <stp/>
        <stp>BDP|11478654677321564265</stp>
        <tr r="Q946" s="2"/>
      </tp>
      <tp t="s">
        <v>#N/A N/A</v>
        <stp/>
        <stp>BDP|15522220147502302264</stp>
        <tr r="F872" s="2"/>
      </tp>
      <tp t="s">
        <v>#N/A N/A</v>
        <stp/>
        <stp>BDP|15288439697642549960</stp>
        <tr r="E1366" s="2"/>
      </tp>
      <tp t="s">
        <v>#N/A N/A</v>
        <stp/>
        <stp>BDP|11913706122431915670</stp>
        <tr r="O883" s="2"/>
      </tp>
      <tp t="s">
        <v>#N/A N/A</v>
        <stp/>
        <stp>BDP|12424640731566063243</stp>
        <tr r="T1134" s="2"/>
      </tp>
      <tp t="s">
        <v>#N/A N/A</v>
        <stp/>
        <stp>BDP|11395469271820380121</stp>
        <tr r="J595" s="2"/>
      </tp>
      <tp t="s">
        <v>#N/A N/A</v>
        <stp/>
        <stp>BDP|16329273123290777555</stp>
        <tr r="D247" s="2"/>
      </tp>
      <tp t="s">
        <v>#N/A N/A</v>
        <stp/>
        <stp>BDP|11996992490880578205</stp>
        <tr r="C803" s="2"/>
      </tp>
      <tp t="s">
        <v>#N/A N/A</v>
        <stp/>
        <stp>BDP|15838485150130028754</stp>
        <tr r="Q441" s="2"/>
      </tp>
      <tp t="s">
        <v>#N/A N/A</v>
        <stp/>
        <stp>BDP|11552279739172698184</stp>
        <tr r="M949" s="2"/>
      </tp>
      <tp t="s">
        <v>#N/A N/A</v>
        <stp/>
        <stp>BDP|12130314465361378533</stp>
        <tr r="M991" s="2"/>
      </tp>
      <tp t="s">
        <v>#N/A N/A</v>
        <stp/>
        <stp>BDP|12853940643279328595</stp>
        <tr r="P1638" s="2"/>
      </tp>
      <tp t="s">
        <v>#N/A N/A</v>
        <stp/>
        <stp>BDP|14612371202151560537</stp>
        <tr r="K1418" s="2"/>
      </tp>
      <tp t="s">
        <v>#N/A N/A</v>
        <stp/>
        <stp>BDP|12283447504152684716</stp>
        <tr r="J333" s="2"/>
      </tp>
      <tp t="s">
        <v>#N/A N/A</v>
        <stp/>
        <stp>BDP|17801012086488855424</stp>
        <tr r="M561" s="2"/>
      </tp>
      <tp t="s">
        <v>#N/A N/A</v>
        <stp/>
        <stp>BDP|10293746515883459625</stp>
        <tr r="C1264" s="2"/>
      </tp>
      <tp t="s">
        <v>#N/A N/A</v>
        <stp/>
        <stp>BDP|14874169269565583574</stp>
        <tr r="C1359" s="2"/>
      </tp>
      <tp t="s">
        <v>#N/A N/A</v>
        <stp/>
        <stp>BDP|13161997358774137842</stp>
        <tr r="K1353" s="2"/>
      </tp>
      <tp t="s">
        <v>#N/A N/A</v>
        <stp/>
        <stp>BDP|14022723271780334753</stp>
        <tr r="H1442" s="2"/>
      </tp>
      <tp t="s">
        <v>#N/A N/A</v>
        <stp/>
        <stp>BDP|16258065702772437772</stp>
        <tr r="J1156" s="2"/>
      </tp>
      <tp t="s">
        <v>#N/A N/A</v>
        <stp/>
        <stp>BDP|11718418807287783135</stp>
        <tr r="A216" s="2"/>
      </tp>
      <tp t="s">
        <v>#N/A N/A</v>
        <stp/>
        <stp>BDP|16240113312117558215</stp>
        <tr r="C566" s="2"/>
      </tp>
      <tp t="s">
        <v>#N/A N/A</v>
        <stp/>
        <stp>BDS|12684738457791413200</stp>
        <tr r="I1661" s="2"/>
      </tp>
      <tp t="s">
        <v>#N/A N/A</v>
        <stp/>
        <stp>BDP|11774974423320107976</stp>
        <tr r="R192" s="2"/>
      </tp>
      <tp t="s">
        <v>#N/A N/A</v>
        <stp/>
        <stp>BDP|14138115616581263613</stp>
        <tr r="R1282" s="2"/>
      </tp>
      <tp t="s">
        <v>#N/A N/A</v>
        <stp/>
        <stp>BDP|16117701649700924643</stp>
        <tr r="F1023" s="2"/>
      </tp>
      <tp t="s">
        <v>#N/A N/A</v>
        <stp/>
        <stp>BDP|13065530203614551103</stp>
        <tr r="R1302" s="2"/>
      </tp>
      <tp t="s">
        <v>#N/A N/A</v>
        <stp/>
        <stp>BDP|10759828997820004273</stp>
        <tr r="N1200" s="2"/>
      </tp>
      <tp t="s">
        <v>#N/A N/A</v>
        <stp/>
        <stp>BDP|12733705869682262290</stp>
        <tr r="N56" s="2"/>
      </tp>
      <tp t="s">
        <v>#N/A N/A</v>
        <stp/>
        <stp>BDP|11383347203280385120</stp>
        <tr r="R1288" s="2"/>
      </tp>
      <tp t="s">
        <v>#N/A N/A</v>
        <stp/>
        <stp>BDP|15565658437780795355</stp>
        <tr r="C1133" s="2"/>
      </tp>
      <tp t="s">
        <v>#N/A N/A</v>
        <stp/>
        <stp>BDP|10756776145593811382</stp>
        <tr r="T1570" s="2"/>
      </tp>
      <tp t="s">
        <v>#N/A N/A</v>
        <stp/>
        <stp>BDP|10414016002595510677</stp>
        <tr r="A696" s="2"/>
      </tp>
      <tp t="s">
        <v>#N/A N/A</v>
        <stp/>
        <stp>BDP|13879923589205419423</stp>
        <tr r="R863" s="2"/>
      </tp>
      <tp t="s">
        <v>#N/A N/A</v>
        <stp/>
        <stp>BDP|16020741084672017850</stp>
        <tr r="M1712" s="2"/>
      </tp>
      <tp t="s">
        <v>#N/A N/A</v>
        <stp/>
        <stp>BDS|10728260365772571569</stp>
        <tr r="I207" s="2"/>
      </tp>
      <tp t="s">
        <v>#N/A N/A</v>
        <stp/>
        <stp>BDP|10606625913804430075</stp>
        <tr r="P935" s="2"/>
      </tp>
      <tp t="s">
        <v>#N/A N/A</v>
        <stp/>
        <stp>BDP|11425848867238630450</stp>
        <tr r="M998" s="2"/>
      </tp>
      <tp t="s">
        <v>#N/A N/A</v>
        <stp/>
        <stp>BDP|14302049887568206767</stp>
        <tr r="C1478" s="2"/>
      </tp>
      <tp t="s">
        <v>#N/A N/A</v>
        <stp/>
        <stp>BDP|10999758182998955436</stp>
        <tr r="A1239" s="2"/>
      </tp>
      <tp t="s">
        <v>#N/A N/A</v>
        <stp/>
        <stp>BDP|13319254111086091537</stp>
        <tr r="P1655" s="2"/>
      </tp>
      <tp t="s">
        <v>#N/A N/A</v>
        <stp/>
        <stp>BDP|13237041054556242348</stp>
        <tr r="P447" s="2"/>
      </tp>
      <tp t="s">
        <v>#N/A N/A</v>
        <stp/>
        <stp>BDP|14318254373302144008</stp>
        <tr r="O1743" s="2"/>
      </tp>
      <tp t="s">
        <v>#N/A N/A</v>
        <stp/>
        <stp>BDP|16688743031479626817</stp>
        <tr r="C700" s="2"/>
      </tp>
      <tp t="s">
        <v>#N/A N/A</v>
        <stp/>
        <stp>BDP|15252337960964475716</stp>
        <tr r="J1259" s="2"/>
      </tp>
      <tp t="s">
        <v>#N/A N/A</v>
        <stp/>
        <stp>BDS|14155530134378443958</stp>
        <tr r="I317" s="2"/>
      </tp>
      <tp t="s">
        <v>#N/A N/A</v>
        <stp/>
        <stp>BDP|15829954149249781275</stp>
        <tr r="F972" s="2"/>
      </tp>
      <tp t="s">
        <v>#N/A N/A</v>
        <stp/>
        <stp>BDP|10423439235663438727</stp>
        <tr r="P238" s="2"/>
      </tp>
      <tp t="s">
        <v>#N/A N/A</v>
        <stp/>
        <stp>BDP|15645672851410532518</stp>
        <tr r="T197" s="2"/>
      </tp>
      <tp t="s">
        <v>#N/A N/A</v>
        <stp/>
        <stp>BDP|13869253811240884306</stp>
        <tr r="C377" s="2"/>
      </tp>
      <tp t="s">
        <v>#N/A N/A</v>
        <stp/>
        <stp>BDP|17181384660209966841</stp>
        <tr r="N882" s="2"/>
      </tp>
      <tp t="s">
        <v>#N/A N/A</v>
        <stp/>
        <stp>BDP|16387205236514467057</stp>
        <tr r="J1566" s="2"/>
      </tp>
      <tp t="s">
        <v>#N/A N/A</v>
        <stp/>
        <stp>BDP|12197819834439587354</stp>
        <tr r="E1534" s="2"/>
      </tp>
      <tp t="s">
        <v>#N/A N/A</v>
        <stp/>
        <stp>BDP|15157945867891135873</stp>
        <tr r="S326" s="2"/>
      </tp>
      <tp t="s">
        <v>#N/A N/A</v>
        <stp/>
        <stp>BDP|15769296629357780144</stp>
        <tr r="K1641" s="2"/>
      </tp>
      <tp t="s">
        <v>#N/A N/A</v>
        <stp/>
        <stp>BDP|17469543768631959659</stp>
        <tr r="T1351" s="2"/>
      </tp>
      <tp t="s">
        <v>#N/A N/A</v>
        <stp/>
        <stp>BDP|11401775727652042508</stp>
        <tr r="S566" s="2"/>
      </tp>
      <tp t="s">
        <v>#N/A N/A</v>
        <stp/>
        <stp>BDP|13453407172066194534</stp>
        <tr r="M1003" s="2"/>
      </tp>
      <tp t="s">
        <v>#N/A N/A</v>
        <stp/>
        <stp>BDP|12634208744245415227</stp>
        <tr r="F547" s="2"/>
      </tp>
      <tp t="s">
        <v>#N/A N/A</v>
        <stp/>
        <stp>BDP|17256631766240695451</stp>
        <tr r="S1214" s="2"/>
      </tp>
      <tp t="s">
        <v>#N/A N/A</v>
        <stp/>
        <stp>BDP|17348055517076579308</stp>
        <tr r="M1699" s="2"/>
      </tp>
      <tp t="s">
        <v>#N/A N/A</v>
        <stp/>
        <stp>BDP|15848087721343297774</stp>
        <tr r="J1686" s="2"/>
      </tp>
      <tp t="s">
        <v>#N/A N/A</v>
        <stp/>
        <stp>BDP|18388280595213322395</stp>
        <tr r="D570" s="2"/>
      </tp>
      <tp t="s">
        <v>#N/A N/A</v>
        <stp/>
        <stp>BDP|10451326506060495007</stp>
        <tr r="M1142" s="2"/>
      </tp>
      <tp t="s">
        <v>#N/A N/A</v>
        <stp/>
        <stp>BDP|12624744967554275438</stp>
        <tr r="R668" s="2"/>
      </tp>
      <tp t="s">
        <v>#N/A N/A</v>
        <stp/>
        <stp>BDP|15492702513288172822</stp>
        <tr r="F773" s="2"/>
      </tp>
      <tp t="s">
        <v>#N/A N/A</v>
        <stp/>
        <stp>BDP|16012519426416138423</stp>
        <tr r="E505" s="2"/>
      </tp>
      <tp t="s">
        <v>#N/A N/A</v>
        <stp/>
        <stp>BDP|13992582728594839351</stp>
        <tr r="A249" s="2"/>
      </tp>
      <tp t="s">
        <v>#N/A N/A</v>
        <stp/>
        <stp>BDP|16511532640066296206</stp>
        <tr r="F907" s="2"/>
      </tp>
      <tp t="s">
        <v>#N/A N/A</v>
        <stp/>
        <stp>BDP|14005263167552697133</stp>
        <tr r="E1269" s="2"/>
      </tp>
      <tp t="s">
        <v>#N/A N/A</v>
        <stp/>
        <stp>BDP|13530818893155695450</stp>
        <tr r="C111" s="2"/>
      </tp>
      <tp t="s">
        <v>#N/A N/A</v>
        <stp/>
        <stp>BDP|11246697024616262090</stp>
        <tr r="H970" s="2"/>
      </tp>
      <tp t="s">
        <v>#N/A N/A</v>
        <stp/>
        <stp>BDP|10372656291268234413</stp>
        <tr r="C930" s="2"/>
      </tp>
      <tp t="s">
        <v>#N/A N/A</v>
        <stp/>
        <stp>BDP|11800926751227728984</stp>
        <tr r="E1656" s="2"/>
      </tp>
      <tp t="s">
        <v>#N/A N/A</v>
        <stp/>
        <stp>BDP|11615331657236081268</stp>
        <tr r="K1466" s="2"/>
      </tp>
      <tp t="s">
        <v>#N/A N/A</v>
        <stp/>
        <stp>BDP|16257075665643546010</stp>
        <tr r="K1454" s="2"/>
      </tp>
      <tp t="s">
        <v>#N/A N/A</v>
        <stp/>
        <stp>BDP|12555363739343659281</stp>
        <tr r="O1501" s="2"/>
      </tp>
      <tp t="s">
        <v>#N/A N/A</v>
        <stp/>
        <stp>BDP|12183229241801289640</stp>
        <tr r="T111" s="2"/>
      </tp>
      <tp t="s">
        <v>#N/A N/A</v>
        <stp/>
        <stp>BDP|16960498681568695133</stp>
        <tr r="H751" s="2"/>
      </tp>
      <tp t="s">
        <v>#N/A N/A</v>
        <stp/>
        <stp>BDP|12681657005901217606</stp>
        <tr r="A738" s="2"/>
      </tp>
      <tp t="s">
        <v>#N/A N/A</v>
        <stp/>
        <stp>BDP|15433227404990351458</stp>
        <tr r="P1674" s="2"/>
      </tp>
      <tp t="s">
        <v>#N/A N/A</v>
        <stp/>
        <stp>BDP|13186219664264458046</stp>
        <tr r="J1438" s="2"/>
      </tp>
      <tp t="s">
        <v>#N/A N/A</v>
        <stp/>
        <stp>BDP|15558507550500044613</stp>
        <tr r="J1128" s="2"/>
      </tp>
      <tp t="s">
        <v>#N/A N/A</v>
        <stp/>
        <stp>BDP|15918790104498248921</stp>
        <tr r="H397" s="2"/>
      </tp>
      <tp t="s">
        <v>#N/A N/A</v>
        <stp/>
        <stp>BDP|17612379945534193714</stp>
        <tr r="S559" s="2"/>
      </tp>
      <tp t="s">
        <v>#N/A N/A</v>
        <stp/>
        <stp>BDP|12308386947677123192</stp>
        <tr r="J991" s="2"/>
      </tp>
      <tp t="s">
        <v>#N/A N/A</v>
        <stp/>
        <stp>BDP|15217463331182721366</stp>
        <tr r="Q384" s="2"/>
      </tp>
      <tp t="s">
        <v>#N/A N/A</v>
        <stp/>
        <stp>BDP|13742016962451717770</stp>
        <tr r="T239" s="2"/>
      </tp>
      <tp t="s">
        <v>#N/A N/A</v>
        <stp/>
        <stp>BDP|17702671124369126917</stp>
        <tr r="R879" s="2"/>
      </tp>
      <tp t="s">
        <v>#N/A N/A</v>
        <stp/>
        <stp>BDP|13821359728931667073</stp>
        <tr r="E916" s="2"/>
      </tp>
      <tp t="s">
        <v>#N/A N/A</v>
        <stp/>
        <stp>BDP|15672284208374225005</stp>
        <tr r="M558" s="2"/>
      </tp>
      <tp t="s">
        <v>#N/A N/A</v>
        <stp/>
        <stp>BDP|11574252404970439049</stp>
        <tr r="G646" s="2"/>
      </tp>
      <tp t="s">
        <v>#N/A N/A</v>
        <stp/>
        <stp>BDP|16895139029896197077</stp>
        <tr r="S543" s="2"/>
      </tp>
      <tp t="s">
        <v>#N/A N/A</v>
        <stp/>
        <stp>BDP|17169312515156578044</stp>
        <tr r="G1198" s="2"/>
      </tp>
      <tp t="s">
        <v>#N/A N/A</v>
        <stp/>
        <stp>BDP|11935366654131632591</stp>
        <tr r="G498" s="2"/>
      </tp>
      <tp t="s">
        <v>#N/A N/A</v>
        <stp/>
        <stp>BDP|16230495415182233281</stp>
        <tr r="S1527" s="2"/>
      </tp>
      <tp t="s">
        <v>#N/A N/A</v>
        <stp/>
        <stp>BDP|15448527363505840097</stp>
        <tr r="T155" s="2"/>
      </tp>
      <tp t="s">
        <v>#N/A N/A</v>
        <stp/>
        <stp>BDP|17431465307301133103</stp>
        <tr r="K144" s="2"/>
      </tp>
      <tp t="s">
        <v>#N/A N/A</v>
        <stp/>
        <stp>BDP|13247707920096635305</stp>
        <tr r="J1099" s="2"/>
      </tp>
      <tp t="s">
        <v>#N/A N/A</v>
        <stp/>
        <stp>BDP|14007269159729226999</stp>
        <tr r="C1653" s="2"/>
      </tp>
      <tp t="s">
        <v>#N/A N/A</v>
        <stp/>
        <stp>BDP|10203439268142489394</stp>
        <tr r="E1031" s="2"/>
      </tp>
      <tp t="s">
        <v>#N/A N/A</v>
        <stp/>
        <stp>BDP|10438502511812783565</stp>
        <tr r="T1474" s="2"/>
      </tp>
      <tp t="s">
        <v>#N/A N/A</v>
        <stp/>
        <stp>BDP|17374452934551276243</stp>
        <tr r="M478" s="2"/>
      </tp>
      <tp t="s">
        <v>#N/A N/A</v>
        <stp/>
        <stp>BDP|12314747737635573013</stp>
        <tr r="Q1314" s="2"/>
      </tp>
      <tp t="s">
        <v>#N/A N/A</v>
        <stp/>
        <stp>BDP|14508068671659198973</stp>
        <tr r="E1384" s="2"/>
      </tp>
      <tp t="s">
        <v>#N/A N/A</v>
        <stp/>
        <stp>BDP|13613118715314099458</stp>
        <tr r="E1443" s="2"/>
      </tp>
      <tp t="s">
        <v>#N/A N/A</v>
        <stp/>
        <stp>BDP|15598201884575208946</stp>
        <tr r="Q745" s="2"/>
      </tp>
      <tp t="s">
        <v>#N/A N/A</v>
        <stp/>
        <stp>BDP|14603308233066079124</stp>
        <tr r="R735" s="2"/>
      </tp>
      <tp t="s">
        <v>#N/A N/A</v>
        <stp/>
        <stp>BDP|18386842954907111159</stp>
        <tr r="R1341" s="2"/>
      </tp>
      <tp t="s">
        <v>#N/A N/A</v>
        <stp/>
        <stp>BDP|12220689712117712180</stp>
        <tr r="M1706" s="2"/>
      </tp>
      <tp t="s">
        <v>#N/A N/A</v>
        <stp/>
        <stp>BDP|10976260023513984021</stp>
        <tr r="F426" s="2"/>
      </tp>
      <tp t="s">
        <v>#N/A N/A</v>
        <stp/>
        <stp>BDP|11184202784199725153</stp>
        <tr r="F467" s="2"/>
      </tp>
      <tp t="s">
        <v>#N/A N/A</v>
        <stp/>
        <stp>BDP|10096337443490543424</stp>
        <tr r="J316" s="2"/>
      </tp>
      <tp t="s">
        <v>#N/A N/A</v>
        <stp/>
        <stp>BDP|15202343082815420873</stp>
        <tr r="C1717" s="2"/>
      </tp>
      <tp t="s">
        <v>#N/A N/A</v>
        <stp/>
        <stp>BDP|15766815323804716850</stp>
        <tr r="P339" s="2"/>
      </tp>
      <tp t="s">
        <v>#N/A N/A</v>
        <stp/>
        <stp>BDP|18357872062596757368</stp>
        <tr r="T1160" s="2"/>
      </tp>
      <tp t="s">
        <v>#N/A N/A</v>
        <stp/>
        <stp>BDP|17879192602994561115</stp>
        <tr r="O1639" s="2"/>
      </tp>
      <tp t="s">
        <v>#N/A N/A</v>
        <stp/>
        <stp>BDP|14985006738600074460</stp>
        <tr r="M113" s="2"/>
      </tp>
      <tp t="s">
        <v>#N/A N/A</v>
        <stp/>
        <stp>BDP|15762226604461584533</stp>
        <tr r="H1160" s="2"/>
      </tp>
      <tp t="s">
        <v>#N/A N/A</v>
        <stp/>
        <stp>BDP|14420052911887270150</stp>
        <tr r="Q626" s="2"/>
      </tp>
      <tp t="s">
        <v>#N/A N/A</v>
        <stp/>
        <stp>BDP|17213140443558323919</stp>
        <tr r="O48" s="2"/>
      </tp>
      <tp t="s">
        <v>#N/A N/A</v>
        <stp/>
        <stp>BDP|11893773139571267736</stp>
        <tr r="T1609" s="2"/>
      </tp>
      <tp t="s">
        <v>#N/A N/A</v>
        <stp/>
        <stp>BDP|16188061102401254406</stp>
        <tr r="J1473" s="2"/>
      </tp>
      <tp t="s">
        <v>#N/A N/A</v>
        <stp/>
        <stp>BDP|10330164500402499064</stp>
        <tr r="A681" s="2"/>
      </tp>
      <tp t="s">
        <v>#N/A N/A</v>
        <stp/>
        <stp>BDP|16997860784461556496</stp>
        <tr r="C680" s="2"/>
      </tp>
      <tp t="s">
        <v>#N/A N/A</v>
        <stp/>
        <stp>BDS|17367679193172781948</stp>
        <tr r="I774" s="2"/>
      </tp>
      <tp t="s">
        <v>#N/A N/A</v>
        <stp/>
        <stp>BDS|14446945991863210475</stp>
        <tr r="I596" s="2"/>
      </tp>
      <tp t="s">
        <v>#N/A N/A</v>
        <stp/>
        <stp>BDP|17023362777676588633</stp>
        <tr r="C6" s="2"/>
      </tp>
      <tp t="s">
        <v>#N/A N/A</v>
        <stp/>
        <stp>BDP|17666219294539110656</stp>
        <tr r="T1360" s="2"/>
      </tp>
      <tp t="s">
        <v>#N/A N/A</v>
        <stp/>
        <stp>BDP|17531166873226725409</stp>
        <tr r="S1314" s="2"/>
      </tp>
      <tp t="s">
        <v>#N/A N/A</v>
        <stp/>
        <stp>BDP|12793619260360093116</stp>
        <tr r="F1225" s="2"/>
      </tp>
      <tp t="s">
        <v>#N/A N/A</v>
        <stp/>
        <stp>BDP|11706225134426253548</stp>
        <tr r="Q172" s="2"/>
      </tp>
      <tp t="s">
        <v>#N/A N/A</v>
        <stp/>
        <stp>BDP|14252214175571308327</stp>
        <tr r="R22" s="2"/>
      </tp>
      <tp t="s">
        <v>#N/A N/A</v>
        <stp/>
        <stp>BDP|16323248235831616530</stp>
        <tr r="A1344" s="2"/>
      </tp>
      <tp t="s">
        <v>#N/A N/A</v>
        <stp/>
        <stp>BDP|16066107666120775264</stp>
        <tr r="O121" s="2"/>
      </tp>
      <tp t="s">
        <v>#N/A N/A</v>
        <stp/>
        <stp>BDP|17677054473200762304</stp>
        <tr r="D1516" s="2"/>
      </tp>
      <tp t="s">
        <v>#N/A N/A</v>
        <stp/>
        <stp>BDS|13261534376076545465</stp>
        <tr r="I435" s="2"/>
      </tp>
      <tp t="s">
        <v>#N/A N/A</v>
        <stp/>
        <stp>BDP|10587925899154056798</stp>
        <tr r="G174" s="2"/>
      </tp>
      <tp t="s">
        <v>#N/A N/A</v>
        <stp/>
        <stp>BDP|13669885084263453395</stp>
        <tr r="C1580" s="2"/>
      </tp>
      <tp t="s">
        <v>#N/A N/A</v>
        <stp/>
        <stp>BDP|10479423570824347429</stp>
        <tr r="M401" s="2"/>
      </tp>
      <tp t="s">
        <v>#N/A N/A</v>
        <stp/>
        <stp>BDP|18244614595386541246</stp>
        <tr r="F429" s="2"/>
      </tp>
      <tp t="s">
        <v>#N/A N/A</v>
        <stp/>
        <stp>BDP|13319134265091438667</stp>
        <tr r="E335" s="2"/>
      </tp>
      <tp t="s">
        <v>#N/A N/A</v>
        <stp/>
        <stp>BDP|13961566560496158590</stp>
        <tr r="N415" s="2"/>
      </tp>
      <tp t="s">
        <v>#N/A N/A</v>
        <stp/>
        <stp>BDP|11599574926043584664</stp>
        <tr r="E1357" s="2"/>
      </tp>
      <tp t="s">
        <v>#N/A N/A</v>
        <stp/>
        <stp>BDP|14020599132967535690</stp>
        <tr r="Q538" s="2"/>
      </tp>
      <tp t="s">
        <v>#N/A N/A</v>
        <stp/>
        <stp>BDP|15302308566000405369</stp>
        <tr r="N30" s="2"/>
      </tp>
      <tp t="s">
        <v>#N/A N/A</v>
        <stp/>
        <stp>BDP|10908223428754606724</stp>
        <tr r="P1688" s="2"/>
      </tp>
      <tp t="s">
        <v>#N/A N/A</v>
        <stp/>
        <stp>BDP|12920086579074674293</stp>
        <tr r="Q1047" s="2"/>
      </tp>
      <tp t="s">
        <v>#N/A N/A</v>
        <stp/>
        <stp>BDP|15921241622342112491</stp>
        <tr r="G1164" s="2"/>
      </tp>
      <tp t="s">
        <v>#N/A N/A</v>
        <stp/>
        <stp>BDP|10050904597134214721</stp>
        <tr r="G220" s="2"/>
      </tp>
      <tp t="s">
        <v>#N/A N/A</v>
        <stp/>
        <stp>BDP|15404696039806109529</stp>
        <tr r="Q1496" s="2"/>
      </tp>
      <tp t="s">
        <v>#N/A N/A</v>
        <stp/>
        <stp>BDP|10313802657226428874</stp>
        <tr r="S371" s="2"/>
      </tp>
      <tp t="s">
        <v>#N/A N/A</v>
        <stp/>
        <stp>BDP|17049192804483972632</stp>
        <tr r="M1321" s="2"/>
      </tp>
      <tp t="s">
        <v>#N/A N/A</v>
        <stp/>
        <stp>BDP|12083650803370299735</stp>
        <tr r="O1228" s="2"/>
      </tp>
      <tp t="s">
        <v>#N/A N/A</v>
        <stp/>
        <stp>BDP|12107244051234183229</stp>
        <tr r="D1133" s="2"/>
      </tp>
      <tp t="s">
        <v>#N/A N/A</v>
        <stp/>
        <stp>BDP|17528345946433725076</stp>
        <tr r="M1377" s="2"/>
      </tp>
      <tp t="s">
        <v>#N/A N/A</v>
        <stp/>
        <stp>BDP|16976071578351910383</stp>
        <tr r="R105" s="2"/>
      </tp>
      <tp t="s">
        <v>#N/A N/A</v>
        <stp/>
        <stp>BDP|13006801141874573839</stp>
        <tr r="E1015" s="2"/>
      </tp>
      <tp t="s">
        <v>#N/A N/A</v>
        <stp/>
        <stp>BDS|11249366944000512514</stp>
        <tr r="I796" s="2"/>
      </tp>
      <tp t="s">
        <v>#N/A N/A</v>
        <stp/>
        <stp>BDP|14663461415490765253</stp>
        <tr r="R428" s="2"/>
      </tp>
      <tp t="s">
        <v>#N/A N/A</v>
        <stp/>
        <stp>BDP|13047799916587974119</stp>
        <tr r="G1331" s="2"/>
      </tp>
      <tp t="s">
        <v>#N/A N/A</v>
        <stp/>
        <stp>BDP|13430981959229266503</stp>
        <tr r="S1099" s="2"/>
      </tp>
      <tp t="s">
        <v>#N/A N/A</v>
        <stp/>
        <stp>BDP|15294617705362599241</stp>
        <tr r="M97" s="2"/>
      </tp>
      <tp t="s">
        <v>#N/A N/A</v>
        <stp/>
        <stp>BDP|10794801892927000524</stp>
        <tr r="A1311" s="2"/>
      </tp>
      <tp t="s">
        <v>#N/A N/A</v>
        <stp/>
        <stp>BDP|13084126435935436741</stp>
        <tr r="F342" s="2"/>
      </tp>
      <tp t="s">
        <v>#N/A N/A</v>
        <stp/>
        <stp>BDP|15700605291458774163</stp>
        <tr r="P789" s="2"/>
      </tp>
      <tp t="s">
        <v>#N/A N/A</v>
        <stp/>
        <stp>BDP|17265495910038432984</stp>
        <tr r="S255" s="2"/>
      </tp>
      <tp t="s">
        <v>#N/A N/A</v>
        <stp/>
        <stp>BDS|16755306934476067375</stp>
        <tr r="I717" s="2"/>
      </tp>
      <tp t="s">
        <v>#N/A N/A</v>
        <stp/>
        <stp>BDP|10699558404403402541</stp>
        <tr r="N1666" s="2"/>
      </tp>
      <tp t="s">
        <v>#N/A N/A</v>
        <stp/>
        <stp>BDP|10312210772795375345</stp>
        <tr r="M533" s="2"/>
      </tp>
      <tp t="s">
        <v>#N/A N/A</v>
        <stp/>
        <stp>BDP|15002162914173735524</stp>
        <tr r="O1670" s="2"/>
      </tp>
      <tp t="s">
        <v>#N/A N/A</v>
        <stp/>
        <stp>BDP|12500326387138275254</stp>
        <tr r="R1650" s="2"/>
      </tp>
      <tp t="s">
        <v>#N/A N/A</v>
        <stp/>
        <stp>BDP|15180286056016064793</stp>
        <tr r="K896" s="2"/>
      </tp>
      <tp t="s">
        <v>#N/A N/A</v>
        <stp/>
        <stp>BDP|11958283613292666329</stp>
        <tr r="T917" s="2"/>
      </tp>
      <tp t="s">
        <v>#N/A N/A</v>
        <stp/>
        <stp>BDP|16645213655171499305</stp>
        <tr r="M1117" s="2"/>
      </tp>
      <tp t="s">
        <v>#N/A N/A</v>
        <stp/>
        <stp>BDP|11371643919947064281</stp>
        <tr r="F765" s="2"/>
      </tp>
      <tp t="s">
        <v>#N/A N/A</v>
        <stp/>
        <stp>BDP|12843895455555577979</stp>
        <tr r="N1186" s="2"/>
      </tp>
      <tp t="s">
        <v>#N/A N/A</v>
        <stp/>
        <stp>BDP|16944373948500009208</stp>
        <tr r="J552" s="2"/>
      </tp>
      <tp t="s">
        <v>#N/A N/A</v>
        <stp/>
        <stp>BDP|12674120293858053110</stp>
        <tr r="O1506" s="2"/>
      </tp>
      <tp t="s">
        <v>#N/A N/A</v>
        <stp/>
        <stp>BDP|18291652547151582838</stp>
        <tr r="D1484" s="2"/>
      </tp>
      <tp t="s">
        <v>#N/A N/A</v>
        <stp/>
        <stp>BDP|11937719818540054463</stp>
        <tr r="A307" s="2"/>
      </tp>
      <tp t="s">
        <v>#N/A N/A</v>
        <stp/>
        <stp>BDP|11385606771792772137</stp>
        <tr r="S94" s="2"/>
      </tp>
      <tp t="s">
        <v>#N/A N/A</v>
        <stp/>
        <stp>BDP|18141079257837749908</stp>
        <tr r="K1002" s="2"/>
      </tp>
      <tp t="s">
        <v>#N/A N/A</v>
        <stp/>
        <stp>BDP|16338603551623190557</stp>
        <tr r="N1216" s="2"/>
      </tp>
      <tp t="s">
        <v>#N/A N/A</v>
        <stp/>
        <stp>BDP|15330818442239120373</stp>
        <tr r="Q422" s="2"/>
      </tp>
      <tp t="s">
        <v>#N/A N/A</v>
        <stp/>
        <stp>BDP|10597855065425034833</stp>
        <tr r="K667" s="2"/>
      </tp>
      <tp t="s">
        <v>#N/A N/A</v>
        <stp/>
        <stp>BDP|15469167551361155348</stp>
        <tr r="C273" s="2"/>
      </tp>
      <tp t="s">
        <v>#N/A N/A</v>
        <stp/>
        <stp>BDP|15411016424910211450</stp>
        <tr r="G273" s="2"/>
      </tp>
      <tp t="s">
        <v>#N/A N/A</v>
        <stp/>
        <stp>BDP|13218146854920086449</stp>
        <tr r="C1326" s="2"/>
      </tp>
      <tp t="s">
        <v>#N/A N/A</v>
        <stp/>
        <stp>BDP|14194778416823031265</stp>
        <tr r="H738" s="2"/>
      </tp>
      <tp t="s">
        <v>#N/A N/A</v>
        <stp/>
        <stp>BDP|12065520770884007740</stp>
        <tr r="D1598" s="2"/>
      </tp>
      <tp t="s">
        <v>#N/A N/A</v>
        <stp/>
        <stp>BDP|12620034377406058049</stp>
        <tr r="P421" s="2"/>
      </tp>
      <tp t="s">
        <v>#N/A N/A</v>
        <stp/>
        <stp>BDP|17295603174434666165</stp>
        <tr r="K437" s="2"/>
      </tp>
      <tp t="s">
        <v>#N/A N/A</v>
        <stp/>
        <stp>BDP|17306503481629100058</stp>
        <tr r="G1712" s="2"/>
      </tp>
      <tp t="s">
        <v>#N/A N/A</v>
        <stp/>
        <stp>BDP|14571711137582570108</stp>
        <tr r="T205" s="2"/>
      </tp>
      <tp t="s">
        <v>#N/A N/A</v>
        <stp/>
        <stp>BDP|16734390167428920869</stp>
        <tr r="K439" s="2"/>
      </tp>
      <tp t="s">
        <v>#N/A N/A</v>
        <stp/>
        <stp>BDP|12089639872845113564</stp>
        <tr r="N932" s="2"/>
      </tp>
      <tp t="s">
        <v>#N/A N/A</v>
        <stp/>
        <stp>BDP|15471735406876510727</stp>
        <tr r="K186" s="2"/>
      </tp>
      <tp t="s">
        <v>#N/A N/A</v>
        <stp/>
        <stp>BDP|15461269847843231317</stp>
        <tr r="G263" s="2"/>
      </tp>
      <tp t="s">
        <v>#N/A N/A</v>
        <stp/>
        <stp>BDP|12442836091724335435</stp>
        <tr r="T1014" s="2"/>
      </tp>
      <tp t="s">
        <v>#N/A N/A</v>
        <stp/>
        <stp>BDP|13548405463335053705</stp>
        <tr r="E38" s="2"/>
      </tp>
      <tp t="s">
        <v>#N/A N/A</v>
        <stp/>
        <stp>BDP|16725979392821208461</stp>
        <tr r="M1014" s="2"/>
      </tp>
      <tp t="s">
        <v>#N/A N/A</v>
        <stp/>
        <stp>BDP|12492158940770175463</stp>
        <tr r="C1185" s="2"/>
      </tp>
      <tp t="s">
        <v>#N/A N/A</v>
        <stp/>
        <stp>BDP|15498518726702464312</stp>
        <tr r="E1266" s="2"/>
      </tp>
      <tp t="s">
        <v>#N/A N/A</v>
        <stp/>
        <stp>BDP|17976370660127163692</stp>
        <tr r="S375" s="2"/>
      </tp>
      <tp t="s">
        <v>#N/A N/A</v>
        <stp/>
        <stp>BDS|12369003595581165924</stp>
        <tr r="I1413" s="2"/>
      </tp>
      <tp t="s">
        <v>#N/A N/A</v>
        <stp/>
        <stp>BDP|12601070550641470533</stp>
        <tr r="R734" s="2"/>
      </tp>
      <tp t="s">
        <v>#N/A N/A</v>
        <stp/>
        <stp>BDS|11918035079705542036</stp>
        <tr r="I1232" s="2"/>
      </tp>
      <tp t="s">
        <v>#N/A N/A</v>
        <stp/>
        <stp>BDP|10126003003027130453</stp>
        <tr r="J440" s="2"/>
      </tp>
      <tp t="s">
        <v>#N/A N/A</v>
        <stp/>
        <stp>BDP|16387570197251491812</stp>
        <tr r="F1621" s="2"/>
      </tp>
      <tp t="s">
        <v>#N/A N/A</v>
        <stp/>
        <stp>BDP|14106258739465859339</stp>
        <tr r="P1258" s="2"/>
      </tp>
      <tp t="s">
        <v>#N/A N/A</v>
        <stp/>
        <stp>BDP|13027762262027606640</stp>
        <tr r="Q1439" s="2"/>
      </tp>
      <tp t="s">
        <v>#N/A N/A</v>
        <stp/>
        <stp>BDP|17448538691999456140</stp>
        <tr r="S101" s="2"/>
      </tp>
      <tp t="s">
        <v>#N/A N/A</v>
        <stp/>
        <stp>BDP|14464176020477413315</stp>
        <tr r="M946" s="2"/>
      </tp>
      <tp t="s">
        <v>#N/A N/A</v>
        <stp/>
        <stp>BDP|17798673205281301308</stp>
        <tr r="M1387" s="2"/>
      </tp>
      <tp t="s">
        <v>#N/A N/A</v>
        <stp/>
        <stp>BDP|14912991935058158522</stp>
        <tr r="C940" s="2"/>
      </tp>
      <tp t="s">
        <v>#N/A N/A</v>
        <stp/>
        <stp>BDP|13226629665608483872</stp>
        <tr r="C1292" s="2"/>
      </tp>
      <tp t="s">
        <v>#N/A N/A</v>
        <stp/>
        <stp>BDP|12016856528963917828</stp>
        <tr r="C1165" s="2"/>
      </tp>
      <tp t="s">
        <v>#N/A N/A</v>
        <stp/>
        <stp>BDS|13392257365104713019</stp>
        <tr r="I942" s="2"/>
      </tp>
      <tp t="s">
        <v>#N/A N/A</v>
        <stp/>
        <stp>BDS|16004033451197305744</stp>
        <tr r="I1516" s="2"/>
      </tp>
      <tp t="s">
        <v>#N/A N/A</v>
        <stp/>
        <stp>BDP|12027417183995480802</stp>
        <tr r="Q1049" s="2"/>
      </tp>
      <tp t="s">
        <v>#N/A N/A</v>
        <stp/>
        <stp>BDP|12360111549144935043</stp>
        <tr r="D689" s="2"/>
      </tp>
      <tp t="s">
        <v>#N/A N/A</v>
        <stp/>
        <stp>BDP|12580958330728747315</stp>
        <tr r="J1273" s="2"/>
      </tp>
      <tp t="s">
        <v>#N/A N/A</v>
        <stp/>
        <stp>BDP|18054204898645668587</stp>
        <tr r="F152" s="2"/>
      </tp>
      <tp t="s">
        <v>#N/A N/A</v>
        <stp/>
        <stp>BDP|16630346999127548886</stp>
        <tr r="P1477" s="2"/>
      </tp>
      <tp t="s">
        <v>#N/A N/A</v>
        <stp/>
        <stp>BDP|15491664631266636539</stp>
        <tr r="C1182" s="2"/>
      </tp>
      <tp t="s">
        <v>#N/A N/A</v>
        <stp/>
        <stp>BDP|17112847236367566806</stp>
        <tr r="H291" s="2"/>
      </tp>
      <tp t="s">
        <v>#N/A N/A</v>
        <stp/>
        <stp>BDP|18067710353830025949</stp>
        <tr r="M134" s="2"/>
      </tp>
      <tp t="s">
        <v>#N/A N/A</v>
        <stp/>
        <stp>BDS|14559446785078124305</stp>
        <tr r="I413" s="2"/>
      </tp>
      <tp t="s">
        <v>#N/A N/A</v>
        <stp/>
        <stp>BDP|13547756941101111266</stp>
        <tr r="R185" s="2"/>
      </tp>
      <tp t="s">
        <v>#N/A N/A</v>
        <stp/>
        <stp>BDP|16054843174953725919</stp>
        <tr r="G1582" s="2"/>
      </tp>
      <tp t="s">
        <v>#N/A N/A</v>
        <stp/>
        <stp>BDP|16836677232791410209</stp>
        <tr r="H302" s="2"/>
      </tp>
      <tp t="s">
        <v>#N/A N/A</v>
        <stp/>
        <stp>BDP|12483569822996076394</stp>
        <tr r="H914" s="2"/>
      </tp>
      <tp t="s">
        <v>#N/A N/A</v>
        <stp/>
        <stp>BDP|10719881839442772988</stp>
        <tr r="T742" s="2"/>
      </tp>
      <tp t="s">
        <v>#N/A N/A</v>
        <stp/>
        <stp>BDP|16772436829985235560</stp>
        <tr r="E578" s="2"/>
      </tp>
      <tp t="s">
        <v>#N/A N/A</v>
        <stp/>
        <stp>BDP|13703711448255094571</stp>
        <tr r="C735" s="2"/>
      </tp>
      <tp t="s">
        <v>#N/A N/A</v>
        <stp/>
        <stp>BDP|15855568666874466258</stp>
        <tr r="G553" s="2"/>
      </tp>
      <tp t="s">
        <v>#N/A N/A</v>
        <stp/>
        <stp>BDP|11257467146666898737</stp>
        <tr r="T106" s="2"/>
      </tp>
      <tp t="s">
        <v>#N/A N/A</v>
        <stp/>
        <stp>BDP|16685680020815096773</stp>
        <tr r="C1235" s="2"/>
      </tp>
      <tp t="s">
        <v>#N/A N/A</v>
        <stp/>
        <stp>BDP|18428697375929616074</stp>
        <tr r="F947" s="2"/>
      </tp>
      <tp t="s">
        <v>#N/A N/A</v>
        <stp/>
        <stp>BDP|13190687953156274611</stp>
        <tr r="O94" s="2"/>
      </tp>
      <tp t="s">
        <v>#N/A N/A</v>
        <stp/>
        <stp>BDP|10966195739813462144</stp>
        <tr r="E1005" s="2"/>
      </tp>
      <tp t="s">
        <v>#N/A N/A</v>
        <stp/>
        <stp>BDP|18189353132771701984</stp>
        <tr r="S402" s="2"/>
      </tp>
      <tp t="s">
        <v>#N/A N/A</v>
        <stp/>
        <stp>BDP|14031240411154529398</stp>
        <tr r="E225" s="2"/>
      </tp>
      <tp t="s">
        <v>#N/A N/A</v>
        <stp/>
        <stp>BDP|13546539470105809474</stp>
        <tr r="K752" s="2"/>
      </tp>
      <tp t="s">
        <v>#N/A N/A</v>
        <stp/>
        <stp>BDS|14591346879260343016</stp>
        <tr r="I76" s="2"/>
      </tp>
      <tp t="s">
        <v>#N/A N/A</v>
        <stp/>
        <stp>BDP|15531178057768939950</stp>
        <tr r="C7" s="2"/>
      </tp>
      <tp t="s">
        <v>#N/A N/A</v>
        <stp/>
        <stp>BDP|18119835130707843439</stp>
        <tr r="S1125" s="2"/>
      </tp>
      <tp t="s">
        <v>#N/A N/A</v>
        <stp/>
        <stp>BDP|16109721979612285411</stp>
        <tr r="A163" s="2"/>
      </tp>
      <tp t="s">
        <v>#N/A N/A</v>
        <stp/>
        <stp>BDP|16055798797429576120</stp>
        <tr r="J1432" s="2"/>
      </tp>
      <tp t="s">
        <v>#N/A N/A</v>
        <stp/>
        <stp>BDP|11345935952495308888</stp>
        <tr r="H680" s="2"/>
      </tp>
      <tp t="s">
        <v>#N/A N/A</v>
        <stp/>
        <stp>BDP|10741694260422516228</stp>
        <tr r="O281" s="2"/>
      </tp>
      <tp t="s">
        <v>#N/A N/A</v>
        <stp/>
        <stp>BDP|15218177849596560609</stp>
        <tr r="P377" s="2"/>
      </tp>
      <tp t="s">
        <v>#N/A N/A</v>
        <stp/>
        <stp>BDP|11322324661773988705</stp>
        <tr r="A809" s="2"/>
      </tp>
      <tp t="s">
        <v>#N/A N/A</v>
        <stp/>
        <stp>BDP|14811970916975134917</stp>
        <tr r="R1153" s="2"/>
      </tp>
      <tp t="s">
        <v>#N/A N/A</v>
        <stp/>
        <stp>BDP|18247371058856578816</stp>
        <tr r="O41" s="2"/>
      </tp>
      <tp t="s">
        <v>#N/A N/A</v>
        <stp/>
        <stp>BDP|13513765688624563878</stp>
        <tr r="K704" s="2"/>
      </tp>
      <tp t="s">
        <v>#N/A N/A</v>
        <stp/>
        <stp>BDP|13964432379615836522</stp>
        <tr r="D1668" s="2"/>
      </tp>
      <tp t="s">
        <v>#N/A N/A</v>
        <stp/>
        <stp>BDS|10081568640660811144</stp>
        <tr r="I1662" s="2"/>
      </tp>
      <tp t="s">
        <v>#N/A N/A</v>
        <stp/>
        <stp>BDP|11523777976886860758</stp>
        <tr r="K87" s="2"/>
      </tp>
      <tp t="s">
        <v>#N/A N/A</v>
        <stp/>
        <stp>BDP|13966677018916999263</stp>
        <tr r="D652" s="2"/>
      </tp>
      <tp t="s">
        <v>#N/A N/A</v>
        <stp/>
        <stp>BDP|18335744228519208440</stp>
        <tr r="S1240" s="2"/>
      </tp>
      <tp t="s">
        <v>#N/A N/A</v>
        <stp/>
        <stp>BDP|12163969553119887754</stp>
        <tr r="J353" s="2"/>
      </tp>
      <tp t="s">
        <v>#N/A N/A</v>
        <stp/>
        <stp>BDP|16193201628880183619</stp>
        <tr r="O194" s="2"/>
      </tp>
      <tp t="s">
        <v>#N/A N/A</v>
        <stp/>
        <stp>BDP|17746386445506008636</stp>
        <tr r="M579" s="2"/>
      </tp>
      <tp t="s">
        <v>#N/A N/A</v>
        <stp/>
        <stp>BDP|11762617135740215486</stp>
        <tr r="H220" s="2"/>
      </tp>
      <tp t="s">
        <v>#N/A N/A</v>
        <stp/>
        <stp>BDP|13773013740553623492</stp>
        <tr r="J365" s="2"/>
      </tp>
      <tp t="s">
        <v>#N/A N/A</v>
        <stp/>
        <stp>BDP|10693839399269128840</stp>
        <tr r="M1042" s="2"/>
      </tp>
      <tp t="s">
        <v>#N/A N/A</v>
        <stp/>
        <stp>BDP|16864384423122371594</stp>
        <tr r="R15" s="2"/>
      </tp>
      <tp t="s">
        <v>#N/A N/A</v>
        <stp/>
        <stp>BDP|12775507858661279341</stp>
        <tr r="O1474" s="2"/>
      </tp>
      <tp t="s">
        <v>#N/A N/A</v>
        <stp/>
        <stp>BDP|14258349958870058276</stp>
        <tr r="Q1134" s="2"/>
      </tp>
      <tp t="s">
        <v>#N/A N/A</v>
        <stp/>
        <stp>BDP|16124087957066471535</stp>
        <tr r="J1393" s="2"/>
      </tp>
      <tp t="s">
        <v>#N/A N/A</v>
        <stp/>
        <stp>BDP|14634482229855974779</stp>
        <tr r="S1518" s="2"/>
      </tp>
      <tp t="s">
        <v>#N/A N/A</v>
        <stp/>
        <stp>BDP|17208567853434824366</stp>
        <tr r="J283" s="2"/>
      </tp>
      <tp t="s">
        <v>#N/A N/A</v>
        <stp/>
        <stp>BDP|12622995080060334353</stp>
        <tr r="M1456" s="2"/>
      </tp>
      <tp t="s">
        <v>#N/A N/A</v>
        <stp/>
        <stp>BDP|14454180787394411961</stp>
        <tr r="P1333" s="2"/>
      </tp>
      <tp t="s">
        <v>#N/A N/A</v>
        <stp/>
        <stp>BDP|12735335246167824233</stp>
        <tr r="F234" s="2"/>
      </tp>
      <tp t="s">
        <v>#N/A N/A</v>
        <stp/>
        <stp>BDP|16861065764723017333</stp>
        <tr r="Q915" s="2"/>
      </tp>
      <tp t="s">
        <v>#N/A N/A</v>
        <stp/>
        <stp>BDP|16874865727424076804</stp>
        <tr r="A424" s="2"/>
      </tp>
      <tp t="s">
        <v>#N/A N/A</v>
        <stp/>
        <stp>BDP|13973228027124390762</stp>
        <tr r="N141" s="2"/>
      </tp>
      <tp t="s">
        <v>#N/A N/A</v>
        <stp/>
        <stp>BDP|15739011661472608183</stp>
        <tr r="S1193" s="2"/>
      </tp>
      <tp t="s">
        <v>#N/A N/A</v>
        <stp/>
        <stp>BDP|17880463011880078261</stp>
        <tr r="Q1176" s="2"/>
      </tp>
      <tp t="s">
        <v>#N/A N/A</v>
        <stp/>
        <stp>BDP|18397929028862148118</stp>
        <tr r="F473" s="2"/>
      </tp>
      <tp t="s">
        <v>#N/A N/A</v>
        <stp/>
        <stp>BDP|18435924427605847601</stp>
        <tr r="F1359" s="2"/>
      </tp>
      <tp t="s">
        <v>#N/A N/A</v>
        <stp/>
        <stp>BDP|17469537948943269555</stp>
        <tr r="J7" s="2"/>
      </tp>
      <tp t="s">
        <v>#N/A N/A</v>
        <stp/>
        <stp>BDP|13111970687597186587</stp>
        <tr r="Q1213" s="2"/>
      </tp>
      <tp t="s">
        <v>#N/A N/A</v>
        <stp/>
        <stp>BDP|11517139268654775212</stp>
        <tr r="T1200" s="2"/>
      </tp>
      <tp t="s">
        <v>#N/A N/A</v>
        <stp/>
        <stp>BDP|17186131154286949574</stp>
        <tr r="J653" s="2"/>
      </tp>
      <tp t="s">
        <v>#N/A N/A</v>
        <stp/>
        <stp>BDP|12379389813199859981</stp>
        <tr r="H1691" s="2"/>
      </tp>
      <tp t="s">
        <v>#N/A N/A</v>
        <stp/>
        <stp>BDP|15655373084158481694</stp>
        <tr r="F1299" s="2"/>
      </tp>
      <tp t="s">
        <v>#N/A N/A</v>
        <stp/>
        <stp>BDP|18422090963288293642</stp>
        <tr r="G444" s="2"/>
      </tp>
      <tp t="s">
        <v>#N/A N/A</v>
        <stp/>
        <stp>BDP|14277041972761995252</stp>
        <tr r="O33" s="2"/>
      </tp>
      <tp t="s">
        <v>#N/A N/A</v>
        <stp/>
        <stp>BDP|16795423391092851945</stp>
        <tr r="P1635" s="2"/>
      </tp>
      <tp t="s">
        <v>#N/A N/A</v>
        <stp/>
        <stp>BDP|17859468447501291638</stp>
        <tr r="S341" s="2"/>
      </tp>
      <tp t="s">
        <v>#N/A N/A</v>
        <stp/>
        <stp>BDP|13579694764727745479</stp>
        <tr r="J1558" s="2"/>
      </tp>
      <tp t="s">
        <v>#N/A N/A</v>
        <stp/>
        <stp>BDP|10378116348883117631</stp>
        <tr r="A543" s="2"/>
      </tp>
      <tp t="s">
        <v>#N/A N/A</v>
        <stp/>
        <stp>BDP|13240104298558453369</stp>
        <tr r="E1687" s="2"/>
      </tp>
      <tp t="s">
        <v>#N/A N/A</v>
        <stp/>
        <stp>BDP|12247939720239953002</stp>
        <tr r="K64" s="2"/>
      </tp>
      <tp t="s">
        <v>#N/A N/A</v>
        <stp/>
        <stp>BDP|17758114619865505226</stp>
        <tr r="F204" s="2"/>
      </tp>
      <tp t="s">
        <v>#N/A N/A</v>
        <stp/>
        <stp>BDP|10305604929954756057</stp>
        <tr r="O122" s="2"/>
      </tp>
      <tp t="s">
        <v>#N/A N/A</v>
        <stp/>
        <stp>BDP|10094794081589472640</stp>
        <tr r="A1238" s="2"/>
      </tp>
      <tp t="s">
        <v>#N/A N/A</v>
        <stp/>
        <stp>BDP|17820728376481343675</stp>
        <tr r="Q1248" s="2"/>
      </tp>
      <tp t="s">
        <v>#N/A N/A</v>
        <stp/>
        <stp>BDP|14737788530024706404</stp>
        <tr r="Q898" s="2"/>
      </tp>
      <tp t="s">
        <v>#N/A N/A</v>
        <stp/>
        <stp>BDP|10827514156115318548</stp>
        <tr r="K1250" s="2"/>
      </tp>
      <tp t="s">
        <v>#N/A N/A</v>
        <stp/>
        <stp>BDP|10612537947862286388</stp>
        <tr r="Q1650" s="2"/>
      </tp>
      <tp t="s">
        <v>#N/A N/A</v>
        <stp/>
        <stp>BDP|13595891097710086239</stp>
        <tr r="O1671" s="2"/>
      </tp>
      <tp t="s">
        <v>#N/A N/A</v>
        <stp/>
        <stp>BDP|17645306603623823758</stp>
        <tr r="J1406" s="2"/>
      </tp>
      <tp t="s">
        <v>#N/A N/A</v>
        <stp/>
        <stp>BDP|16194007000782138487</stp>
        <tr r="E835" s="2"/>
      </tp>
      <tp t="s">
        <v>#N/A N/A</v>
        <stp/>
        <stp>BDP|16898678027680187212</stp>
        <tr r="E113" s="2"/>
      </tp>
      <tp t="s">
        <v>#N/A N/A</v>
        <stp/>
        <stp>BDP|11380092782389420047</stp>
        <tr r="N1215" s="2"/>
      </tp>
      <tp t="s">
        <v>#N/A N/A</v>
        <stp/>
        <stp>BDP|14107186572786485475</stp>
        <tr r="N1125" s="2"/>
      </tp>
      <tp t="s">
        <v>#N/A N/A</v>
        <stp/>
        <stp>BDP|11891220742275818286</stp>
        <tr r="G341" s="2"/>
      </tp>
      <tp t="s">
        <v>#N/A N/A</v>
        <stp/>
        <stp>BDP|11684911705448842025</stp>
        <tr r="G1456" s="2"/>
      </tp>
      <tp t="s">
        <v>#N/A N/A</v>
        <stp/>
        <stp>BDP|16435695853275046063</stp>
        <tr r="T316" s="2"/>
      </tp>
      <tp t="s">
        <v>#N/A N/A</v>
        <stp/>
        <stp>BDP|14496268418650748750</stp>
        <tr r="E469" s="2"/>
      </tp>
      <tp t="s">
        <v>#N/A N/A</v>
        <stp/>
        <stp>BDP|14001830434816837978</stp>
        <tr r="S839" s="2"/>
      </tp>
      <tp t="s">
        <v>#N/A N/A</v>
        <stp/>
        <stp>BDP|16526040425181570596</stp>
        <tr r="N1740" s="2"/>
      </tp>
      <tp t="s">
        <v>#N/A N/A</v>
        <stp/>
        <stp>BDP|15504395619335524286</stp>
        <tr r="H1629" s="2"/>
      </tp>
      <tp t="s">
        <v>#N/A N/A</v>
        <stp/>
        <stp>BDP|11392236002643330098</stp>
        <tr r="H1513" s="2"/>
      </tp>
      <tp t="s">
        <v>#N/A N/A</v>
        <stp/>
        <stp>BDP|12281801608648691244</stp>
        <tr r="D77" s="2"/>
      </tp>
      <tp t="s">
        <v>#N/A N/A</v>
        <stp/>
        <stp>BDP|10473766966216823740</stp>
        <tr r="M654" s="2"/>
      </tp>
      <tp t="s">
        <v>#N/A N/A</v>
        <stp/>
        <stp>BDP|17351029549996367532</stp>
        <tr r="G1310" s="2"/>
      </tp>
      <tp t="s">
        <v>#N/A N/A</v>
        <stp/>
        <stp>BDP|10353464290765812856</stp>
        <tr r="N605" s="2"/>
      </tp>
      <tp t="s">
        <v>#N/A N/A</v>
        <stp/>
        <stp>BDP|11621092897439365132</stp>
        <tr r="F1578" s="2"/>
      </tp>
      <tp t="s">
        <v>#N/A N/A</v>
        <stp/>
        <stp>BDP|12610430459332162154</stp>
        <tr r="R57" s="2"/>
      </tp>
      <tp t="s">
        <v>#N/A N/A</v>
        <stp/>
        <stp>BDP|15793780742484049259</stp>
        <tr r="A662" s="2"/>
      </tp>
      <tp t="s">
        <v>#N/A N/A</v>
        <stp/>
        <stp>BDP|11881278034163597368</stp>
        <tr r="S1718" s="2"/>
      </tp>
      <tp t="s">
        <v>#N/A N/A</v>
        <stp/>
        <stp>BDS|16987711034755672719</stp>
        <tr r="I1731" s="2"/>
      </tp>
      <tp t="s">
        <v>#N/A N/A</v>
        <stp/>
        <stp>BDP|11618918017370153998</stp>
        <tr r="N1330" s="2"/>
      </tp>
      <tp t="s">
        <v>#N/A N/A</v>
        <stp/>
        <stp>BDP|10072220969066734243</stp>
        <tr r="M546" s="2"/>
      </tp>
      <tp t="s">
        <v>#N/A N/A</v>
        <stp/>
        <stp>BDP|12001751592495817972</stp>
        <tr r="M226" s="2"/>
      </tp>
      <tp t="s">
        <v>#N/A N/A</v>
        <stp/>
        <stp>BDP|11346984785101112176</stp>
        <tr r="H1719" s="2"/>
      </tp>
      <tp t="s">
        <v>#N/A N/A</v>
        <stp/>
        <stp>BDP|14950307068849857819</stp>
        <tr r="S1690" s="2"/>
      </tp>
      <tp t="s">
        <v>#N/A N/A</v>
        <stp/>
        <stp>BDP|15686810601779815468</stp>
        <tr r="Q908" s="2"/>
      </tp>
      <tp t="s">
        <v>#N/A N/A</v>
        <stp/>
        <stp>BDP|15084989496886393355</stp>
        <tr r="S506" s="2"/>
      </tp>
      <tp t="s">
        <v>#N/A N/A</v>
        <stp/>
        <stp>BDP|16586660301851807125</stp>
        <tr r="Q1378" s="2"/>
      </tp>
      <tp t="s">
        <v>#N/A N/A</v>
        <stp/>
        <stp>BDP|16132990183005128225</stp>
        <tr r="T1194" s="2"/>
      </tp>
      <tp t="s">
        <v>#N/A N/A</v>
        <stp/>
        <stp>BDP|13431353854243467690</stp>
        <tr r="A1051" s="2"/>
      </tp>
      <tp t="s">
        <v>#N/A N/A</v>
        <stp/>
        <stp>BDP|11206749938857379252</stp>
        <tr r="F796" s="2"/>
      </tp>
      <tp t="s">
        <v>#N/A N/A</v>
        <stp/>
        <stp>BDP|16949621908829301989</stp>
        <tr r="O199" s="2"/>
      </tp>
      <tp t="s">
        <v>#N/A N/A</v>
        <stp/>
        <stp>BDP|11977109162396073001</stp>
        <tr r="S1610" s="2"/>
      </tp>
      <tp t="s">
        <v>#N/A N/A</v>
        <stp/>
        <stp>BDP|17894612645386245357</stp>
        <tr r="O125" s="2"/>
      </tp>
      <tp t="s">
        <v>#N/A N/A</v>
        <stp/>
        <stp>BDP|11557396217382537158</stp>
        <tr r="H1445" s="2"/>
      </tp>
      <tp t="s">
        <v>#N/A N/A</v>
        <stp/>
        <stp>BDP|10214229109521462360</stp>
        <tr r="J626" s="2"/>
      </tp>
      <tp t="s">
        <v>#N/A N/A</v>
        <stp/>
        <stp>BDS|18219851331574968779</stp>
        <tr r="I749" s="2"/>
      </tp>
      <tp t="s">
        <v>#N/A N/A</v>
        <stp/>
        <stp>BDP|16947207065791279359</stp>
        <tr r="P1515" s="2"/>
      </tp>
      <tp t="s">
        <v>#N/A N/A</v>
        <stp/>
        <stp>BDP|15902202591977683959</stp>
        <tr r="F50" s="2"/>
      </tp>
      <tp t="s">
        <v>#N/A N/A</v>
        <stp/>
        <stp>BDP|10133317518066598464</stp>
        <tr r="Q728" s="2"/>
      </tp>
      <tp t="s">
        <v>#N/A N/A</v>
        <stp/>
        <stp>BDP|11397744955052801114</stp>
        <tr r="G811" s="2"/>
      </tp>
      <tp t="s">
        <v>#N/A N/A</v>
        <stp/>
        <stp>BDP|14737839179258765317</stp>
        <tr r="G290" s="2"/>
      </tp>
      <tp t="s">
        <v>#N/A N/A</v>
        <stp/>
        <stp>BDP|18395663903086817852</stp>
        <tr r="R1370" s="2"/>
      </tp>
      <tp t="s">
        <v>#N/A N/A</v>
        <stp/>
        <stp>BDP|14618344453846935436</stp>
        <tr r="R1251" s="2"/>
      </tp>
      <tp t="s">
        <v>#N/A N/A</v>
        <stp/>
        <stp>BDP|10441850336228599397</stp>
        <tr r="N231" s="2"/>
      </tp>
      <tp t="s">
        <v>#N/A N/A</v>
        <stp/>
        <stp>BDP|15937779510611670233</stp>
        <tr r="C344" s="2"/>
      </tp>
      <tp t="s">
        <v>#N/A N/A</v>
        <stp/>
        <stp>BDP|10573498923310349670</stp>
        <tr r="Q455" s="2"/>
      </tp>
      <tp t="s">
        <v>#N/A N/A</v>
        <stp/>
        <stp>BDP|12417339136535259787</stp>
        <tr r="S1017" s="2"/>
      </tp>
      <tp t="s">
        <v>#N/A N/A</v>
        <stp/>
        <stp>BDP|18295484433807739859</stp>
        <tr r="T1384" s="2"/>
      </tp>
      <tp t="s">
        <v>#N/A N/A</v>
        <stp/>
        <stp>BDP|15093405872731956700</stp>
        <tr r="R1274" s="2"/>
      </tp>
      <tp t="s">
        <v>#N/A N/A</v>
        <stp/>
        <stp>BDP|12725281565691581743</stp>
        <tr r="C1216" s="2"/>
      </tp>
      <tp t="s">
        <v>#N/A N/A</v>
        <stp/>
        <stp>BDP|11429256634420688086</stp>
        <tr r="M890" s="2"/>
      </tp>
      <tp t="s">
        <v>#N/A N/A</v>
        <stp/>
        <stp>BDP|18163888439394946724</stp>
        <tr r="N1013" s="2"/>
      </tp>
      <tp t="s">
        <v>#N/A N/A</v>
        <stp/>
        <stp>BDP|10791129659454101069</stp>
        <tr r="K1239" s="2"/>
      </tp>
      <tp t="s">
        <v>#N/A N/A</v>
        <stp/>
        <stp>BDP|10554888808410924877</stp>
        <tr r="O1053" s="2"/>
      </tp>
      <tp t="s">
        <v>#N/A N/A</v>
        <stp/>
        <stp>BDP|14560792660845460036</stp>
        <tr r="P183" s="2"/>
      </tp>
      <tp t="s">
        <v>#N/A N/A</v>
        <stp/>
        <stp>BDP|16762740010505060589</stp>
        <tr r="F1627" s="2"/>
      </tp>
      <tp t="s">
        <v>#N/A N/A</v>
        <stp/>
        <stp>BDP|10874391458502628442</stp>
        <tr r="F271" s="2"/>
      </tp>
      <tp t="s">
        <v>#N/A N/A</v>
        <stp/>
        <stp>BDP|14159163707143850631</stp>
        <tr r="H63" s="2"/>
      </tp>
      <tp t="s">
        <v>#N/A N/A</v>
        <stp/>
        <stp>BDP|15018383132770734565</stp>
        <tr r="H1350" s="2"/>
      </tp>
      <tp t="s">
        <v>#N/A N/A</v>
        <stp/>
        <stp>BDP|17709881012388530632</stp>
        <tr r="D1476" s="2"/>
      </tp>
      <tp t="s">
        <v>#N/A N/A</v>
        <stp/>
        <stp>BDP|11645924539133771815</stp>
        <tr r="K1409" s="2"/>
      </tp>
      <tp t="s">
        <v>#N/A N/A</v>
        <stp/>
        <stp>BDP|11833634495599366766</stp>
        <tr r="E1119" s="2"/>
      </tp>
      <tp t="s">
        <v>#N/A N/A</v>
        <stp/>
        <stp>BDP|11931453526231543644</stp>
        <tr r="O1676" s="2"/>
      </tp>
      <tp t="s">
        <v>#N/A N/A</v>
        <stp/>
        <stp>BDP|17210902141083979916</stp>
        <tr r="E377" s="2"/>
      </tp>
      <tp t="s">
        <v>#N/A N/A</v>
        <stp/>
        <stp>BDP|13810822885815632629</stp>
        <tr r="C1408" s="2"/>
      </tp>
      <tp t="s">
        <v>#N/A N/A</v>
        <stp/>
        <stp>BDP|10385080400568650869</stp>
        <tr r="J1433" s="2"/>
      </tp>
      <tp t="s">
        <v>#N/A N/A</v>
        <stp/>
        <stp>BDP|11246164820021647394</stp>
        <tr r="S1033" s="2"/>
      </tp>
      <tp t="s">
        <v>#N/A N/A</v>
        <stp/>
        <stp>BDP|14393327860083875229</stp>
        <tr r="S641" s="2"/>
      </tp>
      <tp t="s">
        <v>#N/A N/A</v>
        <stp/>
        <stp>BDP|11432679183099946629</stp>
        <tr r="K1607" s="2"/>
      </tp>
      <tp t="s">
        <v>#N/A N/A</v>
        <stp/>
        <stp>BDP|18288490286170082466</stp>
        <tr r="O1225" s="2"/>
      </tp>
      <tp t="s">
        <v>#N/A N/A</v>
        <stp/>
        <stp>BDS|15173579369722688416</stp>
        <tr r="I1465" s="2"/>
      </tp>
      <tp t="s">
        <v>#N/A N/A</v>
        <stp/>
        <stp>BDP|13606321559044322154</stp>
        <tr r="F540" s="2"/>
      </tp>
      <tp t="s">
        <v>#N/A N/A</v>
        <stp/>
        <stp>BDP|10387256645801871706</stp>
        <tr r="O870" s="2"/>
      </tp>
      <tp t="s">
        <v>#N/A N/A</v>
        <stp/>
        <stp>BDP|16917413569271905537</stp>
        <tr r="S1202" s="2"/>
      </tp>
      <tp t="s">
        <v>#N/A N/A</v>
        <stp/>
        <stp>BDP|14340298856922639111</stp>
        <tr r="K256" s="2"/>
      </tp>
      <tp t="s">
        <v>#N/A N/A</v>
        <stp/>
        <stp>BDP|15038436334153827140</stp>
        <tr r="H1568" s="2"/>
      </tp>
      <tp t="s">
        <v>#N/A N/A</v>
        <stp/>
        <stp>BDP|16938686340145257187</stp>
        <tr r="N1517" s="2"/>
      </tp>
      <tp t="s">
        <v>#N/A N/A</v>
        <stp/>
        <stp>BDP|11743000159561753522</stp>
        <tr r="Q522" s="2"/>
      </tp>
      <tp t="s">
        <v>#N/A N/A</v>
        <stp/>
        <stp>BDP|13273243340633462692</stp>
        <tr r="K511" s="2"/>
      </tp>
      <tp t="s">
        <v>#N/A N/A</v>
        <stp/>
        <stp>BDS|15912119449924028496</stp>
        <tr r="I1101" s="2"/>
      </tp>
      <tp t="s">
        <v>#N/A N/A</v>
        <stp/>
        <stp>BDP|10781092449893545793</stp>
        <tr r="S114" s="2"/>
      </tp>
      <tp t="s">
        <v>#N/A N/A</v>
        <stp/>
        <stp>BDP|11274260101344809761</stp>
        <tr r="F1458" s="2"/>
      </tp>
      <tp t="s">
        <v>#N/A N/A</v>
        <stp/>
        <stp>BDP|15333014023467873021</stp>
        <tr r="R959" s="2"/>
      </tp>
      <tp t="s">
        <v>#N/A N/A</v>
        <stp/>
        <stp>BDP|17512453370942367688</stp>
        <tr r="N1569" s="2"/>
      </tp>
      <tp t="s">
        <v>#N/A N/A</v>
        <stp/>
        <stp>BDP|11260580110635549040</stp>
        <tr r="F1423" s="2"/>
      </tp>
      <tp t="s">
        <v>#N/A N/A</v>
        <stp/>
        <stp>BDP|12502159968165687054</stp>
        <tr r="A714" s="2"/>
      </tp>
      <tp t="s">
        <v>#N/A N/A</v>
        <stp/>
        <stp>BDP|11306436705562845763</stp>
        <tr r="A1098" s="2"/>
      </tp>
      <tp t="s">
        <v>#N/A N/A</v>
        <stp/>
        <stp>BDP|17229024148291243214</stp>
        <tr r="H1619" s="2"/>
      </tp>
      <tp t="s">
        <v>#N/A N/A</v>
        <stp/>
        <stp>BDP|17644686129723835042</stp>
        <tr r="H1010" s="2"/>
      </tp>
      <tp t="s">
        <v>#N/A N/A</v>
        <stp/>
        <stp>BDS|11927287378111757565</stp>
        <tr r="I34" s="2"/>
      </tp>
      <tp t="s">
        <v>#N/A N/A</v>
        <stp/>
        <stp>BDP|12856567661897545605</stp>
        <tr r="N768" s="2"/>
      </tp>
      <tp t="s">
        <v>#N/A N/A</v>
        <stp/>
        <stp>BDP|12080012787812593890</stp>
        <tr r="F1701" s="2"/>
      </tp>
      <tp t="s">
        <v>#N/A N/A</v>
        <stp/>
        <stp>BDP|11257205183969300282</stp>
        <tr r="P323" s="2"/>
      </tp>
      <tp t="s">
        <v>#N/A N/A</v>
        <stp/>
        <stp>BDP|11435086912730683020</stp>
        <tr r="Q6" s="2"/>
      </tp>
      <tp t="s">
        <v>#N/A N/A</v>
        <stp/>
        <stp>BDP|16282480011383955084</stp>
        <tr r="P349" s="2"/>
      </tp>
      <tp t="s">
        <v>#N/A N/A</v>
        <stp/>
        <stp>BDP|11027700997746883957</stp>
        <tr r="C539" s="2"/>
      </tp>
      <tp t="s">
        <v>#N/A N/A</v>
        <stp/>
        <stp>BDP|11312962232269991242</stp>
        <tr r="Q160" s="2"/>
      </tp>
      <tp t="s">
        <v>#N/A N/A</v>
        <stp/>
        <stp>BDP|11849573825075190314</stp>
        <tr r="A379" s="2"/>
      </tp>
      <tp t="s">
        <v>#N/A N/A</v>
        <stp/>
        <stp>BDP|11202382443007095131</stp>
        <tr r="R1498" s="2"/>
      </tp>
      <tp t="s">
        <v>#N/A N/A</v>
        <stp/>
        <stp>BDP|13571837219768398267</stp>
        <tr r="Q1742" s="2"/>
      </tp>
      <tp t="s">
        <v>#N/A N/A</v>
        <stp/>
        <stp>BDP|11983084156681961545</stp>
        <tr r="S1233" s="2"/>
      </tp>
      <tp t="s">
        <v>#N/A N/A</v>
        <stp/>
        <stp>BDP|11121302439161417069</stp>
        <tr r="D1620" s="2"/>
      </tp>
      <tp t="s">
        <v>#N/A N/A</v>
        <stp/>
        <stp>BDP|13690157177423967675</stp>
        <tr r="Q1032" s="2"/>
      </tp>
      <tp t="s">
        <v>#N/A N/A</v>
        <stp/>
        <stp>BDP|15576407258764064078</stp>
        <tr r="N1331" s="2"/>
      </tp>
      <tp t="s">
        <v>#N/A N/A</v>
        <stp/>
        <stp>BDP|16556685008723773388</stp>
        <tr r="G1209" s="2"/>
      </tp>
      <tp t="s">
        <v>#N/A N/A</v>
        <stp/>
        <stp>BDP|11831468665700567342</stp>
        <tr r="A200" s="2"/>
      </tp>
      <tp t="s">
        <v>#N/A N/A</v>
        <stp/>
        <stp>BDP|14808123574285186751</stp>
        <tr r="C901" s="2"/>
      </tp>
      <tp t="s">
        <v>#N/A N/A</v>
        <stp/>
        <stp>BDP|17254532975833722692</stp>
        <tr r="S581" s="2"/>
      </tp>
      <tp t="s">
        <v>#N/A N/A</v>
        <stp/>
        <stp>BDP|16901733678613131599</stp>
        <tr r="D24" s="2"/>
      </tp>
      <tp t="s">
        <v>#N/A N/A</v>
        <stp/>
        <stp>BDP|15971858013835600938</stp>
        <tr r="Q941" s="2"/>
      </tp>
      <tp t="s">
        <v>#N/A N/A</v>
        <stp/>
        <stp>BDP|12103762479734228669</stp>
        <tr r="F1455" s="2"/>
      </tp>
      <tp t="s">
        <v>#N/A N/A</v>
        <stp/>
        <stp>BDP|10046588975602577023</stp>
        <tr r="Q474" s="2"/>
      </tp>
      <tp t="s">
        <v>#N/A N/A</v>
        <stp/>
        <stp>BDP|11880036630345903783</stp>
        <tr r="R541" s="2"/>
      </tp>
      <tp t="s">
        <v>#N/A N/A</v>
        <stp/>
        <stp>BDP|14993039431666303128</stp>
        <tr r="M1373" s="2"/>
      </tp>
      <tp t="s">
        <v>#N/A N/A</v>
        <stp/>
        <stp>BDP|12552594551916473432</stp>
        <tr r="Q1507" s="2"/>
      </tp>
      <tp t="s">
        <v>#N/A N/A</v>
        <stp/>
        <stp>BDP|14560068578335551645</stp>
        <tr r="O320" s="2"/>
      </tp>
      <tp t="s">
        <v>#N/A N/A</v>
        <stp/>
        <stp>BDP|17462262825155898251</stp>
        <tr r="M437" s="2"/>
      </tp>
      <tp t="s">
        <v>#N/A N/A</v>
        <stp/>
        <stp>BDP|10596781577118853881</stp>
        <tr r="O1282" s="2"/>
      </tp>
      <tp t="s">
        <v>#N/A N/A</v>
        <stp/>
        <stp>BDP|15301654769962142744</stp>
        <tr r="T938" s="2"/>
      </tp>
      <tp t="s">
        <v>#N/A N/A</v>
        <stp/>
        <stp>BDP|15081279176575298591</stp>
        <tr r="C467" s="2"/>
      </tp>
      <tp t="s">
        <v>#N/A N/A</v>
        <stp/>
        <stp>BDP|14633334476616941609</stp>
        <tr r="S962" s="2"/>
      </tp>
      <tp t="s">
        <v>#N/A N/A</v>
        <stp/>
        <stp>BDP|10881371774416906281</stp>
        <tr r="K815" s="2"/>
      </tp>
      <tp t="s">
        <v>#N/A N/A</v>
        <stp/>
        <stp>BDP|17100198906244682221</stp>
        <tr r="Q118" s="2"/>
      </tp>
      <tp t="s">
        <v>#N/A N/A</v>
        <stp/>
        <stp>BDP|12764883080394008655</stp>
        <tr r="P1445" s="2"/>
      </tp>
      <tp t="s">
        <v>#N/A N/A</v>
        <stp/>
        <stp>BDP|15579164108683901786</stp>
        <tr r="C1070" s="2"/>
      </tp>
      <tp t="s">
        <v>#N/A N/A</v>
        <stp/>
        <stp>BDP|16268122687566879955</stp>
        <tr r="J388" s="2"/>
      </tp>
      <tp t="s">
        <v>#N/A N/A</v>
        <stp/>
        <stp>BDS|14585114409836750332</stp>
        <tr r="I669" s="2"/>
      </tp>
      <tp t="s">
        <v>#N/A N/A</v>
        <stp/>
        <stp>BDP|11514283580423223856</stp>
        <tr r="Q1569" s="2"/>
      </tp>
      <tp t="s">
        <v>#N/A N/A</v>
        <stp/>
        <stp>BDP|17424598522369687933</stp>
        <tr r="S871" s="2"/>
      </tp>
      <tp t="s">
        <v>#N/A N/A</v>
        <stp/>
        <stp>BDP|16147174268705219467</stp>
        <tr r="D91" s="2"/>
      </tp>
      <tp t="s">
        <v>#N/A N/A</v>
        <stp/>
        <stp>BDP|17797134178082281344</stp>
        <tr r="H122" s="2"/>
      </tp>
      <tp t="s">
        <v>#N/A N/A</v>
        <stp/>
        <stp>BDP|10800603775640668112</stp>
        <tr r="O940" s="2"/>
      </tp>
      <tp t="s">
        <v>#N/A N/A</v>
        <stp/>
        <stp>BDP|15012689104843210040</stp>
        <tr r="Q61" s="2"/>
      </tp>
      <tp t="s">
        <v>#N/A N/A</v>
        <stp/>
        <stp>BDP|14992175957617122728</stp>
        <tr r="E988" s="2"/>
      </tp>
      <tp t="s">
        <v>#N/A N/A</v>
        <stp/>
        <stp>BDP|14746269476849820857</stp>
        <tr r="O904" s="2"/>
      </tp>
      <tp t="s">
        <v>#N/A N/A</v>
        <stp/>
        <stp>BDP|14606117738317632137</stp>
        <tr r="Q1066" s="2"/>
      </tp>
      <tp t="s">
        <v>#N/A N/A</v>
        <stp/>
        <stp>BDP|13758698596229296501</stp>
        <tr r="J1261" s="2"/>
      </tp>
      <tp t="s">
        <v>#N/A N/A</v>
        <stp/>
        <stp>BDP|12238680304110170453</stp>
        <tr r="E1392" s="2"/>
      </tp>
      <tp t="s">
        <v>#N/A N/A</v>
        <stp/>
        <stp>BDP|14407312969579535831</stp>
        <tr r="G847" s="2"/>
      </tp>
      <tp t="s">
        <v>#N/A N/A</v>
        <stp/>
        <stp>BDP|11591148348684644056</stp>
        <tr r="G1476" s="2"/>
      </tp>
      <tp t="s">
        <v>#N/A N/A</v>
        <stp/>
        <stp>BDP|11851142159297660296</stp>
        <tr r="R648" s="2"/>
      </tp>
      <tp t="s">
        <v>#N/A N/A</v>
        <stp/>
        <stp>BDP|14046597351666447264</stp>
        <tr r="C556" s="2"/>
      </tp>
      <tp t="s">
        <v>#N/A N/A</v>
        <stp/>
        <stp>BDP|17561310681074652896</stp>
        <tr r="P452" s="2"/>
      </tp>
      <tp t="s">
        <v>#N/A N/A</v>
        <stp/>
        <stp>BDP|15354587348703909701</stp>
        <tr r="E1409" s="2"/>
      </tp>
      <tp t="s">
        <v>#N/A N/A</v>
        <stp/>
        <stp>BDP|16385811508447710978</stp>
        <tr r="R1342" s="2"/>
      </tp>
      <tp t="s">
        <v>#N/A N/A</v>
        <stp/>
        <stp>BDS|10368208159016739149</stp>
        <tr r="I1116" s="2"/>
      </tp>
      <tp t="s">
        <v>#N/A N/A</v>
        <stp/>
        <stp>BDP|18194767248813747826</stp>
        <tr r="K550" s="2"/>
      </tp>
      <tp t="s">
        <v>#N/A N/A</v>
        <stp/>
        <stp>BDP|15325227930171398589</stp>
        <tr r="N383" s="2"/>
      </tp>
      <tp t="s">
        <v>#N/A N/A</v>
        <stp/>
        <stp>BDP|13771695235320128678</stp>
        <tr r="S286" s="2"/>
      </tp>
      <tp t="s">
        <v>#N/A N/A</v>
        <stp/>
        <stp>BDP|10414898233173159826</stp>
        <tr r="D676" s="2"/>
      </tp>
      <tp t="s">
        <v>#N/A N/A</v>
        <stp/>
        <stp>BDP|12898218374025732279</stp>
        <tr r="P632" s="2"/>
      </tp>
      <tp t="s">
        <v>#N/A N/A</v>
        <stp/>
        <stp>BDP|13198576449936754458</stp>
        <tr r="O777" s="2"/>
      </tp>
      <tp t="s">
        <v>#N/A N/A</v>
        <stp/>
        <stp>BDP|14945602783953556921</stp>
        <tr r="R1022" s="2"/>
      </tp>
      <tp t="s">
        <v>#N/A N/A</v>
        <stp/>
        <stp>BDS|11857585505932902622</stp>
        <tr r="I360" s="2"/>
      </tp>
      <tp t="s">
        <v>#N/A N/A</v>
        <stp/>
        <stp>BDP|14268700168211095477</stp>
        <tr r="H135" s="2"/>
      </tp>
      <tp t="s">
        <v>#N/A N/A</v>
        <stp/>
        <stp>BDP|11533295630315596546</stp>
        <tr r="O202" s="2"/>
      </tp>
      <tp t="s">
        <v>#N/A N/A</v>
        <stp/>
        <stp>BDP|12515238968877629159</stp>
        <tr r="N359" s="2"/>
      </tp>
      <tp t="s">
        <v>#N/A N/A</v>
        <stp/>
        <stp>BDP|16589610701728910817</stp>
        <tr r="S241" s="2"/>
      </tp>
      <tp t="s">
        <v>#N/A N/A</v>
        <stp/>
        <stp>BDP|13303401239306080273</stp>
        <tr r="K657" s="2"/>
      </tp>
      <tp t="s">
        <v>#N/A N/A</v>
        <stp/>
        <stp>BDP|11298791362730468000</stp>
        <tr r="K108" s="2"/>
      </tp>
      <tp t="s">
        <v>#N/A N/A</v>
        <stp/>
        <stp>BDP|12992337853322516614</stp>
        <tr r="S1514" s="2"/>
      </tp>
      <tp t="s">
        <v>#N/A N/A</v>
        <stp/>
        <stp>BDP|11863810667757274819</stp>
        <tr r="J1153" s="2"/>
      </tp>
      <tp t="s">
        <v>#N/A N/A</v>
        <stp/>
        <stp>BDP|10170996162117591826</stp>
        <tr r="G1657" s="2"/>
      </tp>
      <tp t="s">
        <v>#N/A N/A</v>
        <stp/>
        <stp>BDP|17820757701737495754</stp>
        <tr r="O1574" s="2"/>
      </tp>
      <tp t="s">
        <v>#N/A N/A</v>
        <stp/>
        <stp>BDP|13264189794422566963</stp>
        <tr r="H1625" s="2"/>
      </tp>
      <tp t="s">
        <v>#N/A N/A</v>
        <stp/>
        <stp>BDP|10119235532631592086</stp>
        <tr r="G1080" s="2"/>
      </tp>
      <tp t="s">
        <v>#N/A N/A</v>
        <stp/>
        <stp>BDP|16274136568675580412</stp>
        <tr r="P300" s="2"/>
      </tp>
      <tp t="s">
        <v>#N/A N/A</v>
        <stp/>
        <stp>BDP|17884572700733000120</stp>
        <tr r="P30" s="2"/>
      </tp>
      <tp t="s">
        <v>#N/A N/A</v>
        <stp/>
        <stp>BDP|14589322702647884008</stp>
        <tr r="F418" s="2"/>
      </tp>
      <tp t="s">
        <v>#N/A N/A</v>
        <stp/>
        <stp>BDP|13885477273238063817</stp>
        <tr r="R546" s="2"/>
      </tp>
      <tp t="s">
        <v>#N/A N/A</v>
        <stp/>
        <stp>BDP|10728131072820938624</stp>
        <tr r="R1600" s="2"/>
      </tp>
      <tp t="s">
        <v>#N/A N/A</v>
        <stp/>
        <stp>BDP|13861031327002154301</stp>
        <tr r="A1621" s="2"/>
      </tp>
      <tp t="s">
        <v>#N/A N/A</v>
        <stp/>
        <stp>BDP|16349340830480906632</stp>
        <tr r="C973" s="2"/>
      </tp>
      <tp t="s">
        <v>#N/A N/A</v>
        <stp/>
        <stp>BDP|12364412641985872768</stp>
        <tr r="J751" s="2"/>
      </tp>
      <tp t="s">
        <v>#N/A N/A</v>
        <stp/>
        <stp>BDP|17370864703959288690</stp>
        <tr r="C144" s="2"/>
      </tp>
      <tp t="s">
        <v>#N/A N/A</v>
        <stp/>
        <stp>BDP|16003674277513534480</stp>
        <tr r="Q153" s="2"/>
      </tp>
      <tp t="s">
        <v>#N/A N/A</v>
        <stp/>
        <stp>BDP|13043315728043671124</stp>
        <tr r="E203" s="2"/>
      </tp>
      <tp t="s">
        <v>#N/A N/A</v>
        <stp/>
        <stp>BDP|17333480732174768435</stp>
        <tr r="F208" s="2"/>
      </tp>
      <tp t="s">
        <v>#N/A N/A</v>
        <stp/>
        <stp>BDP|10531515369331564252</stp>
        <tr r="D204" s="2"/>
      </tp>
      <tp t="s">
        <v>#N/A N/A</v>
        <stp/>
        <stp>BDP|10128688715473385426</stp>
        <tr r="Q719" s="2"/>
      </tp>
      <tp t="s">
        <v>#N/A N/A</v>
        <stp/>
        <stp>BDP|15908243852142409062</stp>
        <tr r="O1672" s="2"/>
      </tp>
      <tp t="s">
        <v>#N/A N/A</v>
        <stp/>
        <stp>BDP|16584118938543911784</stp>
        <tr r="H325" s="2"/>
      </tp>
      <tp t="s">
        <v>#N/A N/A</v>
        <stp/>
        <stp>BDP|10455873348319101575</stp>
        <tr r="G871" s="2"/>
      </tp>
      <tp t="s">
        <v>#N/A N/A</v>
        <stp/>
        <stp>BDP|16901772491318416060</stp>
        <tr r="E1468" s="2"/>
      </tp>
      <tp t="s">
        <v>#N/A N/A</v>
        <stp/>
        <stp>BDP|16971150251480277223</stp>
        <tr r="S1009" s="2"/>
      </tp>
      <tp t="s">
        <v>#N/A N/A</v>
        <stp/>
        <stp>BDP|15668226003202267583</stp>
        <tr r="G1262" s="2"/>
      </tp>
      <tp t="s">
        <v>#N/A N/A</v>
        <stp/>
        <stp>BDP|12777362560356485189</stp>
        <tr r="Q237" s="2"/>
      </tp>
      <tp t="s">
        <v>#N/A N/A</v>
        <stp/>
        <stp>BDP|13912342144247258362</stp>
        <tr r="G739" s="2"/>
      </tp>
      <tp t="s">
        <v>#N/A N/A</v>
        <stp/>
        <stp>BDP|15978307547526370404</stp>
        <tr r="G694" s="2"/>
      </tp>
      <tp t="s">
        <v>#N/A N/A</v>
        <stp/>
        <stp>BDP|17011085524285122002</stp>
        <tr r="A1419" s="2"/>
      </tp>
      <tp t="s">
        <v>#N/A N/A</v>
        <stp/>
        <stp>BDP|10109520033437919140</stp>
        <tr r="C810" s="2"/>
      </tp>
      <tp t="s">
        <v>#N/A N/A</v>
        <stp/>
        <stp>BDP|13157740958003001201</stp>
        <tr r="E1571" s="2"/>
      </tp>
      <tp t="s">
        <v>#N/A N/A</v>
        <stp/>
        <stp>BDP|16215994195682457472</stp>
        <tr r="D486" s="2"/>
      </tp>
      <tp t="s">
        <v>#N/A N/A</v>
        <stp/>
        <stp>BDP|12674812237521510885</stp>
        <tr r="F1668" s="2"/>
      </tp>
      <tp t="s">
        <v>#N/A N/A</v>
        <stp/>
        <stp>BDP|15357916387631945515</stp>
        <tr r="M807" s="2"/>
      </tp>
      <tp t="s">
        <v>#N/A N/A</v>
        <stp/>
        <stp>BDP|17349314525104837239</stp>
        <tr r="H752" s="2"/>
      </tp>
      <tp t="s">
        <v>#N/A N/A</v>
        <stp/>
        <stp>BDP|14000012390824938943</stp>
        <tr r="Q1669" s="2"/>
      </tp>
      <tp t="s">
        <v>#N/A N/A</v>
        <stp/>
        <stp>BDP|14623677648873159542</stp>
        <tr r="P1156" s="2"/>
      </tp>
      <tp t="s">
        <v>#N/A N/A</v>
        <stp/>
        <stp>BDP|10170953799846106606</stp>
        <tr r="J815" s="2"/>
      </tp>
      <tp t="s">
        <v>#N/A N/A</v>
        <stp/>
        <stp>BDP|12326861210942965906</stp>
        <tr r="O1360" s="2"/>
      </tp>
      <tp t="s">
        <v>#N/A N/A</v>
        <stp/>
        <stp>BDP|17720504762150085495</stp>
        <tr r="S810" s="2"/>
      </tp>
      <tp t="s">
        <v>#N/A N/A</v>
        <stp/>
        <stp>BDP|14755825413109321499</stp>
        <tr r="F1502" s="2"/>
      </tp>
      <tp t="s">
        <v>#N/A N/A</v>
        <stp/>
        <stp>BDP|13942351370117682066</stp>
        <tr r="C219" s="2"/>
      </tp>
      <tp t="s">
        <v>#N/A N/A</v>
        <stp/>
        <stp>BDP|16696251469587743510</stp>
        <tr r="R948" s="2"/>
      </tp>
      <tp t="s">
        <v>#N/A N/A</v>
        <stp/>
        <stp>BDP|16124082372923210251</stp>
        <tr r="R1262" s="2"/>
      </tp>
      <tp t="s">
        <v>#N/A N/A</v>
        <stp/>
        <stp>BDP|11646523713943355682</stp>
        <tr r="F354" s="2"/>
      </tp>
      <tp t="s">
        <v>#N/A N/A</v>
        <stp/>
        <stp>BDP|16482814328118260432</stp>
        <tr r="A415" s="2"/>
      </tp>
      <tp t="s">
        <v>#N/A N/A</v>
        <stp/>
        <stp>BDP|17391706208271136167</stp>
        <tr r="D1532" s="2"/>
      </tp>
      <tp t="s">
        <v>#N/A N/A</v>
        <stp/>
        <stp>BDP|15625652368177687211</stp>
        <tr r="R48" s="2"/>
      </tp>
      <tp t="s">
        <v>#N/A N/A</v>
        <stp/>
        <stp>BDS|15999756645156653004</stp>
        <tr r="I865" s="2"/>
      </tp>
      <tp t="s">
        <v>#N/A N/A</v>
        <stp/>
        <stp>BDP|13936066797903479904</stp>
        <tr r="Q86" s="2"/>
      </tp>
      <tp t="s">
        <v>#N/A N/A</v>
        <stp/>
        <stp>BDP|10131868769017234907</stp>
        <tr r="N145" s="2"/>
      </tp>
      <tp t="s">
        <v>#N/A N/A</v>
        <stp/>
        <stp>BDP|16787992953029822396</stp>
        <tr r="E1451" s="2"/>
      </tp>
      <tp t="s">
        <v>#N/A N/A</v>
        <stp/>
        <stp>BDP|13337267444737994244</stp>
        <tr r="S1183" s="2"/>
      </tp>
      <tp t="s">
        <v>#N/A N/A</v>
        <stp/>
        <stp>BDP|10156414256365345498</stp>
        <tr r="G1336" s="2"/>
      </tp>
      <tp t="s">
        <v>#N/A N/A</v>
        <stp/>
        <stp>BDP|18020640389895720365</stp>
        <tr r="K368" s="2"/>
      </tp>
      <tp t="s">
        <v>#N/A N/A</v>
        <stp/>
        <stp>BDP|16271679509500562050</stp>
        <tr r="M1410" s="2"/>
      </tp>
      <tp t="s">
        <v>#N/A N/A</v>
        <stp/>
        <stp>BDP|14021323167414013599</stp>
        <tr r="Q471" s="2"/>
      </tp>
      <tp t="s">
        <v>#N/A N/A</v>
        <stp/>
        <stp>BDP|13262619350387620792</stp>
        <tr r="K468" s="2"/>
      </tp>
      <tp t="s">
        <v>#N/A N/A</v>
        <stp/>
        <stp>BDP|12425739051502800222</stp>
        <tr r="Q1369" s="2"/>
      </tp>
      <tp t="s">
        <v>#N/A N/A</v>
        <stp/>
        <stp>BDP|10811967490839671945</stp>
        <tr r="T687" s="2"/>
      </tp>
      <tp t="s">
        <v>#N/A N/A</v>
        <stp/>
        <stp>BDP|17491841343162714984</stp>
        <tr r="E204" s="2"/>
      </tp>
      <tp t="s">
        <v>#N/A N/A</v>
        <stp/>
        <stp>BDP|17131939847548840218</stp>
        <tr r="J1551" s="2"/>
      </tp>
      <tp t="s">
        <v>#N/A N/A</v>
        <stp/>
        <stp>BDP|17890599769194523010</stp>
        <tr r="S1650" s="2"/>
      </tp>
      <tp t="s">
        <v>#N/A N/A</v>
        <stp/>
        <stp>BDP|12418898003258004228</stp>
        <tr r="F1221" s="2"/>
      </tp>
      <tp t="s">
        <v>#N/A N/A</v>
        <stp/>
        <stp>BDP|13615947446287951912</stp>
        <tr r="F102" s="2"/>
      </tp>
      <tp t="s">
        <v>#N/A N/A</v>
        <stp/>
        <stp>BDP|12204129855977960105</stp>
        <tr r="F1319" s="2"/>
      </tp>
      <tp t="s">
        <v>#N/A N/A</v>
        <stp/>
        <stp>BDP|14919591704358820902</stp>
        <tr r="A1000" s="2"/>
      </tp>
      <tp t="s">
        <v>#N/A N/A</v>
        <stp/>
        <stp>BDP|17658391766077603537</stp>
        <tr r="P1215" s="2"/>
      </tp>
      <tp t="s">
        <v>#N/A N/A</v>
        <stp/>
        <stp>BDP|11762103381728313090</stp>
        <tr r="D8" s="2"/>
      </tp>
      <tp t="s">
        <v>#N/A N/A</v>
        <stp/>
        <stp>BDP|17152023932795811153</stp>
        <tr r="N811" s="2"/>
      </tp>
      <tp t="s">
        <v>#N/A N/A</v>
        <stp/>
        <stp>BDP|14002462369300503662</stp>
        <tr r="P158" s="2"/>
      </tp>
      <tp t="s">
        <v>#N/A N/A</v>
        <stp/>
        <stp>BDP|11608160025604866612</stp>
        <tr r="E1328" s="2"/>
      </tp>
      <tp t="s">
        <v>#N/A N/A</v>
        <stp/>
        <stp>BDP|13703165833924682586</stp>
        <tr r="C391" s="2"/>
      </tp>
      <tp t="s">
        <v>#N/A N/A</v>
        <stp/>
        <stp>BDP|11758907909491437964</stp>
        <tr r="F1499" s="2"/>
      </tp>
      <tp t="s">
        <v>#N/A N/A</v>
        <stp/>
        <stp>BDP|16110596869830565588</stp>
        <tr r="O1528" s="2"/>
      </tp>
      <tp t="s">
        <v>#N/A N/A</v>
        <stp/>
        <stp>BDP|17566610013049216996</stp>
        <tr r="M1740" s="2"/>
      </tp>
      <tp t="s">
        <v>#N/A N/A</v>
        <stp/>
        <stp>BDS|15214441029463514054</stp>
        <tr r="I1563" s="2"/>
      </tp>
      <tp t="s">
        <v>#N/A N/A</v>
        <stp/>
        <stp>BDP|10075748551133882117</stp>
        <tr r="P1414" s="2"/>
      </tp>
      <tp t="s">
        <v>#N/A N/A</v>
        <stp/>
        <stp>BDP|12573306568215656277</stp>
        <tr r="P938" s="2"/>
      </tp>
      <tp t="s">
        <v>#N/A N/A</v>
        <stp/>
        <stp>BDP|15123272359086408471</stp>
        <tr r="O1339" s="2"/>
      </tp>
      <tp t="s">
        <v>#N/A N/A</v>
        <stp/>
        <stp>BDP|11502185518102933307</stp>
        <tr r="H1663" s="2"/>
      </tp>
      <tp t="s">
        <v>#N/A N/A</v>
        <stp/>
        <stp>BDP|15999609469512528797</stp>
        <tr r="O843" s="2"/>
      </tp>
      <tp t="s">
        <v>#N/A N/A</v>
        <stp/>
        <stp>BDP|15681247294366839828</stp>
        <tr r="N310" s="2"/>
      </tp>
      <tp t="s">
        <v>#N/A N/A</v>
        <stp/>
        <stp>BDP|10009886298522818345</stp>
        <tr r="P667" s="2"/>
      </tp>
      <tp t="s">
        <v>#N/A N/A</v>
        <stp/>
        <stp>BDP|16944067460918142829</stp>
        <tr r="C268" s="2"/>
      </tp>
      <tp t="s">
        <v>#N/A N/A</v>
        <stp/>
        <stp>BDP|17577096860450249126</stp>
        <tr r="S429" s="2"/>
      </tp>
      <tp t="s">
        <v>#N/A N/A</v>
        <stp/>
        <stp>BDP|11953321870043377645</stp>
        <tr r="A428" s="2"/>
      </tp>
      <tp t="s">
        <v>#N/A N/A</v>
        <stp/>
        <stp>BDP|15788308174275726486</stp>
        <tr r="F394" s="2"/>
      </tp>
      <tp t="s">
        <v>#N/A N/A</v>
        <stp/>
        <stp>BDP|15732587757354630122</stp>
        <tr r="S1478" s="2"/>
      </tp>
      <tp t="s">
        <v>#N/A N/A</v>
        <stp/>
        <stp>BDP|17546010578772037206</stp>
        <tr r="F1053" s="2"/>
      </tp>
      <tp t="s">
        <v>#N/A N/A</v>
        <stp/>
        <stp>BDP|16725646985920302898</stp>
        <tr r="D1191" s="2"/>
      </tp>
      <tp t="s">
        <v>#N/A N/A</v>
        <stp/>
        <stp>BDP|17995414925119195800</stp>
        <tr r="Q1511" s="2"/>
      </tp>
      <tp t="s">
        <v>#N/A N/A</v>
        <stp/>
        <stp>BDP|14230731598762038853</stp>
        <tr r="Q397" s="2"/>
      </tp>
      <tp t="s">
        <v>#N/A N/A</v>
        <stp/>
        <stp>BDP|11982868497661773134</stp>
        <tr r="Q38" s="2"/>
      </tp>
      <tp t="s">
        <v>#N/A N/A</v>
        <stp/>
        <stp>BDS|12862933364154297928</stp>
        <tr r="I557" s="2"/>
      </tp>
      <tp t="s">
        <v>#N/A N/A</v>
        <stp/>
        <stp>BDP|12158241107473632387</stp>
        <tr r="D944" s="2"/>
      </tp>
      <tp t="s">
        <v>#N/A N/A</v>
        <stp/>
        <stp>BDP|13945317175097951082</stp>
        <tr r="A88" s="2"/>
      </tp>
      <tp t="s">
        <v>#N/A N/A</v>
        <stp/>
        <stp>BDP|14893965131259528768</stp>
        <tr r="T5" s="2"/>
      </tp>
      <tp t="s">
        <v>#N/A N/A</v>
        <stp/>
        <stp>BDP|10289293744494086233</stp>
        <tr r="F652" s="2"/>
      </tp>
      <tp t="s">
        <v>#N/A N/A</v>
        <stp/>
        <stp>BDP|15360473171540914605</stp>
        <tr r="D1113" s="2"/>
      </tp>
      <tp t="s">
        <v>#N/A N/A</v>
        <stp/>
        <stp>BDP|16033588633275491534</stp>
        <tr r="K201" s="2"/>
      </tp>
      <tp t="s">
        <v>#N/A N/A</v>
        <stp/>
        <stp>BDP|17419291392359416549</stp>
        <tr r="S260" s="2"/>
      </tp>
      <tp t="s">
        <v>#N/A N/A</v>
        <stp/>
        <stp>BDP|11869648948024941721</stp>
        <tr r="G246" s="2"/>
      </tp>
      <tp t="s">
        <v>#N/A N/A</v>
        <stp/>
        <stp>BDP|13220143179823220620</stp>
        <tr r="E1460" s="2"/>
      </tp>
      <tp t="s">
        <v>#N/A N/A</v>
        <stp/>
        <stp>BDP|15427389843716112417</stp>
        <tr r="C527" s="2"/>
      </tp>
      <tp t="s">
        <v>#N/A N/A</v>
        <stp/>
        <stp>BDP|17075407828804157567</stp>
        <tr r="R390" s="2"/>
      </tp>
      <tp t="s">
        <v>#N/A N/A</v>
        <stp/>
        <stp>BDP|15812173715307332268</stp>
        <tr r="T1078" s="2"/>
      </tp>
      <tp t="s">
        <v>#N/A N/A</v>
        <stp/>
        <stp>BDS|17333145200710317689</stp>
        <tr r="I810" s="2"/>
      </tp>
      <tp t="s">
        <v>#N/A N/A</v>
        <stp/>
        <stp>BDP|16853017167360808099</stp>
        <tr r="C216" s="2"/>
      </tp>
      <tp t="s">
        <v>#N/A N/A</v>
        <stp/>
        <stp>BDP|14526410023647949518</stp>
        <tr r="T891" s="2"/>
      </tp>
      <tp t="s">
        <v>#N/A N/A</v>
        <stp/>
        <stp>BDP|14975341354084784616</stp>
        <tr r="D32" s="2"/>
      </tp>
      <tp t="s">
        <v>#N/A N/A</v>
        <stp/>
        <stp>BDP|14813300358941832373</stp>
        <tr r="N213" s="2"/>
      </tp>
      <tp t="s">
        <v>#N/A N/A</v>
        <stp/>
        <stp>BDP|15589843701888880573</stp>
        <tr r="R297" s="2"/>
      </tp>
      <tp t="s">
        <v>#N/A N/A</v>
        <stp/>
        <stp>BDP|16045692363080183641</stp>
        <tr r="N1420" s="2"/>
      </tp>
      <tp t="s">
        <v>#N/A N/A</v>
        <stp/>
        <stp>BDP|16078535234751031189</stp>
        <tr r="G1375" s="2"/>
      </tp>
      <tp t="s">
        <v>#N/A N/A</v>
        <stp/>
        <stp>BDP|16214314119926369265</stp>
        <tr r="A488" s="2"/>
      </tp>
      <tp t="s">
        <v>#N/A N/A</v>
        <stp/>
        <stp>BDP|15981130506147659353</stp>
        <tr r="A634" s="2"/>
      </tp>
      <tp t="s">
        <v>#N/A N/A</v>
        <stp/>
        <stp>BDP|16559793076274184243</stp>
        <tr r="R1640" s="2"/>
      </tp>
      <tp t="s">
        <v>#N/A N/A</v>
        <stp/>
        <stp>BDP|13932909876555220823</stp>
        <tr r="R1280" s="2"/>
      </tp>
      <tp t="s">
        <v>#N/A N/A</v>
        <stp/>
        <stp>BDP|11027702015277980034</stp>
        <tr r="F1599" s="2"/>
      </tp>
      <tp t="s">
        <v>#N/A N/A</v>
        <stp/>
        <stp>BDP|11950910131488541338</stp>
        <tr r="E1027" s="2"/>
      </tp>
      <tp t="s">
        <v>#N/A N/A</v>
        <stp/>
        <stp>BDP|11199603259526462434</stp>
        <tr r="M731" s="2"/>
      </tp>
      <tp t="s">
        <v>#N/A N/A</v>
        <stp/>
        <stp>BDP|12453520404101903649</stp>
        <tr r="P115" s="2"/>
      </tp>
      <tp t="s">
        <v>#N/A N/A</v>
        <stp/>
        <stp>BDP|12386495834104789169</stp>
        <tr r="T1359" s="2"/>
      </tp>
      <tp t="s">
        <v>#N/A N/A</v>
        <stp/>
        <stp>BDP|13451343618836425731</stp>
        <tr r="E1214" s="2"/>
      </tp>
      <tp t="s">
        <v>#N/A N/A</v>
        <stp/>
        <stp>BDP|16862548505894785712</stp>
        <tr r="C1731" s="2"/>
      </tp>
      <tp t="s">
        <v>#N/A N/A</v>
        <stp/>
        <stp>BDP|12197300125940245398</stp>
        <tr r="M1574" s="2"/>
      </tp>
      <tp t="s">
        <v>#N/A N/A</v>
        <stp/>
        <stp>BDP|10179446362712803005</stp>
        <tr r="O1024" s="2"/>
      </tp>
      <tp t="s">
        <v>#N/A N/A</v>
        <stp/>
        <stp>BDS|13845565377092119343</stp>
        <tr r="I1436" s="2"/>
      </tp>
      <tp t="s">
        <v>#N/A N/A</v>
        <stp/>
        <stp>BDP|17104913161051811961</stp>
        <tr r="E971" s="2"/>
      </tp>
      <tp t="s">
        <v>#N/A N/A</v>
        <stp/>
        <stp>BDP|17062944185766945072</stp>
        <tr r="P1323" s="2"/>
      </tp>
      <tp t="s">
        <v>#N/A N/A</v>
        <stp/>
        <stp>BDP|11455070617018931825</stp>
        <tr r="F1626" s="2"/>
      </tp>
      <tp t="s">
        <v>#N/A N/A</v>
        <stp/>
        <stp>BDP|10742536853239935911</stp>
        <tr r="O594" s="2"/>
      </tp>
      <tp t="s">
        <v>#N/A N/A</v>
        <stp/>
        <stp>BDP|14555303058394416666</stp>
        <tr r="Q524" s="2"/>
      </tp>
      <tp t="s">
        <v>#N/A N/A</v>
        <stp/>
        <stp>BDP|17622436611767868537</stp>
        <tr r="C895" s="2"/>
      </tp>
      <tp t="s">
        <v>#N/A N/A</v>
        <stp/>
        <stp>BDP|18044857753134895119</stp>
        <tr r="N1036" s="2"/>
      </tp>
      <tp t="s">
        <v>#N/A N/A</v>
        <stp/>
        <stp>BDP|13538505581026822835</stp>
        <tr r="H339" s="2"/>
      </tp>
      <tp t="s">
        <v>#N/A N/A</v>
        <stp/>
        <stp>BDP|18347539232039458799</stp>
        <tr r="E708" s="2"/>
      </tp>
      <tp t="s">
        <v>#N/A N/A</v>
        <stp/>
        <stp>BDP|10642561237733016582</stp>
        <tr r="M357" s="2"/>
      </tp>
      <tp t="s">
        <v>#N/A N/A</v>
        <stp/>
        <stp>BDP|16161363542417823622</stp>
        <tr r="H521" s="2"/>
      </tp>
      <tp t="s">
        <v>#N/A N/A</v>
        <stp/>
        <stp>BDP|11222358498269492240</stp>
        <tr r="P1480" s="2"/>
      </tp>
      <tp t="s">
        <v>#N/A N/A</v>
        <stp/>
        <stp>BDP|13867440642621229232</stp>
        <tr r="R300" s="2"/>
      </tp>
      <tp t="s">
        <v>#N/A N/A</v>
        <stp/>
        <stp>BDP|11742996696496570726</stp>
        <tr r="J1671" s="2"/>
      </tp>
      <tp t="s">
        <v>#N/A N/A</v>
        <stp/>
        <stp>BDP|14965955674399020375</stp>
        <tr r="P976" s="2"/>
      </tp>
      <tp t="s">
        <v>#N/A N/A</v>
        <stp/>
        <stp>BDP|17904630250090460410</stp>
        <tr r="O957" s="2"/>
      </tp>
      <tp t="s">
        <v>#N/A N/A</v>
        <stp/>
        <stp>BDP|16424258607935939106</stp>
        <tr r="O1746" s="2"/>
      </tp>
      <tp t="s">
        <v>#N/A N/A</v>
        <stp/>
        <stp>BDS|14476689265946738222</stp>
        <tr r="I1517" s="2"/>
      </tp>
      <tp t="s">
        <v>#N/A N/A</v>
        <stp/>
        <stp>BDP|13647707150791874015</stp>
        <tr r="R1728" s="2"/>
      </tp>
      <tp t="s">
        <v>#N/A N/A</v>
        <stp/>
        <stp>BDP|16505792735485281748</stp>
        <tr r="N1678" s="2"/>
      </tp>
      <tp t="s">
        <v>#N/A N/A</v>
        <stp/>
        <stp>BDP|17707585651514567340</stp>
        <tr r="T395" s="2"/>
      </tp>
      <tp t="s">
        <v>#N/A N/A</v>
        <stp/>
        <stp>BDP|15689416919172917288</stp>
        <tr r="G1065" s="2"/>
      </tp>
      <tp t="s">
        <v>#N/A N/A</v>
        <stp/>
        <stp>BDS|17007278689954257902</stp>
        <tr r="I1080" s="2"/>
      </tp>
      <tp t="s">
        <v>#N/A N/A</v>
        <stp/>
        <stp>BDP|12197806399134305748</stp>
        <tr r="J305" s="2"/>
      </tp>
      <tp t="s">
        <v>#N/A N/A</v>
        <stp/>
        <stp>BDP|14532151574727269596</stp>
        <tr r="J1238" s="2"/>
      </tp>
      <tp t="s">
        <v>#N/A N/A</v>
        <stp/>
        <stp>BDS|10740916889075716446</stp>
        <tr r="I241" s="2"/>
      </tp>
      <tp t="s">
        <v>#N/A N/A</v>
        <stp/>
        <stp>BDP|15337221632421861545</stp>
        <tr r="T672" s="2"/>
      </tp>
      <tp t="s">
        <v>#N/A N/A</v>
        <stp/>
        <stp>BDP|16245994805306430954</stp>
        <tr r="O1682" s="2"/>
      </tp>
      <tp t="s">
        <v>#N/A N/A</v>
        <stp/>
        <stp>BDP|11702478849812261342</stp>
        <tr r="R964" s="2"/>
      </tp>
      <tp t="s">
        <v>#N/A N/A</v>
        <stp/>
        <stp>BDP|15519880042998645168</stp>
        <tr r="G818" s="2"/>
      </tp>
      <tp t="s">
        <v>#N/A N/A</v>
        <stp/>
        <stp>BDP|17649196862724766457</stp>
        <tr r="H1129" s="2"/>
      </tp>
      <tp t="s">
        <v>#N/A N/A</v>
        <stp/>
        <stp>BDP|17497544227290915005</stp>
        <tr r="T459" s="2"/>
      </tp>
      <tp t="s">
        <v>#N/A N/A</v>
        <stp/>
        <stp>BDP|11831219551956114079</stp>
        <tr r="Q1353" s="2"/>
      </tp>
      <tp t="s">
        <v>#N/A N/A</v>
        <stp/>
        <stp>BDP|13742068069365226046</stp>
        <tr r="C1354" s="2"/>
      </tp>
      <tp t="s">
        <v>#N/A N/A</v>
        <stp/>
        <stp>BDP|15857423941462384760</stp>
        <tr r="M1605" s="2"/>
      </tp>
      <tp t="s">
        <v>#N/A N/A</v>
        <stp/>
        <stp>BDP|16478118104794756387</stp>
        <tr r="Q509" s="2"/>
      </tp>
      <tp t="s">
        <v>#N/A N/A</v>
        <stp/>
        <stp>BDP|16681862868210516830</stp>
        <tr r="M1735" s="2"/>
      </tp>
      <tp t="s">
        <v>#N/A N/A</v>
        <stp/>
        <stp>BDP|13111096300572537138</stp>
        <tr r="O1064" s="2"/>
      </tp>
      <tp t="s">
        <v>#N/A N/A</v>
        <stp/>
        <stp>BDP|15894374757765108672</stp>
        <tr r="A240" s="2"/>
      </tp>
      <tp t="s">
        <v>#N/A N/A</v>
        <stp/>
        <stp>BDP|11488231695513806944</stp>
        <tr r="F1456" s="2"/>
      </tp>
      <tp t="s">
        <v>#N/A N/A</v>
        <stp/>
        <stp>BDP|16077488306157869580</stp>
        <tr r="N444" s="2"/>
      </tp>
      <tp t="s">
        <v>#N/A N/A</v>
        <stp/>
        <stp>BDP|14628941265228993300</stp>
        <tr r="K365" s="2"/>
      </tp>
      <tp t="s">
        <v>#N/A N/A</v>
        <stp/>
        <stp>BDP|15120021053930968074</stp>
        <tr r="O771" s="2"/>
      </tp>
      <tp t="s">
        <v>#N/A N/A</v>
        <stp/>
        <stp>BDP|11907315222005584515</stp>
        <tr r="S1283" s="2"/>
      </tp>
      <tp t="s">
        <v>#N/A N/A</v>
        <stp/>
        <stp>BDP|12234692164743260138</stp>
        <tr r="K466" s="2"/>
      </tp>
      <tp t="s">
        <v>#N/A N/A</v>
        <stp/>
        <stp>BDP|17597266718977097357</stp>
        <tr r="H217" s="2"/>
      </tp>
      <tp t="s">
        <v>#N/A N/A</v>
        <stp/>
        <stp>BDP|14152079643633808335</stp>
        <tr r="T589" s="2"/>
      </tp>
      <tp t="s">
        <v>#N/A N/A</v>
        <stp/>
        <stp>BDP|15776688240440037717</stp>
        <tr r="E1077" s="2"/>
      </tp>
      <tp t="s">
        <v>#N/A N/A</v>
        <stp/>
        <stp>BDP|13956629354148121800</stp>
        <tr r="K1187" s="2"/>
      </tp>
      <tp t="s">
        <v>#N/A N/A</v>
        <stp/>
        <stp>BDP|12376705470603487192</stp>
        <tr r="A1168" s="2"/>
      </tp>
      <tp t="s">
        <v>#N/A N/A</v>
        <stp/>
        <stp>BDP|15085304576211884008</stp>
        <tr r="O1216" s="2"/>
      </tp>
      <tp t="s">
        <v>#N/A N/A</v>
        <stp/>
        <stp>BDP|15294150125420522691</stp>
        <tr r="Q1091" s="2"/>
      </tp>
      <tp t="s">
        <v>#N/A N/A</v>
        <stp/>
        <stp>BDP|10204668124216743290</stp>
        <tr r="A1031" s="2"/>
      </tp>
      <tp t="s">
        <v>#N/A N/A</v>
        <stp/>
        <stp>BDP|16114709141533940677</stp>
        <tr r="A85" s="2"/>
      </tp>
      <tp t="s">
        <v>#N/A N/A</v>
        <stp/>
        <stp>BDP|10821698086536012890</stp>
        <tr r="G725" s="2"/>
      </tp>
      <tp t="s">
        <v>#N/A N/A</v>
        <stp/>
        <stp>BDP|11897572543191664141</stp>
        <tr r="O1043" s="2"/>
      </tp>
      <tp t="s">
        <v>#N/A N/A</v>
        <stp/>
        <stp>BDP|12499712806273837657</stp>
        <tr r="G1505" s="2"/>
      </tp>
      <tp t="s">
        <v>#N/A N/A</v>
        <stp/>
        <stp>BDP|12635603757916822776</stp>
        <tr r="R1171" s="2"/>
      </tp>
      <tp t="s">
        <v>#N/A N/A</v>
        <stp/>
        <stp>BDP|17901478370713311733</stp>
        <tr r="H29" s="2"/>
      </tp>
      <tp t="s">
        <v>#N/A N/A</v>
        <stp/>
        <stp>BDP|12905362305107179658</stp>
        <tr r="J744" s="2"/>
      </tp>
      <tp t="s">
        <v>#N/A N/A</v>
        <stp/>
        <stp>BDP|10437343702590892340</stp>
        <tr r="M659" s="2"/>
      </tp>
      <tp t="s">
        <v>#N/A N/A</v>
        <stp/>
        <stp>BDP|13558119702956023484</stp>
        <tr r="E552" s="2"/>
      </tp>
      <tp t="s">
        <v>#N/A N/A</v>
        <stp/>
        <stp>BDP|11234934070549680699</stp>
        <tr r="N689" s="2"/>
      </tp>
      <tp t="s">
        <v>#N/A N/A</v>
        <stp/>
        <stp>BDP|13892201514734247408</stp>
        <tr r="A1674" s="2"/>
      </tp>
      <tp t="s">
        <v>#N/A N/A</v>
        <stp/>
        <stp>BDP|13322520751150845365</stp>
        <tr r="G1671" s="2"/>
      </tp>
      <tp t="s">
        <v>#N/A N/A</v>
        <stp/>
        <stp>BDP|10401351749330086768</stp>
        <tr r="J474" s="2"/>
      </tp>
      <tp t="s">
        <v>#N/A N/A</v>
        <stp/>
        <stp>BDP|12023690460436136467</stp>
        <tr r="S394" s="2"/>
      </tp>
      <tp t="s">
        <v>#N/A N/A</v>
        <stp/>
        <stp>BDP|13228644607903677699</stp>
        <tr r="O1232" s="2"/>
      </tp>
      <tp t="s">
        <v>#N/A N/A</v>
        <stp/>
        <stp>BDP|16600430306913900148</stp>
        <tr r="F1613" s="2"/>
      </tp>
      <tp t="s">
        <v>#N/A N/A</v>
        <stp/>
        <stp>BDP|12917570755101319361</stp>
        <tr r="G9" s="2"/>
      </tp>
      <tp t="s">
        <v>#N/A N/A</v>
        <stp/>
        <stp>BDP|13316467064566948767</stp>
        <tr r="S1416" s="2"/>
      </tp>
      <tp t="s">
        <v>#N/A N/A</v>
        <stp/>
        <stp>BDP|11995850637842341865</stp>
        <tr r="O1325" s="2"/>
      </tp>
      <tp t="s">
        <v>#N/A N/A</v>
        <stp/>
        <stp>BDP|14075134664113071095</stp>
        <tr r="O549" s="2"/>
      </tp>
      <tp t="s">
        <v>#N/A N/A</v>
        <stp/>
        <stp>BDP|11437775165015025584</stp>
        <tr r="J191" s="2"/>
      </tp>
      <tp t="s">
        <v>#N/A N/A</v>
        <stp/>
        <stp>BDP|13873166706201039367</stp>
        <tr r="P716" s="2"/>
      </tp>
      <tp t="s">
        <v>#N/A N/A</v>
        <stp/>
        <stp>BDP|12963767261642220122</stp>
        <tr r="C1013" s="2"/>
      </tp>
      <tp t="s">
        <v>#N/A N/A</v>
        <stp/>
        <stp>BDP|18400456750709932065</stp>
        <tr r="T318" s="2"/>
      </tp>
      <tp t="s">
        <v>#N/A N/A</v>
        <stp/>
        <stp>BDP|16582412323779036999</stp>
        <tr r="J1158" s="2"/>
      </tp>
      <tp t="s">
        <v>#N/A N/A</v>
        <stp/>
        <stp>BDP|10717470945579835931</stp>
        <tr r="P979" s="2"/>
      </tp>
      <tp t="s">
        <v>#N/A N/A</v>
        <stp/>
        <stp>BDP|12867489291188789780</stp>
        <tr r="A519" s="2"/>
      </tp>
      <tp t="s">
        <v>#N/A N/A</v>
        <stp/>
        <stp>BDP|17120460231110807005</stp>
        <tr r="M1058" s="2"/>
      </tp>
      <tp t="s">
        <v>#N/A N/A</v>
        <stp/>
        <stp>BDS|16300294159006941776</stp>
        <tr r="I1111" s="2"/>
      </tp>
      <tp t="s">
        <v>#N/A N/A</v>
        <stp/>
        <stp>BDP|13916468210471830798</stp>
        <tr r="F1066" s="2"/>
      </tp>
      <tp t="s">
        <v>#N/A N/A</v>
        <stp/>
        <stp>BDP|15324393067393124325</stp>
        <tr r="S1353" s="2"/>
      </tp>
      <tp t="s">
        <v>#N/A N/A</v>
        <stp/>
        <stp>BDP|15540751898238400322</stp>
        <tr r="K738" s="2"/>
      </tp>
      <tp t="s">
        <v>#N/A N/A</v>
        <stp/>
        <stp>BDP|11891636653842319053</stp>
        <tr r="K648" s="2"/>
      </tp>
      <tp t="s">
        <v>#N/A N/A</v>
        <stp/>
        <stp>BDP|12734251189430313862</stp>
        <tr r="S205" s="2"/>
      </tp>
      <tp t="s">
        <v>#N/A N/A</v>
        <stp/>
        <stp>BDP|10215395396643515966</stp>
        <tr r="M1202" s="2"/>
      </tp>
      <tp t="s">
        <v>#N/A N/A</v>
        <stp/>
        <stp>BDP|18336956128205161614</stp>
        <tr r="P792" s="2"/>
      </tp>
      <tp t="s">
        <v>#N/A N/A</v>
        <stp/>
        <stp>BDP|15269517348672761625</stp>
        <tr r="P46" s="2"/>
      </tp>
      <tp t="s">
        <v>#N/A N/A</v>
        <stp/>
        <stp>BDP|11236385712581132274</stp>
        <tr r="H121" s="2"/>
      </tp>
      <tp t="s">
        <v>#N/A N/A</v>
        <stp/>
        <stp>BDP|12907969775934017845</stp>
        <tr r="A254" s="2"/>
      </tp>
      <tp t="s">
        <v>#N/A N/A</v>
        <stp/>
        <stp>BDP|16019196866383728262</stp>
        <tr r="T969" s="2"/>
      </tp>
      <tp t="s">
        <v>#N/A N/A</v>
        <stp/>
        <stp>BDP|15255726767031103587</stp>
        <tr r="N484" s="2"/>
      </tp>
      <tp t="s">
        <v>#N/A N/A</v>
        <stp/>
        <stp>BDP|17722242433771389724</stp>
        <tr r="O1366" s="2"/>
      </tp>
      <tp t="s">
        <v>#N/A N/A</v>
        <stp/>
        <stp>BDP|16513277863890040201</stp>
        <tr r="H89" s="2"/>
      </tp>
      <tp t="s">
        <v>#N/A N/A</v>
        <stp/>
        <stp>BDP|10419093629796297476</stp>
        <tr r="M710" s="2"/>
      </tp>
      <tp t="s">
        <v>#N/A N/A</v>
        <stp/>
        <stp>BDS|12844867752948794799</stp>
        <tr r="I10" s="2"/>
      </tp>
      <tp t="s">
        <v>#N/A N/A</v>
        <stp/>
        <stp>BDP|16141008160451009101</stp>
        <tr r="E1009" s="2"/>
      </tp>
      <tp t="s">
        <v>#N/A N/A</v>
        <stp/>
        <stp>BDP|14197724541190205715</stp>
        <tr r="A1140" s="2"/>
      </tp>
      <tp t="s">
        <v>#N/A N/A</v>
        <stp/>
        <stp>BDP|10256150306698120919</stp>
        <tr r="C926" s="2"/>
      </tp>
      <tp t="s">
        <v>#N/A N/A</v>
        <stp/>
        <stp>BDP|12401468561223329310</stp>
        <tr r="S1543" s="2"/>
      </tp>
      <tp t="s">
        <v>#N/A N/A</v>
        <stp/>
        <stp>BDP|16178915090850562644</stp>
        <tr r="Q1343" s="2"/>
      </tp>
      <tp t="s">
        <v>#N/A N/A</v>
        <stp/>
        <stp>BDP|15952273063880570191</stp>
        <tr r="H703" s="2"/>
      </tp>
      <tp t="s">
        <v>#N/A N/A</v>
        <stp/>
        <stp>BDP|10587823178229680689</stp>
        <tr r="K699" s="2"/>
      </tp>
      <tp t="s">
        <v>#N/A N/A</v>
        <stp/>
        <stp>BDP|11782786512112535594</stp>
        <tr r="D1419" s="2"/>
      </tp>
      <tp t="s">
        <v>#N/A N/A</v>
        <stp/>
        <stp>BDP|15107478424260618354</stp>
        <tr r="M42" s="2"/>
      </tp>
      <tp t="s">
        <v>#N/A N/A</v>
        <stp/>
        <stp>BDS|11338993637609819278</stp>
        <tr r="I1044" s="2"/>
      </tp>
      <tp t="s">
        <v>#N/A N/A</v>
        <stp/>
        <stp>BDP|14549611907165435768</stp>
        <tr r="F895" s="2"/>
      </tp>
      <tp t="s">
        <v>#N/A N/A</v>
        <stp/>
        <stp>BDP|13924788455575285478</stp>
        <tr r="O1167" s="2"/>
      </tp>
      <tp t="s">
        <v>#N/A N/A</v>
        <stp/>
        <stp>BDS|10660652495877236861</stp>
        <tr r="I1032" s="2"/>
      </tp>
      <tp t="s">
        <v>#N/A N/A</v>
        <stp/>
        <stp>BDP|17599821376110366832</stp>
        <tr r="K880" s="2"/>
      </tp>
      <tp t="s">
        <v>#N/A N/A</v>
        <stp/>
        <stp>BDP|15793679903415214608</stp>
        <tr r="R653" s="2"/>
      </tp>
      <tp t="s">
        <v>#N/A N/A</v>
        <stp/>
        <stp>BDP|18084795598665639365</stp>
        <tr r="M338" s="2"/>
      </tp>
      <tp t="s">
        <v>#N/A N/A</v>
        <stp/>
        <stp>BDP|10212183549936462360</stp>
        <tr r="H274" s="2"/>
      </tp>
      <tp t="s">
        <v>#N/A N/A</v>
        <stp/>
        <stp>BDP|12745272097930530931</stp>
        <tr r="N1061" s="2"/>
      </tp>
      <tp t="s">
        <v>#N/A N/A</v>
        <stp/>
        <stp>BDP|11988252629227434607</stp>
        <tr r="Q1641" s="2"/>
      </tp>
      <tp t="s">
        <v>#N/A N/A</v>
        <stp/>
        <stp>BDS|16374036526911264562</stp>
        <tr r="I646" s="2"/>
      </tp>
      <tp t="s">
        <v>#N/A N/A</v>
        <stp/>
        <stp>BDP|18020748381161522615</stp>
        <tr r="P326" s="2"/>
      </tp>
      <tp t="s">
        <v>#N/A N/A</v>
        <stp/>
        <stp>BDP|17208108936353546603</stp>
        <tr r="E855" s="2"/>
      </tp>
      <tp t="s">
        <v>#N/A N/A</v>
        <stp/>
        <stp>BDP|12958320724651754295</stp>
        <tr r="O219" s="2"/>
      </tp>
      <tp t="s">
        <v>#N/A N/A</v>
        <stp/>
        <stp>BDP|16846083867232564230</stp>
        <tr r="J799" s="2"/>
      </tp>
      <tp t="s">
        <v>#N/A N/A</v>
        <stp/>
        <stp>BDP|10883669907086916013</stp>
        <tr r="G699" s="2"/>
      </tp>
      <tp t="s">
        <v>#N/A N/A</v>
        <stp/>
        <stp>BDP|18425093228579666321</stp>
        <tr r="A622" s="2"/>
      </tp>
      <tp t="s">
        <v>#N/A N/A</v>
        <stp/>
        <stp>BDP|10577234403845286760</stp>
        <tr r="S1271" s="2"/>
      </tp>
      <tp t="s">
        <v>#N/A N/A</v>
        <stp/>
        <stp>BDS|13536487165736945734</stp>
        <tr r="I1515" s="2"/>
      </tp>
      <tp t="s">
        <v>#N/A N/A</v>
        <stp/>
        <stp>BDP|14769652183853380936</stp>
        <tr r="S628" s="2"/>
      </tp>
      <tp t="s">
        <v>#N/A N/A</v>
        <stp/>
        <stp>BDP|11614704340942688016</stp>
        <tr r="K506" s="2"/>
      </tp>
      <tp t="s">
        <v>#N/A N/A</v>
        <stp/>
        <stp>BDP|16273279727471219719</stp>
        <tr r="F1243" s="2"/>
      </tp>
      <tp t="s">
        <v>#N/A N/A</v>
        <stp/>
        <stp>BDP|12550982283345977661</stp>
        <tr r="N1511" s="2"/>
      </tp>
      <tp t="s">
        <v>#N/A N/A</v>
        <stp/>
        <stp>BDP|12559622654579759855</stp>
        <tr r="K182" s="2"/>
      </tp>
      <tp t="s">
        <v>#N/A N/A</v>
        <stp/>
        <stp>BDP|11626376333589448874</stp>
        <tr r="H934" s="2"/>
      </tp>
      <tp t="s">
        <v>#N/A N/A</v>
        <stp/>
        <stp>BDP|13378151416795101600</stp>
        <tr r="M311" s="2"/>
      </tp>
      <tp t="s">
        <v>#N/A N/A</v>
        <stp/>
        <stp>BDP|16936431055065650286</stp>
        <tr r="N967" s="2"/>
      </tp>
      <tp t="s">
        <v>#N/A N/A</v>
        <stp/>
        <stp>BDP|16660115747642641170</stp>
        <tr r="K700" s="2"/>
      </tp>
      <tp t="s">
        <v>#N/A N/A</v>
        <stp/>
        <stp>BDP|14006350417420419675</stp>
        <tr r="N883" s="2"/>
      </tp>
      <tp t="s">
        <v>#N/A N/A</v>
        <stp/>
        <stp>BDP|13704542574346205741</stp>
        <tr r="E199" s="2"/>
      </tp>
      <tp t="s">
        <v>#N/A N/A</v>
        <stp/>
        <stp>BDP|17016563373384363170</stp>
        <tr r="K1729" s="2"/>
      </tp>
      <tp t="s">
        <v>#N/A N/A</v>
        <stp/>
        <stp>BDP|14462357315633074557</stp>
        <tr r="N1164" s="2"/>
      </tp>
      <tp t="s">
        <v>#N/A N/A</v>
        <stp/>
        <stp>BDP|12093090441560189682</stp>
        <tr r="S1243" s="2"/>
      </tp>
      <tp t="s">
        <v>#N/A N/A</v>
        <stp/>
        <stp>BDP|17312183350895352699</stp>
        <tr r="K9" s="2"/>
      </tp>
      <tp t="s">
        <v>#N/A N/A</v>
        <stp/>
        <stp>BDP|13369948774985093828</stp>
        <tr r="N958" s="2"/>
      </tp>
      <tp t="s">
        <v>#N/A N/A</v>
        <stp/>
        <stp>BDP|17956915669311302935</stp>
        <tr r="G82" s="2"/>
      </tp>
      <tp t="s">
        <v>#N/A N/A</v>
        <stp/>
        <stp>BDP|13296993418183762858</stp>
        <tr r="J1428" s="2"/>
      </tp>
      <tp t="s">
        <v>#N/A N/A</v>
        <stp/>
        <stp>BDP|12916131952812945409</stp>
        <tr r="A126" s="2"/>
      </tp>
      <tp t="s">
        <v>#N/A N/A</v>
        <stp/>
        <stp>BDP|16754187678054753413</stp>
        <tr r="P1143" s="2"/>
      </tp>
      <tp t="s">
        <v>#N/A N/A</v>
        <stp/>
        <stp>BDS|16335603004269607936</stp>
        <tr r="I608" s="2"/>
      </tp>
      <tp t="s">
        <v>#N/A N/A</v>
        <stp/>
        <stp>BDP|11567390715427122494</stp>
        <tr r="C935" s="2"/>
      </tp>
      <tp t="s">
        <v>#N/A N/A</v>
        <stp/>
        <stp>BDS|16838697800914583461</stp>
        <tr r="I92" s="2"/>
      </tp>
      <tp t="s">
        <v>#N/A N/A</v>
        <stp/>
        <stp>BDP|14855888726499135771</stp>
        <tr r="R1734" s="2"/>
      </tp>
      <tp t="s">
        <v>#N/A N/A</v>
        <stp/>
        <stp>BDP|16628784274825316394</stp>
        <tr r="E810" s="2"/>
      </tp>
      <tp t="s">
        <v>#N/A N/A</v>
        <stp/>
        <stp>BDP|12842575559297607508</stp>
        <tr r="E1181" s="2"/>
      </tp>
      <tp t="s">
        <v>#N/A N/A</v>
        <stp/>
        <stp>BDP|17375149275982086324</stp>
        <tr r="T951" s="2"/>
      </tp>
      <tp t="s">
        <v>#N/A N/A</v>
        <stp/>
        <stp>BDP|14084052377506507574</stp>
        <tr r="H1557" s="2"/>
      </tp>
      <tp t="s">
        <v>#N/A N/A</v>
        <stp/>
        <stp>BDP|13002260785128135129</stp>
        <tr r="E1257" s="2"/>
      </tp>
      <tp t="s">
        <v>#N/A N/A</v>
        <stp/>
        <stp>BDP|11386153004094117430</stp>
        <tr r="J1507" s="2"/>
      </tp>
      <tp t="s">
        <v>#N/A N/A</v>
        <stp/>
        <stp>BDP|10664849092878087905</stp>
        <tr r="H1114" s="2"/>
      </tp>
      <tp t="s">
        <v>#N/A N/A</v>
        <stp/>
        <stp>BDP|16177264003155185150</stp>
        <tr r="H1413" s="2"/>
      </tp>
      <tp t="s">
        <v>#N/A N/A</v>
        <stp/>
        <stp>BDP|12044709343072753342</stp>
        <tr r="R990" s="2"/>
      </tp>
      <tp t="s">
        <v>#N/A N/A</v>
        <stp/>
        <stp>BDP|14488980951781415997</stp>
        <tr r="Q324" s="2"/>
      </tp>
      <tp t="s">
        <v>#N/A N/A</v>
        <stp/>
        <stp>BDP|15387786948057315106</stp>
        <tr r="T1664" s="2"/>
      </tp>
      <tp t="s">
        <v>#N/A N/A</v>
        <stp/>
        <stp>BDP|10978411780389996515</stp>
        <tr r="D1251" s="2"/>
      </tp>
      <tp t="s">
        <v>#N/A N/A</v>
        <stp/>
        <stp>BDP|12617203707305083510</stp>
        <tr r="Q202" s="2"/>
      </tp>
      <tp t="s">
        <v>#N/A N/A</v>
        <stp/>
        <stp>BDP|10359753528933923675</stp>
        <tr r="E522" s="2"/>
      </tp>
      <tp t="s">
        <v>#N/A N/A</v>
        <stp/>
        <stp>BDP|16799051173602927384</stp>
        <tr r="J1733" s="2"/>
      </tp>
      <tp t="s">
        <v>#N/A N/A</v>
        <stp/>
        <stp>BDP|11773451711997203317</stp>
        <tr r="R950" s="2"/>
      </tp>
      <tp t="s">
        <v>#N/A N/A</v>
        <stp/>
        <stp>BDP|17359002105893379450</stp>
        <tr r="G1574" s="2"/>
      </tp>
      <tp t="s">
        <v>#N/A N/A</v>
        <stp/>
        <stp>BDP|16281542284543533874</stp>
        <tr r="O803" s="2"/>
      </tp>
      <tp t="s">
        <v>#N/A N/A</v>
        <stp/>
        <stp>BDP|16001975633328473409</stp>
        <tr r="T1188" s="2"/>
      </tp>
      <tp t="s">
        <v>#N/A N/A</v>
        <stp/>
        <stp>BDP|11368819701699122024</stp>
        <tr r="Q1652" s="2"/>
      </tp>
      <tp t="s">
        <v>#N/A N/A</v>
        <stp/>
        <stp>BDP|11469096262741995660</stp>
        <tr r="E490" s="2"/>
      </tp>
      <tp t="s">
        <v>#N/A N/A</v>
        <stp/>
        <stp>BDP|15152320960999620950</stp>
        <tr r="O823" s="2"/>
      </tp>
      <tp t="s">
        <v>#N/A N/A</v>
        <stp/>
        <stp>BDP|16715565164841612433</stp>
        <tr r="G61" s="2"/>
      </tp>
      <tp t="s">
        <v>#N/A N/A</v>
        <stp/>
        <stp>BDP|14298367270329165957</stp>
        <tr r="N1497" s="2"/>
      </tp>
      <tp t="s">
        <v>#N/A N/A</v>
        <stp/>
        <stp>BDP|15712639140685313273</stp>
        <tr r="N428" s="2"/>
      </tp>
      <tp t="s">
        <v>#N/A N/A</v>
        <stp/>
        <stp>BDP|17087580579111339426</stp>
        <tr r="C492" s="2"/>
      </tp>
      <tp t="s">
        <v>#N/A N/A</v>
        <stp/>
        <stp>BDP|15286799614310986366</stp>
        <tr r="D877" s="2"/>
      </tp>
      <tp t="s">
        <v>#N/A N/A</v>
        <stp/>
        <stp>BDP|10959582531795884384</stp>
        <tr r="Q456" s="2"/>
      </tp>
      <tp t="s">
        <v>#N/A N/A</v>
        <stp/>
        <stp>BDP|15385005677274266665</stp>
        <tr r="D1686" s="2"/>
      </tp>
      <tp t="s">
        <v>#N/A N/A</v>
        <stp/>
        <stp>BDP|14857244662287953775</stp>
        <tr r="J1533" s="2"/>
      </tp>
      <tp t="s">
        <v>#N/A N/A</v>
        <stp/>
        <stp>BDS|12547220209365466592</stp>
        <tr r="I184" s="2"/>
      </tp>
      <tp t="s">
        <v>#N/A N/A</v>
        <stp/>
        <stp>BDP|11182960537633443849</stp>
        <tr r="G546" s="2"/>
      </tp>
      <tp t="s">
        <v>#N/A N/A</v>
        <stp/>
        <stp>BDP|18140887959387110212</stp>
        <tr r="A1108" s="2"/>
      </tp>
      <tp t="s">
        <v>#N/A N/A</v>
        <stp/>
        <stp>BDP|13009841084806424549</stp>
        <tr r="H1673" s="2"/>
      </tp>
      <tp t="s">
        <v>#N/A N/A</v>
        <stp/>
        <stp>BDP|16390916834525416929</stp>
        <tr r="H1637" s="2"/>
      </tp>
      <tp t="s">
        <v>#N/A N/A</v>
        <stp/>
        <stp>BDP|12054552521582271767</stp>
        <tr r="J1468" s="2"/>
      </tp>
      <tp t="s">
        <v>#N/A N/A</v>
        <stp/>
        <stp>BDP|17964051071045805555</stp>
        <tr r="A1458" s="2"/>
      </tp>
      <tp t="s">
        <v>#N/A N/A</v>
        <stp/>
        <stp>BDP|12616651353361684069</stp>
        <tr r="A1609" s="2"/>
      </tp>
      <tp t="s">
        <v>#N/A N/A</v>
        <stp/>
        <stp>BDP|10000032037414577713</stp>
        <tr r="T1692" s="2"/>
      </tp>
      <tp t="s">
        <v>#N/A N/A</v>
        <stp/>
        <stp>BDP|10522309254350795663</stp>
        <tr r="O1662" s="2"/>
      </tp>
      <tp t="s">
        <v>#N/A N/A</v>
        <stp/>
        <stp>BDP|17171301784055310965</stp>
        <tr r="R1583" s="2"/>
      </tp>
      <tp t="s">
        <v>#N/A N/A</v>
        <stp/>
        <stp>BDP|10358058002765392572</stp>
        <tr r="K571" s="2"/>
      </tp>
      <tp t="s">
        <v>#N/A N/A</v>
        <stp/>
        <stp>BDP|15695495048840409535</stp>
        <tr r="G717" s="2"/>
      </tp>
      <tp t="s">
        <v>#N/A N/A</v>
        <stp/>
        <stp>BDP|14091207215827014056</stp>
        <tr r="Q722" s="2"/>
      </tp>
      <tp t="s">
        <v>#N/A N/A</v>
        <stp/>
        <stp>BDP|13015724569612900022</stp>
        <tr r="Q1510" s="2"/>
      </tp>
      <tp t="s">
        <v>#N/A N/A</v>
        <stp/>
        <stp>BDP|13815048729089098851</stp>
        <tr r="N454" s="2"/>
      </tp>
      <tp t="s">
        <v>#N/A N/A</v>
        <stp/>
        <stp>BDS|16445754702182687369</stp>
        <tr r="I773" s="2"/>
      </tp>
      <tp t="s">
        <v>#N/A N/A</v>
        <stp/>
        <stp>BDS|13476504734432208717</stp>
        <tr r="I1683" s="2"/>
      </tp>
      <tp t="s">
        <v>#N/A N/A</v>
        <stp/>
        <stp>BDP|11525901171536472901</stp>
        <tr r="T1289" s="2"/>
      </tp>
      <tp t="s">
        <v>#N/A N/A</v>
        <stp/>
        <stp>BDP|10612977081304313534</stp>
        <tr r="M740" s="2"/>
      </tp>
      <tp t="s">
        <v>#N/A N/A</v>
        <stp/>
        <stp>BDP|15820109338611282625</stp>
        <tr r="O360" s="2"/>
      </tp>
      <tp t="s">
        <v>#N/A N/A</v>
        <stp/>
        <stp>BDP|17631446333139031917</stp>
        <tr r="Q147" s="2"/>
      </tp>
      <tp t="s">
        <v>#N/A N/A</v>
        <stp/>
        <stp>BDP|18059274824231441977</stp>
        <tr r="T75" s="2"/>
      </tp>
      <tp t="s">
        <v>#N/A N/A</v>
        <stp/>
        <stp>BDP|16793408874666411371</stp>
        <tr r="C242" s="2"/>
      </tp>
      <tp t="s">
        <v>#N/A N/A</v>
        <stp/>
        <stp>BDP|12939864059006517931</stp>
        <tr r="K322" s="2"/>
      </tp>
      <tp t="s">
        <v>#N/A N/A</v>
        <stp/>
        <stp>BDP|16555558917250113269</stp>
        <tr r="E1309" s="2"/>
      </tp>
      <tp t="s">
        <v>#N/A N/A</v>
        <stp/>
        <stp>BDP|11046793459063942094</stp>
        <tr r="Q1221" s="2"/>
      </tp>
      <tp t="s">
        <v>#N/A N/A</v>
        <stp/>
        <stp>BDP|14329737930236563656</stp>
        <tr r="J879" s="2"/>
      </tp>
      <tp t="s">
        <v>#N/A N/A</v>
        <stp/>
        <stp>BDP|17558358666623341159</stp>
        <tr r="A958" s="2"/>
      </tp>
      <tp t="s">
        <v>#N/A N/A</v>
        <stp/>
        <stp>BDP|16428322752307348771</stp>
        <tr r="N1365" s="2"/>
      </tp>
      <tp t="s">
        <v>#N/A N/A</v>
        <stp/>
        <stp>BDP|17431454430642847293</stp>
        <tr r="G215" s="2"/>
      </tp>
      <tp t="s">
        <v>#N/A N/A</v>
        <stp/>
        <stp>BDP|10033645404851213729</stp>
        <tr r="A1740" s="2"/>
      </tp>
      <tp t="s">
        <v>#N/A N/A</v>
        <stp/>
        <stp>BDP|15512667142491769662</stp>
        <tr r="R911" s="2"/>
      </tp>
      <tp t="s">
        <v>#N/A N/A</v>
        <stp/>
        <stp>BDP|16032622449722267696</stp>
        <tr r="K1319" s="2"/>
      </tp>
      <tp t="s">
        <v>#N/A N/A</v>
        <stp/>
        <stp>BDP|14728177834743269561</stp>
        <tr r="S944" s="2"/>
      </tp>
      <tp t="s">
        <v>#N/A N/A</v>
        <stp/>
        <stp>BDP|17649417733548164855</stp>
        <tr r="Q604" s="2"/>
      </tp>
      <tp t="s">
        <v>#N/A N/A</v>
        <stp/>
        <stp>BDP|11263110531153658047</stp>
        <tr r="A389" s="2"/>
      </tp>
      <tp t="s">
        <v>#N/A N/A</v>
        <stp/>
        <stp>BDP|11295732561606616669</stp>
        <tr r="D771" s="2"/>
      </tp>
      <tp t="s">
        <v>#N/A N/A</v>
        <stp/>
        <stp>BDP|14088449930034404704</stp>
        <tr r="A615" s="2"/>
      </tp>
      <tp t="s">
        <v>#N/A N/A</v>
        <stp/>
        <stp>BDP|10689749840533533072</stp>
        <tr r="N1065" s="2"/>
      </tp>
      <tp t="s">
        <v>#N/A N/A</v>
        <stp/>
        <stp>BDP|14211684499358520361</stp>
        <tr r="S1225" s="2"/>
      </tp>
      <tp t="s">
        <v>#N/A N/A</v>
        <stp/>
        <stp>BDP|15034785303953392183</stp>
        <tr r="M57" s="2"/>
      </tp>
      <tp t="s">
        <v>#N/A N/A</v>
        <stp/>
        <stp>BDP|15182658650847493104</stp>
        <tr r="C526" s="2"/>
      </tp>
      <tp t="s">
        <v>#N/A N/A</v>
        <stp/>
        <stp>BDP|15892955413025909878</stp>
        <tr r="S564" s="2"/>
      </tp>
      <tp t="s">
        <v>#N/A N/A</v>
        <stp/>
        <stp>BDP|16336465842821692713</stp>
        <tr r="N252" s="2"/>
      </tp>
      <tp t="s">
        <v>#N/A N/A</v>
        <stp/>
        <stp>BDP|10928262028839050979</stp>
        <tr r="P804" s="2"/>
      </tp>
      <tp t="s">
        <v>#N/A N/A</v>
        <stp/>
        <stp>BDP|15211414244613519626</stp>
        <tr r="K174" s="2"/>
      </tp>
      <tp t="s">
        <v>#N/A N/A</v>
        <stp/>
        <stp>BDP|10515244852535514265</stp>
        <tr r="D11" s="2"/>
      </tp>
      <tp t="s">
        <v>#N/A N/A</v>
        <stp/>
        <stp>BDP|11045607309060904707</stp>
        <tr r="R1402" s="2"/>
      </tp>
      <tp t="s">
        <v>#N/A N/A</v>
        <stp/>
        <stp>BDP|12059790593334348896</stp>
        <tr r="T1329" s="2"/>
      </tp>
      <tp t="s">
        <v>#N/A N/A</v>
        <stp/>
        <stp>BDP|14135134147257722623</stp>
        <tr r="K500" s="2"/>
      </tp>
      <tp t="s">
        <v>#N/A N/A</v>
        <stp/>
        <stp>BDP|17056300250749073801</stp>
        <tr r="P1025" s="2"/>
      </tp>
      <tp t="s">
        <v>#N/A N/A</v>
        <stp/>
        <stp>BDP|14002070967073081133</stp>
        <tr r="R87" s="2"/>
      </tp>
      <tp t="s">
        <v>#N/A N/A</v>
        <stp/>
        <stp>BDP|18195338654819179745</stp>
        <tr r="F1743" s="2"/>
      </tp>
      <tp t="s">
        <v>#N/A N/A</v>
        <stp/>
        <stp>BDP|14066842777832416946</stp>
        <tr r="Q1201" s="2"/>
      </tp>
      <tp t="s">
        <v>#N/A N/A</v>
        <stp/>
        <stp>BDP|15098001393314707871</stp>
        <tr r="F1159" s="2"/>
      </tp>
      <tp t="s">
        <v>#N/A N/A</v>
        <stp/>
        <stp>BDP|11690958587789141968</stp>
        <tr r="O773" s="2"/>
      </tp>
      <tp t="s">
        <v>#N/A N/A</v>
        <stp/>
        <stp>BDP|13165429210370268620</stp>
        <tr r="C1101" s="2"/>
      </tp>
      <tp t="s">
        <v>#N/A N/A</v>
        <stp/>
        <stp>BDP|18278285058847187808</stp>
        <tr r="C1623" s="2"/>
      </tp>
      <tp t="s">
        <v>#N/A N/A</v>
        <stp/>
        <stp>BDS|13015765624864630245</stp>
        <tr r="I999" s="2"/>
      </tp>
      <tp t="s">
        <v>#N/A N/A</v>
        <stp/>
        <stp>BDP|14704132529030816769</stp>
        <tr r="P52" s="2"/>
      </tp>
      <tp t="s">
        <v>#N/A N/A</v>
        <stp/>
        <stp>BDP|15001628416007241556</stp>
        <tr r="G759" s="2"/>
      </tp>
      <tp t="s">
        <v>#N/A N/A</v>
        <stp/>
        <stp>BDP|16871684545226591232</stp>
        <tr r="J1642" s="2"/>
      </tp>
      <tp t="s">
        <v>#N/A N/A</v>
        <stp/>
        <stp>BDP|13834635608741530458</stp>
        <tr r="P1127" s="2"/>
      </tp>
      <tp t="s">
        <v>#N/A N/A</v>
        <stp/>
        <stp>BDP|12938296953932332735</stp>
        <tr r="M269" s="2"/>
      </tp>
      <tp t="s">
        <v>#N/A N/A</v>
        <stp/>
        <stp>BDS|10497876651185520875</stp>
        <tr r="I463" s="2"/>
      </tp>
      <tp t="s">
        <v>#N/A N/A</v>
        <stp/>
        <stp>BDS|12697260482029245104</stp>
        <tr r="I637" s="2"/>
      </tp>
      <tp t="s">
        <v>#N/A N/A</v>
        <stp/>
        <stp>BDP|11917500388475780954</stp>
        <tr r="Q142" s="2"/>
      </tp>
      <tp t="s">
        <v>#N/A N/A</v>
        <stp/>
        <stp>BDP|17758924842063584910</stp>
        <tr r="F101" s="2"/>
      </tp>
      <tp t="s">
        <v>#N/A N/A</v>
        <stp/>
        <stp>BDP|15490317741206018475</stp>
        <tr r="M1685" s="2"/>
      </tp>
      <tp t="s">
        <v>#N/A N/A</v>
        <stp/>
        <stp>BDP|13726574282428298633</stp>
        <tr r="H1109" s="2"/>
      </tp>
      <tp t="s">
        <v>#N/A N/A</v>
        <stp/>
        <stp>BDP|14524812942850342864</stp>
        <tr r="A1531" s="2"/>
      </tp>
      <tp t="s">
        <v>#N/A N/A</v>
        <stp/>
        <stp>BDP|15441394270916938772</stp>
        <tr r="N538" s="2"/>
      </tp>
      <tp t="s">
        <v>#N/A N/A</v>
        <stp/>
        <stp>BDP|12244304200101261038</stp>
        <tr r="G726" s="2"/>
      </tp>
      <tp t="s">
        <v>#N/A N/A</v>
        <stp/>
        <stp>BDP|16600868433149876481</stp>
        <tr r="P109" s="2"/>
      </tp>
      <tp t="s">
        <v>#N/A N/A</v>
        <stp/>
        <stp>BDP|15580031722304556320</stp>
        <tr r="E735" s="2"/>
      </tp>
      <tp t="s">
        <v>#N/A N/A</v>
        <stp/>
        <stp>BDS|15140794324332880244</stp>
        <tr r="I1396" s="2"/>
      </tp>
      <tp t="s">
        <v>#N/A N/A</v>
        <stp/>
        <stp>BDP|14552996513099451588</stp>
        <tr r="S1154" s="2"/>
      </tp>
      <tp t="s">
        <v>#N/A N/A</v>
        <stp/>
        <stp>BDP|15129106810583571678</stp>
        <tr r="S1242" s="2"/>
      </tp>
      <tp t="s">
        <v>#N/A N/A</v>
        <stp/>
        <stp>BDP|10470178546580168572</stp>
        <tr r="F1554" s="2"/>
      </tp>
      <tp t="s">
        <v>#N/A N/A</v>
        <stp/>
        <stp>BDP|13826109541524983238</stp>
        <tr r="Q638" s="2"/>
      </tp>
      <tp t="s">
        <v>#N/A N/A</v>
        <stp/>
        <stp>BDP|11732635113916135051</stp>
        <tr r="N902" s="2"/>
      </tp>
      <tp t="s">
        <v>#N/A N/A</v>
        <stp/>
        <stp>BDS|12054881272074306999</stp>
        <tr r="I185" s="2"/>
      </tp>
      <tp t="s">
        <v>#N/A N/A</v>
        <stp/>
        <stp>BDP|13182760149470415090</stp>
        <tr r="G643" s="2"/>
      </tp>
      <tp t="s">
        <v>#N/A N/A</v>
        <stp/>
        <stp>BDP|10784383220055573491</stp>
        <tr r="Q790" s="2"/>
      </tp>
      <tp t="s">
        <v>#N/A N/A</v>
        <stp/>
        <stp>BDP|14820896508978290489</stp>
        <tr r="O623" s="2"/>
      </tp>
      <tp t="s">
        <v>#N/A N/A</v>
        <stp/>
        <stp>BDP|16270707981529689060</stp>
        <tr r="Q339" s="2"/>
      </tp>
      <tp t="s">
        <v>#N/A N/A</v>
        <stp/>
        <stp>BDP|14522717147896824183</stp>
        <tr r="Q213" s="2"/>
      </tp>
      <tp t="s">
        <v>#N/A N/A</v>
        <stp/>
        <stp>BDP|18248310030178811088</stp>
        <tr r="R721" s="2"/>
      </tp>
      <tp t="s">
        <v>#N/A N/A</v>
        <stp/>
        <stp>BDP|16607059657722139161</stp>
        <tr r="H511" s="2"/>
      </tp>
      <tp t="s">
        <v>#N/A N/A</v>
        <stp/>
        <stp>BDP|16727378406325554000</stp>
        <tr r="Q1189" s="2"/>
      </tp>
      <tp t="s">
        <v>#N/A N/A</v>
        <stp/>
        <stp>BDP|13374878386904220738</stp>
        <tr r="E822" s="2"/>
      </tp>
      <tp t="s">
        <v>#N/A N/A</v>
        <stp/>
        <stp>BDP|11961104704669686980</stp>
        <tr r="O1082" s="2"/>
      </tp>
      <tp t="s">
        <v>#N/A N/A</v>
        <stp/>
        <stp>BDP|12318368866407306031</stp>
        <tr r="Q934" s="2"/>
      </tp>
      <tp t="s">
        <v>#N/A N/A</v>
        <stp/>
        <stp>BDP|17426504546976814092</stp>
        <tr r="H1627" s="2"/>
      </tp>
      <tp t="s">
        <v>#N/A N/A</v>
        <stp/>
        <stp>BDP|14545744625377245654</stp>
        <tr r="A729" s="2"/>
      </tp>
      <tp t="s">
        <v>#N/A N/A</v>
        <stp/>
        <stp>BDP|10782353423714274508</stp>
        <tr r="R839" s="2"/>
      </tp>
      <tp t="s">
        <v>#N/A N/A</v>
        <stp/>
        <stp>BDP|10042353212793375175</stp>
        <tr r="F826" s="2"/>
      </tp>
      <tp t="s">
        <v>#N/A N/A</v>
        <stp/>
        <stp>BDP|12399272972031707629</stp>
        <tr r="M847" s="2"/>
      </tp>
      <tp t="s">
        <v>#N/A N/A</v>
        <stp/>
        <stp>BDP|13745610130204452211</stp>
        <tr r="T1363" s="2"/>
      </tp>
      <tp t="s">
        <v>#N/A N/A</v>
        <stp/>
        <stp>BDP|10897610662258096880</stp>
        <tr r="F1303" s="2"/>
      </tp>
      <tp t="s">
        <v>#N/A N/A</v>
        <stp/>
        <stp>BDP|14053204208473854532</stp>
        <tr r="O115" s="2"/>
      </tp>
      <tp t="s">
        <v>#N/A N/A</v>
        <stp/>
        <stp>BDP|12349512623677004221</stp>
        <tr r="O1520" s="2"/>
      </tp>
      <tp t="s">
        <v>#N/A N/A</v>
        <stp/>
        <stp>BDP|10915337952367965122</stp>
        <tr r="M1122" s="2"/>
      </tp>
      <tp t="s">
        <v>#N/A N/A</v>
        <stp/>
        <stp>BDP|10007135635555725723</stp>
        <tr r="R1160" s="2"/>
      </tp>
      <tp t="s">
        <v>#N/A N/A</v>
        <stp/>
        <stp>BDP|10628370168583920634</stp>
        <tr r="Q1577" s="2"/>
      </tp>
      <tp t="s">
        <v>#N/A N/A</v>
        <stp/>
        <stp>BDP|17479997067099183189</stp>
        <tr r="H634" s="2"/>
      </tp>
      <tp t="s">
        <v>#N/A N/A</v>
        <stp/>
        <stp>BDP|10892393953352312428</stp>
        <tr r="F1047" s="2"/>
      </tp>
      <tp t="s">
        <v>#N/A N/A</v>
        <stp/>
        <stp>BDP|14606876162413051907</stp>
        <tr r="T452" s="2"/>
      </tp>
      <tp t="s">
        <v>#N/A N/A</v>
        <stp/>
        <stp>BDP|14812199643551891094</stp>
        <tr r="T126" s="2"/>
      </tp>
      <tp t="s">
        <v>#N/A N/A</v>
        <stp/>
        <stp>BDP|11272113169085823311</stp>
        <tr r="M139" s="2"/>
      </tp>
      <tp t="s">
        <v>#N/A N/A</v>
        <stp/>
        <stp>BDP|10946711319372295408</stp>
        <tr r="H1742" s="2"/>
      </tp>
      <tp t="s">
        <v>#N/A N/A</v>
        <stp/>
        <stp>BDP|14349130032746010014</stp>
        <tr r="P1384" s="2"/>
      </tp>
      <tp t="s">
        <v>#N/A N/A</v>
        <stp/>
        <stp>BDS|16829405629166584648</stp>
        <tr r="I925" s="2"/>
      </tp>
      <tp t="s">
        <v>#N/A N/A</v>
        <stp/>
        <stp>BDP|12493742079675398792</stp>
        <tr r="S168" s="2"/>
      </tp>
      <tp t="s">
        <v>#N/A N/A</v>
        <stp/>
        <stp>BDP|12449111392148737231</stp>
        <tr r="M12" s="2"/>
      </tp>
      <tp t="s">
        <v>#N/A N/A</v>
        <stp/>
        <stp>BDP|15446625863431254446</stp>
        <tr r="G1013" s="2"/>
      </tp>
      <tp t="s">
        <v>#N/A N/A</v>
        <stp/>
        <stp>BDP|11912873249319024445</stp>
        <tr r="F1116" s="2"/>
      </tp>
      <tp t="s">
        <v>#N/A N/A</v>
        <stp/>
        <stp>BDP|14729023892505307872</stp>
        <tr r="N866" s="2"/>
      </tp>
      <tp t="s">
        <v>#N/A N/A</v>
        <stp/>
        <stp>BDP|17754374195549547436</stp>
        <tr r="T260" s="2"/>
      </tp>
      <tp t="s">
        <v>#N/A N/A</v>
        <stp/>
        <stp>BDP|11610805215408152013</stp>
        <tr r="T169" s="2"/>
      </tp>
      <tp t="s">
        <v>#N/A N/A</v>
        <stp/>
        <stp>BDP|14462080344046347684</stp>
        <tr r="T575" s="2"/>
      </tp>
      <tp t="s">
        <v>#N/A N/A</v>
        <stp/>
        <stp>BDP|11344668246085987691</stp>
        <tr r="G659" s="2"/>
      </tp>
      <tp t="s">
        <v>#N/A N/A</v>
        <stp/>
        <stp>BDP|13733553621665206123</stp>
        <tr r="F552" s="2"/>
      </tp>
      <tp t="s">
        <v>#N/A N/A</v>
        <stp/>
        <stp>BDP|12929436223690815426</stp>
        <tr r="J1297" s="2"/>
      </tp>
      <tp t="s">
        <v>#N/A N/A</v>
        <stp/>
        <stp>BDP|15234326543814397631</stp>
        <tr r="K662" s="2"/>
      </tp>
      <tp t="s">
        <v>#N/A N/A</v>
        <stp/>
        <stp>BDP|10624579157021295177</stp>
        <tr r="C1578" s="2"/>
      </tp>
      <tp t="s">
        <v>#N/A N/A</v>
        <stp/>
        <stp>BDP|12697594349350393362</stp>
        <tr r="M159" s="2"/>
      </tp>
      <tp t="s">
        <v>#N/A N/A</v>
        <stp/>
        <stp>BDP|12015807595247029462</stp>
        <tr r="S596" s="2"/>
      </tp>
      <tp t="s">
        <v>#N/A N/A</v>
        <stp/>
        <stp>BDP|13565033606162538163</stp>
        <tr r="D488" s="2"/>
      </tp>
      <tp t="s">
        <v>#N/A N/A</v>
        <stp/>
        <stp>BDP|16550860197185102260</stp>
        <tr r="D529" s="2"/>
      </tp>
      <tp t="s">
        <v>#N/A N/A</v>
        <stp/>
        <stp>BDP|17541414014375754742</stp>
        <tr r="G512" s="2"/>
      </tp>
      <tp t="s">
        <v>#N/A N/A</v>
        <stp/>
        <stp>BDP|17619008172440620004</stp>
        <tr r="E1636" s="2"/>
      </tp>
      <tp t="s">
        <v>#N/A N/A</v>
        <stp/>
        <stp>BDP|11735665827373063648</stp>
        <tr r="C1229" s="2"/>
      </tp>
      <tp t="s">
        <v>#N/A N/A</v>
        <stp/>
        <stp>BDP|11794751177192365344</stp>
        <tr r="R201" s="2"/>
      </tp>
      <tp t="s">
        <v>#N/A N/A</v>
        <stp/>
        <stp>BDP|11303918280377001700</stp>
        <tr r="C1489" s="2"/>
      </tp>
      <tp t="s">
        <v>#N/A N/A</v>
        <stp/>
        <stp>BDP|16216526736942112254</stp>
        <tr r="F1228" s="2"/>
      </tp>
      <tp t="s">
        <v>#N/A N/A</v>
        <stp/>
        <stp>BDP|13610918855189121611</stp>
        <tr r="G1334" s="2"/>
      </tp>
      <tp t="s">
        <v>#N/A N/A</v>
        <stp/>
        <stp>BDP|12418283748096004269</stp>
        <tr r="O1678" s="2"/>
      </tp>
      <tp t="s">
        <v>#N/A N/A</v>
        <stp/>
        <stp>BDP|15917664801212546199</stp>
        <tr r="H576" s="2"/>
      </tp>
      <tp t="s">
        <v>#N/A N/A</v>
        <stp/>
        <stp>BDP|17370117234092483702</stp>
        <tr r="C1090" s="2"/>
      </tp>
      <tp t="s">
        <v>#N/A N/A</v>
        <stp/>
        <stp>BDP|11330355576272799757</stp>
        <tr r="A2" s="2"/>
      </tp>
      <tp t="s">
        <v>#N/A N/A</v>
        <stp/>
        <stp>BDP|13846733051423197290</stp>
        <tr r="J664" s="2"/>
      </tp>
      <tp t="s">
        <v>#N/A N/A</v>
        <stp/>
        <stp>BDP|16544689215702974334</stp>
        <tr r="O1632" s="2"/>
      </tp>
      <tp t="s">
        <v>#N/A N/A</v>
        <stp/>
        <stp>BDP|16619218590635672830</stp>
        <tr r="J856" s="2"/>
      </tp>
      <tp t="s">
        <v>#N/A N/A</v>
        <stp/>
        <stp>BDP|10727419564271909391</stp>
        <tr r="O321" s="2"/>
      </tp>
      <tp t="s">
        <v>#N/A N/A</v>
        <stp/>
        <stp>BDS|13586333012379324862</stp>
        <tr r="I905" s="2"/>
      </tp>
      <tp t="s">
        <v>#N/A N/A</v>
        <stp/>
        <stp>BDP|12295142761844522109</stp>
        <tr r="E1597" s="2"/>
      </tp>
      <tp t="s">
        <v>#N/A N/A</v>
        <stp/>
        <stp>BDP|10427726602117283045</stp>
        <tr r="J739" s="2"/>
      </tp>
      <tp t="s">
        <v>#N/A N/A</v>
        <stp/>
        <stp>BDP|16031438357395128272</stp>
        <tr r="F942" s="2"/>
      </tp>
      <tp t="s">
        <v>#N/A N/A</v>
        <stp/>
        <stp>BDP|17859989124778362452</stp>
        <tr r="C69" s="2"/>
      </tp>
      <tp t="s">
        <v>#N/A N/A</v>
        <stp/>
        <stp>BDP|15404683683803466892</stp>
        <tr r="J1430" s="2"/>
      </tp>
      <tp t="s">
        <v>#N/A N/A</v>
        <stp/>
        <stp>BDP|16723653347432733609</stp>
        <tr r="A1014" s="2"/>
      </tp>
      <tp t="s">
        <v>#N/A N/A</v>
        <stp/>
        <stp>BDP|14164754736826447640</stp>
        <tr r="C537" s="2"/>
      </tp>
      <tp t="s">
        <v>#N/A N/A</v>
        <stp/>
        <stp>BDP|15550080458820451035</stp>
        <tr r="T1217" s="2"/>
      </tp>
      <tp t="s">
        <v>#N/A N/A</v>
        <stp/>
        <stp>BDP|17084566703622542021</stp>
        <tr r="G492" s="2"/>
      </tp>
      <tp t="s">
        <v>#N/A N/A</v>
        <stp/>
        <stp>BDP|10081244171913084671</stp>
        <tr r="C41" s="2"/>
      </tp>
      <tp t="s">
        <v>#N/A N/A</v>
        <stp/>
        <stp>BDP|14463469640965020108</stp>
        <tr r="T280" s="2"/>
      </tp>
      <tp t="s">
        <v>#N/A N/A</v>
        <stp/>
        <stp>BDP|17286966990056758117</stp>
        <tr r="D1695" s="2"/>
      </tp>
      <tp t="s">
        <v>#N/A N/A</v>
        <stp/>
        <stp>BDP|10607661140515766751</stp>
        <tr r="D928" s="2"/>
      </tp>
      <tp t="s">
        <v>#N/A N/A</v>
        <stp/>
        <stp>BDP|12190692055460985164</stp>
        <tr r="S1152" s="2"/>
      </tp>
      <tp t="s">
        <v>#N/A N/A</v>
        <stp/>
        <stp>BDP|18169086921622240881</stp>
        <tr r="E482" s="2"/>
      </tp>
      <tp t="s">
        <v>#N/A N/A</v>
        <stp/>
        <stp>BDP|10491635765195570558</stp>
        <tr r="P865" s="2"/>
      </tp>
      <tp t="s">
        <v>#N/A N/A</v>
        <stp/>
        <stp>BDP|17639245810581113510</stp>
        <tr r="D1556" s="2"/>
      </tp>
      <tp t="s">
        <v>#N/A N/A</v>
        <stp/>
        <stp>BDS|12748251547115276161</stp>
        <tr r="I1119" s="2"/>
      </tp>
      <tp t="s">
        <v>#N/A N/A</v>
        <stp/>
        <stp>BDP|13249589923445882133</stp>
        <tr r="S318" s="2"/>
      </tp>
      <tp t="s">
        <v>#N/A N/A</v>
        <stp/>
        <stp>BDP|13138374644006626264</stp>
        <tr r="P942" s="2"/>
      </tp>
      <tp t="s">
        <v>#N/A N/A</v>
        <stp/>
        <stp>BDP|14436488490970657986</stp>
        <tr r="G126" s="2"/>
      </tp>
      <tp t="s">
        <v>#N/A N/A</v>
        <stp/>
        <stp>BDP|17648674142004246134</stp>
        <tr r="M632" s="2"/>
      </tp>
      <tp t="s">
        <v>#N/A N/A</v>
        <stp/>
        <stp>BDP|15101448847873240624</stp>
        <tr r="C1069" s="2"/>
      </tp>
      <tp t="s">
        <v>#N/A N/A</v>
        <stp/>
        <stp>BDP|10091837147889732515</stp>
        <tr r="F849" s="2"/>
      </tp>
      <tp t="s">
        <v>#N/A N/A</v>
        <stp/>
        <stp>BDP|12141875424371721970</stp>
        <tr r="A1468" s="2"/>
      </tp>
      <tp t="s">
        <v>#N/A N/A</v>
        <stp/>
        <stp>BDP|10775855034228175357</stp>
        <tr r="T785" s="2"/>
      </tp>
      <tp t="s">
        <v>#N/A N/A</v>
        <stp/>
        <stp>BDS|10138163365456761145</stp>
        <tr r="I1406" s="2"/>
      </tp>
      <tp t="s">
        <v>#N/A N/A</v>
        <stp/>
        <stp>BDP|18014809950764003128</stp>
        <tr r="E1719" s="2"/>
      </tp>
      <tp t="s">
        <v>#N/A N/A</v>
        <stp/>
        <stp>BDP|16766074104774051267</stp>
        <tr r="H1351" s="2"/>
      </tp>
      <tp t="s">
        <v>#N/A N/A</v>
        <stp/>
        <stp>BDP|11388259284189342233</stp>
        <tr r="C1017" s="2"/>
      </tp>
      <tp t="s">
        <v>#N/A N/A</v>
        <stp/>
        <stp>BDP|18401021994393151210</stp>
        <tr r="N1581" s="2"/>
      </tp>
      <tp t="s">
        <v>#N/A N/A</v>
        <stp/>
        <stp>BDP|12250384068163525455</stp>
        <tr r="A76" s="2"/>
      </tp>
      <tp t="s">
        <v>#N/A N/A</v>
        <stp/>
        <stp>BDP|14479781615223209192</stp>
        <tr r="C779" s="2"/>
      </tp>
      <tp t="s">
        <v>#N/A N/A</v>
        <stp/>
        <stp>BDP|14612361745713302041</stp>
        <tr r="Q921" s="2"/>
      </tp>
      <tp t="s">
        <v>#N/A N/A</v>
        <stp/>
        <stp>BDP|11440033440491757423</stp>
        <tr r="M32" s="2"/>
      </tp>
      <tp t="s">
        <v>#N/A N/A</v>
        <stp/>
        <stp>BDP|13410319006193193305</stp>
        <tr r="S400" s="2"/>
      </tp>
      <tp t="s">
        <v>#N/A N/A</v>
        <stp/>
        <stp>BDP|15136557951407765203</stp>
        <tr r="T980" s="2"/>
      </tp>
      <tp t="s">
        <v>#N/A N/A</v>
        <stp/>
        <stp>BDP|10460176253354734055</stp>
        <tr r="R936" s="2"/>
      </tp>
      <tp t="s">
        <v>#N/A N/A</v>
        <stp/>
        <stp>BDP|16563467181698302233</stp>
        <tr r="K1284" s="2"/>
      </tp>
      <tp t="s">
        <v>#N/A N/A</v>
        <stp/>
        <stp>BDP|10606138885288483166</stp>
        <tr r="R1256" s="2"/>
      </tp>
      <tp t="s">
        <v>#N/A N/A</v>
        <stp/>
        <stp>BDP|10004326507767433436</stp>
        <tr r="Q1125" s="2"/>
      </tp>
      <tp t="s">
        <v>#N/A N/A</v>
        <stp/>
        <stp>BDP|14305694048533124517</stp>
        <tr r="D1330" s="2"/>
      </tp>
      <tp t="s">
        <v>#N/A N/A</v>
        <stp/>
        <stp>BDP|12883740929067873084</stp>
        <tr r="O852" s="2"/>
      </tp>
      <tp t="s">
        <v>#N/A N/A</v>
        <stp/>
        <stp>BDP|13564758178583871056</stp>
        <tr r="S321" s="2"/>
      </tp>
      <tp t="s">
        <v>#N/A N/A</v>
        <stp/>
        <stp>BDS|12786235727384706624</stp>
        <tr r="I483" s="2"/>
      </tp>
      <tp t="s">
        <v>#N/A N/A</v>
        <stp/>
        <stp>BDP|13750859183354050740</stp>
        <tr r="A384" s="2"/>
      </tp>
      <tp t="s">
        <v>#N/A N/A</v>
        <stp/>
        <stp>BDP|10498928196589686936</stp>
        <tr r="H1031" s="2"/>
      </tp>
      <tp t="s">
        <v>#N/A N/A</v>
        <stp/>
        <stp>BDP|14363004776972112110</stp>
        <tr r="C839" s="2"/>
      </tp>
      <tp t="s">
        <v>#N/A N/A</v>
        <stp/>
        <stp>BDS|13092362587638459031</stp>
        <tr r="I702" s="2"/>
      </tp>
      <tp t="s">
        <v>#N/A N/A</v>
        <stp/>
        <stp>BDP|15488956892251320457</stp>
        <tr r="F188" s="2"/>
      </tp>
      <tp t="s">
        <v>#N/A N/A</v>
        <stp/>
        <stp>BDP|10285843389146364695</stp>
        <tr r="C775" s="2"/>
      </tp>
      <tp t="s">
        <v>#N/A N/A</v>
        <stp/>
        <stp>BDP|11323379893712662942</stp>
        <tr r="N877" s="2"/>
      </tp>
      <tp t="s">
        <v>#N/A N/A</v>
        <stp/>
        <stp>BDP|18358639308056966842</stp>
        <tr r="M461" s="2"/>
      </tp>
      <tp t="s">
        <v>#N/A N/A</v>
        <stp/>
        <stp>BDP|13721556137857641260</stp>
        <tr r="P522" s="2"/>
      </tp>
      <tp t="s">
        <v>#N/A N/A</v>
        <stp/>
        <stp>BDP|14706504441856023336</stp>
        <tr r="O1510" s="2"/>
      </tp>
      <tp t="s">
        <v>#N/A N/A</v>
        <stp/>
        <stp>BDP|10336947980474219509</stp>
        <tr r="R422" s="2"/>
      </tp>
      <tp t="s">
        <v>#N/A N/A</v>
        <stp/>
        <stp>BDP|17488734870685209202</stp>
        <tr r="J1691" s="2"/>
      </tp>
      <tp t="s">
        <v>#N/A N/A</v>
        <stp/>
        <stp>BDP|12533145546515534278</stp>
        <tr r="D432" s="2"/>
      </tp>
      <tp t="s">
        <v>#N/A N/A</v>
        <stp/>
        <stp>BDP|14135183005530854518</stp>
        <tr r="C675" s="2"/>
      </tp>
      <tp t="s">
        <v>#N/A N/A</v>
        <stp/>
        <stp>BDS|12591233313277727642</stp>
        <tr r="I1623" s="2"/>
      </tp>
      <tp t="s">
        <v>#N/A N/A</v>
        <stp/>
        <stp>BDP|18341209652087662824</stp>
        <tr r="A1342" s="2"/>
      </tp>
      <tp t="s">
        <v>#N/A N/A</v>
        <stp/>
        <stp>BDP|10478122512244780460</stp>
        <tr r="F41" s="2"/>
      </tp>
      <tp t="s">
        <v>#N/A N/A</v>
        <stp/>
        <stp>BDP|12692198158846417067</stp>
        <tr r="K45" s="2"/>
      </tp>
      <tp t="s">
        <v>#N/A N/A</v>
        <stp/>
        <stp>BDP|13328454761874618540</stp>
        <tr r="N105" s="2"/>
      </tp>
      <tp t="s">
        <v>#N/A N/A</v>
        <stp/>
        <stp>BDP|15606984663879118393</stp>
        <tr r="G1591" s="2"/>
      </tp>
      <tp t="s">
        <v>#N/A N/A</v>
        <stp/>
        <stp>BDP|17526701865877011154</stp>
        <tr r="T1322" s="2"/>
      </tp>
      <tp t="s">
        <v>#N/A N/A</v>
        <stp/>
        <stp>BDP|11641719266327410701</stp>
        <tr r="T1319" s="2"/>
      </tp>
      <tp t="s">
        <v>#N/A N/A</v>
        <stp/>
        <stp>BDP|17596141894759475645</stp>
        <tr r="M50" s="2"/>
      </tp>
      <tp t="s">
        <v>#N/A N/A</v>
        <stp/>
        <stp>BDP|17807154582996800820</stp>
        <tr r="T508" s="2"/>
      </tp>
      <tp t="s">
        <v>#N/A N/A</v>
        <stp/>
        <stp>BDP|17055284917246862228</stp>
        <tr r="S753" s="2"/>
      </tp>
      <tp t="s">
        <v>#N/A N/A</v>
        <stp/>
        <stp>BDS|17546264272842135066</stp>
        <tr r="I460" s="2"/>
      </tp>
      <tp t="s">
        <v>#N/A N/A</v>
        <stp/>
        <stp>BDP|11825782363263264349</stp>
        <tr r="D1260" s="2"/>
      </tp>
      <tp t="s">
        <v>#N/A N/A</v>
        <stp/>
        <stp>BDP|17293031787339070631</stp>
        <tr r="N716" s="2"/>
      </tp>
      <tp t="s">
        <v>#N/A N/A</v>
        <stp/>
        <stp>BDP|10733551021515333259</stp>
        <tr r="G1731" s="2"/>
      </tp>
      <tp t="s">
        <v>#N/A N/A</v>
        <stp/>
        <stp>BDP|14260600137501873089</stp>
        <tr r="G578" s="2"/>
      </tp>
      <tp t="s">
        <v>#N/A N/A</v>
        <stp/>
        <stp>BDP|12938686511160792521</stp>
        <tr r="N1136" s="2"/>
      </tp>
      <tp t="s">
        <v>#N/A N/A</v>
        <stp/>
        <stp>BDP|12824038508266435427</stp>
        <tr r="S1697" s="2"/>
      </tp>
      <tp t="s">
        <v>#N/A N/A</v>
        <stp/>
        <stp>BDP|10604551133372389469</stp>
        <tr r="M1279" s="2"/>
      </tp>
      <tp t="s">
        <v>#N/A N/A</v>
        <stp/>
        <stp>BDP|16029183103323680489</stp>
        <tr r="F1532" s="2"/>
      </tp>
      <tp t="s">
        <v>#N/A N/A</v>
        <stp/>
        <stp>BDP|13846272579631136720</stp>
        <tr r="R367" s="2"/>
      </tp>
      <tp t="s">
        <v>#N/A N/A</v>
        <stp/>
        <stp>BDP|12651283344737871375</stp>
        <tr r="K403" s="2"/>
      </tp>
      <tp t="s">
        <v>#N/A N/A</v>
        <stp/>
        <stp>BDP|16241153770427149735</stp>
        <tr r="N695" s="2"/>
      </tp>
      <tp t="s">
        <v>#N/A N/A</v>
        <stp/>
        <stp>BDP|13117047317287200556</stp>
        <tr r="Q1464" s="2"/>
      </tp>
      <tp t="s">
        <v>#N/A N/A</v>
        <stp/>
        <stp>BDP|17607693249324368104</stp>
        <tr r="N1554" s="2"/>
      </tp>
      <tp t="s">
        <v>#N/A N/A</v>
        <stp/>
        <stp>BDP|11658495742032855307</stp>
        <tr r="P1320" s="2"/>
      </tp>
      <tp t="s">
        <v>#N/A N/A</v>
        <stp/>
        <stp>BDP|17392974346392593825</stp>
        <tr r="A1606" s="2"/>
      </tp>
      <tp t="s">
        <v>#N/A N/A</v>
        <stp/>
        <stp>BDP|17234962993605578272</stp>
        <tr r="M1357" s="2"/>
      </tp>
      <tp t="s">
        <v>#N/A N/A</v>
        <stp/>
        <stp>BDP|12306389940915752094</stp>
        <tr r="D157" s="2"/>
      </tp>
      <tp t="s">
        <v>#N/A N/A</v>
        <stp/>
        <stp>BDP|13606912779699937426</stp>
        <tr r="J1500" s="2"/>
      </tp>
      <tp t="s">
        <v>#N/A N/A</v>
        <stp/>
        <stp>BDP|12110264501582273216</stp>
        <tr r="D956" s="2"/>
      </tp>
      <tp t="s">
        <v>#N/A N/A</v>
        <stp/>
        <stp>BDP|11343354300292360005</stp>
        <tr r="J770" s="2"/>
      </tp>
      <tp t="s">
        <v>#N/A N/A</v>
        <stp/>
        <stp>BDS|16509219500176583271</stp>
        <tr r="I828" s="2"/>
      </tp>
      <tp t="s">
        <v>#N/A N/A</v>
        <stp/>
        <stp>BDP|14370315515043755556</stp>
        <tr r="H1581" s="2"/>
      </tp>
      <tp t="s">
        <v>#N/A N/A</v>
        <stp/>
        <stp>BDS|11376396767063973727</stp>
        <tr r="I534" s="2"/>
      </tp>
      <tp t="s">
        <v>#N/A N/A</v>
        <stp/>
        <stp>BDP|16573301385255463813</stp>
        <tr r="M270" s="2"/>
      </tp>
      <tp t="s">
        <v>#N/A N/A</v>
        <stp/>
        <stp>BDP|14523021616107407203</stp>
        <tr r="Q996" s="2"/>
      </tp>
      <tp t="s">
        <v>#N/A N/A</v>
        <stp/>
        <stp>BDP|10270949102508688173</stp>
        <tr r="J400" s="2"/>
      </tp>
      <tp t="s">
        <v>#N/A N/A</v>
        <stp/>
        <stp>BDP|10268632055446924582</stp>
        <tr r="P505" s="2"/>
      </tp>
      <tp t="s">
        <v>#N/A N/A</v>
        <stp/>
        <stp>BDP|10372615685686316815</stp>
        <tr r="G748" s="2"/>
      </tp>
      <tp t="s">
        <v>#N/A N/A</v>
        <stp/>
        <stp>BDP|10619883389431273101</stp>
        <tr r="D1575" s="2"/>
      </tp>
      <tp t="s">
        <v>#N/A N/A</v>
        <stp/>
        <stp>BDP|13630191548600100634</stp>
        <tr r="A985" s="2"/>
      </tp>
      <tp t="s">
        <v>#N/A N/A</v>
        <stp/>
        <stp>BDP|17965430403322542191</stp>
        <tr r="N413" s="2"/>
      </tp>
      <tp t="s">
        <v>#N/A N/A</v>
        <stp/>
        <stp>BDS|10664337292573720966</stp>
        <tr r="I1487" s="2"/>
      </tp>
      <tp t="s">
        <v>#N/A N/A</v>
        <stp/>
        <stp>BDP|13026503402556155061</stp>
        <tr r="E375" s="2"/>
      </tp>
      <tp t="s">
        <v>#N/A N/A</v>
        <stp/>
        <stp>BDP|10152370240680424776</stp>
        <tr r="G1525" s="2"/>
      </tp>
      <tp t="s">
        <v>#N/A N/A</v>
        <stp/>
        <stp>BDP|14223338702301098667</stp>
        <tr r="P840" s="2"/>
      </tp>
      <tp t="s">
        <v>#N/A N/A</v>
        <stp/>
        <stp>BDP|16663220220063558544</stp>
        <tr r="J246" s="2"/>
      </tp>
      <tp t="s">
        <v>#N/A N/A</v>
        <stp/>
        <stp>BDP|11426985737362759996</stp>
        <tr r="T1513" s="2"/>
      </tp>
      <tp t="s">
        <v>#N/A N/A</v>
        <stp/>
        <stp>BDP|15929099044932443351</stp>
        <tr r="D1285" s="2"/>
      </tp>
      <tp t="s">
        <v>#N/A N/A</v>
        <stp/>
        <stp>BDP|13519264222373724033</stp>
        <tr r="O1674" s="2"/>
      </tp>
      <tp t="s">
        <v>#N/A N/A</v>
        <stp/>
        <stp>BDP|12608531210760336632</stp>
        <tr r="D1165" s="2"/>
      </tp>
      <tp t="s">
        <v>#N/A N/A</v>
        <stp/>
        <stp>BDP|10253604000534316242</stp>
        <tr r="J488" s="2"/>
      </tp>
      <tp t="s">
        <v>#N/A N/A</v>
        <stp/>
        <stp>BDP|13679791655305849476</stp>
        <tr r="Q329" s="2"/>
      </tp>
      <tp t="s">
        <v>#N/A N/A</v>
        <stp/>
        <stp>BDP|17509013322786544367</stp>
        <tr r="P1255" s="2"/>
      </tp>
      <tp t="s">
        <v>#N/A N/A</v>
        <stp/>
        <stp>BDP|11547600064338669927</stp>
        <tr r="N1746" s="2"/>
      </tp>
      <tp t="s">
        <v>#N/A N/A</v>
        <stp/>
        <stp>BDP|16969234356230956103</stp>
        <tr r="T1560" s="2"/>
      </tp>
      <tp t="s">
        <v>#N/A N/A</v>
        <stp/>
        <stp>BDP|10759485019134273110</stp>
        <tr r="H538" s="2"/>
      </tp>
      <tp t="s">
        <v>#N/A N/A</v>
        <stp/>
        <stp>BDP|10235379462196143339</stp>
        <tr r="N410" s="2"/>
      </tp>
      <tp t="s">
        <v>#N/A N/A</v>
        <stp/>
        <stp>BDP|14073186068432375164</stp>
        <tr r="M552" s="2"/>
      </tp>
      <tp t="s">
        <v>#N/A N/A</v>
        <stp/>
        <stp>BDP|16523407033236574766</stp>
        <tr r="P1633" s="2"/>
      </tp>
      <tp t="s">
        <v>#N/A N/A</v>
        <stp/>
        <stp>BDP|10382218774965664059</stp>
        <tr r="M1484" s="2"/>
      </tp>
      <tp t="s">
        <v>#N/A N/A</v>
        <stp/>
        <stp>BDP|10413102571690578654</stp>
        <tr r="T738" s="2"/>
      </tp>
      <tp t="s">
        <v>#N/A N/A</v>
        <stp/>
        <stp>BDP|14330271233513060627</stp>
        <tr r="K1679" s="2"/>
      </tp>
      <tp t="s">
        <v>#N/A N/A</v>
        <stp/>
        <stp>BDP|16485031793416390922</stp>
        <tr r="O1153" s="2"/>
      </tp>
      <tp t="s">
        <v>#N/A N/A</v>
        <stp/>
        <stp>BDP|16387608924621065325</stp>
        <tr r="Q783" s="2"/>
      </tp>
      <tp t="s">
        <v>#N/A N/A</v>
        <stp/>
        <stp>BDP|14913193529153537495</stp>
        <tr r="M1270" s="2"/>
      </tp>
      <tp t="s">
        <v>#N/A N/A</v>
        <stp/>
        <stp>BDP|18290421014804554940</stp>
        <tr r="R573" s="2"/>
      </tp>
      <tp t="s">
        <v>#N/A N/A</v>
        <stp/>
        <stp>BDP|10752439843249629949</stp>
        <tr r="H1593" s="2"/>
      </tp>
      <tp t="s">
        <v>#N/A N/A</v>
        <stp/>
        <stp>BDP|17707336361242027003</stp>
        <tr r="G442" s="2"/>
      </tp>
      <tp t="s">
        <v>#N/A N/A</v>
        <stp/>
        <stp>BDP|15641751477950300529</stp>
        <tr r="G1362" s="2"/>
      </tp>
      <tp t="s">
        <v>#N/A N/A</v>
        <stp/>
        <stp>BDP|10565163038583858161</stp>
        <tr r="M1510" s="2"/>
      </tp>
      <tp t="s">
        <v>#N/A N/A</v>
        <stp/>
        <stp>BDP|12539586848060003301</stp>
        <tr r="F1274" s="2"/>
      </tp>
      <tp t="s">
        <v>#N/A N/A</v>
        <stp/>
        <stp>BDP|12596045153965560227</stp>
        <tr r="Q580" s="2"/>
      </tp>
      <tp t="s">
        <v>#N/A N/A</v>
        <stp/>
        <stp>BDP|15341103879535885661</stp>
        <tr r="F1201" s="2"/>
      </tp>
      <tp t="s">
        <v>#N/A N/A</v>
        <stp/>
        <stp>BDP|14013539675790467662</stp>
        <tr r="D782" s="2"/>
      </tp>
      <tp t="s">
        <v>#N/A N/A</v>
        <stp/>
        <stp>BDP|18357207034411043839</stp>
        <tr r="C248" s="2"/>
      </tp>
      <tp t="s">
        <v>#N/A N/A</v>
        <stp/>
        <stp>BDP|10286522356437566773</stp>
        <tr r="H790" s="2"/>
      </tp>
      <tp t="s">
        <v>#N/A N/A</v>
        <stp/>
        <stp>BDP|12919204919147574618</stp>
        <tr r="H1291" s="2"/>
      </tp>
      <tp t="s">
        <v>#N/A N/A</v>
        <stp/>
        <stp>BDP|13673039513356401466</stp>
        <tr r="F373" s="2"/>
      </tp>
      <tp t="s">
        <v>#N/A N/A</v>
        <stp/>
        <stp>BDP|16732009952316830590</stp>
        <tr r="N758" s="2"/>
      </tp>
      <tp t="s">
        <v>#N/A N/A</v>
        <stp/>
        <stp>BDP|14209718745287704050</stp>
        <tr r="O866" s="2"/>
      </tp>
      <tp t="s">
        <v>#N/A N/A</v>
        <stp/>
        <stp>BDP|15497203490639202726</stp>
        <tr r="N323" s="2"/>
      </tp>
      <tp t="s">
        <v>#N/A N/A</v>
        <stp/>
        <stp>BDP|17717287323096993116</stp>
        <tr r="N731" s="2"/>
      </tp>
      <tp t="s">
        <v>#N/A N/A</v>
        <stp/>
        <stp>BDP|12368646362856257434</stp>
        <tr r="T650" s="2"/>
      </tp>
      <tp t="s">
        <v>#N/A N/A</v>
        <stp/>
        <stp>BDP|16708252947876313622</stp>
        <tr r="T312" s="2"/>
      </tp>
      <tp t="s">
        <v>#N/A N/A</v>
        <stp/>
        <stp>BDP|13617543900680097664</stp>
        <tr r="Q231" s="2"/>
      </tp>
      <tp t="s">
        <v>#N/A N/A</v>
        <stp/>
        <stp>BDP|14891019072770697397</stp>
        <tr r="S96" s="2"/>
      </tp>
      <tp t="s">
        <v>#N/A N/A</v>
        <stp/>
        <stp>BDP|17532245621776683120</stp>
        <tr r="Q1524" s="2"/>
      </tp>
      <tp t="s">
        <v>#N/A N/A</v>
        <stp/>
        <stp>BDP|11247938979016971953</stp>
        <tr r="Q163" s="2"/>
      </tp>
      <tp t="s">
        <v>#N/A N/A</v>
        <stp/>
        <stp>BDP|14900388794198450654</stp>
        <tr r="Q1500" s="2"/>
      </tp>
      <tp t="s">
        <v>#N/A N/A</v>
        <stp/>
        <stp>BDP|16531576588679738298</stp>
        <tr r="M135" s="2"/>
      </tp>
      <tp t="s">
        <v>#N/A N/A</v>
        <stp/>
        <stp>BDP|12867381145915351023</stp>
        <tr r="F1367" s="2"/>
      </tp>
      <tp t="s">
        <v>#N/A N/A</v>
        <stp/>
        <stp>BDP|10731736422624396112</stp>
        <tr r="Q490" s="2"/>
      </tp>
      <tp t="s">
        <v>#N/A N/A</v>
        <stp/>
        <stp>BDP|10296754533514131013</stp>
        <tr r="K1675" s="2"/>
      </tp>
      <tp t="s">
        <v>#N/A N/A</v>
        <stp/>
        <stp>BDP|13632224225792271178</stp>
        <tr r="H115" s="2"/>
      </tp>
      <tp t="s">
        <v>#N/A N/A</v>
        <stp/>
        <stp>BDS|11811198410885265448</stp>
        <tr r="I651" s="2"/>
      </tp>
      <tp t="s">
        <v>#N/A N/A</v>
        <stp/>
        <stp>BDP|10797919172947959993</stp>
        <tr r="K1162" s="2"/>
      </tp>
      <tp t="s">
        <v>#N/A N/A</v>
        <stp/>
        <stp>BDP|18064748884317376075</stp>
        <tr r="C374" s="2"/>
      </tp>
      <tp t="s">
        <v>#N/A N/A</v>
        <stp/>
        <stp>BDP|17434028751423224112</stp>
        <tr r="O658" s="2"/>
      </tp>
      <tp t="s">
        <v>#N/A N/A</v>
        <stp/>
        <stp>BDP|14377738027408711945</stp>
        <tr r="J219" s="2"/>
      </tp>
      <tp t="s">
        <v>#N/A N/A</v>
        <stp/>
        <stp>BDP|10116238150507025061</stp>
        <tr r="R1513" s="2"/>
      </tp>
      <tp t="s">
        <v>#N/A N/A</v>
        <stp/>
        <stp>BDP|10048815392460786103</stp>
        <tr r="T1158" s="2"/>
      </tp>
      <tp t="s">
        <v>#N/A N/A</v>
        <stp/>
        <stp>BDP|13349269011271315130</stp>
        <tr r="T699" s="2"/>
      </tp>
      <tp t="s">
        <v>#N/A N/A</v>
        <stp/>
        <stp>BDP|14954074325753997561</stp>
        <tr r="A1075" s="2"/>
      </tp>
      <tp t="s">
        <v>#N/A N/A</v>
        <stp/>
        <stp>BDP|16100269212820675578</stp>
        <tr r="G330" s="2"/>
      </tp>
      <tp t="s">
        <v>#N/A N/A</v>
        <stp/>
        <stp>BDP|14794790106031951252</stp>
        <tr r="J1350" s="2"/>
      </tp>
      <tp t="s">
        <v>#N/A N/A</v>
        <stp/>
        <stp>BDP|10699994859575764950</stp>
        <tr r="J930" s="2"/>
      </tp>
      <tp t="s">
        <v>#N/A N/A</v>
        <stp/>
        <stp>BDP|17157257556516711618</stp>
        <tr r="J1754" s="2"/>
      </tp>
      <tp t="s">
        <v>#N/A N/A</v>
        <stp/>
        <stp>BDP|11331012012989760933</stp>
        <tr r="P313" s="2"/>
      </tp>
      <tp t="s">
        <v>#N/A N/A</v>
        <stp/>
        <stp>BDP|14904252459996352523</stp>
        <tr r="A1004" s="2"/>
      </tp>
      <tp t="s">
        <v>#N/A N/A</v>
        <stp/>
        <stp>BDP|15778219453196720460</stp>
        <tr r="P215" s="2"/>
      </tp>
      <tp t="s">
        <v>#N/A N/A</v>
        <stp/>
        <stp>BDP|10490742034621636563</stp>
        <tr r="E478" s="2"/>
      </tp>
      <tp t="s">
        <v>#N/A N/A</v>
        <stp/>
        <stp>BDP|11137500410533697632</stp>
        <tr r="R1660" s="2"/>
      </tp>
      <tp t="s">
        <v>#N/A N/A</v>
        <stp/>
        <stp>BDP|13794607153469604967</stp>
        <tr r="A1123" s="2"/>
      </tp>
      <tp t="s">
        <v>#N/A N/A</v>
        <stp/>
        <stp>BDP|17148498030602855243</stp>
        <tr r="T1563" s="2"/>
      </tp>
      <tp t="s">
        <v>#N/A N/A</v>
        <stp/>
        <stp>BDP|11690123780778366037</stp>
        <tr r="F674" s="2"/>
      </tp>
      <tp t="s">
        <v>#N/A N/A</v>
        <stp/>
        <stp>BDS|14591910428507213891</stp>
        <tr r="I387" s="2"/>
      </tp>
      <tp t="s">
        <v>#N/A N/A</v>
        <stp/>
        <stp>BDP|10394744920452059730</stp>
        <tr r="T244" s="2"/>
      </tp>
      <tp t="s">
        <v>#N/A N/A</v>
        <stp/>
        <stp>BDP|13243405197619092712</stp>
        <tr r="K1640" s="2"/>
      </tp>
      <tp t="s">
        <v>#N/A N/A</v>
        <stp/>
        <stp>BDP|17110163846385250778</stp>
        <tr r="H1116" s="2"/>
      </tp>
      <tp t="s">
        <v>#N/A N/A</v>
        <stp/>
        <stp>BDP|14660230872815746449</stp>
        <tr r="Q203" s="2"/>
      </tp>
      <tp t="s">
        <v>#N/A N/A</v>
        <stp/>
        <stp>BDP|13852260119715326503</stp>
        <tr r="O694" s="2"/>
      </tp>
      <tp t="s">
        <v>#N/A N/A</v>
        <stp/>
        <stp>BDP|15786249428265870077</stp>
        <tr r="A563" s="2"/>
      </tp>
      <tp t="s">
        <v>#N/A N/A</v>
        <stp/>
        <stp>BDP|16290162629520991505</stp>
        <tr r="C1530" s="2"/>
      </tp>
      <tp t="s">
        <v>#N/A N/A</v>
        <stp/>
        <stp>BDP|17947620304927981627</stp>
        <tr r="C1142" s="2"/>
      </tp>
      <tp t="s">
        <v>#N/A N/A</v>
        <stp/>
        <stp>BDP|11728190612542031385</stp>
        <tr r="H580" s="2"/>
      </tp>
      <tp t="s">
        <v>#N/A N/A</v>
        <stp/>
        <stp>BDP|16205003096606221926</stp>
        <tr r="T763" s="2"/>
      </tp>
      <tp t="s">
        <v>#N/A N/A</v>
        <stp/>
        <stp>BDP|12101165910523046134</stp>
        <tr r="J1277" s="2"/>
      </tp>
      <tp t="s">
        <v>#N/A N/A</v>
        <stp/>
        <stp>BDP|16676757764144649355</stp>
        <tr r="T216" s="2"/>
      </tp>
      <tp t="s">
        <v>#N/A N/A</v>
        <stp/>
        <stp>BDP|12190472618394316399</stp>
        <tr r="A744" s="2"/>
      </tp>
      <tp t="s">
        <v>#N/A N/A</v>
        <stp/>
        <stp>BDP|11372187644681817537</stp>
        <tr r="K1634" s="2"/>
      </tp>
      <tp t="s">
        <v>#N/A N/A</v>
        <stp/>
        <stp>BDP|17335376892604210905</stp>
        <tr r="C134" s="2"/>
      </tp>
      <tp t="s">
        <v>#N/A N/A</v>
        <stp/>
        <stp>BDP|16971360841117900631</stp>
        <tr r="S1218" s="2"/>
      </tp>
      <tp t="s">
        <v>#N/A N/A</v>
        <stp/>
        <stp>BDP|13860936066555032991</stp>
        <tr r="T1064" s="2"/>
      </tp>
      <tp t="s">
        <v>#N/A N/A</v>
        <stp/>
        <stp>BDP|14518847894172641774</stp>
        <tr r="P488" s="2"/>
      </tp>
      <tp t="s">
        <v>#N/A N/A</v>
        <stp/>
        <stp>BDP|13294105372960430501</stp>
        <tr r="G1160" s="2"/>
      </tp>
      <tp t="s">
        <v>#N/A N/A</v>
        <stp/>
        <stp>BDP|17796607239857874527</stp>
        <tr r="F761" s="2"/>
      </tp>
      <tp t="s">
        <v>#N/A N/A</v>
        <stp/>
        <stp>BDP|12723625599428970512</stp>
        <tr r="D1362" s="2"/>
      </tp>
      <tp t="s">
        <v>#N/A N/A</v>
        <stp/>
        <stp>BDP|14273418237481599254</stp>
        <tr r="M276" s="2"/>
      </tp>
      <tp t="s">
        <v>#N/A N/A</v>
        <stp/>
        <stp>BDP|11588871065909113624</stp>
        <tr r="O492" s="2"/>
      </tp>
      <tp t="s">
        <v>#N/A N/A</v>
        <stp/>
        <stp>BDP|14825516618416648631</stp>
        <tr r="G1709" s="2"/>
      </tp>
      <tp t="s">
        <v>#N/A N/A</v>
        <stp/>
        <stp>BDP|18434812430113035016</stp>
        <tr r="E1414" s="2"/>
      </tp>
      <tp t="s">
        <v>#N/A N/A</v>
        <stp/>
        <stp>BDP|18229368332508724059</stp>
        <tr r="E101" s="2"/>
      </tp>
      <tp t="s">
        <v>#N/A N/A</v>
        <stp/>
        <stp>BDP|12564404960902774268</stp>
        <tr r="O563" s="2"/>
      </tp>
      <tp t="s">
        <v>#N/A N/A</v>
        <stp/>
        <stp>BDP|13220242097249110147</stp>
        <tr r="G343" s="2"/>
      </tp>
      <tp t="s">
        <v>#N/A N/A</v>
        <stp/>
        <stp>BDP|14321272358052931117</stp>
        <tr r="D109" s="2"/>
      </tp>
      <tp t="s">
        <v>#N/A N/A</v>
        <stp/>
        <stp>BDP|11091661562471402048</stp>
        <tr r="Q428" s="2"/>
      </tp>
      <tp t="s">
        <v>#N/A N/A</v>
        <stp/>
        <stp>BDP|12382515820105558002</stp>
        <tr r="S1524" s="2"/>
      </tp>
      <tp t="s">
        <v>#N/A N/A</v>
        <stp/>
        <stp>BDP|17859677150074112099</stp>
        <tr r="P245" s="2"/>
      </tp>
      <tp t="s">
        <v>#N/A N/A</v>
        <stp/>
        <stp>BDP|16549744486858161114</stp>
        <tr r="S1455" s="2"/>
      </tp>
      <tp t="s">
        <v>#N/A N/A</v>
        <stp/>
        <stp>BDP|17770046766269318818</stp>
        <tr r="N1319" s="2"/>
      </tp>
      <tp t="s">
        <v>#N/A N/A</v>
        <stp/>
        <stp>BDP|15907442267761895656</stp>
        <tr r="K1125" s="2"/>
      </tp>
      <tp t="s">
        <v>#N/A N/A</v>
        <stp/>
        <stp>BDS|12755276853457768208</stp>
        <tr r="I1695" s="2"/>
      </tp>
      <tp t="s">
        <v>#N/A N/A</v>
        <stp/>
        <stp>BDP|10354553241660583151</stp>
        <tr r="R831" s="2"/>
      </tp>
      <tp t="s">
        <v>#N/A N/A</v>
        <stp/>
        <stp>BDP|15888137461161841352</stp>
        <tr r="R1485" s="2"/>
      </tp>
      <tp t="s">
        <v>#N/A N/A</v>
        <stp/>
        <stp>BDP|17833163139410498545</stp>
        <tr r="M936" s="2"/>
      </tp>
      <tp t="s">
        <v>#N/A N/A</v>
        <stp/>
        <stp>BDP|10668251653720788700</stp>
        <tr r="M1724" s="2"/>
      </tp>
      <tp t="s">
        <v>#N/A N/A</v>
        <stp/>
        <stp>BDP|17830409378735624117</stp>
        <tr r="F1417" s="2"/>
      </tp>
      <tp t="s">
        <v>#N/A N/A</v>
        <stp/>
        <stp>BDP|15051591260507610188</stp>
        <tr r="F539" s="2"/>
      </tp>
      <tp t="s">
        <v>#N/A N/A</v>
        <stp/>
        <stp>BDP|18076779681347428050</stp>
        <tr r="C904" s="2"/>
      </tp>
      <tp t="s">
        <v>#N/A N/A</v>
        <stp/>
        <stp>BDP|11118224832263002368</stp>
        <tr r="S1148" s="2"/>
      </tp>
      <tp t="s">
        <v>#N/A N/A</v>
        <stp/>
        <stp>BDP|13519646175855382709</stp>
        <tr r="Q1741" s="2"/>
      </tp>
      <tp t="s">
        <v>#N/A N/A</v>
        <stp/>
        <stp>BDP|10269626676150071118</stp>
        <tr r="H1077" s="2"/>
      </tp>
      <tp t="s">
        <v>#N/A N/A</v>
        <stp/>
        <stp>BDP|18245562207349498401</stp>
        <tr r="O1515" s="2"/>
      </tp>
      <tp t="s">
        <v>#N/A N/A</v>
        <stp/>
        <stp>BDP|14289522720226220556</stp>
        <tr r="S145" s="2"/>
      </tp>
      <tp t="s">
        <v>#N/A N/A</v>
        <stp/>
        <stp>BDP|14025278675364546501</stp>
        <tr r="R283" s="2"/>
      </tp>
      <tp t="s">
        <v>#N/A N/A</v>
        <stp/>
        <stp>BDP|10235511914205956196</stp>
        <tr r="R446" s="2"/>
      </tp>
      <tp t="s">
        <v>#N/A N/A</v>
        <stp/>
        <stp>BDP|10970657555692618184</stp>
        <tr r="J1205" s="2"/>
      </tp>
      <tp t="s">
        <v>#N/A N/A</v>
        <stp/>
        <stp>BDP|10320465121414146224</stp>
        <tr r="O1352" s="2"/>
      </tp>
      <tp t="s">
        <v>#N/A N/A</v>
        <stp/>
        <stp>BDP|10842421459370462103</stp>
        <tr r="D1421" s="2"/>
      </tp>
      <tp t="s">
        <v>#N/A N/A</v>
        <stp/>
        <stp>BDP|14461545156841707568</stp>
        <tr r="D38" s="2"/>
      </tp>
      <tp t="s">
        <v>#N/A N/A</v>
        <stp/>
        <stp>BDP|12029708426872452555</stp>
        <tr r="A1664" s="2"/>
      </tp>
      <tp t="s">
        <v>#N/A N/A</v>
        <stp/>
        <stp>BDP|15282457414940339077</stp>
        <tr r="S439" s="2"/>
      </tp>
      <tp t="s">
        <v>#N/A N/A</v>
        <stp/>
        <stp>BDS|10554349956511426779</stp>
        <tr r="I706" s="2"/>
      </tp>
      <tp t="s">
        <v>#N/A N/A</v>
        <stp/>
        <stp>BDP|10110245367366341261</stp>
        <tr r="M975" s="2"/>
      </tp>
      <tp t="s">
        <v>#N/A N/A</v>
        <stp/>
        <stp>BDP|16460227761631950390</stp>
        <tr r="E374" s="2"/>
      </tp>
      <tp t="s">
        <v>#N/A N/A</v>
        <stp/>
        <stp>BDP|14608161911560707416</stp>
        <tr r="K386" s="2"/>
      </tp>
      <tp t="s">
        <v>#N/A N/A</v>
        <stp/>
        <stp>BDP|15796369400564328256</stp>
        <tr r="M393" s="2"/>
      </tp>
      <tp t="s">
        <v>#N/A N/A</v>
        <stp/>
        <stp>BDP|10130842035782566921</stp>
        <tr r="D446" s="2"/>
      </tp>
      <tp t="s">
        <v>#N/A N/A</v>
        <stp/>
        <stp>BDP|10726715900206825196</stp>
        <tr r="K199" s="2"/>
      </tp>
      <tp t="s">
        <v>#N/A N/A</v>
        <stp/>
        <stp>BDP|10047315090739243343</stp>
        <tr r="Q1563" s="2"/>
      </tp>
      <tp t="s">
        <v>#N/A N/A</v>
        <stp/>
        <stp>BDP|17680705074156456118</stp>
        <tr r="C1200" s="2"/>
      </tp>
      <tp t="s">
        <v>#N/A N/A</v>
        <stp/>
        <stp>BDP|10620190949716236336</stp>
        <tr r="G799" s="2"/>
      </tp>
      <tp t="s">
        <v>#N/A N/A</v>
        <stp/>
        <stp>BDP|12863916714082985838</stp>
        <tr r="D793" s="2"/>
      </tp>
      <tp t="s">
        <v>#N/A N/A</v>
        <stp/>
        <stp>BDP|12285306913386390654</stp>
        <tr r="A1429" s="2"/>
      </tp>
      <tp t="s">
        <v>#N/A N/A</v>
        <stp/>
        <stp>BDP|16776971551303653900</stp>
        <tr r="R340" s="2"/>
      </tp>
      <tp t="s">
        <v>#N/A N/A</v>
        <stp/>
        <stp>BDP|13802018352205833349</stp>
        <tr r="P696" s="2"/>
      </tp>
      <tp t="s">
        <v>#N/A N/A</v>
        <stp/>
        <stp>BDP|13603521731322549771</stp>
        <tr r="M65" s="2"/>
      </tp>
      <tp t="s">
        <v>#N/A N/A</v>
        <stp/>
        <stp>BDP|14265290939225739020</stp>
        <tr r="T1447" s="2"/>
      </tp>
      <tp t="s">
        <v>#N/A N/A</v>
        <stp/>
        <stp>BDP|14365810902385333941</stp>
        <tr r="E313" s="2"/>
      </tp>
      <tp t="s">
        <v>#N/A N/A</v>
        <stp/>
        <stp>BDP|16345350044274225573</stp>
        <tr r="J74" s="2"/>
      </tp>
      <tp t="s">
        <v>#N/A N/A</v>
        <stp/>
        <stp>BDP|16390167144495699604</stp>
        <tr r="O1611" s="2"/>
      </tp>
      <tp t="s">
        <v>#N/A N/A</v>
        <stp/>
        <stp>BDP|15880584334216780541</stp>
        <tr r="P499" s="2"/>
      </tp>
      <tp t="s">
        <v>#N/A N/A</v>
        <stp/>
        <stp>BDP|16382187077148294890</stp>
        <tr r="C801" s="2"/>
      </tp>
      <tp t="s">
        <v>#N/A N/A</v>
        <stp/>
        <stp>BDP|15134528647897701345</stp>
        <tr r="H161" s="2"/>
      </tp>
      <tp t="s">
        <v>#N/A N/A</v>
        <stp/>
        <stp>BDP|15798896910814040895</stp>
        <tr r="E177" s="2"/>
      </tp>
      <tp t="s">
        <v>#N/A N/A</v>
        <stp/>
        <stp>BDP|12734190669315914094</stp>
        <tr r="F40" s="2"/>
      </tp>
      <tp t="s">
        <v>#N/A N/A</v>
        <stp/>
        <stp>BDP|12110649275877724407</stp>
        <tr r="C1633" s="2"/>
      </tp>
      <tp t="s">
        <v>#N/A N/A</v>
        <stp/>
        <stp>BDP|13343435858184870672</stp>
        <tr r="F763" s="2"/>
      </tp>
      <tp t="s">
        <v>#N/A N/A</v>
        <stp/>
        <stp>BDP|12354834842619555706</stp>
        <tr r="O206" s="2"/>
      </tp>
      <tp t="s">
        <v>#N/A N/A</v>
        <stp/>
        <stp>BDP|13240792809822232679</stp>
        <tr r="C1722" s="2"/>
      </tp>
      <tp t="s">
        <v>#N/A N/A</v>
        <stp/>
        <stp>BDP|10155387534671872127</stp>
        <tr r="S503" s="2"/>
      </tp>
      <tp t="s">
        <v>#N/A N/A</v>
        <stp/>
        <stp>BDP|12740137160521367404</stp>
        <tr r="O460" s="2"/>
      </tp>
      <tp t="s">
        <v>#N/A N/A</v>
        <stp/>
        <stp>BDP|12037672243634431470</stp>
        <tr r="A1430" s="2"/>
      </tp>
      <tp t="s">
        <v>#N/A N/A</v>
        <stp/>
        <stp>BDP|13127102626418836883</stp>
        <tr r="P485" s="2"/>
      </tp>
      <tp t="s">
        <v>#N/A N/A</v>
        <stp/>
        <stp>BDP|11369246042380462761</stp>
        <tr r="T361" s="2"/>
      </tp>
      <tp t="s">
        <v>#N/A N/A</v>
        <stp/>
        <stp>BDP|12413611920853032530</stp>
        <tr r="G1121" s="2"/>
      </tp>
      <tp t="s">
        <v>#N/A N/A</v>
        <stp/>
        <stp>BDP|14218985321689988641</stp>
        <tr r="C178" s="2"/>
      </tp>
      <tp t="s">
        <v>#N/A N/A</v>
        <stp/>
        <stp>BDP|10160839521752327860</stp>
        <tr r="M1559" s="2"/>
      </tp>
      <tp t="s">
        <v>#N/A N/A</v>
        <stp/>
        <stp>BDP|18148441897782009748</stp>
        <tr r="H1283" s="2"/>
      </tp>
      <tp t="s">
        <v>#N/A N/A</v>
        <stp/>
        <stp>BDP|11296144646256116274</stp>
        <tr r="P999" s="2"/>
      </tp>
      <tp t="s">
        <v>#N/A N/A</v>
        <stp/>
        <stp>BDP|10586142708346688798</stp>
        <tr r="T594" s="2"/>
      </tp>
      <tp t="s">
        <v>#N/A N/A</v>
        <stp/>
        <stp>BDP|12421991021959860025</stp>
        <tr r="N207" s="2"/>
      </tp>
      <tp t="s">
        <v>#N/A N/A</v>
        <stp/>
        <stp>BDS|16922880361961544906</stp>
        <tr r="I969" s="2"/>
      </tp>
      <tp t="s">
        <v>#N/A N/A</v>
        <stp/>
        <stp>BDP|16257674736465289675</stp>
        <tr r="E127" s="2"/>
      </tp>
      <tp t="s">
        <v>#N/A N/A</v>
        <stp/>
        <stp>BDP|12396238031747069478</stp>
        <tr r="S600" s="2"/>
      </tp>
      <tp t="s">
        <v>#N/A N/A</v>
        <stp/>
        <stp>BDP|14870781362907148253</stp>
        <tr r="A722" s="2"/>
      </tp>
      <tp t="s">
        <v>#N/A N/A</v>
        <stp/>
        <stp>BDP|15839394706997021114</stp>
        <tr r="C70" s="2"/>
      </tp>
      <tp t="s">
        <v>#N/A N/A</v>
        <stp/>
        <stp>BDP|16113241612942413750</stp>
        <tr r="H850" s="2"/>
      </tp>
      <tp t="s">
        <v>#N/A N/A</v>
        <stp/>
        <stp>BDP|11300318515507100402</stp>
        <tr r="P830" s="2"/>
      </tp>
      <tp t="s">
        <v>#N/A N/A</v>
        <stp/>
        <stp>BDP|11157693304745267288</stp>
        <tr r="O1552" s="2"/>
      </tp>
      <tp t="s">
        <v>#N/A N/A</v>
        <stp/>
        <stp>BDP|17789403034576049655</stp>
        <tr r="D935" s="2"/>
      </tp>
      <tp t="s">
        <v>#N/A N/A</v>
        <stp/>
        <stp>BDP|15756708949775849301</stp>
        <tr r="Q1241" s="2"/>
      </tp>
      <tp t="s">
        <v>#N/A N/A</v>
        <stp/>
        <stp>BDP|16684222872684105713</stp>
        <tr r="A684" s="2"/>
      </tp>
      <tp t="s">
        <v>#N/A N/A</v>
        <stp/>
        <stp>BDP|18354600695894726371</stp>
        <tr r="T281" s="2"/>
      </tp>
      <tp t="s">
        <v>#N/A N/A</v>
        <stp/>
        <stp>BDP|11678601865965358464</stp>
        <tr r="R741" s="2"/>
      </tp>
      <tp t="s">
        <v>#N/A N/A</v>
        <stp/>
        <stp>BDS|13052091140996871144</stp>
        <tr r="I1158" s="2"/>
      </tp>
      <tp t="s">
        <v>#N/A N/A</v>
        <stp/>
        <stp>BDP|12614159865780131512</stp>
        <tr r="F405" s="2"/>
      </tp>
      <tp t="s">
        <v>#N/A N/A</v>
        <stp/>
        <stp>BDP|17426265411945252175</stp>
        <tr r="Q27" s="2"/>
      </tp>
      <tp t="s">
        <v>#N/A N/A</v>
        <stp/>
        <stp>BDP|14607589223046341583</stp>
        <tr r="F1680" s="2"/>
      </tp>
      <tp t="s">
        <v>#N/A N/A</v>
        <stp/>
        <stp>BDP|13632721225084190266</stp>
        <tr r="T1671" s="2"/>
      </tp>
      <tp t="s">
        <v>#N/A N/A</v>
        <stp/>
        <stp>BDP|14050525785458389121</stp>
        <tr r="R898" s="2"/>
      </tp>
      <tp t="s">
        <v>#N/A N/A</v>
        <stp/>
        <stp>BDP|17722384491905031881</stp>
        <tr r="E2" s="2"/>
      </tp>
      <tp t="s">
        <v>#N/A N/A</v>
        <stp/>
        <stp>BDP|13424825780864046706</stp>
        <tr r="N1726" s="2"/>
      </tp>
      <tp t="s">
        <v>#N/A N/A</v>
        <stp/>
        <stp>BDP|15072529468127916153</stp>
        <tr r="K679" s="2"/>
      </tp>
      <tp t="s">
        <v>#N/A N/A</v>
        <stp/>
        <stp>BDP|16490564664001124412</stp>
        <tr r="A832" s="2"/>
      </tp>
      <tp t="s">
        <v>#N/A N/A</v>
        <stp/>
        <stp>BDP|18124928950245102144</stp>
        <tr r="E1301" s="2"/>
      </tp>
      <tp t="s">
        <v>#N/A N/A</v>
        <stp/>
        <stp>BDP|13541004650562290410</stp>
        <tr r="S1379" s="2"/>
      </tp>
      <tp t="s">
        <v>#N/A N/A</v>
        <stp/>
        <stp>BDP|14842691827992581258</stp>
        <tr r="H110" s="2"/>
      </tp>
      <tp t="s">
        <v>#N/A N/A</v>
        <stp/>
        <stp>BDP|14788478790721416825</stp>
        <tr r="S525" s="2"/>
      </tp>
      <tp t="s">
        <v>#N/A N/A</v>
        <stp/>
        <stp>BDP|17408120737145256056</stp>
        <tr r="J1119" s="2"/>
      </tp>
      <tp t="s">
        <v>#N/A N/A</v>
        <stp/>
        <stp>BDS|17196870281313180430</stp>
        <tr r="I877" s="2"/>
      </tp>
      <tp t="s">
        <v>#N/A N/A</v>
        <stp/>
        <stp>BDP|11041279472713714749</stp>
        <tr r="D1203" s="2"/>
      </tp>
      <tp t="s">
        <v>#N/A N/A</v>
        <stp/>
        <stp>BDP|16516208681098099422</stp>
        <tr r="S391" s="2"/>
      </tp>
      <tp t="s">
        <v>#N/A N/A</v>
        <stp/>
        <stp>BDP|16151458223295498554</stp>
        <tr r="E202" s="2"/>
      </tp>
      <tp t="s">
        <v>#N/A N/A</v>
        <stp/>
        <stp>BDP|17145661523182645141</stp>
        <tr r="H577" s="2"/>
      </tp>
      <tp t="s">
        <v>#N/A N/A</v>
        <stp/>
        <stp>BDP|12494792255471998177</stp>
        <tr r="P1241" s="2"/>
      </tp>
      <tp t="s">
        <v>#N/A N/A</v>
        <stp/>
        <stp>BDS|12411458732975104071</stp>
        <tr r="I358" s="2"/>
      </tp>
      <tp t="s">
        <v>#N/A N/A</v>
        <stp/>
        <stp>BDP|16440257217164047107</stp>
        <tr r="A695" s="2"/>
      </tp>
      <tp t="s">
        <v>#N/A N/A</v>
        <stp/>
        <stp>BDP|17046091440291729284</stp>
        <tr r="J143" s="2"/>
      </tp>
      <tp t="s">
        <v>#N/A N/A</v>
        <stp/>
        <stp>BDP|11453919880043153329</stp>
        <tr r="C819" s="2"/>
      </tp>
      <tp t="s">
        <v>#N/A N/A</v>
        <stp/>
        <stp>BDP|12362606267412578073</stp>
        <tr r="N174" s="2"/>
      </tp>
      <tp t="s">
        <v>#N/A N/A</v>
        <stp/>
        <stp>BDP|16112295073552822153</stp>
        <tr r="Q680" s="2"/>
      </tp>
      <tp t="s">
        <v>#N/A N/A</v>
        <stp/>
        <stp>BDP|14804799407127992491</stp>
        <tr r="H322" s="2"/>
      </tp>
      <tp t="s">
        <v>#N/A N/A</v>
        <stp/>
        <stp>BDP|11226677593099975795</stp>
        <tr r="S1413" s="2"/>
      </tp>
      <tp t="s">
        <v>#N/A N/A</v>
        <stp/>
        <stp>BDP|11935185090230259956</stp>
        <tr r="E964" s="2"/>
      </tp>
      <tp t="s">
        <v>#N/A N/A</v>
        <stp/>
        <stp>BDP|16425923144549166255</stp>
        <tr r="O357" s="2"/>
      </tp>
      <tp t="s">
        <v>#N/A N/A</v>
        <stp/>
        <stp>BDP|10009133601192766333</stp>
        <tr r="J350" s="2"/>
      </tp>
      <tp t="s">
        <v>#N/A N/A</v>
        <stp/>
        <stp>BDP|12660957835980762879</stp>
        <tr r="N1228" s="2"/>
      </tp>
      <tp t="s">
        <v>#N/A N/A</v>
        <stp/>
        <stp>BDP|10690168853232416614</stp>
        <tr r="R1199" s="2"/>
      </tp>
      <tp t="s">
        <v>#N/A N/A</v>
        <stp/>
        <stp>BDP|13169745767126070443</stp>
        <tr r="D1616" s="2"/>
      </tp>
      <tp t="s">
        <v>#N/A N/A</v>
        <stp/>
        <stp>BDP|15422660575692141606</stp>
        <tr r="F21" s="2"/>
      </tp>
      <tp t="s">
        <v>#N/A N/A</v>
        <stp/>
        <stp>BDP|17447155418036616196</stp>
        <tr r="E560" s="2"/>
      </tp>
      <tp t="s">
        <v>#N/A N/A</v>
        <stp/>
        <stp>BDP|17619832223945282827</stp>
        <tr r="H866" s="2"/>
      </tp>
      <tp t="s">
        <v>#N/A N/A</v>
        <stp/>
        <stp>BDP|15159036357637546764</stp>
        <tr r="O1524" s="2"/>
      </tp>
      <tp t="s">
        <v>#N/A N/A</v>
        <stp/>
        <stp>BDP|15619463240923691607</stp>
        <tr r="M234" s="2"/>
      </tp>
      <tp t="s">
        <v>#N/A N/A</v>
        <stp/>
        <stp>BDP|13196885183416443589</stp>
        <tr r="S349" s="2"/>
      </tp>
      <tp t="s">
        <v>#N/A N/A</v>
        <stp/>
        <stp>BDP|10525076407556770643</stp>
        <tr r="T176" s="2"/>
      </tp>
      <tp t="s">
        <v>#N/A N/A</v>
        <stp/>
        <stp>BDP|15934018513614507088</stp>
        <tr r="F480" s="2"/>
      </tp>
      <tp t="s">
        <v>#N/A N/A</v>
        <stp/>
        <stp>BDP|11693111123973337117</stp>
        <tr r="G1249" s="2"/>
      </tp>
      <tp t="s">
        <v>#N/A N/A</v>
        <stp/>
        <stp>BDP|17845499173913289768</stp>
        <tr r="K1669" s="2"/>
      </tp>
      <tp t="s">
        <v>#N/A N/A</v>
        <stp/>
        <stp>BDP|14935317355056297499</stp>
        <tr r="H307" s="2"/>
      </tp>
      <tp t="s">
        <v>#N/A N/A</v>
        <stp/>
        <stp>BDP|17417703259343498701</stp>
        <tr r="R485" s="2"/>
      </tp>
      <tp t="s">
        <v>#N/A N/A</v>
        <stp/>
        <stp>BDP|17253397361307385400</stp>
        <tr r="H855" s="2"/>
      </tp>
      <tp t="s">
        <v>#N/A N/A</v>
        <stp/>
        <stp>BDP|17985365327143612474</stp>
        <tr r="D563" s="2"/>
      </tp>
      <tp t="s">
        <v>#N/A N/A</v>
        <stp/>
        <stp>BDP|13980781667194697799</stp>
        <tr r="O1151" s="2"/>
      </tp>
      <tp t="s">
        <v>#N/A N/A</v>
        <stp/>
        <stp>BDP|10369843845959934427</stp>
        <tr r="A1330" s="2"/>
      </tp>
      <tp t="s">
        <v>#N/A N/A</v>
        <stp/>
        <stp>BDP|13985376070055103366</stp>
        <tr r="Q1017" s="2"/>
      </tp>
      <tp t="s">
        <v>#N/A N/A</v>
        <stp/>
        <stp>BDP|14264733529318394820</stp>
        <tr r="D1561" s="2"/>
      </tp>
      <tp t="s">
        <v>#N/A N/A</v>
        <stp/>
        <stp>BDP|14248043847264037589</stp>
        <tr r="C1590" s="2"/>
      </tp>
      <tp t="s">
        <v>#N/A N/A</v>
        <stp/>
        <stp>BDP|15840277161896471632</stp>
        <tr r="T1373" s="2"/>
      </tp>
      <tp t="s">
        <v>#N/A N/A</v>
        <stp/>
        <stp>BDP|12350465949651594201</stp>
        <tr r="D262" s="2"/>
      </tp>
      <tp t="s">
        <v>#N/A N/A</v>
        <stp/>
        <stp>BDP|11375779558632312067</stp>
        <tr r="G496" s="2"/>
      </tp>
      <tp t="s">
        <v>#N/A N/A</v>
        <stp/>
        <stp>BDP|15634242108821637754</stp>
        <tr r="J1482" s="2"/>
      </tp>
      <tp t="s">
        <v>#N/A N/A</v>
        <stp/>
        <stp>BDP|13828351130687422509</stp>
        <tr r="J1080" s="2"/>
      </tp>
      <tp t="s">
        <v>#N/A N/A</v>
        <stp/>
        <stp>BDP|10182194994761360860</stp>
        <tr r="A337" s="2"/>
      </tp>
      <tp t="s">
        <v>#N/A N/A</v>
        <stp/>
        <stp>BDP|15708099722105220377</stp>
        <tr r="T683" s="2"/>
      </tp>
      <tp t="s">
        <v>#N/A N/A</v>
        <stp/>
        <stp>BDP|18088141988532270276</stp>
        <tr r="Q582" s="2"/>
      </tp>
      <tp t="s">
        <v>#N/A N/A</v>
        <stp/>
        <stp>BDP|14251140248469588925</stp>
        <tr r="T443" s="2"/>
      </tp>
      <tp t="s">
        <v>#N/A N/A</v>
        <stp/>
        <stp>BDP|15429975318955251907</stp>
        <tr r="Q348" s="2"/>
      </tp>
      <tp t="s">
        <v>#N/A N/A</v>
        <stp/>
        <stp>BDP|16668187770120185164</stp>
        <tr r="E1506" s="2"/>
      </tp>
      <tp t="s">
        <v>#N/A N/A</v>
        <stp/>
        <stp>BDP|12406300988718784023</stp>
        <tr r="M1292" s="2"/>
      </tp>
      <tp t="s">
        <v>#N/A N/A</v>
        <stp/>
        <stp>BDP|16580989496902520576</stp>
        <tr r="S497" s="2"/>
      </tp>
      <tp t="s">
        <v>#N/A N/A</v>
        <stp/>
        <stp>BDP|12903208591850782864</stp>
        <tr r="D810" s="2"/>
      </tp>
      <tp t="s">
        <v>#N/A N/A</v>
        <stp/>
        <stp>BDP|15271228994826456991</stp>
        <tr r="J1735" s="2"/>
      </tp>
      <tp t="s">
        <v>#N/A N/A</v>
        <stp/>
        <stp>BDP|15096275477740919109</stp>
        <tr r="T662" s="2"/>
      </tp>
      <tp t="s">
        <v>#N/A N/A</v>
        <stp/>
        <stp>BDP|13963374357533666762</stp>
        <tr r="T569" s="2"/>
      </tp>
      <tp t="s">
        <v>#N/A N/A</v>
        <stp/>
        <stp>BDP|15806778025556173729</stp>
        <tr r="K267" s="2"/>
      </tp>
      <tp t="s">
        <v>#N/A N/A</v>
        <stp/>
        <stp>BDP|14467240148421038213</stp>
        <tr r="M1455" s="2"/>
      </tp>
      <tp t="s">
        <v>#N/A N/A</v>
        <stp/>
        <stp>BDP|16219529425821413183</stp>
        <tr r="K610" s="2"/>
      </tp>
      <tp t="s">
        <v>#N/A N/A</v>
        <stp/>
        <stp>BDS|17431322918191576515</stp>
        <tr r="I1712" s="2"/>
      </tp>
      <tp t="s">
        <v>#N/A N/A</v>
        <stp/>
        <stp>BDP|17060348973860869262</stp>
        <tr r="Q997" s="2"/>
      </tp>
      <tp t="s">
        <v>#N/A N/A</v>
        <stp/>
        <stp>BDP|14093532323057099593</stp>
        <tr r="R854" s="2"/>
      </tp>
      <tp t="s">
        <v>#N/A N/A</v>
        <stp/>
        <stp>BDP|15043899260299670369</stp>
        <tr r="A1412" s="2"/>
      </tp>
      <tp t="s">
        <v>#N/A N/A</v>
        <stp/>
        <stp>BDP|18287269438389100143</stp>
        <tr r="J724" s="2"/>
      </tp>
      <tp t="s">
        <v>#N/A N/A</v>
        <stp/>
        <stp>BDP|15144290175343716237</stp>
        <tr r="P1709" s="2"/>
      </tp>
      <tp t="s">
        <v>#N/A N/A</v>
        <stp/>
        <stp>BDP|14970623242237621065</stp>
        <tr r="D1284" s="2"/>
      </tp>
      <tp t="s">
        <v>#N/A N/A</v>
        <stp/>
        <stp>BDP|14877032521785325200</stp>
        <tr r="C166" s="2"/>
      </tp>
      <tp t="s">
        <v>#N/A N/A</v>
        <stp/>
        <stp>BDP|16998125313535407259</stp>
        <tr r="K231" s="2"/>
      </tp>
      <tp t="s">
        <v>#N/A N/A</v>
        <stp/>
        <stp>BDP|13093285905716333678</stp>
        <tr r="F1482" s="2"/>
      </tp>
      <tp t="s">
        <v>#N/A N/A</v>
        <stp/>
        <stp>BDP|14846812010849399537</stp>
        <tr r="E915" s="2"/>
      </tp>
      <tp t="s">
        <v>#N/A N/A</v>
        <stp/>
        <stp>BDP|12532453332543943721</stp>
        <tr r="J831" s="2"/>
      </tp>
      <tp t="s">
        <v>#N/A N/A</v>
        <stp/>
        <stp>BDS|11133706612290097699</stp>
        <tr r="I841" s="2"/>
      </tp>
      <tp t="s">
        <v>#N/A N/A</v>
        <stp/>
        <stp>BDP|16730546324417965770</stp>
        <tr r="E944" s="2"/>
      </tp>
      <tp t="s">
        <v>#N/A N/A</v>
        <stp/>
        <stp>BDP|15160092035062424501</stp>
        <tr r="F1612" s="2"/>
      </tp>
      <tp t="s">
        <v>#N/A N/A</v>
        <stp/>
        <stp>BDP|13306026981803113989</stp>
        <tr r="J215" s="2"/>
      </tp>
      <tp t="s">
        <v>#N/A N/A</v>
        <stp/>
        <stp>BDP|12933577274548042933</stp>
        <tr r="S1625" s="2"/>
      </tp>
      <tp t="s">
        <v>#N/A N/A</v>
        <stp/>
        <stp>BDP|18327963636137241482</stp>
        <tr r="A13" s="2"/>
      </tp>
      <tp t="s">
        <v>#N/A N/A</v>
        <stp/>
        <stp>BDP|11071091051476724366</stp>
        <tr r="R1330" s="2"/>
      </tp>
      <tp t="s">
        <v>#N/A N/A</v>
        <stp/>
        <stp>BDP|14092199697604568925</stp>
        <tr r="M1606" s="2"/>
      </tp>
      <tp t="s">
        <v>#N/A N/A</v>
        <stp/>
        <stp>BDP|16017899919749030799</stp>
        <tr r="S1212" s="2"/>
      </tp>
      <tp t="s">
        <v>#N/A N/A</v>
        <stp/>
        <stp>BDP|14767784374022241703</stp>
        <tr r="J320" s="2"/>
      </tp>
      <tp t="s">
        <v>#N/A N/A</v>
        <stp/>
        <stp>BDS|14172091516044361075</stp>
        <tr r="I50" s="2"/>
      </tp>
      <tp t="s">
        <v>#N/A N/A</v>
        <stp/>
        <stp>BDP|14268757710082968173</stp>
        <tr r="T412" s="2"/>
      </tp>
      <tp t="s">
        <v>#N/A N/A</v>
        <stp/>
        <stp>BDP|16998643718279893945</stp>
        <tr r="M1146" s="2"/>
      </tp>
      <tp t="s">
        <v>#N/A N/A</v>
        <stp/>
        <stp>BDP|14352330511711131695</stp>
        <tr r="D1176" s="2"/>
      </tp>
      <tp t="s">
        <v>#N/A N/A</v>
        <stp/>
        <stp>BDP|17496083482826147862</stp>
        <tr r="S386" s="2"/>
      </tp>
      <tp t="s">
        <v>#N/A N/A</v>
        <stp/>
        <stp>BDP|16854355202793659706</stp>
        <tr r="H989" s="2"/>
      </tp>
      <tp t="s">
        <v>#N/A N/A</v>
        <stp/>
        <stp>BDP|13814643977681278218</stp>
        <tr r="O1077" s="2"/>
      </tp>
      <tp t="s">
        <v>#N/A N/A</v>
        <stp/>
        <stp>BDP|13865062731964071571</stp>
        <tr r="J15" s="2"/>
      </tp>
      <tp t="s">
        <v>#N/A N/A</v>
        <stp/>
        <stp>BDS|11256306701817862406</stp>
        <tr r="I864" s="2"/>
      </tp>
      <tp t="s">
        <v>#N/A N/A</v>
        <stp/>
        <stp>BDP|13857748373287051570</stp>
        <tr r="K1030" s="2"/>
      </tp>
      <tp t="s">
        <v>#N/A N/A</v>
        <stp/>
        <stp>BDP|16995477497059435357</stp>
        <tr r="P1565" s="2"/>
      </tp>
      <tp t="s">
        <v>#N/A N/A</v>
        <stp/>
        <stp>BDP|10875090800989865812</stp>
        <tr r="D622" s="2"/>
      </tp>
      <tp t="s">
        <v>#N/A N/A</v>
        <stp/>
        <stp>BDP|17621295720185763309</stp>
        <tr r="M1462" s="2"/>
      </tp>
      <tp t="s">
        <v>#N/A N/A</v>
        <stp/>
        <stp>BDP|11248092914890787109</stp>
        <tr r="G973" s="2"/>
      </tp>
      <tp t="s">
        <v>#N/A N/A</v>
        <stp/>
        <stp>BDP|12303618808591453467</stp>
        <tr r="C1494" s="2"/>
      </tp>
      <tp t="s">
        <v>#N/A N/A</v>
        <stp/>
        <stp>BDP|13983530313856088015</stp>
        <tr r="R1165" s="2"/>
      </tp>
      <tp t="s">
        <v>#N/A N/A</v>
        <stp/>
        <stp>BDP|18237378096737348485</stp>
        <tr r="F1635" s="2"/>
      </tp>
      <tp t="s">
        <v>#N/A N/A</v>
        <stp/>
        <stp>BDP|14109333879928177920</stp>
        <tr r="J1017" s="2"/>
      </tp>
      <tp t="s">
        <v>#N/A N/A</v>
        <stp/>
        <stp>BDP|17896329806920022547</stp>
        <tr r="R357" s="2"/>
      </tp>
      <tp t="s">
        <v>#N/A N/A</v>
        <stp/>
        <stp>BDP|16146054950470590291</stp>
        <tr r="F1279" s="2"/>
      </tp>
      <tp t="s">
        <v>#N/A N/A</v>
        <stp/>
        <stp>BDP|11690542527641921643</stp>
        <tr r="D1382" s="2"/>
      </tp>
      <tp t="s">
        <v>#N/A N/A</v>
        <stp/>
        <stp>BDP|16220399170124763740</stp>
        <tr r="O151" s="2"/>
      </tp>
      <tp t="s">
        <v>#N/A N/A</v>
        <stp/>
        <stp>BDP|18391779093500893770</stp>
        <tr r="T339" s="2"/>
      </tp>
      <tp t="s">
        <v>#N/A N/A</v>
        <stp/>
        <stp>BDP|15708212128533256741</stp>
        <tr r="K1210" s="2"/>
      </tp>
      <tp t="s">
        <v>#N/A N/A</v>
        <stp/>
        <stp>BDP|14669142118167450263</stp>
        <tr r="E1190" s="2"/>
      </tp>
      <tp t="s">
        <v>#N/A N/A</v>
        <stp/>
        <stp>BDP|10860042743261027477</stp>
        <tr r="G277" s="2"/>
      </tp>
      <tp t="s">
        <v>#N/A N/A</v>
        <stp/>
        <stp>BDP|10702437556305976530</stp>
        <tr r="R1232" s="2"/>
      </tp>
      <tp t="s">
        <v>#N/A N/A</v>
        <stp/>
        <stp>BDS|10874133686031002967</stp>
        <tr r="I1645" s="2"/>
      </tp>
      <tp t="s">
        <v>#N/A N/A</v>
        <stp/>
        <stp>BDS|11646150754796596298</stp>
        <tr r="I227" s="2"/>
      </tp>
      <tp t="s">
        <v>#N/A N/A</v>
        <stp/>
        <stp>BDP|11168794046154214740</stp>
        <tr r="C284" s="2"/>
      </tp>
      <tp t="s">
        <v>#N/A N/A</v>
        <stp/>
        <stp>BDP|13121196877560362446</stp>
        <tr r="E1201" s="2"/>
      </tp>
      <tp t="s">
        <v>#N/A N/A</v>
        <stp/>
        <stp>BDP|16482330163681467389</stp>
        <tr r="J759" s="2"/>
      </tp>
      <tp t="s">
        <v>#N/A N/A</v>
        <stp/>
        <stp>BDP|13078795381559031404</stp>
        <tr r="H422" s="2"/>
      </tp>
      <tp t="s">
        <v>#N/A N/A</v>
        <stp/>
        <stp>BDP|11660617409182545434</stp>
        <tr r="D1717" s="2"/>
      </tp>
      <tp t="s">
        <v>#N/A N/A</v>
        <stp/>
        <stp>BDP|15130327219870283604</stp>
        <tr r="T338" s="2"/>
      </tp>
      <tp t="s">
        <v>#N/A N/A</v>
        <stp/>
        <stp>BDP|12100374369380307640</stp>
        <tr r="G1193" s="2"/>
      </tp>
      <tp t="s">
        <v>#N/A N/A</v>
        <stp/>
        <stp>BDP|15796195401142027778</stp>
        <tr r="K891" s="2"/>
      </tp>
      <tp t="s">
        <v>#N/A N/A</v>
        <stp/>
        <stp>BDS|17607362337701957757</stp>
        <tr r="I1551" s="2"/>
      </tp>
      <tp t="s">
        <v>#N/A N/A</v>
        <stp/>
        <stp>BDP|12729213638263576132</stp>
        <tr r="D1262" s="2"/>
      </tp>
      <tp t="s">
        <v>#N/A N/A</v>
        <stp/>
        <stp>BDP|13114204150982883712</stp>
        <tr r="M1611" s="2"/>
      </tp>
      <tp t="s">
        <v>#N/A N/A</v>
        <stp/>
        <stp>BDP|15632156034140962664</stp>
        <tr r="P42" s="2"/>
      </tp>
      <tp t="s">
        <v>#N/A N/A</v>
        <stp/>
        <stp>BDP|13880858206158710246</stp>
        <tr r="C1566" s="2"/>
      </tp>
      <tp t="s">
        <v>#N/A N/A</v>
        <stp/>
        <stp>BDP|15108471859146202356</stp>
        <tr r="P266" s="2"/>
      </tp>
      <tp t="s">
        <v>#N/A N/A</v>
        <stp/>
        <stp>BDP|18190979600806764698</stp>
        <tr r="T571" s="2"/>
      </tp>
      <tp t="s">
        <v>#N/A N/A</v>
        <stp/>
        <stp>BDP|14819902500185469941</stp>
        <tr r="N1628" s="2"/>
      </tp>
      <tp t="s">
        <v>#N/A N/A</v>
        <stp/>
        <stp>BDP|17072942521518549581</stp>
        <tr r="O1198" s="2"/>
      </tp>
      <tp t="s">
        <v>#N/A N/A</v>
        <stp/>
        <stp>BDP|12674873574734967840</stp>
        <tr r="K654" s="2"/>
      </tp>
      <tp t="s">
        <v>#N/A N/A</v>
        <stp/>
        <stp>BDP|13591054209400556249</stp>
        <tr r="D258" s="2"/>
      </tp>
      <tp t="s">
        <v>#N/A N/A</v>
        <stp/>
        <stp>BDP|14759698247735795267</stp>
        <tr r="Q563" s="2"/>
      </tp>
      <tp t="s">
        <v>#N/A N/A</v>
        <stp/>
        <stp>BDS|14012793126186230664</stp>
        <tr r="I1114" s="2"/>
      </tp>
      <tp t="s">
        <v>#N/A N/A</v>
        <stp/>
        <stp>BDP|12842370876995307229</stp>
        <tr r="R1755" s="2"/>
      </tp>
      <tp t="s">
        <v>#N/A N/A</v>
        <stp/>
        <stp>BDP|11516752578436871684</stp>
        <tr r="O1254" s="2"/>
      </tp>
      <tp t="s">
        <v>#N/A N/A</v>
        <stp/>
        <stp>BDP|14025079919593386752</stp>
        <tr r="D20" s="2"/>
      </tp>
      <tp t="s">
        <v>#N/A N/A</v>
        <stp/>
        <stp>BDP|13250441279066636713</stp>
        <tr r="C1207" s="2"/>
      </tp>
      <tp t="s">
        <v>#N/A N/A</v>
        <stp/>
        <stp>BDP|16045840736044068899</stp>
        <tr r="G949" s="2"/>
      </tp>
      <tp t="s">
        <v>#N/A N/A</v>
        <stp/>
        <stp>BDP|11609239159755004275</stp>
        <tr r="T747" s="2"/>
      </tp>
      <tp t="s">
        <v>#N/A N/A</v>
        <stp/>
        <stp>BDP|16937669131455050750</stp>
        <tr r="S1584" s="2"/>
      </tp>
      <tp t="s">
        <v>#N/A N/A</v>
        <stp/>
        <stp>BDP|10487592040332469225</stp>
        <tr r="N403" s="2"/>
      </tp>
      <tp t="s">
        <v>#N/A N/A</v>
        <stp/>
        <stp>BDP|10877108537523431003</stp>
        <tr r="H1586" s="2"/>
      </tp>
      <tp t="s">
        <v>#N/A N/A</v>
        <stp/>
        <stp>BDP|12395175918166557521</stp>
        <tr r="Q624" s="2"/>
      </tp>
      <tp t="s">
        <v>#N/A N/A</v>
        <stp/>
        <stp>BDP|14297329539687762259</stp>
        <tr r="E613" s="2"/>
      </tp>
      <tp t="s">
        <v>#N/A N/A</v>
        <stp/>
        <stp>BDP|11635187660047650038</stp>
        <tr r="C213" s="2"/>
      </tp>
      <tp t="s">
        <v>#N/A N/A</v>
        <stp/>
        <stp>BDP|11726686068905536597</stp>
        <tr r="G873" s="2"/>
      </tp>
      <tp t="s">
        <v>#N/A N/A</v>
        <stp/>
        <stp>BDP|17296347638383338567</stp>
        <tr r="Q804" s="2"/>
      </tp>
      <tp t="s">
        <v>#N/A N/A</v>
        <stp/>
        <stp>BDP|16080912546383540992</stp>
        <tr r="O1725" s="2"/>
      </tp>
      <tp t="s">
        <v>#N/A N/A</v>
        <stp/>
        <stp>BDP|16980442058647879164</stp>
        <tr r="F431" s="2"/>
      </tp>
      <tp t="s">
        <v>#N/A N/A</v>
        <stp/>
        <stp>BDP|16812499806053423085</stp>
        <tr r="M1409" s="2"/>
      </tp>
      <tp t="s">
        <v>#N/A N/A</v>
        <stp/>
        <stp>BDP|15079127830412126489</stp>
        <tr r="D989" s="2"/>
      </tp>
      <tp t="s">
        <v>#N/A N/A</v>
        <stp/>
        <stp>BDP|15346582953453198724</stp>
        <tr r="K1158" s="2"/>
      </tp>
      <tp t="s">
        <v>#N/A N/A</v>
        <stp/>
        <stp>BDP|14274785430827354621</stp>
        <tr r="D885" s="2"/>
      </tp>
      <tp t="s">
        <v>#N/A N/A</v>
        <stp/>
        <stp>BDP|12432482725613298603</stp>
        <tr r="C817" s="2"/>
      </tp>
      <tp t="s">
        <v>#N/A N/A</v>
        <stp/>
        <stp>BDP|16548598366837194300</stp>
        <tr r="R750" s="2"/>
      </tp>
      <tp t="s">
        <v>#N/A N/A</v>
        <stp/>
        <stp>BDP|14271591915361416019</stp>
        <tr r="S10" s="2"/>
      </tp>
      <tp t="s">
        <v>#N/A N/A</v>
        <stp/>
        <stp>BDS|11567685918946430194</stp>
        <tr r="I1227" s="2"/>
      </tp>
      <tp t="s">
        <v>#N/A N/A</v>
        <stp/>
        <stp>BDP|18200988816448348945</stp>
        <tr r="T1386" s="2"/>
      </tp>
      <tp t="s">
        <v>#N/A N/A</v>
        <stp/>
        <stp>BDP|11234481468554082692</stp>
        <tr r="C765" s="2"/>
      </tp>
      <tp t="s">
        <v>#N/A N/A</v>
        <stp/>
        <stp>BDP|17662812668389235168</stp>
        <tr r="J1476" s="2"/>
      </tp>
      <tp t="s">
        <v>#N/A N/A</v>
        <stp/>
        <stp>BDP|14664048287429913477</stp>
        <tr r="A1421" s="2"/>
      </tp>
      <tp t="s">
        <v>#N/A N/A</v>
        <stp/>
        <stp>BDP|15563080054294598571</stp>
        <tr r="F321" s="2"/>
      </tp>
      <tp t="s">
        <v>#N/A N/A</v>
        <stp/>
        <stp>BDP|11419384404631326202</stp>
        <tr r="D1726" s="2"/>
      </tp>
      <tp t="s">
        <v>#N/A N/A</v>
        <stp/>
        <stp>BDP|14015341405895839328</stp>
        <tr r="F263" s="2"/>
      </tp>
      <tp t="s">
        <v>#N/A N/A</v>
        <stp/>
        <stp>BDP|10120882494277183779</stp>
        <tr r="A1625" s="2"/>
      </tp>
      <tp t="s">
        <v>#N/A N/A</v>
        <stp/>
        <stp>BDP|12574898155968271602</stp>
        <tr r="E1401" s="2"/>
      </tp>
      <tp t="s">
        <v>#N/A N/A</v>
        <stp/>
        <stp>BDP|12308251728120714323</stp>
        <tr r="G933" s="2"/>
      </tp>
      <tp t="s">
        <v>#N/A N/A</v>
        <stp/>
        <stp>BDP|14778437743301816440</stp>
        <tr r="T697" s="2"/>
      </tp>
      <tp t="s">
        <v>#N/A N/A</v>
        <stp/>
        <stp>BDP|15307758726821816033</stp>
        <tr r="O877" s="2"/>
      </tp>
      <tp t="s">
        <v>#N/A N/A</v>
        <stp/>
        <stp>BDP|12727988674955319833</stp>
        <tr r="P264" s="2"/>
      </tp>
      <tp t="s">
        <v>#N/A N/A</v>
        <stp/>
        <stp>BDP|11317284117575302641</stp>
        <tr r="O592" s="2"/>
      </tp>
      <tp t="s">
        <v>#N/A N/A</v>
        <stp/>
        <stp>BDP|10739032603330843146</stp>
        <tr r="M1617" s="2"/>
      </tp>
      <tp t="s">
        <v>#N/A N/A</v>
        <stp/>
        <stp>BDP|13494658935260703783</stp>
        <tr r="H1319" s="2"/>
      </tp>
      <tp t="s">
        <v>#N/A N/A</v>
        <stp/>
        <stp>BDP|10117840089290774104</stp>
        <tr r="F1289" s="2"/>
      </tp>
      <tp t="s">
        <v>#N/A N/A</v>
        <stp/>
        <stp>BDP|11562541007295421097</stp>
        <tr r="A1619" s="2"/>
      </tp>
      <tp t="s">
        <v>#N/A N/A</v>
        <stp/>
        <stp>BDP|18172915703349814900</stp>
        <tr r="T971" s="2"/>
      </tp>
      <tp t="s">
        <v>#N/A N/A</v>
        <stp/>
        <stp>BDP|16621724508255157561</stp>
        <tr r="O1300" s="2"/>
      </tp>
      <tp t="s">
        <v>#N/A N/A</v>
        <stp/>
        <stp>BDP|14571799232869651834</stp>
        <tr r="J1565" s="2"/>
      </tp>
      <tp t="s">
        <v>#N/A N/A</v>
        <stp/>
        <stp>BDS|10558212132527829767</stp>
        <tr r="I1313" s="2"/>
      </tp>
      <tp t="s">
        <v>#N/A N/A</v>
        <stp/>
        <stp>BDP|16237687741097614263</stp>
        <tr r="O1527" s="2"/>
      </tp>
      <tp t="s">
        <v>#N/A N/A</v>
        <stp/>
        <stp>BDP|14179364850194540790</stp>
        <tr r="K526" s="2"/>
      </tp>
      <tp t="s">
        <v>#N/A N/A</v>
        <stp/>
        <stp>BDP|12841463661343574215</stp>
        <tr r="F799" s="2"/>
      </tp>
      <tp t="s">
        <v>#N/A N/A</v>
        <stp/>
        <stp>BDP|14031689742206960188</stp>
        <tr r="F599" s="2"/>
      </tp>
      <tp t="s">
        <v>#N/A N/A</v>
        <stp/>
        <stp>BDP|13537760419754925080</stp>
        <tr r="M384" s="2"/>
      </tp>
      <tp t="s">
        <v>#N/A N/A</v>
        <stp/>
        <stp>BDP|16606594127228206810</stp>
        <tr r="G95" s="2"/>
      </tp>
      <tp t="s">
        <v>#N/A N/A</v>
        <stp/>
        <stp>BDP|15609593063727685019</stp>
        <tr r="K1556" s="2"/>
      </tp>
      <tp t="s">
        <v>#N/A N/A</v>
        <stp/>
        <stp>BDP|15966342377081155104</stp>
        <tr r="A105" s="2"/>
      </tp>
      <tp t="s">
        <v>#N/A N/A</v>
        <stp/>
        <stp>BDP|12592263004530594193</stp>
        <tr r="G1605" s="2"/>
      </tp>
      <tp t="s">
        <v>#N/A N/A</v>
        <stp/>
        <stp>BDP|13660485669082968250</stp>
        <tr r="D846" s="2"/>
      </tp>
      <tp t="s">
        <v>#N/A N/A</v>
        <stp/>
        <stp>BDP|18401501799424048165</stp>
        <tr r="Q1223" s="2"/>
      </tp>
      <tp t="s">
        <v>#N/A N/A</v>
        <stp/>
        <stp>BDP|11892959874348776650</stp>
        <tr r="C1700" s="2"/>
      </tp>
      <tp t="s">
        <v>#N/A N/A</v>
        <stp/>
        <stp>BDP|16952161022491560532</stp>
        <tr r="K339" s="2"/>
      </tp>
      <tp t="s">
        <v>#N/A N/A</v>
        <stp/>
        <stp>BDP|14016383240577457576</stp>
        <tr r="O1476" s="2"/>
      </tp>
      <tp t="s">
        <v>#N/A N/A</v>
        <stp/>
        <stp>BDP|12287625953042899200</stp>
        <tr r="K924" s="2"/>
      </tp>
      <tp t="s">
        <v>#N/A N/A</v>
        <stp/>
        <stp>BDP|13957511177404034447</stp>
        <tr r="Q1610" s="2"/>
      </tp>
      <tp t="s">
        <v>#N/A N/A</v>
        <stp/>
        <stp>BDP|15884586721484383789</stp>
        <tr r="R587" s="2"/>
      </tp>
      <tp t="s">
        <v>#N/A N/A</v>
        <stp/>
        <stp>BDP|13927271017823112221</stp>
        <tr r="J921" s="2"/>
      </tp>
      <tp t="s">
        <v>#N/A N/A</v>
        <stp/>
        <stp>BDP|14432079836901709788</stp>
        <tr r="A1328" s="2"/>
      </tp>
      <tp t="s">
        <v>#N/A N/A</v>
        <stp/>
        <stp>BDP|14837832719168125499</stp>
        <tr r="C1712" s="2"/>
      </tp>
      <tp t="s">
        <v>#N/A N/A</v>
        <stp/>
        <stp>BDP|17631688772655020265</stp>
        <tr r="K613" s="2"/>
      </tp>
      <tp t="s">
        <v>#N/A N/A</v>
        <stp/>
        <stp>BDP|10656129110223973270</stp>
        <tr r="K1532" s="2"/>
      </tp>
      <tp t="s">
        <v>#N/A N/A</v>
        <stp/>
        <stp>BDP|16462074428770995584</stp>
        <tr r="R1413" s="2"/>
      </tp>
      <tp t="s">
        <v>#N/A N/A</v>
        <stp/>
        <stp>BDP|10684255247437952074</stp>
        <tr r="K872" s="2"/>
      </tp>
      <tp t="s">
        <v>#N/A N/A</v>
        <stp/>
        <stp>BDP|10668856250785074998</stp>
        <tr r="Q1319" s="2"/>
      </tp>
      <tp t="s">
        <v>#N/A N/A</v>
        <stp/>
        <stp>BDP|15315984324526268979</stp>
        <tr r="A1240" s="2"/>
      </tp>
      <tp t="s">
        <v>#N/A N/A</v>
        <stp/>
        <stp>BDP|13953392107943833252</stp>
        <tr r="O1249" s="2"/>
      </tp>
      <tp t="s">
        <v>#N/A N/A</v>
        <stp/>
        <stp>BDP|17987764823421579230</stp>
        <tr r="O555" s="2"/>
      </tp>
      <tp t="s">
        <v>#N/A N/A</v>
        <stp/>
        <stp>BDP|12415713727842007485</stp>
        <tr r="K1013" s="2"/>
      </tp>
      <tp t="s">
        <v>#N/A N/A</v>
        <stp/>
        <stp>BDP|18373518259579559041</stp>
        <tr r="A93" s="2"/>
      </tp>
      <tp t="s">
        <v>#N/A N/A</v>
        <stp/>
        <stp>BDP|13441438613001777695</stp>
        <tr r="E1730" s="2"/>
      </tp>
      <tp t="s">
        <v>#N/A N/A</v>
        <stp/>
        <stp>BDP|10780707417672364592</stp>
        <tr r="T1687" s="2"/>
      </tp>
      <tp t="s">
        <v>#N/A N/A</v>
        <stp/>
        <stp>BDP|12836111971910513576</stp>
        <tr r="D43" s="2"/>
      </tp>
      <tp t="s">
        <v>#N/A N/A</v>
        <stp/>
        <stp>BDP|15668144742401806025</stp>
        <tr r="G1318" s="2"/>
      </tp>
      <tp t="s">
        <v>#N/A N/A</v>
        <stp/>
        <stp>BDP|15000690890939130229</stp>
        <tr r="J1638" s="2"/>
      </tp>
      <tp t="s">
        <v>#N/A N/A</v>
        <stp/>
        <stp>BDP|11511832489628302866</stp>
        <tr r="S738" s="2"/>
      </tp>
      <tp t="s">
        <v>#N/A N/A</v>
        <stp/>
        <stp>BDP|13717558758762846089</stp>
        <tr r="C308" s="2"/>
      </tp>
      <tp t="s">
        <v>#N/A N/A</v>
        <stp/>
        <stp>BDP|13449656440140883039</stp>
        <tr r="T810" s="2"/>
      </tp>
      <tp t="s">
        <v>#N/A N/A</v>
        <stp/>
        <stp>BDP|17473524119773310167</stp>
        <tr r="R240" s="2"/>
      </tp>
      <tp t="s">
        <v>#N/A N/A</v>
        <stp/>
        <stp>BDP|16164484850385642357</stp>
        <tr r="D377" s="2"/>
      </tp>
      <tp t="s">
        <v>#N/A N/A</v>
        <stp/>
        <stp>BDP|13818322229734128784</stp>
        <tr r="M1640" s="2"/>
      </tp>
      <tp t="s">
        <v>#N/A N/A</v>
        <stp/>
        <stp>BDS|15963615533442772352</stp>
        <tr r="I1226" s="2"/>
      </tp>
      <tp t="s">
        <v>#N/A N/A</v>
        <stp/>
        <stp>BDP|10510292511702216057</stp>
        <tr r="H1536" s="2"/>
      </tp>
      <tp t="s">
        <v>#N/A N/A</v>
        <stp/>
        <stp>BDP|15788000424961948707</stp>
        <tr r="G1545" s="2"/>
      </tp>
      <tp t="s">
        <v>#N/A N/A</v>
        <stp/>
        <stp>BDP|16905483930626322686</stp>
        <tr r="D697" s="2"/>
      </tp>
      <tp t="s">
        <v>#N/A N/A</v>
        <stp/>
        <stp>BDP|11945841296170769163</stp>
        <tr r="F1217" s="2"/>
      </tp>
      <tp t="s">
        <v>#N/A N/A</v>
        <stp/>
        <stp>BDP|11332123309178150935</stp>
        <tr r="A376" s="2"/>
      </tp>
      <tp t="s">
        <v>#N/A N/A</v>
        <stp/>
        <stp>BDP|15808059792954695939</stp>
        <tr r="D562" s="2"/>
      </tp>
      <tp t="s">
        <v>#N/A N/A</v>
        <stp/>
        <stp>BDP|11864355656185031311</stp>
        <tr r="S1117" s="2"/>
      </tp>
      <tp t="s">
        <v>#N/A N/A</v>
        <stp/>
        <stp>BDP|11973488713126891307</stp>
        <tr r="C295" s="2"/>
      </tp>
      <tp t="s">
        <v>#N/A N/A</v>
        <stp/>
        <stp>BDP|13213394240661176404</stp>
        <tr r="T1700" s="2"/>
      </tp>
      <tp t="s">
        <v>#N/A N/A</v>
        <stp/>
        <stp>BDP|16663574342283930504</stp>
        <tr r="P844" s="2"/>
      </tp>
      <tp t="s">
        <v>#N/A N/A</v>
        <stp/>
        <stp>BDP|13210204738685915695</stp>
        <tr r="J192" s="2"/>
      </tp>
      <tp t="s">
        <v>#N/A N/A</v>
        <stp/>
        <stp>BDP|13429503173499940946</stp>
        <tr r="J1052" s="2"/>
      </tp>
      <tp t="s">
        <v>#N/A N/A</v>
        <stp/>
        <stp>BDP|12729783502364058070</stp>
        <tr r="C521" s="2"/>
      </tp>
      <tp t="s">
        <v>#N/A N/A</v>
        <stp/>
        <stp>BDP|14925471751166376262</stp>
        <tr r="H1311" s="2"/>
      </tp>
      <tp t="s">
        <v>#N/A N/A</v>
        <stp/>
        <stp>BDP|15257012841061974116</stp>
        <tr r="A115" s="2"/>
      </tp>
      <tp t="s">
        <v>#N/A N/A</v>
        <stp/>
        <stp>BDP|15874164785824648979</stp>
        <tr r="S923" s="2"/>
      </tp>
      <tp t="s">
        <v>#N/A N/A</v>
        <stp/>
        <stp>BDP|10189587973062416148</stp>
        <tr r="A1514" s="2"/>
      </tp>
      <tp t="s">
        <v>#N/A N/A</v>
        <stp/>
        <stp>BDP|14975727043954373218</stp>
        <tr r="S208" s="2"/>
      </tp>
      <tp t="s">
        <v>#N/A N/A</v>
        <stp/>
        <stp>BDP|17500093280157344950</stp>
        <tr r="O384" s="2"/>
      </tp>
      <tp t="s">
        <v>#N/A N/A</v>
        <stp/>
        <stp>BDP|16745850847023678896</stp>
        <tr r="D1053" s="2"/>
      </tp>
      <tp t="s">
        <v>#N/A N/A</v>
        <stp/>
        <stp>BDS|12406691529124572382</stp>
        <tr r="I1444" s="2"/>
      </tp>
      <tp t="s">
        <v>#N/A N/A</v>
        <stp/>
        <stp>BDP|14763373120747928334</stp>
        <tr r="T377" s="2"/>
      </tp>
      <tp t="s">
        <v>#N/A N/A</v>
        <stp/>
        <stp>BDP|10669188005008881892</stp>
        <tr r="O1185" s="2"/>
      </tp>
      <tp t="s">
        <v>#N/A N/A</v>
        <stp/>
        <stp>BDP|11536559718645468111</stp>
        <tr r="E403" s="2"/>
      </tp>
      <tp t="s">
        <v>#N/A N/A</v>
        <stp/>
        <stp>BDP|13478210508540015008</stp>
        <tr r="R1131" s="2"/>
      </tp>
      <tp t="s">
        <v>#N/A N/A</v>
        <stp/>
        <stp>BDP|17904143115940092658</stp>
        <tr r="P203" s="2"/>
      </tp>
      <tp t="s">
        <v>#N/A N/A</v>
        <stp/>
        <stp>BDP|15011862164959978367</stp>
        <tr r="F619" s="2"/>
      </tp>
      <tp t="s">
        <v>#N/A N/A</v>
        <stp/>
        <stp>BDP|12209730068834106652</stp>
        <tr r="F297" s="2"/>
      </tp>
      <tp t="s">
        <v>#N/A N/A</v>
        <stp/>
        <stp>BDP|10893206931759564914</stp>
        <tr r="Q1394" s="2"/>
      </tp>
      <tp t="s">
        <v>#N/A N/A</v>
        <stp/>
        <stp>BDP|11863713473516392643</stp>
        <tr r="O327" s="2"/>
      </tp>
      <tp t="s">
        <v>#N/A N/A</v>
        <stp/>
        <stp>BDP|15637585422154597744</stp>
        <tr r="O468" s="2"/>
      </tp>
      <tp t="s">
        <v>#N/A N/A</v>
        <stp/>
        <stp>BDP|17143581472356668209</stp>
        <tr r="R1623" s="2"/>
      </tp>
      <tp t="s">
        <v>#N/A N/A</v>
        <stp/>
        <stp>BDP|17407883634915643837</stp>
        <tr r="E1196" s="2"/>
      </tp>
      <tp t="s">
        <v>#N/A N/A</v>
        <stp/>
        <stp>BDP|13851379063484731363</stp>
        <tr r="C183" s="2"/>
      </tp>
      <tp t="s">
        <v>#N/A N/A</v>
        <stp/>
        <stp>BDP|11106454859438187910</stp>
        <tr r="G887" s="2"/>
      </tp>
      <tp t="s">
        <v>#N/A N/A</v>
        <stp/>
        <stp>BDP|11449984260629793667</stp>
        <tr r="R415" s="2"/>
      </tp>
      <tp t="s">
        <v>#N/A N/A</v>
        <stp/>
        <stp>BDP|11462802693667884622</stp>
        <tr r="A546" s="2"/>
      </tp>
      <tp t="s">
        <v>#N/A N/A</v>
        <stp/>
        <stp>BDP|14140004036872821422</stp>
        <tr r="A177" s="2"/>
      </tp>
      <tp t="s">
        <v>#N/A N/A</v>
        <stp/>
        <stp>BDP|10686682651132071024</stp>
        <tr r="R20" s="2"/>
      </tp>
      <tp t="s">
        <v>#N/A N/A</v>
        <stp/>
        <stp>BDP|10621513654887713697</stp>
        <tr r="C1336" s="2"/>
      </tp>
      <tp t="s">
        <v>#N/A N/A</v>
        <stp/>
        <stp>BDP|10796378640524939248</stp>
        <tr r="J1173" s="2"/>
      </tp>
      <tp t="s">
        <v>#N/A N/A</v>
        <stp/>
        <stp>BDP|10596069980779612089</stp>
        <tr r="S895" s="2"/>
      </tp>
      <tp t="s">
        <v>#N/A N/A</v>
        <stp/>
        <stp>BDP|15367437020962856052</stp>
        <tr r="H276" s="2"/>
      </tp>
      <tp t="s">
        <v>#N/A N/A</v>
        <stp/>
        <stp>BDP|15925470337866229565</stp>
        <tr r="E188" s="2"/>
      </tp>
      <tp t="s">
        <v>#N/A N/A</v>
        <stp/>
        <stp>BDP|14352460989048607178</stp>
        <tr r="K660" s="2"/>
      </tp>
      <tp t="s">
        <v>#N/A N/A</v>
        <stp/>
        <stp>BDP|13762724959114470459</stp>
        <tr r="O722" s="2"/>
      </tp>
      <tp t="s">
        <v>#N/A N/A</v>
        <stp/>
        <stp>BDP|15103819867583850924</stp>
        <tr r="S62" s="2"/>
      </tp>
      <tp t="s">
        <v>#N/A N/A</v>
        <stp/>
        <stp>BDS|11709821268236665859</stp>
        <tr r="I522" s="2"/>
      </tp>
      <tp t="s">
        <v>#N/A N/A</v>
        <stp/>
        <stp>BDP|16615415000515240689</stp>
        <tr r="N931" s="2"/>
      </tp>
      <tp t="s">
        <v>#N/A N/A</v>
        <stp/>
        <stp>BDP|16687580536556253774</stp>
        <tr r="O1747" s="2"/>
      </tp>
      <tp t="s">
        <v>#N/A N/A</v>
        <stp/>
        <stp>BDP|12880366646324782029</stp>
        <tr r="D151" s="2"/>
      </tp>
      <tp t="s">
        <v>#N/A N/A</v>
        <stp/>
        <stp>BDS|15758719709855989680</stp>
        <tr r="I1584" s="2"/>
      </tp>
      <tp t="s">
        <v>#N/A N/A</v>
        <stp/>
        <stp>BDP|10971015347580003524</stp>
        <tr r="J34" s="2"/>
      </tp>
      <tp t="s">
        <v>#N/A N/A</v>
        <stp/>
        <stp>BDP|15369417576661871613</stp>
        <tr r="A1559" s="2"/>
      </tp>
      <tp t="s">
        <v>#N/A N/A</v>
        <stp/>
        <stp>BDP|13571320945753857676</stp>
        <tr r="T890" s="2"/>
      </tp>
      <tp t="s">
        <v>#N/A N/A</v>
        <stp/>
        <stp>BDP|18407103582103357384</stp>
        <tr r="M725" s="2"/>
      </tp>
      <tp t="s">
        <v>#N/A N/A</v>
        <stp/>
        <stp>BDP|15869490757347948222</stp>
        <tr r="H372" s="2"/>
      </tp>
      <tp t="s">
        <v>#N/A N/A</v>
        <stp/>
        <stp>BDP|13826163645683144471</stp>
        <tr r="A262" s="2"/>
      </tp>
      <tp t="s">
        <v>#N/A N/A</v>
        <stp/>
        <stp>BDP|14073820482662956746</stp>
        <tr r="S1177" s="2"/>
      </tp>
      <tp t="s">
        <v>#N/A N/A</v>
        <stp/>
        <stp>BDP|12436283938293006190</stp>
        <tr r="A416" s="2"/>
      </tp>
      <tp t="s">
        <v>#N/A N/A</v>
        <stp/>
        <stp>BDP|16762706104338872866</stp>
        <tr r="O141" s="2"/>
      </tp>
      <tp t="s">
        <v>#N/A N/A</v>
        <stp/>
        <stp>BDP|14370594805040558077</stp>
        <tr r="E1340" s="2"/>
      </tp>
      <tp t="s">
        <v>#N/A N/A</v>
        <stp/>
        <stp>BDP|10979374116954724728</stp>
        <tr r="C261" s="2"/>
      </tp>
      <tp t="s">
        <v>#N/A N/A</v>
        <stp/>
        <stp>BDP|10469786964391422111</stp>
        <tr r="G864" s="2"/>
      </tp>
      <tp t="s">
        <v>#N/A N/A</v>
        <stp/>
        <stp>BDP|17041090227145153120</stp>
        <tr r="D1724" s="2"/>
      </tp>
      <tp t="s">
        <v>#N/A N/A</v>
        <stp/>
        <stp>BDP|12864341771700802780</stp>
        <tr r="J636" s="2"/>
      </tp>
      <tp t="s">
        <v>#N/A N/A</v>
        <stp/>
        <stp>BDP|13775554834346399289</stp>
        <tr r="E254" s="2"/>
      </tp>
      <tp t="s">
        <v>#N/A N/A</v>
        <stp/>
        <stp>BDP|12337257109863452269</stp>
        <tr r="Q1501" s="2"/>
      </tp>
      <tp t="s">
        <v>#N/A N/A</v>
        <stp/>
        <stp>BDS|17443450569030359456</stp>
        <tr r="I1242" s="2"/>
      </tp>
      <tp t="s">
        <v>#N/A N/A</v>
        <stp/>
        <stp>BDP|10865322213183736031</stp>
        <tr r="S1336" s="2"/>
      </tp>
      <tp t="s">
        <v>#N/A N/A</v>
        <stp/>
        <stp>BDP|14972426140415236041</stp>
        <tr r="T814" s="2"/>
      </tp>
      <tp t="s">
        <v>#N/A N/A</v>
        <stp/>
        <stp>BDP|15254999063882014953</stp>
        <tr r="F691" s="2"/>
      </tp>
      <tp t="s">
        <v>#N/A N/A</v>
        <stp/>
        <stp>BDP|15112292549202842043</stp>
        <tr r="O1244" s="2"/>
      </tp>
      <tp t="s">
        <v>#N/A N/A</v>
        <stp/>
        <stp>BDS|16804366746328625801</stp>
        <tr r="I1303" s="2"/>
      </tp>
      <tp t="s">
        <v>#N/A N/A</v>
        <stp/>
        <stp>BDP|11951306736264326415</stp>
        <tr r="T1721" s="2"/>
      </tp>
      <tp t="s">
        <v>#N/A N/A</v>
        <stp/>
        <stp>BDS|13107401738492037773</stp>
        <tr r="I466" s="2"/>
      </tp>
      <tp t="s">
        <v>#N/A N/A</v>
        <stp/>
        <stp>BDP|10185045601880142184</stp>
        <tr r="J1394" s="2"/>
      </tp>
      <tp t="s">
        <v>#N/A N/A</v>
        <stp/>
        <stp>BDP|16668589339622998335</stp>
        <tr r="D398" s="2"/>
      </tp>
      <tp t="s">
        <v>#N/A N/A</v>
        <stp/>
        <stp>BDP|11371228579816646336</stp>
        <tr r="O1022" s="2"/>
      </tp>
      <tp t="s">
        <v>#N/A N/A</v>
        <stp/>
        <stp>BDP|12173611178195664735</stp>
        <tr r="S1533" s="2"/>
      </tp>
      <tp t="s">
        <v>#N/A N/A</v>
        <stp/>
        <stp>BDP|15348916481001952473</stp>
        <tr r="K431" s="2"/>
      </tp>
      <tp t="s">
        <v>#N/A N/A</v>
        <stp/>
        <stp>BDP|12818648480859501445</stp>
        <tr r="T1377" s="2"/>
      </tp>
      <tp t="s">
        <v>#N/A N/A</v>
        <stp/>
        <stp>BDP|18405935728030499268</stp>
        <tr r="H1068" s="2"/>
      </tp>
      <tp t="s">
        <v>#N/A N/A</v>
        <stp/>
        <stp>BDP|13114988128880856940</stp>
        <tr r="C88" s="2"/>
      </tp>
      <tp t="s">
        <v>#N/A N/A</v>
        <stp/>
        <stp>BDP|11530731616492949446</stp>
        <tr r="S1645" s="2"/>
      </tp>
      <tp t="s">
        <v>#N/A N/A</v>
        <stp/>
        <stp>BDP|12182161491208284397</stp>
        <tr r="K637" s="2"/>
      </tp>
      <tp t="s">
        <v>#N/A N/A</v>
        <stp/>
        <stp>BDP|17164301264694083792</stp>
        <tr r="C1024" s="2"/>
      </tp>
      <tp t="s">
        <v>#N/A N/A</v>
        <stp/>
        <stp>BDP|13045005946547867129</stp>
        <tr r="C1667" s="2"/>
      </tp>
      <tp t="s">
        <v>#N/A N/A</v>
        <stp/>
        <stp>BDP|10240474880025093892</stp>
        <tr r="R1722" s="2"/>
      </tp>
      <tp t="s">
        <v>#N/A N/A</v>
        <stp/>
        <stp>BDP|17397168038626940288</stp>
        <tr r="H423" s="2"/>
      </tp>
      <tp t="s">
        <v>#N/A N/A</v>
        <stp/>
        <stp>BDP|16162067469949631840</stp>
        <tr r="D802" s="2"/>
      </tp>
      <tp t="s">
        <v>#N/A N/A</v>
        <stp/>
        <stp>BDS|15984357996187207974</stp>
        <tr r="I851" s="2"/>
      </tp>
      <tp t="s">
        <v>#N/A N/A</v>
        <stp/>
        <stp>BDP|13839354363287297005</stp>
        <tr r="F1547" s="2"/>
      </tp>
      <tp t="s">
        <v>#N/A N/A</v>
        <stp/>
        <stp>BDP|15874128140636103770</stp>
        <tr r="D1566" s="2"/>
      </tp>
      <tp t="s">
        <v>#N/A N/A</v>
        <stp/>
        <stp>BDP|16835352341147404748</stp>
        <tr r="N188" s="2"/>
      </tp>
      <tp t="s">
        <v>#N/A N/A</v>
        <stp/>
        <stp>BDP|12569571260819653985</stp>
        <tr r="O566" s="2"/>
      </tp>
      <tp t="s">
        <v>#N/A N/A</v>
        <stp/>
        <stp>BDP|16445289951511575140</stp>
        <tr r="S670" s="2"/>
      </tp>
      <tp t="s">
        <v>#N/A N/A</v>
        <stp/>
        <stp>BDP|16517229844723921263</stp>
        <tr r="R1188" s="2"/>
      </tp>
      <tp t="s">
        <v>#N/A N/A</v>
        <stp/>
        <stp>BDP|10746656927963066693</stp>
        <tr r="A1104" s="2"/>
      </tp>
      <tp t="s">
        <v>#N/A N/A</v>
        <stp/>
        <stp>BDP|16378083166134282533</stp>
        <tr r="H280" s="2"/>
      </tp>
      <tp t="s">
        <v>#N/A N/A</v>
        <stp/>
        <stp>BDP|15523046089835055947</stp>
        <tr r="M569" s="2"/>
      </tp>
      <tp t="s">
        <v>#N/A N/A</v>
        <stp/>
        <stp>BDP|13313507241694896764</stp>
        <tr r="N4" s="2"/>
      </tp>
      <tp t="s">
        <v>#N/A N/A</v>
        <stp/>
        <stp>BDP|10683868099101443118</stp>
        <tr r="J701" s="2"/>
      </tp>
      <tp t="s">
        <v>#N/A N/A</v>
        <stp/>
        <stp>BDP|17095623259785108061</stp>
        <tr r="J806" s="2"/>
      </tp>
      <tp t="s">
        <v>#N/A N/A</v>
        <stp/>
        <stp>BDP|17094091550266718528</stp>
        <tr r="D194" s="2"/>
      </tp>
      <tp t="s">
        <v>#N/A N/A</v>
        <stp/>
        <stp>BDP|12431263239815136768</stp>
        <tr r="P1736" s="2"/>
      </tp>
      <tp t="s">
        <v>#N/A N/A</v>
        <stp/>
        <stp>BDP|13753703055341662181</stp>
        <tr r="G934" s="2"/>
      </tp>
      <tp t="s">
        <v>#N/A N/A</v>
        <stp/>
        <stp>BDP|17771039052813877023</stp>
        <tr r="H952" s="2"/>
      </tp>
      <tp t="s">
        <v>#N/A N/A</v>
        <stp/>
        <stp>BDP|10256770181606014880</stp>
        <tr r="Q445" s="2"/>
      </tp>
      <tp t="s">
        <v>#N/A N/A</v>
        <stp/>
        <stp>BDP|14982791932826737793</stp>
        <tr r="P1508" s="2"/>
      </tp>
      <tp t="s">
        <v>#N/A N/A</v>
        <stp/>
        <stp>BDP|17560307631362859406</stp>
        <tr r="A1142" s="2"/>
      </tp>
      <tp t="s">
        <v>#N/A N/A</v>
        <stp/>
        <stp>BDP|12007780735983302428</stp>
        <tr r="M1106" s="2"/>
      </tp>
      <tp t="s">
        <v>#N/A N/A</v>
        <stp/>
        <stp>BDS|14660975438508720715</stp>
        <tr r="I163" s="2"/>
      </tp>
      <tp t="s">
        <v>#N/A N/A</v>
        <stp/>
        <stp>BDP|11413494881424968896</stp>
        <tr r="F233" s="2"/>
      </tp>
      <tp t="s">
        <v>#N/A N/A</v>
        <stp/>
        <stp>BDP|11177995039713563983</stp>
        <tr r="O1499" s="2"/>
      </tp>
      <tp t="s">
        <v>#N/A N/A</v>
        <stp/>
        <stp>BDP|12300794597224214930</stp>
        <tr r="G719" s="2"/>
      </tp>
      <tp t="s">
        <v>#N/A N/A</v>
        <stp/>
        <stp>BDS|17822964159153838902</stp>
        <tr r="I525" s="2"/>
      </tp>
      <tp t="s">
        <v>#N/A N/A</v>
        <stp/>
        <stp>BDP|15433591603470194139</stp>
        <tr r="K126" s="2"/>
      </tp>
      <tp t="s">
        <v>#N/A N/A</v>
        <stp/>
        <stp>BDP|10758535551080006196</stp>
        <tr r="H1007" s="2"/>
      </tp>
      <tp t="s">
        <v>#N/A N/A</v>
        <stp/>
        <stp>BDP|13863722174961126339</stp>
        <tr r="K362" s="2"/>
      </tp>
      <tp t="s">
        <v>#N/A N/A</v>
        <stp/>
        <stp>BDS|15140535871232576491</stp>
        <tr r="I1485" s="2"/>
      </tp>
      <tp t="s">
        <v>#N/A N/A</v>
        <stp/>
        <stp>BDP|10644176860321942740</stp>
        <tr r="N1098" s="2"/>
      </tp>
      <tp t="s">
        <v>#N/A N/A</v>
        <stp/>
        <stp>BDP|15173667636335558483</stp>
        <tr r="R586" s="2"/>
      </tp>
      <tp t="s">
        <v>#N/A N/A</v>
        <stp/>
        <stp>BDP|16143179740754978638</stp>
        <tr r="J156" s="2"/>
      </tp>
      <tp t="s">
        <v>#N/A N/A</v>
        <stp/>
        <stp>BDP|11375887118531701880</stp>
        <tr r="O1299" s="2"/>
      </tp>
      <tp t="s">
        <v>#N/A N/A</v>
        <stp/>
        <stp>BDP|17425300902492374794</stp>
        <tr r="A1073" s="2"/>
      </tp>
      <tp t="s">
        <v>#N/A N/A</v>
        <stp/>
        <stp>BDP|10388471168637537458</stp>
        <tr r="P1308" s="2"/>
      </tp>
      <tp t="s">
        <v>#N/A N/A</v>
        <stp/>
        <stp>BDP|12235394882070123841</stp>
        <tr r="J661" s="2"/>
      </tp>
      <tp t="s">
        <v>#N/A N/A</v>
        <stp/>
        <stp>BDP|10853277089112939934</stp>
        <tr r="S972" s="2"/>
      </tp>
      <tp t="s">
        <v>#N/A N/A</v>
        <stp/>
        <stp>BDP|14620244011283978567</stp>
        <tr r="J957" s="2"/>
      </tp>
      <tp t="s">
        <v>#N/A N/A</v>
        <stp/>
        <stp>BDP|12925861715212420827</stp>
        <tr r="A1176" s="2"/>
      </tp>
      <tp t="s">
        <v>#N/A N/A</v>
        <stp/>
        <stp>BDP|14752578236557908403</stp>
        <tr r="C877" s="2"/>
      </tp>
      <tp t="s">
        <v>#N/A N/A</v>
        <stp/>
        <stp>BDP|13864722625845909297</stp>
        <tr r="N690" s="2"/>
      </tp>
      <tp t="s">
        <v>#N/A N/A</v>
        <stp/>
        <stp>BDP|13886937041688627730</stp>
        <tr r="Q739" s="2"/>
      </tp>
      <tp t="s">
        <v>#N/A N/A</v>
        <stp/>
        <stp>BDP|15190856578428340304</stp>
        <tr r="R1051" s="2"/>
      </tp>
      <tp t="s">
        <v>#N/A N/A</v>
        <stp/>
        <stp>BDP|12915989895441364280</stp>
        <tr r="E736" s="2"/>
      </tp>
      <tp t="s">
        <v>#N/A N/A</v>
        <stp/>
        <stp>BDP|16931861182340739758</stp>
        <tr r="P1019" s="2"/>
      </tp>
      <tp t="s">
        <v>#N/A N/A</v>
        <stp/>
        <stp>BDP|10981633240622364161</stp>
        <tr r="A1431" s="2"/>
      </tp>
      <tp t="s">
        <v>#N/A N/A</v>
        <stp/>
        <stp>BDP|14782614639250804084</stp>
        <tr r="G813" s="2"/>
      </tp>
      <tp t="s">
        <v>#N/A N/A</v>
        <stp/>
        <stp>BDP|15864949352128902084</stp>
        <tr r="M1674" s="2"/>
      </tp>
      <tp t="s">
        <v>#N/A N/A</v>
        <stp/>
        <stp>BDP|14939247357764581603</stp>
        <tr r="M1716" s="2"/>
      </tp>
      <tp t="s">
        <v>#N/A N/A</v>
        <stp/>
        <stp>BDP|12758875153558890644</stp>
        <tr r="F1442" s="2"/>
      </tp>
      <tp t="s">
        <v>#N/A N/A</v>
        <stp/>
        <stp>BDS|15055431303688586892</stp>
        <tr r="I1427" s="2"/>
      </tp>
      <tp t="s">
        <v>#N/A N/A</v>
        <stp/>
        <stp>BDP|17059024417824954334</stp>
        <tr r="J1070" s="2"/>
      </tp>
      <tp t="s">
        <v>#N/A N/A</v>
        <stp/>
        <stp>BDP|12112269709122422353</stp>
        <tr r="E893" s="2"/>
      </tp>
      <tp t="s">
        <v>#N/A N/A</v>
        <stp/>
        <stp>BDP|13940326801556589707</stp>
        <tr r="H942" s="2"/>
      </tp>
      <tp t="s">
        <v>#N/A N/A</v>
        <stp/>
        <stp>BDP|10342018576626323080</stp>
        <tr r="T1529" s="2"/>
      </tp>
      <tp t="s">
        <v>#N/A N/A</v>
        <stp/>
        <stp>BDP|11380878301818802020</stp>
        <tr r="T770" s="2"/>
      </tp>
      <tp t="s">
        <v>#N/A N/A</v>
        <stp/>
        <stp>BDP|13393963382496059583</stp>
        <tr r="H1388" s="2"/>
      </tp>
      <tp t="s">
        <v>#N/A N/A</v>
        <stp/>
        <stp>BDP|13647449315085852207</stp>
        <tr r="S46" s="2"/>
      </tp>
      <tp t="s">
        <v>#N/A N/A</v>
        <stp/>
        <stp>BDP|15080211778704089569</stp>
        <tr r="K1387" s="2"/>
      </tp>
      <tp t="s">
        <v>#N/A N/A</v>
        <stp/>
        <stp>BDP|11974345714836204445</stp>
        <tr r="K714" s="2"/>
      </tp>
      <tp t="s">
        <v>#N/A N/A</v>
        <stp/>
        <stp>BDP|12772788081379604573</stp>
        <tr r="P626" s="2"/>
      </tp>
      <tp t="s">
        <v>#N/A N/A</v>
        <stp/>
        <stp>BDP|10620794063227481773</stp>
        <tr r="J611" s="2"/>
      </tp>
      <tp t="s">
        <v>#N/A N/A</v>
        <stp/>
        <stp>BDS|10159953164879533793</stp>
        <tr r="I396" s="2"/>
      </tp>
      <tp t="s">
        <v>#N/A N/A</v>
        <stp/>
        <stp>BDP|12500248090459620180</stp>
        <tr r="Q1596" s="2"/>
      </tp>
      <tp t="s">
        <v>#N/A N/A</v>
        <stp/>
        <stp>BDP|15312748701070035394</stp>
        <tr r="K196" s="2"/>
      </tp>
      <tp t="s">
        <v>#N/A N/A</v>
        <stp/>
        <stp>BDP|15812636345155982380</stp>
        <tr r="J1396" s="2"/>
      </tp>
      <tp t="s">
        <v>#N/A N/A</v>
        <stp/>
        <stp>BDP|15128381711426487032</stp>
        <tr r="G542" s="2"/>
      </tp>
      <tp t="s">
        <v>#N/A N/A</v>
        <stp/>
        <stp>BDP|13557366305973166281</stp>
        <tr r="F1540" s="2"/>
      </tp>
      <tp t="s">
        <v>#N/A N/A</v>
        <stp/>
        <stp>BDP|14877976625607626938</stp>
        <tr r="K675" s="2"/>
      </tp>
      <tp t="s">
        <v>#N/A N/A</v>
        <stp/>
        <stp>BDP|12392592062063027375</stp>
        <tr r="K356" s="2"/>
      </tp>
      <tp t="s">
        <v>#N/A N/A</v>
        <stp/>
        <stp>BDP|16968570703933296105</stp>
        <tr r="R54" s="2"/>
      </tp>
      <tp t="s">
        <v>#N/A N/A</v>
        <stp/>
        <stp>BDP|13833706701034453123</stp>
        <tr r="G1444" s="2"/>
      </tp>
      <tp t="s">
        <v>#N/A N/A</v>
        <stp/>
        <stp>BDP|17217511107541816237</stp>
        <tr r="S278" s="2"/>
      </tp>
      <tp t="s">
        <v>#N/A N/A</v>
        <stp/>
        <stp>BDP|10654603442240344383</stp>
        <tr r="G163" s="2"/>
      </tp>
      <tp t="s">
        <v>#N/A N/A</v>
        <stp/>
        <stp>BDP|14282936709915109965</stp>
        <tr r="Q126" s="2"/>
      </tp>
      <tp t="s">
        <v>#N/A N/A</v>
        <stp/>
        <stp>BDS|10579163758826780306</stp>
        <tr r="I1238" s="2"/>
      </tp>
      <tp t="s">
        <v>#N/A N/A</v>
        <stp/>
        <stp>BDP|10478149364060285694</stp>
        <tr r="E480" s="2"/>
      </tp>
      <tp t="s">
        <v>#N/A N/A</v>
        <stp/>
        <stp>BDP|15222536354033347792</stp>
        <tr r="K1196" s="2"/>
      </tp>
      <tp t="s">
        <v>#N/A N/A</v>
        <stp/>
        <stp>BDP|16911064420123330635</stp>
        <tr r="S816" s="2"/>
      </tp>
      <tp t="s">
        <v>#N/A N/A</v>
        <stp/>
        <stp>BDP|16143198417930947793</stp>
        <tr r="T88" s="2"/>
      </tp>
      <tp t="s">
        <v>#N/A N/A</v>
        <stp/>
        <stp>BDP|13349007738050169157</stp>
        <tr r="D1481" s="2"/>
      </tp>
      <tp t="s">
        <v>#N/A N/A</v>
        <stp/>
        <stp>BDP|17856706985230050925</stp>
        <tr r="D414" s="2"/>
      </tp>
      <tp t="s">
        <v>#N/A N/A</v>
        <stp/>
        <stp>BDP|18020900638211758204</stp>
        <tr r="H1399" s="2"/>
      </tp>
      <tp t="s">
        <v>#N/A N/A</v>
        <stp/>
        <stp>BDP|18147623245258829316</stp>
        <tr r="K1350" s="2"/>
      </tp>
      <tp t="s">
        <v>#N/A N/A</v>
        <stp/>
        <stp>BDP|11093601439937426222</stp>
        <tr r="K585" s="2"/>
      </tp>
      <tp t="s">
        <v>#N/A N/A</v>
        <stp/>
        <stp>BDP|12460152514882881124</stp>
        <tr r="H123" s="2"/>
      </tp>
      <tp t="s">
        <v>#N/A N/A</v>
        <stp/>
        <stp>BDP|15875111917292739667</stp>
        <tr r="J1493" s="2"/>
      </tp>
      <tp t="s">
        <v>#N/A N/A</v>
        <stp/>
        <stp>BDP|15623228768972659256</stp>
        <tr r="P1348" s="2"/>
      </tp>
      <tp t="s">
        <v>#N/A N/A</v>
        <stp/>
        <stp>BDP|15318084630134268362</stp>
        <tr r="O760" s="2"/>
      </tp>
      <tp t="s">
        <v>#N/A N/A</v>
        <stp/>
        <stp>BDP|17544677941726503293</stp>
        <tr r="J1252" s="2"/>
      </tp>
      <tp t="s">
        <v>#N/A N/A</v>
        <stp/>
        <stp>BDP|16703892672571559965</stp>
        <tr r="J389" s="2"/>
      </tp>
      <tp t="s">
        <v>#N/A N/A</v>
        <stp/>
        <stp>BDP|13511499665701493121</stp>
        <tr r="D913" s="2"/>
      </tp>
      <tp t="s">
        <v>#N/A N/A</v>
        <stp/>
        <stp>BDP|10629598022191386714</stp>
        <tr r="E1210" s="2"/>
      </tp>
      <tp t="s">
        <v>#N/A N/A</v>
        <stp/>
        <stp>BDP|14091310955006979529</stp>
        <tr r="P553" s="2"/>
      </tp>
      <tp t="s">
        <v>#N/A N/A</v>
        <stp/>
        <stp>BDP|14468840918405120967</stp>
        <tr r="F124" s="2"/>
      </tp>
      <tp t="s">
        <v>#N/A N/A</v>
        <stp/>
        <stp>BDP|10616791798796955914</stp>
        <tr r="D1363" s="2"/>
      </tp>
      <tp t="s">
        <v>#N/A N/A</v>
        <stp/>
        <stp>BDP|12594029859167156102</stp>
        <tr r="O628" s="2"/>
      </tp>
      <tp t="s">
        <v>#N/A N/A</v>
        <stp/>
        <stp>BDP|14808567937131278247</stp>
        <tr r="O573" s="2"/>
      </tp>
      <tp t="s">
        <v>#N/A N/A</v>
        <stp/>
        <stp>BDP|13697305636745793784</stp>
        <tr r="C1184" s="2"/>
      </tp>
      <tp t="s">
        <v>#N/A N/A</v>
        <stp/>
        <stp>BDP|15448285718093274490</stp>
        <tr r="T965" s="2"/>
      </tp>
      <tp t="s">
        <v>#N/A N/A</v>
        <stp/>
        <stp>BDS|16549304989198555451</stp>
        <tr r="I683" s="2"/>
      </tp>
      <tp t="s">
        <v>#N/A N/A</v>
        <stp/>
        <stp>BDP|10561111259781634446</stp>
        <tr r="A135" s="2"/>
      </tp>
      <tp t="s">
        <v>#N/A N/A</v>
        <stp/>
        <stp>BDP|13077111972237832342</stp>
        <tr r="Q798" s="2"/>
      </tp>
      <tp t="s">
        <v>#N/A N/A</v>
        <stp/>
        <stp>BDP|14715795724948798821</stp>
        <tr r="G837" s="2"/>
      </tp>
      <tp t="s">
        <v>#N/A N/A</v>
        <stp/>
        <stp>BDP|14156164655366451792</stp>
        <tr r="T817" s="2"/>
      </tp>
      <tp t="s">
        <v>#N/A N/A</v>
        <stp/>
        <stp>BDP|16776660958583644703</stp>
        <tr r="R299" s="2"/>
      </tp>
      <tp t="s">
        <v>#N/A N/A</v>
        <stp/>
        <stp>BDP|10335442308480530552</stp>
        <tr r="M1156" s="2"/>
      </tp>
      <tp t="s">
        <v>#N/A N/A</v>
        <stp/>
        <stp>BDP|13314488771667781623</stp>
        <tr r="H1657" s="2"/>
      </tp>
      <tp t="s">
        <v>#N/A N/A</v>
        <stp/>
        <stp>BDP|16613769745106952238</stp>
        <tr r="A1258" s="2"/>
      </tp>
      <tp t="s">
        <v>#N/A N/A</v>
        <stp/>
        <stp>BDP|10061323262940914476</stp>
        <tr r="E691" s="2"/>
      </tp>
      <tp t="s">
        <v>#N/A N/A</v>
        <stp/>
        <stp>BDP|10082415615772351694</stp>
        <tr r="H1367" s="2"/>
      </tp>
      <tp t="s">
        <v>#N/A N/A</v>
        <stp/>
        <stp>BDS|14326008216082993619</stp>
        <tr r="I1431" s="2"/>
      </tp>
      <tp t="s">
        <v>#N/A N/A</v>
        <stp/>
        <stp>BDP|15260725749062384541</stp>
        <tr r="M1707" s="2"/>
      </tp>
      <tp t="s">
        <v>#N/A N/A</v>
        <stp/>
        <stp>BDP|16931322617811267405</stp>
        <tr r="S84" s="2"/>
      </tp>
      <tp t="s">
        <v>#N/A N/A</v>
        <stp/>
        <stp>BDP|12742602839504482242</stp>
        <tr r="Q97" s="2"/>
      </tp>
      <tp t="s">
        <v>#N/A N/A</v>
        <stp/>
        <stp>BDP|13077995780441466239</stp>
        <tr r="D467" s="2"/>
      </tp>
      <tp t="s">
        <v>#N/A N/A</v>
        <stp/>
        <stp>BDP|15246134629393588433</stp>
        <tr r="R1470" s="2"/>
      </tp>
      <tp t="s">
        <v>#N/A N/A</v>
        <stp/>
        <stp>BDP|14091120470214973753</stp>
        <tr r="T158" s="2"/>
      </tp>
      <tp t="s">
        <v>#N/A N/A</v>
        <stp/>
        <stp>BDP|11735853810389948059</stp>
        <tr r="D1417" s="2"/>
      </tp>
      <tp t="s">
        <v>#N/A N/A</v>
        <stp/>
        <stp>BDP|14069935194603921609</stp>
        <tr r="F120" s="2"/>
      </tp>
      <tp t="s">
        <v>#N/A N/A</v>
        <stp/>
        <stp>BDP|10504486092858837493</stp>
        <tr r="K459" s="2"/>
      </tp>
      <tp t="s">
        <v>#N/A N/A</v>
        <stp/>
        <stp>BDP|17536093914855205245</stp>
        <tr r="H170" s="2"/>
      </tp>
      <tp t="s">
        <v>#N/A N/A</v>
        <stp/>
        <stp>BDP|13368408956793316085</stp>
        <tr r="Q1178" s="2"/>
      </tp>
      <tp t="s">
        <v>#N/A N/A</v>
        <stp/>
        <stp>BDP|16156684726201489256</stp>
        <tr r="C512" s="2"/>
      </tp>
      <tp t="s">
        <v>#N/A N/A</v>
        <stp/>
        <stp>BDP|10179665199627482940</stp>
        <tr r="G1437" s="2"/>
      </tp>
      <tp t="s">
        <v>#N/A N/A</v>
        <stp/>
        <stp>BDP|16750398503164737043</stp>
        <tr r="N1556" s="2"/>
      </tp>
      <tp t="s">
        <v>#N/A N/A</v>
        <stp/>
        <stp>BDP|14980730351621406612</stp>
        <tr r="N104" s="2"/>
      </tp>
      <tp t="s">
        <v>#N/A N/A</v>
        <stp/>
        <stp>BDP|10835068793268535066</stp>
        <tr r="D602" s="2"/>
      </tp>
      <tp t="s">
        <v>#N/A N/A</v>
        <stp/>
        <stp>BDP|15511307889668455766</stp>
        <tr r="A35" s="2"/>
      </tp>
      <tp t="s">
        <v>#N/A N/A</v>
        <stp/>
        <stp>BDP|17423081140061781358</stp>
        <tr r="Q1132" s="2"/>
      </tp>
      <tp t="s">
        <v>#N/A N/A</v>
        <stp/>
        <stp>BDP|11123554248584239503</stp>
        <tr r="J102" s="2"/>
      </tp>
      <tp t="s">
        <v>#N/A N/A</v>
        <stp/>
        <stp>BDP|13574350219193176363</stp>
        <tr r="D1694" s="2"/>
      </tp>
      <tp t="s">
        <v>#N/A N/A</v>
        <stp/>
        <stp>BDP|16950723529095935757</stp>
        <tr r="A1118" s="2"/>
      </tp>
      <tp t="s">
        <v>#N/A N/A</v>
        <stp/>
        <stp>BDP|12000005865337300284</stp>
        <tr r="N522" s="2"/>
      </tp>
      <tp t="s">
        <v>#N/A N/A</v>
        <stp/>
        <stp>BDP|10299790004945434352</stp>
        <tr r="Q17" s="2"/>
      </tp>
      <tp t="s">
        <v>#N/A N/A</v>
        <stp/>
        <stp>BDP|13368246119246709773</stp>
        <tr r="A1229" s="2"/>
      </tp>
      <tp t="s">
        <v>#N/A N/A</v>
        <stp/>
        <stp>BDP|15902366441475171614</stp>
        <tr r="Q1696" s="2"/>
      </tp>
      <tp t="s">
        <v>#N/A N/A</v>
        <stp/>
        <stp>BDP|16933572531182132303</stp>
        <tr r="O273" s="2"/>
      </tp>
      <tp t="s">
        <v>#N/A N/A</v>
        <stp/>
        <stp>BDS|11937603043351079374</stp>
        <tr r="I1312" s="2"/>
      </tp>
      <tp t="s">
        <v>#N/A N/A</v>
        <stp/>
        <stp>BDP|17237710016521820133</stp>
        <tr r="K630" s="2"/>
      </tp>
      <tp t="s">
        <v>#N/A N/A</v>
        <stp/>
        <stp>BDP|11068727960404850547</stp>
        <tr r="D309" s="2"/>
      </tp>
      <tp t="s">
        <v>#N/A N/A</v>
        <stp/>
        <stp>BDP|12812731504512968685</stp>
        <tr r="H127" s="2"/>
      </tp>
      <tp t="s">
        <v>#N/A N/A</v>
        <stp/>
        <stp>BDP|15523252821262664691</stp>
        <tr r="J151" s="2"/>
      </tp>
      <tp t="s">
        <v>#N/A N/A</v>
        <stp/>
        <stp>BDP|14046593665674673243</stp>
        <tr r="T942" s="2"/>
      </tp>
      <tp t="s">
        <v>#N/A N/A</v>
        <stp/>
        <stp>BDP|15883047491148385503</stp>
        <tr r="T756" s="2"/>
      </tp>
      <tp t="s">
        <v>#N/A N/A</v>
        <stp/>
        <stp>BDP|12494695777176015449</stp>
        <tr r="Q1150" s="2"/>
      </tp>
      <tp t="s">
        <v>#N/A N/A</v>
        <stp/>
        <stp>BDP|10989494342523893244</stp>
        <tr r="J1177" s="2"/>
      </tp>
      <tp t="s">
        <v>#N/A N/A</v>
        <stp/>
        <stp>BDP|16960662422885787640</stp>
        <tr r="M1461" s="2"/>
      </tp>
      <tp t="s">
        <v>#N/A N/A</v>
        <stp/>
        <stp>BDP|15467960830718848641</stp>
        <tr r="S78" s="2"/>
      </tp>
      <tp t="s">
        <v>#N/A N/A</v>
        <stp/>
        <stp>BDP|13229278883088425033</stp>
        <tr r="K990" s="2"/>
      </tp>
      <tp t="s">
        <v>#N/A N/A</v>
        <stp/>
        <stp>BDP|12738654123874165312</stp>
        <tr r="C980" s="2"/>
      </tp>
      <tp t="s">
        <v>#N/A N/A</v>
        <stp/>
        <stp>BDP|10895002258407873393</stp>
        <tr r="E452" s="2"/>
      </tp>
      <tp t="s">
        <v>#N/A N/A</v>
        <stp/>
        <stp>BDP|16150104431424370129</stp>
        <tr r="A375" s="2"/>
      </tp>
      <tp t="s">
        <v>#N/A N/A</v>
        <stp/>
        <stp>BDP|16072146276464176529</stp>
        <tr r="G288" s="2"/>
      </tp>
      <tp t="s">
        <v>#N/A N/A</v>
        <stp/>
        <stp>BDP|12768430394779835798</stp>
        <tr r="N737" s="2"/>
      </tp>
      <tp t="s">
        <v>#N/A N/A</v>
        <stp/>
        <stp>BDP|16050036689488296794</stp>
        <tr r="K813" s="2"/>
      </tp>
      <tp t="s">
        <v>#N/A N/A</v>
        <stp/>
        <stp>BDP|13754241108065297587</stp>
        <tr r="C1247" s="2"/>
      </tp>
      <tp t="s">
        <v>#N/A N/A</v>
        <stp/>
        <stp>BDP|17346913090024471279</stp>
        <tr r="T20" s="2"/>
      </tp>
      <tp t="s">
        <v>#N/A N/A</v>
        <stp/>
        <stp>BDP|11820578137706815015</stp>
        <tr r="K1235" s="2"/>
      </tp>
      <tp t="s">
        <v>#N/A N/A</v>
        <stp/>
        <stp>BDP|12569058521397631667</stp>
        <tr r="D1443" s="2"/>
      </tp>
      <tp t="s">
        <v>#N/A N/A</v>
        <stp/>
        <stp>BDP|17996095973987143638</stp>
        <tr r="S680" s="2"/>
      </tp>
      <tp t="s">
        <v>#N/A N/A</v>
        <stp/>
        <stp>BDP|18424966668955334387</stp>
        <tr r="Q587" s="2"/>
      </tp>
      <tp t="s">
        <v>#N/A N/A</v>
        <stp/>
        <stp>BDP|13027859391737515404</stp>
        <tr r="J90" s="2"/>
      </tp>
      <tp t="s">
        <v>#N/A N/A</v>
        <stp/>
        <stp>BDP|15236140675876031420</stp>
        <tr r="J534" s="2"/>
      </tp>
      <tp t="s">
        <v>#N/A N/A</v>
        <stp/>
        <stp>BDP|11974036223842903011</stp>
        <tr r="Q1271" s="2"/>
      </tp>
      <tp t="s">
        <v>#N/A N/A</v>
        <stp/>
        <stp>BDP|12891927688006299418</stp>
        <tr r="E1226" s="2"/>
      </tp>
      <tp t="s">
        <v>#N/A N/A</v>
        <stp/>
        <stp>BDP|16149566920540110079</stp>
        <tr r="Q1655" s="2"/>
      </tp>
      <tp t="s">
        <v>#N/A N/A</v>
        <stp/>
        <stp>BDS|15674652985939258366</stp>
        <tr r="I803" s="2"/>
      </tp>
      <tp t="s">
        <v>#N/A N/A</v>
        <stp/>
        <stp>BDP|13525362212474933498</stp>
        <tr r="E256" s="2"/>
      </tp>
      <tp t="s">
        <v>#N/A N/A</v>
        <stp/>
        <stp>BDP|17347018779387907631</stp>
        <tr r="J1418" s="2"/>
      </tp>
      <tp t="s">
        <v>#N/A N/A</v>
        <stp/>
        <stp>BDP|12274363318136812759</stp>
        <tr r="Q1323" s="2"/>
      </tp>
      <tp t="s">
        <v>#N/A N/A</v>
        <stp/>
        <stp>BDP|17179712225937605420</stp>
        <tr r="J643" s="2"/>
      </tp>
      <tp t="s">
        <v>#N/A N/A</v>
        <stp/>
        <stp>BDP|16232379211185346063</stp>
        <tr r="D581" s="2"/>
      </tp>
      <tp t="s">
        <v>#N/A N/A</v>
        <stp/>
        <stp>BDP|10228871077176076839</stp>
        <tr r="C890" s="2"/>
      </tp>
      <tp t="s">
        <v>#N/A N/A</v>
        <stp/>
        <stp>BDP|10428909361656704831</stp>
        <tr r="P1370" s="2"/>
      </tp>
      <tp t="s">
        <v>#N/A N/A</v>
        <stp/>
        <stp>BDP|11856624962055880515</stp>
        <tr r="A849" s="2"/>
      </tp>
      <tp t="s">
        <v>#N/A N/A</v>
        <stp/>
        <stp>BDP|13056510730834644065</stp>
        <tr r="T416" s="2"/>
      </tp>
      <tp t="s">
        <v>#N/A N/A</v>
        <stp/>
        <stp>BDP|10435505317365780051</stp>
        <tr r="P1662" s="2"/>
      </tp>
      <tp t="s">
        <v>#N/A N/A</v>
        <stp/>
        <stp>BDP|11190477967522719076</stp>
        <tr r="T867" s="2"/>
      </tp>
      <tp t="s">
        <v>#N/A N/A</v>
        <stp/>
        <stp>BDP|12147476608297711082</stp>
        <tr r="Q949" s="2"/>
      </tp>
      <tp t="s">
        <v>#N/A N/A</v>
        <stp/>
        <stp>BDP|12909922677018876556</stp>
        <tr r="Q979" s="2"/>
      </tp>
      <tp t="s">
        <v>#N/A N/A</v>
        <stp/>
        <stp>BDP|11174709354422693020</stp>
        <tr r="T378" s="2"/>
      </tp>
      <tp t="s">
        <v>#N/A N/A</v>
        <stp/>
        <stp>BDP|15990418619706200725</stp>
        <tr r="D830" s="2"/>
      </tp>
      <tp t="s">
        <v>#N/A N/A</v>
        <stp/>
        <stp>BDP|12062422375663136372</stp>
        <tr r="M1077" s="2"/>
      </tp>
      <tp t="s">
        <v>#N/A N/A</v>
        <stp/>
        <stp>BDP|12658127135400675163</stp>
        <tr r="D80" s="2"/>
      </tp>
      <tp t="s">
        <v>#N/A N/A</v>
        <stp/>
        <stp>BDS|13010845801782394848</stp>
        <tr r="I219" s="2"/>
      </tp>
      <tp t="s">
        <v>#N/A N/A</v>
        <stp/>
        <stp>BDP|13317051514737553460</stp>
        <tr r="J404" s="2"/>
      </tp>
      <tp t="s">
        <v>#N/A N/A</v>
        <stp/>
        <stp>BDP|16736643436991604328</stp>
        <tr r="Q1539" s="2"/>
      </tp>
      <tp t="s">
        <v>#N/A N/A</v>
        <stp/>
        <stp>BDP|10999429952994187490</stp>
        <tr r="J1049" s="2"/>
      </tp>
      <tp t="s">
        <v>#N/A N/A</v>
        <stp/>
        <stp>BDP|15049616646341205740</stp>
        <tr r="O670" s="2"/>
      </tp>
      <tp t="s">
        <v>#N/A N/A</v>
        <stp/>
        <stp>BDP|17167444923016255656</stp>
        <tr r="J1115" s="2"/>
      </tp>
      <tp t="s">
        <v>#N/A N/A</v>
        <stp/>
        <stp>BDP|14538700032939133879</stp>
        <tr r="O1017" s="2"/>
      </tp>
      <tp t="s">
        <v>#N/A N/A</v>
        <stp/>
        <stp>BDP|13389789259358705842</stp>
        <tr r="K578" s="2"/>
      </tp>
      <tp t="s">
        <v>#N/A N/A</v>
        <stp/>
        <stp>BDP|12542621643525797429</stp>
        <tr r="E1523" s="2"/>
      </tp>
      <tp t="s">
        <v>#N/A N/A</v>
        <stp/>
        <stp>BDP|14377074468371445294</stp>
        <tr r="H678" s="2"/>
      </tp>
      <tp t="s">
        <v>#N/A N/A</v>
        <stp/>
        <stp>BDP|14990005576340771298</stp>
        <tr r="C283" s="2"/>
      </tp>
      <tp t="s">
        <v>#N/A N/A</v>
        <stp/>
        <stp>BDP|11889711399707204939</stp>
        <tr r="T1601" s="2"/>
      </tp>
      <tp t="s">
        <v>#N/A N/A</v>
        <stp/>
        <stp>BDP|12281228216200430036</stp>
        <tr r="O992" s="2"/>
      </tp>
      <tp t="s">
        <v>#N/A N/A</v>
        <stp/>
        <stp>BDP|14764594365267373190</stp>
        <tr r="M1604" s="2"/>
      </tp>
      <tp t="s">
        <v>#N/A N/A</v>
        <stp/>
        <stp>BDP|16973123065559874971</stp>
        <tr r="D1328" s="2"/>
      </tp>
      <tp t="s">
        <v>#N/A N/A</v>
        <stp/>
        <stp>BDP|11807613639647818292</stp>
        <tr r="G539" s="2"/>
      </tp>
      <tp t="s">
        <v>#N/A N/A</v>
        <stp/>
        <stp>BDP|15012358493587081972</stp>
        <tr r="T1055" s="2"/>
      </tp>
      <tp t="s">
        <v>#N/A N/A</v>
        <stp/>
        <stp>BDP|12352096529744425560</stp>
        <tr r="O1544" s="2"/>
      </tp>
      <tp t="s">
        <v>#N/A N/A</v>
        <stp/>
        <stp>BDP|18137036103668006105</stp>
        <tr r="T186" s="2"/>
      </tp>
      <tp t="s">
        <v>#N/A N/A</v>
        <stp/>
        <stp>BDP|16408579965982018677</stp>
        <tr r="D664" s="2"/>
      </tp>
      <tp t="s">
        <v>#N/A N/A</v>
        <stp/>
        <stp>BDP|18049350296316459564</stp>
        <tr r="O1481" s="2"/>
      </tp>
      <tp t="s">
        <v>#N/A N/A</v>
        <stp/>
        <stp>BDP|10280413934977015166</stp>
        <tr r="O593" s="2"/>
      </tp>
      <tp t="s">
        <v>#N/A N/A</v>
        <stp/>
        <stp>BDP|16440245215396451202</stp>
        <tr r="P503" s="2"/>
      </tp>
      <tp t="s">
        <v>#N/A N/A</v>
        <stp/>
        <stp>BDP|13598934950546581825</stp>
        <tr r="K376" s="2"/>
      </tp>
      <tp t="s">
        <v>#N/A N/A</v>
        <stp/>
        <stp>BDP|16214286325745614284</stp>
        <tr r="H1654" s="2"/>
      </tp>
      <tp t="s">
        <v>#N/A N/A</v>
        <stp/>
        <stp>BDP|15273511377424730224</stp>
        <tr r="H1429" s="2"/>
      </tp>
      <tp t="s">
        <v>#N/A N/A</v>
        <stp/>
        <stp>BDP|18346025914031440901</stp>
        <tr r="C454" s="2"/>
      </tp>
      <tp t="s">
        <v>#N/A N/A</v>
        <stp/>
        <stp>BDP|15017756827545464470</stp>
        <tr r="F1538" s="2"/>
      </tp>
      <tp t="s">
        <v>#N/A N/A</v>
        <stp/>
        <stp>BDP|18410490916505981938</stp>
        <tr r="H1519" s="2"/>
      </tp>
      <tp t="s">
        <v>#N/A N/A</v>
        <stp/>
        <stp>BDP|12690154516994529712</stp>
        <tr r="G789" s="2"/>
      </tp>
      <tp t="s">
        <v>#N/A N/A</v>
        <stp/>
        <stp>BDP|12576154250501165604</stp>
        <tr r="K666" s="2"/>
      </tp>
      <tp t="s">
        <v>#N/A N/A</v>
        <stp/>
        <stp>BDP|17769960386576205158</stp>
        <tr r="G1055" s="2"/>
      </tp>
      <tp t="s">
        <v>#N/A N/A</v>
        <stp/>
        <stp>BDP|11239304697838113244</stp>
        <tr r="N508" s="2"/>
      </tp>
      <tp t="s">
        <v>#N/A N/A</v>
        <stp/>
        <stp>BDP|14532778449886892033</stp>
        <tr r="E1472" s="2"/>
      </tp>
      <tp t="s">
        <v>#N/A N/A</v>
        <stp/>
        <stp>BDS|15681049855067580610</stp>
        <tr r="I605" s="2"/>
      </tp>
      <tp t="s">
        <v>#N/A N/A</v>
        <stp/>
        <stp>BDP|12111400013222624448</stp>
        <tr r="R559" s="2"/>
      </tp>
      <tp t="s">
        <v>#N/A N/A</v>
        <stp/>
        <stp>BDP|15416649533443406275</stp>
        <tr r="R1653" s="2"/>
      </tp>
      <tp t="s">
        <v>#N/A N/A</v>
        <stp/>
        <stp>BDP|10313041731157311559</stp>
        <tr r="T642" s="2"/>
      </tp>
      <tp t="s">
        <v>#N/A N/A</v>
        <stp/>
        <stp>BDP|13520127356906940081</stp>
        <tr r="O1434" s="2"/>
      </tp>
      <tp t="s">
        <v>#N/A N/A</v>
        <stp/>
        <stp>BDP|13533552854184200669</stp>
        <tr r="Q1694" s="2"/>
      </tp>
      <tp t="s">
        <v>#N/A N/A</v>
        <stp/>
        <stp>BDP|16488514758393469491</stp>
        <tr r="R109" s="2"/>
      </tp>
      <tp t="s">
        <v>#N/A N/A</v>
        <stp/>
        <stp>BDP|10061449322925369258</stp>
        <tr r="S166" s="2"/>
      </tp>
      <tp t="s">
        <v>#N/A N/A</v>
        <stp/>
        <stp>BDP|16285585901270912226</stp>
        <tr r="G960" s="2"/>
      </tp>
      <tp t="s">
        <v>#N/A N/A</v>
        <stp/>
        <stp>BDP|16794441804727327445</stp>
        <tr r="E468" s="2"/>
      </tp>
      <tp t="s">
        <v>#N/A N/A</v>
        <stp/>
        <stp>BDP|17385537578994187091</stp>
        <tr r="H1366" s="2"/>
      </tp>
      <tp t="s">
        <v>#N/A N/A</v>
        <stp/>
        <stp>BDP|16421758662587554165</stp>
        <tr r="O1223" s="2"/>
      </tp>
      <tp t="s">
        <v>#N/A N/A</v>
        <stp/>
        <stp>BDP|13933304143113985631</stp>
        <tr r="P974" s="2"/>
      </tp>
      <tp t="s">
        <v>#N/A N/A</v>
        <stp/>
        <stp>BDP|17303177015842161406</stp>
        <tr r="P648" s="2"/>
      </tp>
      <tp t="s">
        <v>#N/A N/A</v>
        <stp/>
        <stp>BDP|16071142224152084603</stp>
        <tr r="A896" s="2"/>
      </tp>
      <tp t="s">
        <v>#N/A N/A</v>
        <stp/>
        <stp>BDP|15477278052033529043</stp>
        <tr r="C746" s="2"/>
      </tp>
      <tp t="s">
        <v>#N/A N/A</v>
        <stp/>
        <stp>BDP|10491676963214607563</stp>
        <tr r="G855" s="2"/>
      </tp>
      <tp t="s">
        <v>#N/A N/A</v>
        <stp/>
        <stp>BDP|14700031816853041720</stp>
        <tr r="G1508" s="2"/>
      </tp>
      <tp t="s">
        <v>#N/A N/A</v>
        <stp/>
        <stp>BDP|15028028462664771676</stp>
        <tr r="P113" s="2"/>
      </tp>
      <tp t="s">
        <v>#N/A N/A</v>
        <stp/>
        <stp>BDP|14019842636829568770</stp>
        <tr r="Q226" s="2"/>
      </tp>
      <tp t="s">
        <v>#N/A N/A</v>
        <stp/>
        <stp>BDP|16756177841884811696</stp>
        <tr r="F333" s="2"/>
      </tp>
      <tp t="s">
        <v>#N/A N/A</v>
        <stp/>
        <stp>BDP|16494622363300551700</stp>
        <tr r="A932" s="2"/>
      </tp>
      <tp t="s">
        <v>#N/A N/A</v>
        <stp/>
        <stp>BDP|12658181912883848045</stp>
        <tr r="O1668" s="2"/>
      </tp>
      <tp t="s">
        <v>#N/A N/A</v>
        <stp/>
        <stp>BDP|18144289440137850814</stp>
        <tr r="C1469" s="2"/>
      </tp>
      <tp t="s">
        <v>#N/A N/A</v>
        <stp/>
        <stp>BDP|10520398677610268599</stp>
        <tr r="R268" s="2"/>
      </tp>
      <tp t="s">
        <v>#N/A N/A</v>
        <stp/>
        <stp>BDP|14774655055586646010</stp>
        <tr r="P1235" s="2"/>
      </tp>
      <tp t="s">
        <v>#N/A N/A</v>
        <stp/>
        <stp>BDP|17434255209092122696</stp>
        <tr r="E1598" s="2"/>
      </tp>
      <tp t="s">
        <v>#N/A N/A</v>
        <stp/>
        <stp>BDP|12229526019455143286</stp>
        <tr r="R1596" s="2"/>
      </tp>
      <tp t="s">
        <v>#N/A N/A</v>
        <stp/>
        <stp>BDP|11058991909639367036</stp>
        <tr r="C562" s="2"/>
      </tp>
      <tp t="s">
        <v>#N/A N/A</v>
        <stp/>
        <stp>BDP|17801160586157831800</stp>
        <tr r="D1280" s="2"/>
      </tp>
      <tp t="s">
        <v>#N/A N/A</v>
        <stp/>
        <stp>BDP|15643112131232573431</stp>
        <tr r="F197" s="2"/>
      </tp>
      <tp t="s">
        <v>#N/A N/A</v>
        <stp/>
        <stp>BDP|17853678676964811317</stp>
        <tr r="K1078" s="2"/>
      </tp>
      <tp t="s">
        <v>#N/A N/A</v>
        <stp/>
        <stp>BDP|16899504519034543748</stp>
        <tr r="C1281" s="2"/>
      </tp>
      <tp t="s">
        <v>#N/A N/A</v>
        <stp/>
        <stp>BDP|18150446000499760420</stp>
        <tr r="E233" s="2"/>
      </tp>
      <tp t="s">
        <v>#N/A N/A</v>
        <stp/>
        <stp>BDP|16666056329082957734</stp>
        <tr r="G1722" s="2"/>
      </tp>
      <tp t="s">
        <v>#N/A N/A</v>
        <stp/>
        <stp>BDP|10777992627679058396</stp>
        <tr r="M1241" s="2"/>
      </tp>
      <tp t="s">
        <v>#N/A N/A</v>
        <stp/>
        <stp>BDP|12833727735442825572</stp>
        <tr r="G37" s="2"/>
      </tp>
      <tp t="s">
        <v>#N/A N/A</v>
        <stp/>
        <stp>BDP|10365124154724447111</stp>
        <tr r="G752" s="2"/>
      </tp>
      <tp t="s">
        <v>#N/A N/A</v>
        <stp/>
        <stp>BDP|13750558611163241518</stp>
        <tr r="K608" s="2"/>
      </tp>
      <tp t="s">
        <v>#N/A N/A</v>
        <stp/>
        <stp>BDP|17621906525074271913</stp>
        <tr r="N1269" s="2"/>
      </tp>
      <tp t="s">
        <v>#N/A N/A</v>
        <stp/>
        <stp>BDP|15966338768866248705</stp>
        <tr r="C1054" s="2"/>
      </tp>
      <tp t="s">
        <v>#N/A N/A</v>
        <stp/>
        <stp>BDP|16637553568553832731</stp>
        <tr r="D1539" s="2"/>
      </tp>
      <tp t="s">
        <v>#N/A N/A</v>
        <stp/>
        <stp>BDP|15379440166654668271</stp>
        <tr r="K844" s="2"/>
      </tp>
      <tp t="s">
        <v>#N/A N/A</v>
        <stp/>
        <stp>BDP|17227644520037624502</stp>
        <tr r="R228" s="2"/>
      </tp>
      <tp t="s">
        <v>#N/A N/A</v>
        <stp/>
        <stp>BDP|13076743295725900985</stp>
        <tr r="P1202" s="2"/>
      </tp>
      <tp t="s">
        <v>#N/A N/A</v>
        <stp/>
        <stp>BDP|18105102846679466537</stp>
        <tr r="O925" s="2"/>
      </tp>
      <tp t="s">
        <v>#N/A N/A</v>
        <stp/>
        <stp>BDP|17127469863490298463</stp>
        <tr r="E77" s="2"/>
      </tp>
      <tp t="s">
        <v>#N/A N/A</v>
        <stp/>
        <stp>BDP|16419552667650303450</stp>
        <tr r="T1720" s="2"/>
      </tp>
      <tp t="s">
        <v>#N/A N/A</v>
        <stp/>
        <stp>BDP|12528063963481033403</stp>
        <tr r="S982" s="2"/>
      </tp>
      <tp t="s">
        <v>#N/A N/A</v>
        <stp/>
        <stp>BDP|14344731779543020697</stp>
        <tr r="G371" s="2"/>
      </tp>
      <tp t="s">
        <v>#N/A N/A</v>
        <stp/>
        <stp>BDP|13141253125797459550</stp>
        <tr r="N456" s="2"/>
      </tp>
      <tp t="s">
        <v>#N/A N/A</v>
        <stp/>
        <stp>BDP|16693716343993445706</stp>
        <tr r="R143" s="2"/>
      </tp>
      <tp t="s">
        <v>#N/A N/A</v>
        <stp/>
        <stp>BDP|15971223680397967925</stp>
        <tr r="C1502" s="2"/>
      </tp>
      <tp t="s">
        <v>#N/A N/A</v>
        <stp/>
        <stp>BDS|14048814592280332435</stp>
        <tr r="I508" s="2"/>
      </tp>
      <tp t="s">
        <v>#N/A N/A</v>
        <stp/>
        <stp>BDP|14368367826767767344</stp>
        <tr r="R470" s="2"/>
      </tp>
      <tp t="s">
        <v>#N/A N/A</v>
        <stp/>
        <stp>BDP|16917562191729634283</stp>
        <tr r="G270" s="2"/>
      </tp>
      <tp t="s">
        <v>#N/A N/A</v>
        <stp/>
        <stp>BDP|10103732503970369616</stp>
        <tr r="F35" s="2"/>
      </tp>
      <tp t="s">
        <v>#N/A N/A</v>
        <stp/>
        <stp>BDP|13156226854917594218</stp>
        <tr r="G625" s="2"/>
      </tp>
      <tp t="s">
        <v>#N/A N/A</v>
        <stp/>
        <stp>BDP|16080507628041924126</stp>
        <tr r="K178" s="2"/>
      </tp>
      <tp t="s">
        <v>#N/A N/A</v>
        <stp/>
        <stp>BDS|15571929488114677193</stp>
        <tr r="I1511" s="2"/>
      </tp>
      <tp t="s">
        <v>#N/A N/A</v>
        <stp/>
        <stp>BDP|13116019811857525478</stp>
        <tr r="K972" s="2"/>
      </tp>
      <tp t="s">
        <v>#N/A N/A</v>
        <stp/>
        <stp>BDP|10108197110850237196</stp>
        <tr r="H341" s="2"/>
      </tp>
      <tp t="s">
        <v>#N/A N/A</v>
        <stp/>
        <stp>BDP|17758610538490920349</stp>
        <tr r="C862" s="2"/>
      </tp>
      <tp t="s">
        <v>#N/A N/A</v>
        <stp/>
        <stp>BDP|17146599876485475194</stp>
        <tr r="D1593" s="2"/>
      </tp>
      <tp t="s">
        <v>#N/A N/A</v>
        <stp/>
        <stp>BDP|15435988626158826711</stp>
        <tr r="P1159" s="2"/>
      </tp>
      <tp t="s">
        <v>#N/A N/A</v>
        <stp/>
        <stp>BDP|14612399315417912004</stp>
        <tr r="T13" s="2"/>
      </tp>
      <tp t="s">
        <v>#N/A N/A</v>
        <stp/>
        <stp>BDS|16647658423085665662</stp>
        <tr r="I1143" s="2"/>
      </tp>
      <tp t="s">
        <v>#N/A N/A</v>
        <stp/>
        <stp>BDP|12145717944418684817</stp>
        <tr r="O426" s="2"/>
      </tp>
      <tp t="s">
        <v>#N/A N/A</v>
        <stp/>
        <stp>BDP|12874479605315046291</stp>
        <tr r="T936" s="2"/>
      </tp>
      <tp t="s">
        <v>#N/A N/A</v>
        <stp/>
        <stp>BDP|10536258310840296212</stp>
        <tr r="N808" s="2"/>
      </tp>
      <tp t="s">
        <v>#N/A N/A</v>
        <stp/>
        <stp>BDP|10898575952943657288</stp>
        <tr r="Q148" s="2"/>
      </tp>
      <tp t="s">
        <v>#N/A N/A</v>
        <stp/>
        <stp>BDP|16659863993835351333</stp>
        <tr r="O1032" s="2"/>
      </tp>
      <tp t="s">
        <v>#N/A N/A</v>
        <stp/>
        <stp>BDP|15791174011187137330</stp>
        <tr r="N1523" s="2"/>
      </tp>
      <tp t="s">
        <v>#N/A N/A</v>
        <stp/>
        <stp>BDP|12776336770321350648</stp>
        <tr r="R1433" s="2"/>
      </tp>
      <tp t="s">
        <v>#N/A N/A</v>
        <stp/>
        <stp>BDP|12788446722841684440</stp>
        <tr r="D647" s="2"/>
      </tp>
      <tp t="s">
        <v>#N/A N/A</v>
        <stp/>
        <stp>BDP|16041433274424191054</stp>
        <tr r="K1485" s="2"/>
      </tp>
      <tp t="s">
        <v>#N/A N/A</v>
        <stp/>
        <stp>BDP|12555091893958887248</stp>
        <tr r="E286" s="2"/>
      </tp>
      <tp t="s">
        <v>#N/A N/A</v>
        <stp/>
        <stp>BDP|14580555935144154774</stp>
        <tr r="P1425" s="2"/>
      </tp>
      <tp t="s">
        <v>#N/A N/A</v>
        <stp/>
        <stp>BDP|11982524779865389721</stp>
        <tr r="N1435" s="2"/>
      </tp>
      <tp t="s">
        <v>#N/A N/A</v>
        <stp/>
        <stp>BDP|12012117577874474114</stp>
        <tr r="G1698" s="2"/>
      </tp>
      <tp t="s">
        <v>#N/A N/A</v>
        <stp/>
        <stp>BDP|13304758988489441495</stp>
        <tr r="E1493" s="2"/>
      </tp>
      <tp t="s">
        <v>#N/A N/A</v>
        <stp/>
        <stp>BDP|13956290756806646334</stp>
        <tr r="J588" s="2"/>
      </tp>
      <tp t="s">
        <v>#N/A N/A</v>
        <stp/>
        <stp>BDS|17426255583868372415</stp>
        <tr r="I1347" s="2"/>
      </tp>
      <tp t="s">
        <v>#N/A N/A</v>
        <stp/>
        <stp>BDP|12653239415433642351</stp>
        <tr r="S1319" s="2"/>
      </tp>
      <tp t="s">
        <v>#N/A N/A</v>
        <stp/>
        <stp>BDP|16911754394771293896</stp>
        <tr r="C705" s="2"/>
      </tp>
      <tp t="s">
        <v>#N/A N/A</v>
        <stp/>
        <stp>BDP|12914170270191490495</stp>
        <tr r="R1136" s="2"/>
      </tp>
      <tp t="s">
        <v>#N/A N/A</v>
        <stp/>
        <stp>BDP|17872779379792136446</stp>
        <tr r="N1594" s="2"/>
      </tp>
      <tp t="s">
        <v>#N/A N/A</v>
        <stp/>
        <stp>BDP|13560305176744591251</stp>
        <tr r="C1618" s="2"/>
      </tp>
      <tp t="s">
        <v>#N/A N/A</v>
        <stp/>
        <stp>BDP|11345989188928490941</stp>
        <tr r="A1164" s="2"/>
      </tp>
      <tp t="s">
        <v>#N/A N/A</v>
        <stp/>
        <stp>BDS|11557424182818574402</stp>
        <tr r="I1596" s="2"/>
      </tp>
      <tp t="s">
        <v>#N/A N/A</v>
        <stp/>
        <stp>BDP|11206080869632200425</stp>
        <tr r="P1379" s="2"/>
      </tp>
      <tp t="s">
        <v>#N/A N/A</v>
        <stp/>
        <stp>BDP|16529031428035842054</stp>
        <tr r="K1571" s="2"/>
      </tp>
      <tp t="s">
        <v>#N/A N/A</v>
        <stp/>
        <stp>BDP|10021193348487452363</stp>
        <tr r="N199" s="2"/>
      </tp>
      <tp t="s">
        <v>#N/A N/A</v>
        <stp/>
        <stp>BDP|13182403794506355958</stp>
        <tr r="J1175" s="2"/>
      </tp>
      <tp t="s">
        <v>#N/A N/A</v>
        <stp/>
        <stp>BDP|15222555785010667972</stp>
        <tr r="O1690" s="2"/>
      </tp>
      <tp t="s">
        <v>#N/A N/A</v>
        <stp/>
        <stp>BDP|14228200413695210307</stp>
        <tr r="E1238" s="2"/>
      </tp>
      <tp t="s">
        <v>#N/A N/A</v>
        <stp/>
        <stp>BDS|14462703536991178039</stp>
        <tr r="I888" s="2"/>
      </tp>
      <tp t="s">
        <v>#N/A N/A</v>
        <stp/>
        <stp>BDP|13387670085228707458</stp>
        <tr r="D1081" s="2"/>
      </tp>
      <tp t="s">
        <v>#N/A N/A</v>
        <stp/>
        <stp>BDP|12015214023524449755</stp>
        <tr r="J612" s="2"/>
      </tp>
      <tp t="s">
        <v>#N/A N/A</v>
        <stp/>
        <stp>BDP|16799444317814518625</stp>
        <tr r="T323" s="2"/>
      </tp>
      <tp t="s">
        <v>#N/A N/A</v>
        <stp/>
        <stp>BDP|16598463429084136588</stp>
        <tr r="P156" s="2"/>
      </tp>
      <tp t="s">
        <v>#N/A N/A</v>
        <stp/>
        <stp>BDP|16548766558773037686</stp>
        <tr r="R1224" s="2"/>
      </tp>
      <tp t="s">
        <v>#N/A N/A</v>
        <stp/>
        <stp>BDP|16924503319481732246</stp>
        <tr r="E133" s="2"/>
      </tp>
      <tp t="s">
        <v>#N/A N/A</v>
        <stp/>
        <stp>BDP|15351006806447135374</stp>
        <tr r="Q307" s="2"/>
      </tp>
      <tp t="s">
        <v>#N/A N/A</v>
        <stp/>
        <stp>BDS|17232178673706490625</stp>
        <tr r="I912" s="2"/>
      </tp>
      <tp t="s">
        <v>#N/A N/A</v>
        <stp/>
        <stp>BDP|15165367374427924797</stp>
        <tr r="R792" s="2"/>
      </tp>
      <tp t="s">
        <v>#N/A N/A</v>
        <stp/>
        <stp>BDP|13195204116831324077</stp>
        <tr r="E1082" s="2"/>
      </tp>
      <tp t="s">
        <v>#N/A N/A</v>
        <stp/>
        <stp>BDP|14358659871995534111</stp>
        <tr r="M532" s="2"/>
      </tp>
      <tp t="s">
        <v>#N/A N/A</v>
        <stp/>
        <stp>BDP|13329150002550790309</stp>
        <tr r="F621" s="2"/>
      </tp>
      <tp t="s">
        <v>#N/A N/A</v>
        <stp/>
        <stp>BDP|12529034621240062145</stp>
        <tr r="A1508" s="2"/>
      </tp>
      <tp t="s">
        <v>#N/A N/A</v>
        <stp/>
        <stp>BDP|14370809872973164936</stp>
        <tr r="Q732" s="2"/>
      </tp>
      <tp t="s">
        <v>#N/A N/A</v>
        <stp/>
        <stp>BDP|13570151441833600449</stp>
        <tr r="O158" s="2"/>
      </tp>
      <tp t="s">
        <v>#N/A N/A</v>
        <stp/>
        <stp>BDP|18264847975151568751</stp>
        <tr r="S1048" s="2"/>
      </tp>
      <tp t="s">
        <v>#N/A N/A</v>
        <stp/>
        <stp>BDP|14497367122934026032</stp>
        <tr r="G1312" s="2"/>
      </tp>
      <tp t="s">
        <v>#N/A N/A</v>
        <stp/>
        <stp>BDP|16278553264554643063</stp>
        <tr r="N1542" s="2"/>
      </tp>
      <tp t="s">
        <v>#N/A N/A</v>
        <stp/>
        <stp>BDP|16853348250979928860</stp>
        <tr r="A1351" s="2"/>
      </tp>
      <tp t="s">
        <v>#N/A N/A</v>
        <stp/>
        <stp>BDS|15375162125674967393</stp>
        <tr r="I893" s="2"/>
      </tp>
      <tp t="s">
        <v>#N/A N/A</v>
        <stp/>
        <stp>BDP|14015102113515022002</stp>
        <tr r="G437" s="2"/>
      </tp>
      <tp t="s">
        <v>#N/A N/A</v>
        <stp/>
        <stp>BDS|12771395668167742111</stp>
        <tr r="I1418" s="2"/>
      </tp>
      <tp t="s">
        <v>#N/A N/A</v>
        <stp/>
        <stp>BDS|17424139978895677592</stp>
        <tr r="I948" s="2"/>
      </tp>
      <tp t="s">
        <v>#N/A N/A</v>
        <stp/>
        <stp>BDP|10117605254214426622</stp>
        <tr r="N1645" s="2"/>
      </tp>
      <tp t="s">
        <v>#N/A N/A</v>
        <stp/>
        <stp>BDS|18011944072371614601</stp>
        <tr r="I1021" s="2"/>
      </tp>
      <tp t="s">
        <v>#N/A N/A</v>
        <stp/>
        <stp>BDP|17518237055518474941</stp>
        <tr r="M716" s="2"/>
      </tp>
      <tp t="s">
        <v>#N/A N/A</v>
        <stp/>
        <stp>BDP|16769218257026385613</stp>
        <tr r="E455" s="2"/>
      </tp>
      <tp t="s">
        <v>#N/A N/A</v>
        <stp/>
        <stp>BDP|14311272070990281057</stp>
        <tr r="Q1711" s="2"/>
      </tp>
      <tp t="s">
        <v>#N/A N/A</v>
        <stp/>
        <stp>BDP|15292360082856753921</stp>
        <tr r="E718" s="2"/>
      </tp>
      <tp t="s">
        <v>#N/A N/A</v>
        <stp/>
        <stp>BDP|10789399401357927554</stp>
        <tr r="O932" s="2"/>
      </tp>
      <tp t="s">
        <v>#N/A N/A</v>
        <stp/>
        <stp>BDS|12824574553455508689</stp>
        <tr r="I842" s="2"/>
      </tp>
      <tp t="s">
        <v>#N/A N/A</v>
        <stp/>
        <stp>BDP|14597825477939082326</stp>
        <tr r="S317" s="2"/>
      </tp>
      <tp t="s">
        <v>#N/A N/A</v>
        <stp/>
        <stp>BDP|16195260260803595002</stp>
        <tr r="J1725" s="2"/>
      </tp>
      <tp t="s">
        <v>#N/A N/A</v>
        <stp/>
        <stp>BDP|11614150031992381039</stp>
        <tr r="M465" s="2"/>
      </tp>
      <tp t="s">
        <v>#N/A N/A</v>
        <stp/>
        <stp>BDP|13256352404993600277</stp>
        <tr r="C381" s="2"/>
      </tp>
      <tp t="s">
        <v>#N/A N/A</v>
        <stp/>
        <stp>BDP|16389109620876658275</stp>
        <tr r="M1678" s="2"/>
      </tp>
      <tp t="s">
        <v>#N/A N/A</v>
        <stp/>
        <stp>BDP|11028745749945857673</stp>
        <tr r="H523" s="2"/>
      </tp>
      <tp t="s">
        <v>#N/A N/A</v>
        <stp/>
        <stp>BDP|14213628637288507803</stp>
        <tr r="D1038" s="2"/>
      </tp>
      <tp t="s">
        <v>#N/A N/A</v>
        <stp/>
        <stp>BDP|14624144124957470100</stp>
        <tr r="R818" s="2"/>
      </tp>
      <tp t="s">
        <v>#N/A N/A</v>
        <stp/>
        <stp>BDP|16278700338515099683</stp>
        <tr r="D41" s="2"/>
      </tp>
      <tp t="s">
        <v>#N/A N/A</v>
        <stp/>
        <stp>BDP|11977716463721193087</stp>
        <tr r="A719" s="2"/>
      </tp>
      <tp t="s">
        <v>#N/A N/A</v>
        <stp/>
        <stp>BDP|12232032757133360579</stp>
        <tr r="J242" s="2"/>
      </tp>
      <tp t="s">
        <v>#N/A N/A</v>
        <stp/>
        <stp>BDP|18351355170949066440</stp>
        <tr r="M1370" s="2"/>
      </tp>
      <tp t="s">
        <v>#N/A N/A</v>
        <stp/>
        <stp>BDP|15938084655445041469</stp>
        <tr r="J859" s="2"/>
      </tp>
      <tp t="s">
        <v>#N/A N/A</v>
        <stp/>
        <stp>BDP|14674001087415246818</stp>
        <tr r="T1445" s="2"/>
      </tp>
      <tp t="s">
        <v>#N/A N/A</v>
        <stp/>
        <stp>BDP|10143434077387496537</stp>
        <tr r="T624" s="2"/>
      </tp>
      <tp t="s">
        <v>#N/A N/A</v>
        <stp/>
        <stp>BDP|13454452757156187553</stp>
        <tr r="J174" s="2"/>
      </tp>
      <tp t="s">
        <v>#N/A N/A</v>
        <stp/>
        <stp>BDP|18197767040333137943</stp>
        <tr r="R220" s="2"/>
      </tp>
      <tp t="s">
        <v>#N/A N/A</v>
        <stp/>
        <stp>BDP|13134077104016886481</stp>
        <tr r="G916" s="2"/>
      </tp>
      <tp t="s">
        <v>#N/A N/A</v>
        <stp/>
        <stp>BDS|13499641032010227716</stp>
        <tr r="I1072" s="2"/>
      </tp>
      <tp t="s">
        <v>#N/A N/A</v>
        <stp/>
        <stp>BDP|16625439445170223704</stp>
        <tr r="J1569" s="2"/>
      </tp>
      <tp t="s">
        <v>#N/A N/A</v>
        <stp/>
        <stp>BDP|17528549075296744211</stp>
        <tr r="F555" s="2"/>
      </tp>
      <tp t="s">
        <v>#N/A N/A</v>
        <stp/>
        <stp>BDP|15284263543005226775</stp>
        <tr r="N1413" s="2"/>
      </tp>
      <tp t="s">
        <v>#N/A N/A</v>
        <stp/>
        <stp>BDP|17697632380131530925</stp>
        <tr r="P318" s="2"/>
      </tp>
      <tp t="s">
        <v>#N/A N/A</v>
        <stp/>
        <stp>BDP|12301251456013211702</stp>
        <tr r="G603" s="2"/>
      </tp>
      <tp t="s">
        <v>#N/A N/A</v>
        <stp/>
        <stp>BDP|14646362636174360173</stp>
        <tr r="A239" s="2"/>
      </tp>
      <tp t="s">
        <v>#N/A N/A</v>
        <stp/>
        <stp>BDP|15162507754311423532</stp>
        <tr r="J772" s="2"/>
      </tp>
      <tp t="s">
        <v>#N/A N/A</v>
        <stp/>
        <stp>BDP|16176864135218565455</stp>
        <tr r="G587" s="2"/>
      </tp>
      <tp t="s">
        <v>#N/A N/A</v>
        <stp/>
        <stp>BDP|17905591707446005557</stp>
        <tr r="M111" s="2"/>
      </tp>
      <tp t="s">
        <v>#N/A N/A</v>
        <stp/>
        <stp>BDP|17669166827230280578</stp>
        <tr r="G258" s="2"/>
      </tp>
      <tp t="s">
        <v>#N/A N/A</v>
        <stp/>
        <stp>BDP|12524320954574537145</stp>
        <tr r="P321" s="2"/>
      </tp>
      <tp t="s">
        <v>#N/A N/A</v>
        <stp/>
        <stp>BDP|10803707113885176289</stp>
        <tr r="F590" s="2"/>
      </tp>
      <tp t="s">
        <v>#N/A N/A</v>
        <stp/>
        <stp>BDP|11763160530197374501</stp>
        <tr r="O1068" s="2"/>
      </tp>
      <tp t="s">
        <v>#N/A N/A</v>
        <stp/>
        <stp>BDP|16253151417484443364</stp>
        <tr r="R1033" s="2"/>
      </tp>
      <tp t="s">
        <v>#N/A N/A</v>
        <stp/>
        <stp>BDP|13804487105417620111</stp>
        <tr r="S1037" s="2"/>
      </tp>
      <tp t="s">
        <v>#N/A N/A</v>
        <stp/>
        <stp>BDP|12011464440441741235</stp>
        <tr r="R1452" s="2"/>
      </tp>
      <tp t="s">
        <v>#N/A N/A</v>
        <stp/>
        <stp>BDP|10398700572744404579</stp>
        <tr r="N362" s="2"/>
      </tp>
      <tp t="s">
        <v>#N/A N/A</v>
        <stp/>
        <stp>BDP|12396332937833770023</stp>
        <tr r="R715" s="2"/>
      </tp>
      <tp t="s">
        <v>#N/A N/A</v>
        <stp/>
        <stp>BDP|11534077787199531121</stp>
        <tr r="N180" s="2"/>
      </tp>
      <tp t="s">
        <v>#N/A N/A</v>
        <stp/>
        <stp>BDP|17318805182171705742</stp>
        <tr r="D1298" s="2"/>
      </tp>
      <tp t="s">
        <v>#N/A N/A</v>
        <stp/>
        <stp>BDP|12572311398529804064</stp>
        <tr r="E1742" s="2"/>
      </tp>
      <tp t="s">
        <v>#N/A N/A</v>
        <stp/>
        <stp>BDP|13319000842210357601</stp>
        <tr r="D977" s="2"/>
      </tp>
      <tp t="s">
        <v>#N/A N/A</v>
        <stp/>
        <stp>BDP|10869536036764689398</stp>
        <tr r="G644" s="2"/>
      </tp>
      <tp t="s">
        <v>#N/A N/A</v>
        <stp/>
        <stp>BDS|17142331352220441054</stp>
        <tr r="I388" s="2"/>
      </tp>
      <tp t="s">
        <v>#N/A N/A</v>
        <stp/>
        <stp>BDP|11335481108710138400</stp>
        <tr r="H263" s="2"/>
      </tp>
      <tp t="s">
        <v>#N/A N/A</v>
        <stp/>
        <stp>BDP|17371623623210569256</stp>
        <tr r="Q518" s="2"/>
      </tp>
      <tp t="s">
        <v>#N/A N/A</v>
        <stp/>
        <stp>BDP|14823608832521890100</stp>
        <tr r="O1315" s="2"/>
      </tp>
      <tp t="s">
        <v>#N/A N/A</v>
        <stp/>
        <stp>BDP|18285323374458619508</stp>
        <tr r="J762" s="2"/>
      </tp>
      <tp t="s">
        <v>#N/A N/A</v>
        <stp/>
        <stp>BDP|13173443576180609173</stp>
        <tr r="O695" s="2"/>
      </tp>
      <tp t="s">
        <v>#N/A N/A</v>
        <stp/>
        <stp>BDS|13961887484356166452</stp>
        <tr r="I1678" s="2"/>
      </tp>
      <tp t="s">
        <v>#N/A N/A</v>
        <stp/>
        <stp>BDP|13569560007306648107</stp>
        <tr r="R414" s="2"/>
      </tp>
      <tp t="s">
        <v>#N/A N/A</v>
        <stp/>
        <stp>BDP|14418399027415801109</stp>
        <tr r="F1196" s="2"/>
      </tp>
      <tp t="s">
        <v>#N/A N/A</v>
        <stp/>
        <stp>BDP|13529756981819096430</stp>
        <tr r="J1309" s="2"/>
      </tp>
      <tp t="s">
        <v>#N/A N/A</v>
        <stp/>
        <stp>BDP|17969854884730922632</stp>
        <tr r="E1108" s="2"/>
      </tp>
      <tp t="s">
        <v>#N/A N/A</v>
        <stp/>
        <stp>BDP|13221712504320104546</stp>
        <tr r="O429" s="2"/>
      </tp>
      <tp t="s">
        <v>#N/A N/A</v>
        <stp/>
        <stp>BDP|10495476442793355209</stp>
        <tr r="K1272" s="2"/>
      </tp>
      <tp t="s">
        <v>#N/A N/A</v>
        <stp/>
        <stp>BDP|12777124537152409346</stp>
        <tr r="O865" s="2"/>
      </tp>
      <tp t="s">
        <v>#N/A N/A</v>
        <stp/>
        <stp>BDP|12410644506286008343</stp>
        <tr r="K1200" s="2"/>
      </tp>
      <tp t="s">
        <v>#N/A N/A</v>
        <stp/>
        <stp>BDS|14682489365806428190</stp>
        <tr r="I59" s="2"/>
      </tp>
      <tp t="s">
        <v>#N/A N/A</v>
        <stp/>
        <stp>BDP|12315386521212896077</stp>
        <tr r="R463" s="2"/>
      </tp>
      <tp t="s">
        <v>#N/A N/A</v>
        <stp/>
        <stp>BDP|10459149178254515385</stp>
        <tr r="P758" s="2"/>
      </tp>
      <tp t="s">
        <v>#N/A N/A</v>
        <stp/>
        <stp>BDP|18000222561929060467</stp>
        <tr r="J926" s="2"/>
      </tp>
      <tp t="s">
        <v>#N/A N/A</v>
        <stp/>
        <stp>BDP|17155343051818532847</stp>
        <tr r="Q282" s="2"/>
      </tp>
      <tp t="s">
        <v>#N/A N/A</v>
        <stp/>
        <stp>BDP|14848797837167690652</stp>
        <tr r="M355" s="2"/>
      </tp>
      <tp t="s">
        <v>#N/A N/A</v>
        <stp/>
        <stp>BDP|15142674140261735748</stp>
        <tr r="N614" s="2"/>
      </tp>
      <tp t="s">
        <v>#N/A N/A</v>
        <stp/>
        <stp>BDP|10244306593759197255</stp>
        <tr r="C1120" s="2"/>
      </tp>
      <tp t="s">
        <v>#N/A N/A</v>
        <stp/>
        <stp>BDP|12984896630160327864</stp>
        <tr r="N1637" s="2"/>
      </tp>
      <tp t="s">
        <v>#N/A N/A</v>
        <stp/>
        <stp>BDP|17318872706476684817</stp>
        <tr r="A1615" s="2"/>
      </tp>
      <tp t="s">
        <v>#N/A N/A</v>
        <stp/>
        <stp>BDP|15182495461742549496</stp>
        <tr r="A841" s="2"/>
      </tp>
      <tp t="s">
        <v>#N/A N/A</v>
        <stp/>
        <stp>BDP|16094549025771561119</stp>
        <tr r="O466" s="2"/>
      </tp>
      <tp t="s">
        <v>#N/A N/A</v>
        <stp/>
        <stp>BDP|12839984020938456014</stp>
        <tr r="H271" s="2"/>
      </tp>
      <tp t="s">
        <v>#N/A N/A</v>
        <stp/>
        <stp>BDP|11154028564822127438</stp>
        <tr r="T1675" s="2"/>
      </tp>
      <tp t="s">
        <v>#N/A N/A</v>
        <stp/>
        <stp>BDP|10829600558776428418</stp>
        <tr r="O907" s="2"/>
      </tp>
      <tp t="s">
        <v>#N/A N/A</v>
        <stp/>
        <stp>BDP|15076614124091951198</stp>
        <tr r="P1287" s="2"/>
      </tp>
      <tp t="s">
        <v>#N/A N/A</v>
        <stp/>
        <stp>BDP|17474270694598185534</stp>
        <tr r="O156" s="2"/>
      </tp>
      <tp t="s">
        <v>#N/A N/A</v>
        <stp/>
        <stp>BDS|12851851959467076929</stp>
        <tr r="I1601" s="2"/>
      </tp>
      <tp t="s">
        <v>#N/A N/A</v>
        <stp/>
        <stp>BDP|12847784612211253459</stp>
        <tr r="O1113" s="2"/>
      </tp>
      <tp t="s">
        <v>#N/A N/A</v>
        <stp/>
        <stp>BDP|17443796817260990064</stp>
        <tr r="H1376" s="2"/>
      </tp>
      <tp t="s">
        <v>#N/A N/A</v>
        <stp/>
        <stp>BDP|14151482206536277788</stp>
        <tr r="Q1654" s="2"/>
      </tp>
      <tp t="s">
        <v>#N/A N/A</v>
        <stp/>
        <stp>BDP|13230218780739315150</stp>
        <tr r="C343" s="2"/>
      </tp>
      <tp t="s">
        <v>#N/A N/A</v>
        <stp/>
        <stp>BDP|13367513061639087867</stp>
        <tr r="D1378" s="2"/>
      </tp>
      <tp t="s">
        <v>#N/A N/A</v>
        <stp/>
        <stp>BDP|16080745605551120156</stp>
        <tr r="G172" s="2"/>
      </tp>
      <tp t="s">
        <v>#N/A N/A</v>
        <stp/>
        <stp>BDP|17139986870098527094</stp>
        <tr r="H1259" s="2"/>
      </tp>
      <tp t="s">
        <v>#N/A N/A</v>
        <stp/>
        <stp>BDP|13982138463264454184</stp>
        <tr r="N1619" s="2"/>
      </tp>
      <tp t="s">
        <v>#N/A N/A</v>
        <stp/>
        <stp>BDP|10124045253600020430</stp>
        <tr r="Q1196" s="2"/>
      </tp>
      <tp t="s">
        <v>#N/A N/A</v>
        <stp/>
        <stp>BDP|14575692304355910644</stp>
        <tr r="E726" s="2"/>
      </tp>
      <tp t="s">
        <v>#N/A N/A</v>
        <stp/>
        <stp>BDP|18417717130719068405</stp>
        <tr r="T591" s="2"/>
      </tp>
      <tp t="s">
        <v>#N/A N/A</v>
        <stp/>
        <stp>BDP|10730677981589169655</stp>
        <tr r="E423" s="2"/>
      </tp>
      <tp t="s">
        <v>#N/A N/A</v>
        <stp/>
        <stp>BDP|17672247194294421972</stp>
        <tr r="D358" s="2"/>
      </tp>
      <tp t="s">
        <v>#N/A N/A</v>
        <stp/>
        <stp>BDP|11165103915309668972</stp>
        <tr r="F1308" s="2"/>
      </tp>
      <tp t="s">
        <v>#N/A N/A</v>
        <stp/>
        <stp>BDP|13202005470393319645</stp>
        <tr r="S292" s="2"/>
      </tp>
      <tp t="s">
        <v>#N/A N/A</v>
        <stp/>
        <stp>BDP|18022072332599950391</stp>
        <tr r="G1711" s="2"/>
      </tp>
      <tp t="s">
        <v>#N/A N/A</v>
        <stp/>
        <stp>BDP|15335786250006663082</stp>
        <tr r="C259" s="2"/>
      </tp>
      <tp t="s">
        <v>#N/A N/A</v>
        <stp/>
        <stp>BDP|10037850897392615210</stp>
        <tr r="K682" s="2"/>
      </tp>
      <tp t="s">
        <v>#N/A N/A</v>
        <stp/>
        <stp>BDP|17369190957521110393</stp>
        <tr r="N1191" s="2"/>
      </tp>
      <tp t="s">
        <v>#N/A N/A</v>
        <stp/>
        <stp>BDP|12611504374276719706</stp>
        <tr r="E583" s="2"/>
      </tp>
      <tp t="s">
        <v>#N/A N/A</v>
        <stp/>
        <stp>BDP|14723477515348368830</stp>
        <tr r="H562" s="2"/>
      </tp>
      <tp t="s">
        <v>#N/A N/A</v>
        <stp/>
        <stp>BDP|15277198001897864271</stp>
        <tr r="F781" s="2"/>
      </tp>
      <tp t="s">
        <v>#N/A N/A</v>
        <stp/>
        <stp>BDS|18008806282118361171</stp>
        <tr r="I553" s="2"/>
      </tp>
      <tp t="s">
        <v>#N/A N/A</v>
        <stp/>
        <stp>BDP|16105663210414673440</stp>
        <tr r="E1369" s="2"/>
      </tp>
      <tp t="s">
        <v>#N/A N/A</v>
        <stp/>
        <stp>BDP|11400388439306523659</stp>
        <tr r="A205" s="2"/>
      </tp>
      <tp t="s">
        <v>#N/A N/A</v>
        <stp/>
        <stp>BDS|16534891735745630996</stp>
        <tr r="I1050" s="2"/>
      </tp>
      <tp t="s">
        <v>#N/A N/A</v>
        <stp/>
        <stp>BDS|15583954487064187104</stp>
        <tr r="I165" s="2"/>
      </tp>
      <tp t="s">
        <v>#N/A N/A</v>
        <stp/>
        <stp>BDP|16492104241463717178</stp>
        <tr r="N111" s="2"/>
      </tp>
      <tp t="s">
        <v>#N/A N/A</v>
        <stp/>
        <stp>BDP|15118014035486663167</stp>
        <tr r="G642" s="2"/>
      </tp>
      <tp t="s">
        <v>#N/A N/A</v>
        <stp/>
        <stp>BDP|17218590588459706212</stp>
        <tr r="O274" s="2"/>
      </tp>
      <tp t="s">
        <v>#N/A N/A</v>
        <stp/>
        <stp>BDP|16498079085049718646</stp>
        <tr r="Q34" s="2"/>
      </tp>
      <tp t="s">
        <v>#N/A N/A</v>
        <stp/>
        <stp>BDP|16215486414955885731</stp>
        <tr r="S1452" s="2"/>
      </tp>
      <tp t="s">
        <v>#N/A N/A</v>
        <stp/>
        <stp>BDP|11187412441673097342</stp>
        <tr r="K558" s="2"/>
      </tp>
      <tp t="s">
        <v>#N/A N/A</v>
        <stp/>
        <stp>BDP|17226569471071187514</stp>
        <tr r="H765" s="2"/>
      </tp>
      <tp t="s">
        <v>#N/A N/A</v>
        <stp/>
        <stp>BDP|16775561922096498629</stp>
        <tr r="J1593" s="2"/>
      </tp>
      <tp t="s">
        <v>#N/A N/A</v>
        <stp/>
        <stp>BDP|13129142616860677209</stp>
        <tr r="Q1582" s="2"/>
      </tp>
      <tp t="s">
        <v>#N/A N/A</v>
        <stp/>
        <stp>BDP|13609550579324860473</stp>
        <tr r="G1405" s="2"/>
      </tp>
      <tp t="s">
        <v>#N/A N/A</v>
        <stp/>
        <stp>BDP|18044295969059176440</stp>
        <tr r="T1121" s="2"/>
      </tp>
      <tp t="s">
        <v>#N/A N/A</v>
        <stp/>
        <stp>BDP|13290078994619110250</stp>
        <tr r="C155" s="2"/>
      </tp>
      <tp t="s">
        <v>#N/A N/A</v>
        <stp/>
        <stp>BDP|10527915245478068443</stp>
        <tr r="M414" s="2"/>
      </tp>
      <tp t="s">
        <v>#N/A N/A</v>
        <stp/>
        <stp>BDP|16320764637511745201</stp>
        <tr r="C208" s="2"/>
      </tp>
      <tp t="s">
        <v>#N/A N/A</v>
        <stp/>
        <stp>BDP|10723767071167169647</stp>
        <tr r="K1720" s="2"/>
      </tp>
      <tp t="s">
        <v>#N/A N/A</v>
        <stp/>
        <stp>BDP|16662892469111788848</stp>
        <tr r="E634" s="2"/>
      </tp>
      <tp t="s">
        <v>#N/A N/A</v>
        <stp/>
        <stp>BDP|13832365806207844655</stp>
        <tr r="Q47" s="2"/>
      </tp>
      <tp t="s">
        <v>#N/A N/A</v>
        <stp/>
        <stp>BDP|17429129154916367441</stp>
        <tr r="A886" s="2"/>
      </tp>
      <tp t="s">
        <v>#N/A N/A</v>
        <stp/>
        <stp>BDP|18183565577733691836</stp>
        <tr r="N1227" s="2"/>
      </tp>
      <tp t="s">
        <v>#N/A N/A</v>
        <stp/>
        <stp>BDP|16003534567282349627</stp>
        <tr r="R1408" s="2"/>
      </tp>
      <tp t="s">
        <v>#N/A N/A</v>
        <stp/>
        <stp>BDP|12581126486028581213</stp>
        <tr r="K1088" s="2"/>
      </tp>
      <tp t="s">
        <v>#N/A N/A</v>
        <stp/>
        <stp>BDP|13625133206002676103</stp>
        <tr r="O1056" s="2"/>
      </tp>
      <tp t="s">
        <v>#N/A N/A</v>
        <stp/>
        <stp>BDP|15025287798529162643</stp>
        <tr r="H566" s="2"/>
      </tp>
      <tp t="s">
        <v>#N/A N/A</v>
        <stp/>
        <stp>BDP|18191617891524291266</stp>
        <tr r="G1052" s="2"/>
      </tp>
      <tp t="s">
        <v>#N/A N/A</v>
        <stp/>
        <stp>BDP|10322205443625434216</stp>
        <tr r="P931" s="2"/>
      </tp>
      <tp t="s">
        <v>#N/A N/A</v>
        <stp/>
        <stp>BDP|14494031301973073632</stp>
        <tr r="D1664" s="2"/>
      </tp>
      <tp t="s">
        <v>#N/A N/A</v>
        <stp/>
        <stp>BDP|16361722368320833640</stp>
        <tr r="P1126" s="2"/>
      </tp>
      <tp t="s">
        <v>#N/A N/A</v>
        <stp/>
        <stp>BDP|11447336804766361548</stp>
        <tr r="H462" s="2"/>
      </tp>
      <tp t="s">
        <v>#N/A N/A</v>
        <stp/>
        <stp>BDP|11823717718795605339</stp>
        <tr r="R1298" s="2"/>
      </tp>
      <tp t="s">
        <v>#N/A N/A</v>
        <stp/>
        <stp>BDP|14008200200877058046</stp>
        <tr r="P1096" s="2"/>
      </tp>
      <tp t="s">
        <v>#N/A N/A</v>
        <stp/>
        <stp>BDP|15197362515213227540</stp>
        <tr r="S73" s="2"/>
      </tp>
      <tp t="s">
        <v>#N/A N/A</v>
        <stp/>
        <stp>BDP|12043686585105881810</stp>
        <tr r="K647" s="2"/>
      </tp>
      <tp t="s">
        <v>#N/A N/A</v>
        <stp/>
        <stp>BDP|17983482144256510042</stp>
        <tr r="M535" s="2"/>
      </tp>
      <tp t="s">
        <v>#N/A N/A</v>
        <stp/>
        <stp>BDP|12792038675830425410</stp>
        <tr r="M693" s="2"/>
      </tp>
      <tp t="s">
        <v>#N/A N/A</v>
        <stp/>
        <stp>BDP|12582152471794342163</stp>
        <tr r="H921" s="2"/>
      </tp>
      <tp t="s">
        <v>#N/A N/A</v>
        <stp/>
        <stp>BDP|17538508233103367316</stp>
        <tr r="A1696" s="2"/>
      </tp>
      <tp t="s">
        <v>#N/A N/A</v>
        <stp/>
        <stp>BDP|16842583832172753319</stp>
        <tr r="N914" s="2"/>
      </tp>
      <tp t="s">
        <v>#N/A N/A</v>
        <stp/>
        <stp>BDP|14962399442021675302</stp>
        <tr r="J1661" s="2"/>
      </tp>
      <tp t="s">
        <v>#N/A N/A</v>
        <stp/>
        <stp>BDS|10572236296648385245</stp>
        <tr r="I1394" s="2"/>
      </tp>
      <tp t="s">
        <v>#N/A N/A</v>
        <stp/>
        <stp>BDP|14298735530955588407</stp>
        <tr r="F1064" s="2"/>
      </tp>
      <tp t="s">
        <v>#N/A N/A</v>
        <stp/>
        <stp>BDP|13124047007240082265</stp>
        <tr r="M1565" s="2"/>
      </tp>
      <tp t="s">
        <v>#N/A N/A</v>
        <stp/>
        <stp>BDP|14970206421524889145</stp>
        <tr r="J813" s="2"/>
      </tp>
      <tp t="s">
        <v>#N/A N/A</v>
        <stp/>
        <stp>BDP|15512422344436775209</stp>
        <tr r="Q758" s="2"/>
      </tp>
      <tp t="s">
        <v>#N/A N/A</v>
        <stp/>
        <stp>BDP|10972130264714884220</stp>
        <tr r="M860" s="2"/>
      </tp>
      <tp t="s">
        <v>#N/A N/A</v>
        <stp/>
        <stp>BDP|15443765805566098535</stp>
        <tr r="D962" s="2"/>
      </tp>
      <tp t="s">
        <v>#N/A N/A</v>
        <stp/>
        <stp>BDP|12351656372196182415</stp>
        <tr r="E1381" s="2"/>
      </tp>
      <tp t="s">
        <v>#N/A N/A</v>
        <stp/>
        <stp>BDP|11913818275317145881</stp>
        <tr r="K1417" s="2"/>
      </tp>
      <tp t="s">
        <v>#N/A N/A</v>
        <stp/>
        <stp>BDP|16682236490499118504</stp>
        <tr r="Q937" s="2"/>
      </tp>
      <tp t="s">
        <v>#N/A N/A</v>
        <stp/>
        <stp>BDP|12505765643830661024</stp>
        <tr r="Q1192" s="2"/>
      </tp>
      <tp t="s">
        <v>#N/A N/A</v>
        <stp/>
        <stp>BDP|16324323506590027438</stp>
        <tr r="M544" s="2"/>
      </tp>
      <tp t="s">
        <v>#N/A N/A</v>
        <stp/>
        <stp>BDP|12242938416279418271</stp>
        <tr r="C1405" s="2"/>
      </tp>
      <tp t="s">
        <v>#N/A N/A</v>
        <stp/>
        <stp>BDP|16274237950033185346</stp>
        <tr r="D999" s="2"/>
      </tp>
      <tp t="s">
        <v>#N/A N/A</v>
        <stp/>
        <stp>BDP|14481453545181406444</stp>
        <tr r="M841" s="2"/>
      </tp>
      <tp t="s">
        <v>#N/A N/A</v>
        <stp/>
        <stp>BDP|12361762367701542339</stp>
        <tr r="J550" s="2"/>
      </tp>
      <tp t="s">
        <v>#N/A N/A</v>
        <stp/>
        <stp>BDP|16618211954419500929</stp>
        <tr r="P1045" s="2"/>
      </tp>
      <tp t="s">
        <v>#N/A N/A</v>
        <stp/>
        <stp>BDP|11263333507396580572</stp>
        <tr r="M1273" s="2"/>
      </tp>
      <tp t="s">
        <v>#N/A N/A</v>
        <stp/>
        <stp>BDP|15611065129623999547</stp>
        <tr r="F959" s="2"/>
      </tp>
      <tp t="s">
        <v>#N/A N/A</v>
        <stp/>
        <stp>BDP|17375511646602389534</stp>
        <tr r="P726" s="2"/>
      </tp>
      <tp t="s">
        <v>#N/A N/A</v>
        <stp/>
        <stp>BDS|17634668512339611835</stp>
        <tr r="I1193" s="2"/>
      </tp>
      <tp t="s">
        <v>#N/A N/A</v>
        <stp/>
        <stp>BDP|11882915020169976247</stp>
        <tr r="Q484" s="2"/>
      </tp>
      <tp t="s">
        <v>#N/A N/A</v>
        <stp/>
        <stp>BDP|12241249117831491110</stp>
        <tr r="J453" s="2"/>
      </tp>
      <tp t="s">
        <v>#N/A N/A</v>
        <stp/>
        <stp>BDP|12722636328637848005</stp>
        <tr r="K206" s="2"/>
      </tp>
      <tp t="s">
        <v>#N/A N/A</v>
        <stp/>
        <stp>BDP|17921896015648524743</stp>
        <tr r="F1704" s="2"/>
      </tp>
      <tp t="s">
        <v>#N/A N/A</v>
        <stp/>
        <stp>BDP|14052601442295416225</stp>
        <tr r="A1011" s="2"/>
      </tp>
      <tp t="s">
        <v>#N/A N/A</v>
        <stp/>
        <stp>BDP|10069441521520085718</stp>
        <tr r="M733" s="2"/>
      </tp>
      <tp t="s">
        <v>#N/A N/A</v>
        <stp/>
        <stp>BDP|12638471174142566247</stp>
        <tr r="J1336" s="2"/>
      </tp>
      <tp t="s">
        <v>#N/A N/A</v>
        <stp/>
        <stp>BDP|11375417326530556652</stp>
        <tr r="H993" s="2"/>
      </tp>
      <tp t="s">
        <v>#N/A N/A</v>
        <stp/>
        <stp>BDP|10062771883307935996</stp>
        <tr r="A1010" s="2"/>
      </tp>
      <tp t="s">
        <v>#N/A N/A</v>
        <stp/>
        <stp>BDP|17493468011491050271</stp>
        <tr r="F894" s="2"/>
      </tp>
      <tp t="s">
        <v>#N/A N/A</v>
        <stp/>
        <stp>BDP|15635205034300303554</stp>
        <tr r="N726" s="2"/>
      </tp>
      <tp t="s">
        <v>#N/A N/A</v>
        <stp/>
        <stp>BDP|11999683041823356177</stp>
        <tr r="K250" s="2"/>
      </tp>
      <tp t="s">
        <v>#N/A N/A</v>
        <stp/>
        <stp>BDP|17153526627206169717</stp>
        <tr r="E467" s="2"/>
      </tp>
      <tp t="s">
        <v>#N/A N/A</v>
        <stp/>
        <stp>BDP|10559921534373205857</stp>
        <tr r="P617" s="2"/>
      </tp>
      <tp t="s">
        <v>#N/A N/A</v>
        <stp/>
        <stp>BDP|11480206618781190290</stp>
        <tr r="P82" s="2"/>
      </tp>
      <tp t="s">
        <v>#N/A N/A</v>
        <stp/>
        <stp>BDP|17036411639540412186</stp>
        <tr r="Q1430" s="2"/>
      </tp>
      <tp t="s">
        <v>#N/A N/A</v>
        <stp/>
        <stp>BDP|18258319216633838899</stp>
        <tr r="C928" s="2"/>
      </tp>
      <tp t="s">
        <v>#N/A N/A</v>
        <stp/>
        <stp>BDS|16235120092746030957</stp>
        <tr r="I1340" s="2"/>
      </tp>
      <tp t="s">
        <v>#N/A N/A</v>
        <stp/>
        <stp>BDP|16435733206346271674</stp>
        <tr r="M695" s="2"/>
      </tp>
      <tp t="s">
        <v>#N/A N/A</v>
        <stp/>
        <stp>BDP|12338060734378256872</stp>
        <tr r="D1398" s="2"/>
      </tp>
      <tp t="s">
        <v>#N/A N/A</v>
        <stp/>
        <stp>BDP|17696500461440498573</stp>
        <tr r="J1477" s="2"/>
      </tp>
      <tp t="s">
        <v>#N/A N/A</v>
        <stp/>
        <stp>BDP|13152149206860474334</stp>
        <tr r="J1251" s="2"/>
      </tp>
      <tp t="s">
        <v>#N/A N/A</v>
        <stp/>
        <stp>BDS|13711473655036726557</stp>
        <tr r="I983" s="2"/>
      </tp>
      <tp t="s">
        <v>#N/A N/A</v>
        <stp/>
        <stp>BDP|10666788334095905078</stp>
        <tr r="K1089" s="2"/>
      </tp>
      <tp t="s">
        <v>#N/A N/A</v>
        <stp/>
        <stp>BDP|17123849722334262818</stp>
        <tr r="O1370" s="2"/>
      </tp>
      <tp t="s">
        <v>#N/A N/A</v>
        <stp/>
        <stp>BDP|10635456502876437318</stp>
        <tr r="F328" s="2"/>
      </tp>
      <tp t="s">
        <v>#N/A N/A</v>
        <stp/>
        <stp>BDP|12508641286439314401</stp>
        <tr r="R1552" s="2"/>
      </tp>
      <tp t="s">
        <v>#N/A N/A</v>
        <stp/>
        <stp>BDP|12681501091067491875</stp>
        <tr r="E900" s="2"/>
      </tp>
      <tp t="s">
        <v>#N/A N/A</v>
        <stp/>
        <stp>BDP|10930643772117876733</stp>
        <tr r="H844" s="2"/>
      </tp>
      <tp t="s">
        <v>#N/A N/A</v>
        <stp/>
        <stp>BDP|13946772534077754196</stp>
        <tr r="S347" s="2"/>
      </tp>
      <tp t="s">
        <v>#N/A N/A</v>
        <stp/>
        <stp>BDS|16132477606767056472</stp>
        <tr r="I222" s="2"/>
      </tp>
      <tp t="s">
        <v>#N/A N/A</v>
        <stp/>
        <stp>BDP|17392618212707000642</stp>
        <tr r="N465" s="2"/>
      </tp>
      <tp t="s">
        <v>#N/A N/A</v>
        <stp/>
        <stp>BDP|12199768700090535466</stp>
        <tr r="K915" s="2"/>
      </tp>
      <tp t="s">
        <v>#N/A N/A</v>
        <stp/>
        <stp>BDP|13255496176333835217</stp>
        <tr r="T447" s="2"/>
      </tp>
      <tp t="s">
        <v>#N/A N/A</v>
        <stp/>
        <stp>BDP|13449264200047592702</stp>
        <tr r="D1317" s="2"/>
      </tp>
      <tp t="s">
        <v>#N/A N/A</v>
        <stp/>
        <stp>BDP|16872454619553758148</stp>
        <tr r="C1019" s="2"/>
      </tp>
      <tp t="s">
        <v>#N/A N/A</v>
        <stp/>
        <stp>BDP|12416121573040681543</stp>
        <tr r="D963" s="2"/>
      </tp>
      <tp t="s">
        <v>#N/A N/A</v>
        <stp/>
        <stp>BDP|14129267834163476708</stp>
        <tr r="N224" s="2"/>
      </tp>
      <tp t="s">
        <v>#N/A N/A</v>
        <stp/>
        <stp>BDP|14628168323361452706</stp>
        <tr r="F584" s="2"/>
      </tp>
      <tp t="s">
        <v>#N/A N/A</v>
        <stp/>
        <stp>BDP|11745196561884002380</stp>
        <tr r="F808" s="2"/>
      </tp>
      <tp t="s">
        <v>#N/A N/A</v>
        <stp/>
        <stp>BDS|14682342951085006670</stp>
        <tr r="I174" s="2"/>
      </tp>
      <tp t="s">
        <v>#N/A N/A</v>
        <stp/>
        <stp>BDP|10965988205428571067</stp>
        <tr r="N219" s="2"/>
      </tp>
      <tp t="s">
        <v>#N/A N/A</v>
        <stp/>
        <stp>BDP|18300166676818240760</stp>
        <tr r="D1625" s="2"/>
      </tp>
      <tp t="s">
        <v>#N/A N/A</v>
        <stp/>
        <stp>BDP|16299844486445245254</stp>
        <tr r="A728" s="2"/>
      </tp>
      <tp t="s">
        <v>#N/A N/A</v>
        <stp/>
        <stp>BDP|12448425266530092174</stp>
        <tr r="F1333" s="2"/>
      </tp>
      <tp t="s">
        <v>#N/A N/A</v>
        <stp/>
        <stp>BDS|18212198043109408581</stp>
        <tr r="I819" s="2"/>
      </tp>
      <tp t="s">
        <v>#N/A N/A</v>
        <stp/>
        <stp>BDP|16626207250522286231</stp>
        <tr r="T1636" s="2"/>
      </tp>
      <tp t="s">
        <v>#N/A N/A</v>
        <stp/>
        <stp>BDP|14373872684811156461</stp>
        <tr r="C1255" s="2"/>
      </tp>
      <tp t="s">
        <v>#N/A N/A</v>
        <stp/>
        <stp>BDP|17722080218757088005</stp>
        <tr r="N33" s="2"/>
      </tp>
      <tp t="s">
        <v>#N/A N/A</v>
        <stp/>
        <stp>BDP|10876780957241381235</stp>
        <tr r="O1372" s="2"/>
      </tp>
      <tp t="s">
        <v>#N/A N/A</v>
        <stp/>
        <stp>BDP|12995083156211810781</stp>
        <tr r="A1318" s="2"/>
      </tp>
      <tp t="s">
        <v>#N/A N/A</v>
        <stp/>
        <stp>BDP|16157991914456387987</stp>
        <tr r="E1334" s="2"/>
      </tp>
      <tp t="s">
        <v>#N/A N/A</v>
        <stp/>
        <stp>BDP|11024309233575738532</stp>
        <tr r="E443" s="2"/>
      </tp>
      <tp t="s">
        <v>#N/A N/A</v>
        <stp/>
        <stp>BDP|18131106268488662688</stp>
        <tr r="T532" s="2"/>
      </tp>
      <tp t="s">
        <v>#N/A N/A</v>
        <stp/>
        <stp>BDP|10461048656386578245</stp>
        <tr r="S378" s="2"/>
      </tp>
      <tp t="s">
        <v>#N/A N/A</v>
        <stp/>
        <stp>BDP|18259408997086278205</stp>
        <tr r="O1281" s="2"/>
      </tp>
      <tp t="s">
        <v>#N/A N/A</v>
        <stp/>
        <stp>BDP|17687151851956164448</stp>
        <tr r="O170" s="2"/>
      </tp>
      <tp t="s">
        <v>#N/A N/A</v>
        <stp/>
        <stp>BDP|14949531116647387685</stp>
        <tr r="S1327" s="2"/>
      </tp>
      <tp t="s">
        <v>#N/A N/A</v>
        <stp/>
        <stp>BDP|11869208719245756614</stp>
        <tr r="O1466" s="2"/>
      </tp>
      <tp t="s">
        <v>#N/A N/A</v>
        <stp/>
        <stp>BDP|10776211885012425909</stp>
        <tr r="T1350" s="2"/>
      </tp>
      <tp t="s">
        <v>#N/A N/A</v>
        <stp/>
        <stp>BDP|13610828284604457637</stp>
        <tr r="Q93" s="2"/>
      </tp>
      <tp t="s">
        <v>#N/A N/A</v>
        <stp/>
        <stp>BDP|17187616614833534268</stp>
        <tr r="P1282" s="2"/>
      </tp>
      <tp t="s">
        <v>#N/A N/A</v>
        <stp/>
        <stp>BDP|10627942386090000033</stp>
        <tr r="Q399" s="2"/>
      </tp>
      <tp t="s">
        <v>#N/A N/A</v>
        <stp/>
        <stp>BDP|16663936396942738539</stp>
        <tr r="E125" s="2"/>
      </tp>
      <tp t="s">
        <v>#N/A N/A</v>
        <stp/>
        <stp>BDP|17518135544004578700</stp>
        <tr r="G798" s="2"/>
      </tp>
      <tp t="s">
        <v>#N/A N/A</v>
        <stp/>
        <stp>BDP|16997484216815950793</stp>
        <tr r="D1026" s="2"/>
      </tp>
      <tp t="s">
        <v>#N/A N/A</v>
        <stp/>
        <stp>BDP|16104194673339508895</stp>
        <tr r="T708" s="2"/>
      </tp>
      <tp t="s">
        <v>#N/A N/A</v>
        <stp/>
        <stp>BDP|14319991296084227190</stp>
        <tr r="G102" s="2"/>
      </tp>
      <tp t="s">
        <v>#N/A N/A</v>
        <stp/>
        <stp>BDP|14990697638755933568</stp>
        <tr r="R86" s="2"/>
      </tp>
      <tp t="s">
        <v>#N/A N/A</v>
        <stp/>
        <stp>BDP|13595803964328306458</stp>
        <tr r="P968" s="2"/>
      </tp>
      <tp t="s">
        <v>#N/A N/A</v>
        <stp/>
        <stp>BDP|16455934663588677054</stp>
        <tr r="H1737" s="2"/>
      </tp>
      <tp t="s">
        <v>#N/A N/A</v>
        <stp/>
        <stp>BDP|10427282849604610340</stp>
        <tr r="R1522" s="2"/>
      </tp>
      <tp t="s">
        <v>#N/A N/A</v>
        <stp/>
        <stp>BDP|14630173093985797827</stp>
        <tr r="G487" s="2"/>
      </tp>
      <tp t="s">
        <v>#N/A N/A</v>
        <stp/>
        <stp>BDP|10219471264143056063</stp>
        <tr r="R675" s="2"/>
      </tp>
      <tp t="s">
        <v>#N/A N/A</v>
        <stp/>
        <stp>BDS|14477004910320736474</stp>
        <tr r="I1273" s="2"/>
      </tp>
      <tp t="s">
        <v>#N/A N/A</v>
        <stp/>
        <stp>BDP|18177665736949356559</stp>
        <tr r="T1581" s="2"/>
      </tp>
      <tp t="s">
        <v>#N/A N/A</v>
        <stp/>
        <stp>BDP|10365394974970985505</stp>
        <tr r="A913" s="2"/>
      </tp>
      <tp t="s">
        <v>#N/A N/A</v>
        <stp/>
        <stp>BDP|11223376597803028958</stp>
        <tr r="Q532" s="2"/>
      </tp>
      <tp t="s">
        <v>#N/A N/A</v>
        <stp/>
        <stp>BDP|13169285907937886714</stp>
        <tr r="N1743" s="2"/>
      </tp>
      <tp t="s">
        <v>#N/A N/A</v>
        <stp/>
        <stp>BDP|16290260362935664670</stp>
        <tr r="H856" s="2"/>
      </tp>
      <tp t="s">
        <v>#N/A N/A</v>
        <stp/>
        <stp>BDP|14524431752361274511</stp>
        <tr r="R221" s="2"/>
      </tp>
      <tp t="s">
        <v>#N/A N/A</v>
        <stp/>
        <stp>BDP|17359296141255457581</stp>
        <tr r="Q770" s="2"/>
      </tp>
      <tp t="s">
        <v>#N/A N/A</v>
        <stp/>
        <stp>BDP|11486474541055492510</stp>
        <tr r="Q896" s="2"/>
      </tp>
      <tp t="s">
        <v>#N/A N/A</v>
        <stp/>
        <stp>BDP|17403776039602472093</stp>
        <tr r="F1493" s="2"/>
      </tp>
      <tp t="s">
        <v>#N/A N/A</v>
        <stp/>
        <stp>BDP|16167330024514955282</stp>
        <tr r="F387" s="2"/>
      </tp>
      <tp t="s">
        <v>#N/A N/A</v>
        <stp/>
        <stp>BDP|16396112006472366412</stp>
        <tr r="N125" s="2"/>
      </tp>
      <tp t="s">
        <v>#N/A N/A</v>
        <stp/>
        <stp>BDP|14849299263251503015</stp>
        <tr r="D242" s="2"/>
      </tp>
      <tp t="s">
        <v>#N/A N/A</v>
        <stp/>
        <stp>BDP|12413469807756465173</stp>
        <tr r="F1103" s="2"/>
      </tp>
      <tp t="s">
        <v>#N/A N/A</v>
        <stp/>
        <stp>BDP|14463669393623346947</stp>
        <tr r="R465" s="2"/>
      </tp>
      <tp t="s">
        <v>#N/A N/A</v>
        <stp/>
        <stp>BDP|11886799360521366048</stp>
        <tr r="A1367" s="2"/>
      </tp>
      <tp t="s">
        <v>#N/A N/A</v>
        <stp/>
        <stp>BDP|16778154442000422228</stp>
        <tr r="E789" s="2"/>
      </tp>
      <tp t="s">
        <v>#N/A N/A</v>
        <stp/>
        <stp>BDP|15374045356088237958</stp>
        <tr r="T189" s="2"/>
      </tp>
      <tp t="s">
        <v>#N/A N/A</v>
        <stp/>
        <stp>BDP|15917648608580518264</stp>
        <tr r="F688" s="2"/>
      </tp>
      <tp t="s">
        <v>#N/A N/A</v>
        <stp/>
        <stp>BDP|17327174776476424609</stp>
        <tr r="E706" s="2"/>
      </tp>
      <tp t="s">
        <v>#N/A N/A</v>
        <stp/>
        <stp>BDP|16935499931501701107</stp>
        <tr r="R847" s="2"/>
      </tp>
      <tp t="s">
        <v>#N/A N/A</v>
        <stp/>
        <stp>BDP|17737483742540298694</stp>
        <tr r="C262" s="2"/>
      </tp>
      <tp t="s">
        <v>#N/A N/A</v>
        <stp/>
        <stp>BDP|17241536937916601663</stp>
        <tr r="J63" s="2"/>
      </tp>
      <tp t="s">
        <v>#N/A N/A</v>
        <stp/>
        <stp>BDP|12288076637069285969</stp>
        <tr r="J391" s="2"/>
      </tp>
      <tp t="s">
        <v>#N/A N/A</v>
        <stp/>
        <stp>BDP|13649494233876260381</stp>
        <tr r="T267" s="2"/>
      </tp>
      <tp t="s">
        <v>#N/A N/A</v>
        <stp/>
        <stp>BDP|18056902609662769288</stp>
        <tr r="N1107" s="2"/>
      </tp>
      <tp t="s">
        <v>#N/A N/A</v>
        <stp/>
        <stp>BDP|10685066066175787278</stp>
        <tr r="T87" s="2"/>
      </tp>
      <tp t="s">
        <v>#N/A N/A</v>
        <stp/>
        <stp>BDP|10060292964122338789</stp>
        <tr r="H80" s="2"/>
      </tp>
      <tp t="s">
        <v>#N/A N/A</v>
        <stp/>
        <stp>BDP|17340302233397591132</stp>
        <tr r="E1701" s="2"/>
      </tp>
      <tp t="s">
        <v>#N/A N/A</v>
        <stp/>
        <stp>BDP|17187135345201424253</stp>
        <tr r="N1685" s="2"/>
      </tp>
      <tp t="s">
        <v>#N/A N/A</v>
        <stp/>
        <stp>BDP|12012789249640372044</stp>
        <tr r="T1540" s="2"/>
      </tp>
      <tp t="s">
        <v>#N/A N/A</v>
        <stp/>
        <stp>BDP|14718397950804057786</stp>
        <tr r="Q1387" s="2"/>
      </tp>
      <tp t="s">
        <v>#N/A N/A</v>
        <stp/>
        <stp>BDP|15878151568586589567</stp>
        <tr r="R969" s="2"/>
      </tp>
      <tp t="s">
        <v>#N/A N/A</v>
        <stp/>
        <stp>BDP|13625826792661791277</stp>
        <tr r="E1256" s="2"/>
      </tp>
      <tp t="s">
        <v>#N/A N/A</v>
        <stp/>
        <stp>BDP|15088801496791241426</stp>
        <tr r="P365" s="2"/>
      </tp>
      <tp t="s">
        <v>#N/A N/A</v>
        <stp/>
        <stp>BDP|14092952381702067626</stp>
        <tr r="K505" s="2"/>
      </tp>
      <tp t="s">
        <v>#N/A N/A</v>
        <stp/>
        <stp>BDP|14481317541765020726</stp>
        <tr r="D1293" s="2"/>
      </tp>
      <tp t="s">
        <v>#N/A N/A</v>
        <stp/>
        <stp>BDP|14223801365162152904</stp>
        <tr r="C859" s="2"/>
      </tp>
      <tp t="s">
        <v>#N/A N/A</v>
        <stp/>
        <stp>BDP|10203367313916346529</stp>
        <tr r="Q1434" s="2"/>
      </tp>
      <tp t="s">
        <v>#N/A N/A</v>
        <stp/>
        <stp>BDP|14531844222488679737</stp>
        <tr r="R1436" s="2"/>
      </tp>
      <tp t="s">
        <v>#N/A N/A</v>
        <stp/>
        <stp>BDP|14079426110142651227</stp>
        <tr r="F1246" s="2"/>
      </tp>
      <tp t="s">
        <v>#N/A N/A</v>
        <stp/>
        <stp>BDP|14716346016122235517</stp>
        <tr r="D859" s="2"/>
      </tp>
      <tp t="s">
        <v>#N/A N/A</v>
        <stp/>
        <stp>BDP|15241362520652072725</stp>
        <tr r="C588" s="2"/>
      </tp>
      <tp t="s">
        <v>#N/A N/A</v>
        <stp/>
        <stp>BDP|12705108961867897388</stp>
        <tr r="D737" s="2"/>
      </tp>
      <tp t="s">
        <v>#N/A N/A</v>
        <stp/>
        <stp>BDP|14243059840231375029</stp>
        <tr r="A179" s="2"/>
      </tp>
      <tp t="s">
        <v>#N/A N/A</v>
        <stp/>
        <stp>BDP|18319316287137016536</stp>
        <tr r="M537" s="2"/>
      </tp>
      <tp t="s">
        <v>#N/A N/A</v>
        <stp/>
        <stp>BDP|17253030567799767975</stp>
        <tr r="M1386" s="2"/>
      </tp>
      <tp t="s">
        <v>#N/A N/A</v>
        <stp/>
        <stp>BDP|14327587917110954130</stp>
        <tr r="O1125" s="2"/>
      </tp>
      <tp t="s">
        <v>#N/A N/A</v>
        <stp/>
        <stp>BDP|12236872155039681708</stp>
        <tr r="D337" s="2"/>
      </tp>
      <tp t="s">
        <v>#N/A N/A</v>
        <stp/>
        <stp>BDP|12635499074134526488</stp>
        <tr r="A1331" s="2"/>
      </tp>
      <tp t="s">
        <v>#N/A N/A</v>
        <stp/>
        <stp>BDP|10507725304847452119</stp>
        <tr r="T928" s="2"/>
      </tp>
      <tp t="s">
        <v>#N/A N/A</v>
        <stp/>
        <stp>BDP|15008179785884039942</stp>
        <tr r="P1719" s="2"/>
      </tp>
      <tp t="s">
        <v>#N/A N/A</v>
        <stp/>
        <stp>BDP|17243773662372311525</stp>
        <tr r="F143" s="2"/>
      </tp>
      <tp t="s">
        <v>#N/A N/A</v>
        <stp/>
        <stp>BDP|15148191813887824358</stp>
        <tr r="F392" s="2"/>
      </tp>
      <tp t="s">
        <v>#N/A N/A</v>
        <stp/>
        <stp>BDP|15458761184328440344</stp>
        <tr r="C798" s="2"/>
      </tp>
      <tp t="s">
        <v>#N/A N/A</v>
        <stp/>
        <stp>BDP|14014625213834480633</stp>
        <tr r="S1608" s="2"/>
      </tp>
      <tp t="s">
        <v>#N/A N/A</v>
        <stp/>
        <stp>BDP|10203833298438982868</stp>
        <tr r="E434" s="2"/>
      </tp>
      <tp t="s">
        <v>#N/A N/A</v>
        <stp/>
        <stp>BDP|12700987652938887731</stp>
        <tr r="E1675" s="2"/>
      </tp>
      <tp t="s">
        <v>#N/A N/A</v>
        <stp/>
        <stp>BDP|10038795733104450184</stp>
        <tr r="S529" s="2"/>
      </tp>
      <tp t="s">
        <v>#N/A N/A</v>
        <stp/>
        <stp>BDP|10992218818011053362</stp>
        <tr r="O819" s="2"/>
      </tp>
      <tp t="s">
        <v>#N/A N/A</v>
        <stp/>
        <stp>BDP|12075252963655623267</stp>
        <tr r="P53" s="2"/>
      </tp>
      <tp t="s">
        <v>#N/A N/A</v>
        <stp/>
        <stp>BDP|14065968286037103378</stp>
        <tr r="Q1335" s="2"/>
      </tp>
      <tp t="s">
        <v>#N/A N/A</v>
        <stp/>
        <stp>BDP|16501642955205579171</stp>
        <tr r="K913" s="2"/>
      </tp>
      <tp t="s">
        <v>#N/A N/A</v>
        <stp/>
        <stp>BDP|15515430639514161784</stp>
        <tr r="D1012" s="2"/>
      </tp>
      <tp t="s">
        <v>#N/A N/A</v>
        <stp/>
        <stp>BDP|13044256718103841231</stp>
        <tr r="Q386" s="2"/>
      </tp>
      <tp t="s">
        <v>#N/A N/A</v>
        <stp/>
        <stp>BDP|14036032356111206116</stp>
        <tr r="H1521" s="2"/>
      </tp>
      <tp t="s">
        <v>#N/A N/A</v>
        <stp/>
        <stp>BDP|18435955972073306463</stp>
        <tr r="A805" s="2"/>
      </tp>
      <tp t="s">
        <v>#N/A N/A</v>
        <stp/>
        <stp>BDP|11508043585000077820</stp>
        <tr r="H529" s="2"/>
      </tp>
      <tp t="s">
        <v>#N/A N/A</v>
        <stp/>
        <stp>BDP|15795431075576712108</stp>
        <tr r="O954" s="2"/>
      </tp>
      <tp t="s">
        <v>#N/A N/A</v>
        <stp/>
        <stp>BDP|16921329869173821633</stp>
        <tr r="F961" s="2"/>
      </tp>
      <tp t="s">
        <v>#N/A N/A</v>
        <stp/>
        <stp>BDP|16347527349372137308</stp>
        <tr r="E1755" s="2"/>
      </tp>
      <tp t="s">
        <v>#N/A N/A</v>
        <stp/>
        <stp>BDP|15200388773406827185</stp>
        <tr r="R1725" s="2"/>
      </tp>
      <tp t="s">
        <v>#N/A N/A</v>
        <stp/>
        <stp>BDP|13684088451875798518</stp>
        <tr r="N134" s="2"/>
      </tp>
      <tp t="s">
        <v>#N/A N/A</v>
        <stp/>
        <stp>BDP|14758807642469562799</stp>
        <tr r="E1358" s="2"/>
      </tp>
      <tp t="s">
        <v>#N/A N/A</v>
        <stp/>
        <stp>BDP|18390250760199969367</stp>
        <tr r="Q271" s="2"/>
      </tp>
      <tp t="s">
        <v>#N/A N/A</v>
        <stp/>
        <stp>BDP|13966787637409781884</stp>
        <tr r="C1160" s="2"/>
      </tp>
      <tp t="s">
        <v>#N/A N/A</v>
        <stp/>
        <stp>BDP|16324359674380295499</stp>
        <tr r="E454" s="2"/>
      </tp>
      <tp t="s">
        <v>#N/A N/A</v>
        <stp/>
        <stp>BDP|15986221506444419504</stp>
        <tr r="K629" s="2"/>
      </tp>
      <tp t="s">
        <v>#N/A N/A</v>
        <stp/>
        <stp>BDP|14152599083388411766</stp>
        <tr r="Q666" s="2"/>
      </tp>
      <tp t="s">
        <v>#N/A N/A</v>
        <stp/>
        <stp>BDP|14299597941152020135</stp>
        <tr r="E1456" s="2"/>
      </tp>
      <tp t="s">
        <v>#N/A N/A</v>
        <stp/>
        <stp>BDP|10375885312668756779</stp>
        <tr r="D178" s="2"/>
      </tp>
      <tp t="s">
        <v>#N/A N/A</v>
        <stp/>
        <stp>BDP|13683114675172849136</stp>
        <tr r="G303" s="2"/>
      </tp>
      <tp t="s">
        <v>#N/A N/A</v>
        <stp/>
        <stp>BDP|14109404905856922041</stp>
        <tr r="A652" s="2"/>
      </tp>
      <tp t="s">
        <v>#N/A N/A</v>
        <stp/>
        <stp>BDP|16082361288203756801</stp>
        <tr r="P1394" s="2"/>
      </tp>
      <tp t="s">
        <v>#N/A N/A</v>
        <stp/>
        <stp>BDP|17762882424088088323</stp>
        <tr r="Q600" s="2"/>
      </tp>
      <tp t="s">
        <v>#N/A N/A</v>
        <stp/>
        <stp>BDP|18360980430812716650</stp>
        <tr r="H650" s="2"/>
      </tp>
      <tp t="s">
        <v>#N/A N/A</v>
        <stp/>
        <stp>BDP|13914916192825095038</stp>
        <tr r="P340" s="2"/>
      </tp>
      <tp t="s">
        <v>#N/A N/A</v>
        <stp/>
        <stp>BDP|15676559469581448171</stp>
        <tr r="F911" s="2"/>
      </tp>
      <tp t="s">
        <v>#N/A N/A</v>
        <stp/>
        <stp>BDP|17823205243687156039</stp>
        <tr r="H1029" s="2"/>
      </tp>
      <tp t="s">
        <v>#N/A N/A</v>
        <stp/>
        <stp>BDP|11002978160471627982</stp>
        <tr r="O1751" s="2"/>
      </tp>
      <tp t="s">
        <v>#N/A N/A</v>
        <stp/>
        <stp>BDP|18150721034752967879</stp>
        <tr r="D397" s="2"/>
      </tp>
      <tp t="s">
        <v>#N/A N/A</v>
        <stp/>
        <stp>BDP|17945804499157078795</stp>
        <tr r="K708" s="2"/>
      </tp>
      <tp t="s">
        <v>#N/A N/A</v>
        <stp/>
        <stp>BDP|15501817905429873207</stp>
        <tr r="G1117" s="2"/>
      </tp>
      <tp t="s">
        <v>#N/A N/A</v>
        <stp/>
        <stp>BDS|17740031959082328644</stp>
        <tr r="I1634" s="2"/>
      </tp>
      <tp t="s">
        <v>#N/A N/A</v>
        <stp/>
        <stp>BDP|10192257308804729027</stp>
        <tr r="M1621" s="2"/>
      </tp>
      <tp t="s">
        <v>#N/A N/A</v>
        <stp/>
        <stp>BDP|15964190635857887645</stp>
        <tr r="M921" s="2"/>
      </tp>
      <tp t="s">
        <v>#N/A N/A</v>
        <stp/>
        <stp>BDP|16959769924844503176</stp>
        <tr r="P948" s="2"/>
      </tp>
      <tp t="s">
        <v>#N/A N/A</v>
        <stp/>
        <stp>BDP|10487999680463775430</stp>
        <tr r="Q706" s="2"/>
      </tp>
      <tp t="s">
        <v>#N/A N/A</v>
        <stp/>
        <stp>BDP|16625776364457440685</stp>
        <tr r="R366" s="2"/>
      </tp>
      <tp t="s">
        <v>#N/A N/A</v>
        <stp/>
        <stp>BDP|11778056241066233582</stp>
        <tr r="C1348" s="2"/>
      </tp>
      <tp t="s">
        <v>#N/A N/A</v>
        <stp/>
        <stp>BDP|11888735401874273412</stp>
        <tr r="E43" s="2"/>
      </tp>
      <tp t="s">
        <v>#N/A N/A</v>
        <stp/>
        <stp>BDP|13849267059362924072</stp>
        <tr r="S587" s="2"/>
      </tp>
      <tp t="s">
        <v>#N/A N/A</v>
        <stp/>
        <stp>BDP|16914527612013314737</stp>
        <tr r="F616" s="2"/>
      </tp>
      <tp t="s">
        <v>#N/A N/A</v>
        <stp/>
        <stp>BDP|16966153325961145218</stp>
        <tr r="N961" s="2"/>
      </tp>
      <tp t="s">
        <v>#N/A N/A</v>
        <stp/>
        <stp>BDP|13817969997592896784</stp>
        <tr r="N1522" s="2"/>
      </tp>
      <tp t="s">
        <v>#N/A N/A</v>
        <stp/>
        <stp>BDS|14589653971545284696</stp>
        <tr r="I939" s="2"/>
      </tp>
      <tp t="s">
        <v>#N/A N/A</v>
        <stp/>
        <stp>BDP|11620739429852639037</stp>
        <tr r="J228" s="2"/>
      </tp>
      <tp t="s">
        <v>#N/A N/A</v>
        <stp/>
        <stp>BDP|11775247151751969126</stp>
        <tr r="P1457" s="2"/>
      </tp>
      <tp t="s">
        <v>#N/A N/A</v>
        <stp/>
        <stp>BDP|14911013360261353522</stp>
        <tr r="P1064" s="2"/>
      </tp>
      <tp t="s">
        <v>#N/A N/A</v>
        <stp/>
        <stp>BDP|17140890935068503212</stp>
        <tr r="F161" s="2"/>
      </tp>
      <tp t="s">
        <v>#N/A N/A</v>
        <stp/>
        <stp>BDP|12792140918502406669</stp>
        <tr r="K496" s="2"/>
      </tp>
      <tp t="s">
        <v>#N/A N/A</v>
        <stp/>
        <stp>BDP|15564301920341516390</stp>
        <tr r="H594" s="2"/>
      </tp>
      <tp t="s">
        <v>#N/A N/A</v>
        <stp/>
        <stp>BDP|17201247850141847777</stp>
        <tr r="H923" s="2"/>
      </tp>
      <tp t="s">
        <v>#N/A N/A</v>
        <stp/>
        <stp>BDP|16780983785129484877</stp>
        <tr r="M285" s="2"/>
      </tp>
      <tp t="s">
        <v>#N/A N/A</v>
        <stp/>
        <stp>BDP|12280438182161247980</stp>
        <tr r="Q636" s="2"/>
      </tp>
      <tp t="s">
        <v>#N/A N/A</v>
        <stp/>
        <stp>BDP|13717361588436889888</stp>
        <tr r="E1620" s="2"/>
      </tp>
      <tp t="s">
        <v>#N/A N/A</v>
        <stp/>
        <stp>BDP|16048894113230140922</stp>
        <tr r="P1462" s="2"/>
      </tp>
      <tp t="s">
        <v>#N/A N/A</v>
        <stp/>
        <stp>BDP|10821926092667823194</stp>
        <tr r="H968" s="2"/>
      </tp>
      <tp t="s">
        <v>#N/A N/A</v>
        <stp/>
        <stp>BDP|13695146749788125821</stp>
        <tr r="K1477" s="2"/>
      </tp>
      <tp t="s">
        <v>#N/A N/A</v>
        <stp/>
        <stp>BDP|15583157408073103114</stp>
        <tr r="H1575" s="2"/>
      </tp>
      <tp t="s">
        <v>#N/A N/A</v>
        <stp/>
        <stp>BDP|10192844009986282866</stp>
        <tr r="T457" s="2"/>
      </tp>
      <tp t="s">
        <v>#N/A N/A</v>
        <stp/>
        <stp>BDP|16356816489896341605</stp>
        <tr r="D837" s="2"/>
      </tp>
      <tp t="s">
        <v>#N/A N/A</v>
        <stp/>
        <stp>BDP|18262035499254891382</stp>
        <tr r="G1326" s="2"/>
      </tp>
      <tp t="s">
        <v>#N/A N/A</v>
        <stp/>
        <stp>BDP|17116930586822956255</stp>
        <tr r="C1538" s="2"/>
      </tp>
      <tp t="s">
        <v>#N/A N/A</v>
        <stp/>
        <stp>BDP|17547079701512351384</stp>
        <tr r="G503" s="2"/>
      </tp>
      <tp t="s">
        <v>#N/A N/A</v>
        <stp/>
        <stp>BDP|13198306563996888626</stp>
        <tr r="J265" s="2"/>
      </tp>
      <tp t="s">
        <v>#N/A N/A</v>
        <stp/>
        <stp>BDP|11098443081619861252</stp>
        <tr r="D1675" s="2"/>
      </tp>
      <tp t="s">
        <v>#N/A N/A</v>
        <stp/>
        <stp>BDP|11366987287443288565</stp>
        <tr r="M959" s="2"/>
      </tp>
      <tp t="s">
        <v>#N/A N/A</v>
        <stp/>
        <stp>BDP|11613760453813307681</stp>
        <tr r="A991" s="2"/>
      </tp>
      <tp t="s">
        <v>#N/A N/A</v>
        <stp/>
        <stp>BDP|17832198278834122309</stp>
        <tr r="H710" s="2"/>
      </tp>
      <tp t="s">
        <v>#N/A N/A</v>
        <stp/>
        <stp>BDP|12795467902502301284</stp>
        <tr r="G1490" s="2"/>
      </tp>
      <tp t="s">
        <v>#N/A N/A</v>
        <stp/>
        <stp>BDP|13199624375727867363</stp>
        <tr r="H314" s="2"/>
      </tp>
      <tp t="s">
        <v>#N/A N/A</v>
        <stp/>
        <stp>BDP|16059644476871215087</stp>
        <tr r="P884" s="2"/>
      </tp>
      <tp t="s">
        <v>#N/A N/A</v>
        <stp/>
        <stp>BDP|11463294858938523886</stp>
        <tr r="J339" s="2"/>
      </tp>
      <tp t="s">
        <v>#N/A N/A</v>
        <stp/>
        <stp>BDP|13160695475002459618</stp>
        <tr r="S505" s="2"/>
      </tp>
      <tp t="s">
        <v>#N/A N/A</v>
        <stp/>
        <stp>BDS|10651589319801897343</stp>
        <tr r="I430" s="2"/>
      </tp>
      <tp t="s">
        <v>#N/A N/A</v>
        <stp/>
        <stp>BDP|13156547235545086681</stp>
        <tr r="G1419" s="2"/>
      </tp>
      <tp t="s">
        <v>#N/A N/A</v>
        <stp/>
        <stp>BDP|12728183414110687455</stp>
        <tr r="H774" s="2"/>
      </tp>
      <tp t="s">
        <v>#N/A N/A</v>
        <stp/>
        <stp>BDP|17052873420848730380</stp>
        <tr r="Q1062" s="2"/>
      </tp>
      <tp t="s">
        <v>#N/A N/A</v>
        <stp/>
        <stp>BDP|16940569957016954694</stp>
        <tr r="T609" s="2"/>
      </tp>
      <tp t="s">
        <v>#N/A N/A</v>
        <stp/>
        <stp>BDP|17083044724581968213</stp>
        <tr r="P1678" s="2"/>
      </tp>
      <tp t="s">
        <v>#N/A N/A</v>
        <stp/>
        <stp>BDP|13125433380939374093</stp>
        <tr r="P352" s="2"/>
      </tp>
      <tp t="s">
        <v>#N/A N/A</v>
        <stp/>
        <stp>BDP|15178243847170216588</stp>
        <tr r="C650" s="2"/>
      </tp>
      <tp t="s">
        <v>#N/A N/A</v>
        <stp/>
        <stp>BDP|12695780105157098432</stp>
        <tr r="A1553" s="2"/>
      </tp>
      <tp t="s">
        <v>#N/A N/A</v>
        <stp/>
        <stp>BDP|15075402102716817120</stp>
        <tr r="M833" s="2"/>
      </tp>
      <tp t="s">
        <v>#N/A N/A</v>
        <stp/>
        <stp>BDP|10509604173723712490</stp>
        <tr r="C1617" s="2"/>
      </tp>
      <tp t="s">
        <v>#N/A N/A</v>
        <stp/>
        <stp>BDP|10091042378763081246</stp>
        <tr r="F1719" s="2"/>
      </tp>
      <tp t="s">
        <v>#N/A N/A</v>
        <stp/>
        <stp>BDP|12719092344599725956</stp>
        <tr r="O70" s="2"/>
      </tp>
      <tp t="s">
        <v>#N/A N/A</v>
        <stp/>
        <stp>BDP|18243345188543300656</stp>
        <tr r="S665" s="2"/>
      </tp>
      <tp t="s">
        <v>#N/A N/A</v>
        <stp/>
        <stp>BDP|16985514420426582152</stp>
        <tr r="D1055" s="2"/>
      </tp>
      <tp t="s">
        <v>#N/A N/A</v>
        <stp/>
        <stp>BDP|17282388124524362451</stp>
        <tr r="H344" s="2"/>
      </tp>
      <tp t="s">
        <v>#N/A N/A</v>
        <stp/>
        <stp>BDS|14460717661626961560</stp>
        <tr r="I914" s="2"/>
      </tp>
      <tp t="s">
        <v>#N/A N/A</v>
        <stp/>
        <stp>BDP|10694628466602340492</stp>
        <tr r="M692" s="2"/>
      </tp>
      <tp t="s">
        <v>#N/A N/A</v>
        <stp/>
        <stp>BDP|15441930618832587925</stp>
        <tr r="O603" s="2"/>
      </tp>
      <tp t="s">
        <v>#N/A N/A</v>
        <stp/>
        <stp>BDP|11466403096119945331</stp>
        <tr r="A122" s="2"/>
      </tp>
      <tp t="s">
        <v>#N/A N/A</v>
        <stp/>
        <stp>BDP|14516453842294895628</stp>
        <tr r="T29" s="2"/>
      </tp>
      <tp t="s">
        <v>#N/A N/A</v>
        <stp/>
        <stp>BDP|14837493668764255433</stp>
        <tr r="D218" s="2"/>
      </tp>
      <tp t="s">
        <v>#N/A N/A</v>
        <stp/>
        <stp>BDP|17047284444893413409</stp>
        <tr r="F913" s="2"/>
      </tp>
      <tp t="s">
        <v>#N/A N/A</v>
        <stp/>
        <stp>BDP|17100662039532546633</stp>
        <tr r="P1690" s="2"/>
      </tp>
      <tp t="s">
        <v>#N/A N/A</v>
        <stp/>
        <stp>BDP|12397505752304971008</stp>
        <tr r="N1634" s="2"/>
      </tp>
      <tp t="s">
        <v>#N/A N/A</v>
        <stp/>
        <stp>BDP|11149528632775854419</stp>
        <tr r="J655" s="2"/>
      </tp>
      <tp t="s">
        <v>#N/A N/A</v>
        <stp/>
        <stp>BDP|17211837272117928922</stp>
        <tr r="S1454" s="2"/>
      </tp>
      <tp t="s">
        <v>#N/A N/A</v>
        <stp/>
        <stp>BDP|13579436954784391099</stp>
        <tr r="T326" s="2"/>
      </tp>
      <tp t="s">
        <v>#N/A N/A</v>
        <stp/>
        <stp>BDP|14439156423375910431</stp>
        <tr r="F370" s="2"/>
      </tp>
      <tp t="s">
        <v>#N/A N/A</v>
        <stp/>
        <stp>BDP|17467046521277150481</stp>
        <tr r="F504" s="2"/>
      </tp>
      <tp t="s">
        <v>#N/A N/A</v>
        <stp/>
        <stp>BDS|10037656286149804102</stp>
        <tr r="I737" s="2"/>
      </tp>
      <tp t="s">
        <v>#N/A N/A</v>
        <stp/>
        <stp>BDP|14197460919054069369</stp>
        <tr r="D431" s="2"/>
      </tp>
      <tp t="s">
        <v>#N/A N/A</v>
        <stp/>
        <stp>BDP|11724397940260041067</stp>
        <tr r="J577" s="2"/>
      </tp>
      <tp t="s">
        <v>#N/A N/A</v>
        <stp/>
        <stp>BDP|11517178798188170704</stp>
        <tr r="K1097" s="2"/>
      </tp>
      <tp t="s">
        <v>#N/A N/A</v>
        <stp/>
        <stp>BDP|15736471649535197635</stp>
        <tr r="T1256" s="2"/>
      </tp>
      <tp t="s">
        <v>#N/A N/A</v>
        <stp/>
        <stp>BDP|13080431899341361926</stp>
        <tr r="K1549" s="2"/>
      </tp>
      <tp t="s">
        <v>#N/A N/A</v>
        <stp/>
        <stp>BDP|12752042898929364432</stp>
        <tr r="A391" s="2"/>
      </tp>
      <tp t="s">
        <v>#N/A N/A</v>
        <stp/>
        <stp>BDP|12894200863455600567</stp>
        <tr r="K722" s="2"/>
      </tp>
      <tp t="s">
        <v>#N/A N/A</v>
        <stp/>
        <stp>BDP|10945275606447073338</stp>
        <tr r="Q535" s="2"/>
      </tp>
      <tp t="s">
        <v>#N/A N/A</v>
        <stp/>
        <stp>BDP|12390767609484669716</stp>
        <tr r="P1382" s="2"/>
      </tp>
      <tp t="s">
        <v>#N/A N/A</v>
        <stp/>
        <stp>BDP|11524249576392411080</stp>
        <tr r="K763" s="2"/>
      </tp>
      <tp t="s">
        <v>#N/A N/A</v>
        <stp/>
        <stp>BDP|14374469040666859464</stp>
        <tr r="Q917" s="2"/>
      </tp>
      <tp t="s">
        <v>#N/A N/A</v>
        <stp/>
        <stp>BDP|15100257008618006978</stp>
        <tr r="K1617" s="2"/>
      </tp>
      <tp t="s">
        <v>#N/A N/A</v>
        <stp/>
        <stp>BDP|15580281114234134431</stp>
        <tr r="A925" s="2"/>
      </tp>
      <tp t="s">
        <v>#N/A N/A</v>
        <stp/>
        <stp>BDP|18267391158331855908</stp>
        <tr r="K43" s="2"/>
      </tp>
      <tp t="s">
        <v>#N/A N/A</v>
        <stp/>
        <stp>BDP|15211131260945884128</stp>
        <tr r="F1500" s="2"/>
      </tp>
      <tp t="s">
        <v>#N/A N/A</v>
        <stp/>
        <stp>BDS|18143226999865342016</stp>
        <tr r="I1210" s="2"/>
      </tp>
      <tp t="s">
        <v>#N/A N/A</v>
        <stp/>
        <stp>BDP|15458191200870658201</stp>
        <tr r="C127" s="2"/>
      </tp>
      <tp t="s">
        <v>#N/A N/A</v>
        <stp/>
        <stp>BDP|12231416515531403098</stp>
        <tr r="K1583" s="2"/>
      </tp>
      <tp t="s">
        <v>#N/A N/A</v>
        <stp/>
        <stp>BDP|16247505724932854555</stp>
        <tr r="J1679" s="2"/>
      </tp>
      <tp t="s">
        <v>#N/A N/A</v>
        <stp/>
        <stp>BDP|10161867015477954808</stp>
        <tr r="D902" s="2"/>
      </tp>
      <tp t="s">
        <v>#N/A N/A</v>
        <stp/>
        <stp>BDP|10254755021815449693</stp>
        <tr r="M1145" s="2"/>
      </tp>
      <tp t="s">
        <v>#N/A N/A</v>
        <stp/>
        <stp>BDP|17002537187988797489</stp>
        <tr r="S1113" s="2"/>
      </tp>
      <tp t="s">
        <v>#N/A N/A</v>
        <stp/>
        <stp>BDP|14066541666866998708</stp>
        <tr r="A445" s="2"/>
      </tp>
      <tp t="s">
        <v>#N/A N/A</v>
        <stp/>
        <stp>BDP|13733474901450847129</stp>
        <tr r="C575" s="2"/>
      </tp>
      <tp t="s">
        <v>#N/A N/A</v>
        <stp/>
        <stp>BDP|10850754807882755362</stp>
        <tr r="H208" s="2"/>
      </tp>
      <tp t="s">
        <v>#N/A N/A</v>
        <stp/>
        <stp>BDP|17387090058724952004</stp>
        <tr r="T688" s="2"/>
      </tp>
      <tp t="s">
        <v>#N/A N/A</v>
        <stp/>
        <stp>BDP|14985068870855717034</stp>
        <tr r="C727" s="2"/>
      </tp>
      <tp t="s">
        <v>#N/A N/A</v>
        <stp/>
        <stp>BDP|13740726709747516529</stp>
        <tr r="C1666" s="2"/>
      </tp>
      <tp t="s">
        <v>#N/A N/A</v>
        <stp/>
        <stp>BDP|13273542567286930038</stp>
        <tr r="G144" s="2"/>
      </tp>
      <tp t="s">
        <v>#N/A N/A</v>
        <stp/>
        <stp>BDP|11701556278002925788</stp>
        <tr r="Q1095" s="2"/>
      </tp>
      <tp t="s">
        <v>#N/A N/A</v>
        <stp/>
        <stp>BDP|10108532451601920715</stp>
        <tr r="D1698" s="2"/>
      </tp>
      <tp t="s">
        <v>#N/A N/A</v>
        <stp/>
        <stp>BDS|17385157667714129289</stp>
        <tr r="I761" s="2"/>
      </tp>
      <tp t="s">
        <v>#N/A N/A</v>
        <stp/>
        <stp>BDP|15862076739063869355</stp>
        <tr r="N861" s="2"/>
      </tp>
      <tp t="s">
        <v>#N/A N/A</v>
        <stp/>
        <stp>BDP|13870075651764106446</stp>
        <tr r="O222" s="2"/>
      </tp>
      <tp t="s">
        <v>#N/A N/A</v>
        <stp/>
        <stp>BDP|13168937947319851164</stp>
        <tr r="G2" s="2"/>
      </tp>
      <tp t="s">
        <v>#N/A N/A</v>
        <stp/>
        <stp>BDP|14085038197339724282</stp>
        <tr r="J1636" s="2"/>
      </tp>
      <tp t="s">
        <v>#N/A N/A</v>
        <stp/>
        <stp>BDP|10511589561485175069</stp>
        <tr r="H1674" s="2"/>
      </tp>
      <tp t="s">
        <v>#N/A N/A</v>
        <stp/>
        <stp>BDP|15580732647796885627</stp>
        <tr r="R137" s="2"/>
      </tp>
      <tp t="s">
        <v>#N/A N/A</v>
        <stp/>
        <stp>BDP|16267049359150051549</stp>
        <tr r="J1609" s="2"/>
      </tp>
      <tp t="s">
        <v>#N/A N/A</v>
        <stp/>
        <stp>BDP|12356741619252539004</stp>
        <tr r="R130" s="2"/>
      </tp>
      <tp t="s">
        <v>#N/A N/A</v>
        <stp/>
        <stp>BDS|14537641243968829828</stp>
        <tr r="I65" s="2"/>
      </tp>
      <tp t="s">
        <v>#N/A N/A</v>
        <stp/>
        <stp>BDP|14038558131570762488</stp>
        <tr r="Q1585" s="2"/>
      </tp>
      <tp t="s">
        <v>#N/A N/A</v>
        <stp/>
        <stp>BDP|16838171323731471232</stp>
        <tr r="H932" s="2"/>
      </tp>
      <tp t="s">
        <v>#N/A N/A</v>
        <stp/>
        <stp>BDP|12153641361014869072</stp>
        <tr r="F1712" s="2"/>
      </tp>
      <tp t="s">
        <v>#N/A N/A</v>
        <stp/>
        <stp>BDP|15331090714856487413</stp>
        <tr r="T263" s="2"/>
      </tp>
      <tp t="s">
        <v>#N/A N/A</v>
        <stp/>
        <stp>BDP|14175288251990193528</stp>
        <tr r="J442" s="2"/>
      </tp>
      <tp t="s">
        <v>#N/A N/A</v>
        <stp/>
        <stp>BDP|17427087802714667533</stp>
        <tr r="R508" s="2"/>
      </tp>
      <tp t="s">
        <v>#N/A N/A</v>
        <stp/>
        <stp>BDP|13644773579883513669</stp>
        <tr r="Q1155" s="2"/>
      </tp>
      <tp t="s">
        <v>#N/A N/A</v>
        <stp/>
        <stp>BDP|17648345106424851677</stp>
        <tr r="A532" s="2"/>
      </tp>
      <tp t="s">
        <v>#N/A N/A</v>
        <stp/>
        <stp>BDP|10798227146054018488</stp>
        <tr r="S243" s="2"/>
      </tp>
      <tp t="s">
        <v>#N/A N/A</v>
        <stp/>
        <stp>BDP|16939262673590161565</stp>
        <tr r="T1658" s="2"/>
      </tp>
      <tp t="s">
        <v>#N/A N/A</v>
        <stp/>
        <stp>BDP|17983452251325664508</stp>
        <tr r="D222" s="2"/>
      </tp>
      <tp t="s">
        <v>#N/A N/A</v>
        <stp/>
        <stp>BDP|15657687186308556563</stp>
        <tr r="P1338" s="2"/>
      </tp>
      <tp t="s">
        <v>#N/A N/A</v>
        <stp/>
        <stp>BDS|12208693343142059401</stp>
        <tr r="I685" s="2"/>
      </tp>
      <tp t="s">
        <v>#N/A N/A</v>
        <stp/>
        <stp>BDP|13340534007366937656</stp>
        <tr r="C309" s="2"/>
      </tp>
      <tp t="s">
        <v>#N/A N/A</v>
        <stp/>
        <stp>BDP|11332381410912557758</stp>
        <tr r="C167" s="2"/>
      </tp>
      <tp t="s">
        <v>#N/A N/A</v>
        <stp/>
        <stp>BDP|14670564812165152382</stp>
        <tr r="G1563" s="2"/>
      </tp>
      <tp t="s">
        <v>#N/A N/A</v>
        <stp/>
        <stp>BDP|10589119826960089595</stp>
        <tr r="Q1133" s="2"/>
      </tp>
      <tp t="s">
        <v>#N/A N/A</v>
        <stp/>
        <stp>BDP|17130036662090277797</stp>
        <tr r="G1665" s="2"/>
      </tp>
      <tp t="s">
        <v>#N/A N/A</v>
        <stp/>
        <stp>BDP|16478859292598896907</stp>
        <tr r="R636" s="2"/>
      </tp>
      <tp t="s">
        <v>#N/A N/A</v>
        <stp/>
        <stp>BDP|12706101154904957418</stp>
        <tr r="F482" s="2"/>
      </tp>
      <tp t="s">
        <v>#N/A N/A</v>
        <stp/>
        <stp>BDP|17743072978794061232</stp>
        <tr r="J1688" s="2"/>
      </tp>
      <tp t="s">
        <v>#N/A N/A</v>
        <stp/>
        <stp>BDS|12164008938024633379</stp>
        <tr r="I1043" s="2"/>
      </tp>
      <tp t="s">
        <v>#N/A N/A</v>
        <stp/>
        <stp>BDP|11654298536190687640</stp>
        <tr r="E976" s="2"/>
      </tp>
      <tp t="s">
        <v>#N/A N/A</v>
        <stp/>
        <stp>BDP|17443836898589418902</stp>
        <tr r="E1153" s="2"/>
      </tp>
      <tp t="s">
        <v>#N/A N/A</v>
        <stp/>
        <stp>BDP|14112056234228947925</stp>
        <tr r="C529" s="2"/>
      </tp>
      <tp t="s">
        <v>#N/A N/A</v>
        <stp/>
        <stp>BDP|12660743574541506584</stp>
        <tr r="D1000" s="2"/>
      </tp>
      <tp t="s">
        <v>#N/A N/A</v>
        <stp/>
        <stp>BDS|14479810986714860632</stp>
        <tr r="I692" s="2"/>
      </tp>
      <tp t="s">
        <v>#N/A N/A</v>
        <stp/>
        <stp>BDP|15269247831350464280</stp>
        <tr r="F528" s="2"/>
      </tp>
      <tp t="s">
        <v>#N/A N/A</v>
        <stp/>
        <stp>BDP|15256594450593789078</stp>
        <tr r="T515" s="2"/>
      </tp>
      <tp t="s">
        <v>#N/A N/A</v>
        <stp/>
        <stp>BDP|15757185427083292302</stp>
        <tr r="K914" s="2"/>
      </tp>
      <tp t="s">
        <v>#N/A N/A</v>
        <stp/>
        <stp>BDP|10104238355750975142</stp>
        <tr r="T883" s="2"/>
      </tp>
      <tp t="s">
        <v>#N/A N/A</v>
        <stp/>
        <stp>BDP|14447793147876060703</stp>
        <tr r="D546" s="2"/>
      </tp>
      <tp t="s">
        <v>#N/A N/A</v>
        <stp/>
        <stp>BDP|15530076988168153318</stp>
        <tr r="E760" s="2"/>
      </tp>
      <tp t="s">
        <v>#N/A N/A</v>
        <stp/>
        <stp>BDP|16325923094833948362</stp>
        <tr r="P236" s="2"/>
      </tp>
      <tp t="s">
        <v>#N/A N/A</v>
        <stp/>
        <stp>BDP|15185085419816898423</stp>
        <tr r="O1309" s="2"/>
      </tp>
      <tp t="s">
        <v>#N/A N/A</v>
        <stp/>
        <stp>BDP|10025299116976790325</stp>
        <tr r="D1396" s="2"/>
      </tp>
      <tp t="s">
        <v>#N/A N/A</v>
        <stp/>
        <stp>BDP|11518335398508757539</stp>
        <tr r="T41" s="2"/>
      </tp>
      <tp t="s">
        <v>#N/A N/A</v>
        <stp/>
        <stp>BDP|11781325872816987540</stp>
        <tr r="E1696" s="2"/>
      </tp>
      <tp t="s">
        <v>#N/A N/A</v>
        <stp/>
        <stp>BDP|12061051169727556538</stp>
        <tr r="T1207" s="2"/>
      </tp>
      <tp t="s">
        <v>#N/A N/A</v>
        <stp/>
        <stp>BDP|17686155681471173993</stp>
        <tr r="K1198" s="2"/>
      </tp>
      <tp t="s">
        <v>#N/A N/A</v>
        <stp/>
        <stp>BDP|12334050279625003658</stp>
        <tr r="P354" s="2"/>
      </tp>
      <tp t="s">
        <v>#N/A N/A</v>
        <stp/>
        <stp>BDP|16138382613714889683</stp>
        <tr r="D1263" s="2"/>
      </tp>
      <tp t="s">
        <v>#N/A N/A</v>
        <stp/>
        <stp>BDP|14630312278826561002</stp>
        <tr r="M536" s="2"/>
      </tp>
      <tp t="s">
        <v>#N/A N/A</v>
        <stp/>
        <stp>BDP|17798401426164359381</stp>
        <tr r="T1372" s="2"/>
      </tp>
      <tp t="s">
        <v>#N/A N/A</v>
        <stp/>
        <stp>BDP|12978522230781360329</stp>
        <tr r="K1382" s="2"/>
      </tp>
      <tp t="s">
        <v>#N/A N/A</v>
        <stp/>
        <stp>BDP|13195073364565022680</stp>
        <tr r="S648" s="2"/>
      </tp>
      <tp t="s">
        <v>#N/A N/A</v>
        <stp/>
        <stp>BDP|18064166998807373173</stp>
        <tr r="A1173" s="2"/>
      </tp>
      <tp t="s">
        <v>#N/A N/A</v>
        <stp/>
        <stp>BDP|16978458567443933184</stp>
        <tr r="J736" s="2"/>
      </tp>
      <tp t="s">
        <v>#N/A N/A</v>
        <stp/>
        <stp>BDP|16787468784908943461</stp>
        <tr r="T46" s="2"/>
      </tp>
      <tp t="s">
        <v>#N/A N/A</v>
        <stp/>
        <stp>BDP|12672005648386700632</stp>
        <tr r="E1425" s="2"/>
      </tp>
      <tp t="s">
        <v>#N/A N/A</v>
        <stp/>
        <stp>BDP|12205371940500772380</stp>
        <tr r="H492" s="2"/>
      </tp>
      <tp t="s">
        <v>#N/A N/A</v>
        <stp/>
        <stp>BDP|13118447440331627494</stp>
        <tr r="H1189" s="2"/>
      </tp>
      <tp t="s">
        <v>#N/A N/A</v>
        <stp/>
        <stp>BDP|14177322998080843892</stp>
        <tr r="G520" s="2"/>
      </tp>
      <tp t="s">
        <v>#N/A N/A</v>
        <stp/>
        <stp>BDP|15018957877115043880</stp>
        <tr r="J1445" s="2"/>
      </tp>
      <tp t="s">
        <v>#N/A N/A</v>
        <stp/>
        <stp>BDP|11158128622925947122</stp>
        <tr r="G381" s="2"/>
      </tp>
      <tp t="s">
        <v>#N/A N/A</v>
        <stp/>
        <stp>BDP|18114123386524961363</stp>
        <tr r="K115" s="2"/>
      </tp>
      <tp t="s">
        <v>#N/A N/A</v>
        <stp/>
        <stp>BDP|14853966895045988789</stp>
        <tr r="O542" s="2"/>
      </tp>
      <tp t="s">
        <v>#N/A N/A</v>
        <stp/>
        <stp>BDP|16573404597365906812</stp>
        <tr r="H1512" s="2"/>
      </tp>
      <tp t="s">
        <v>#N/A N/A</v>
        <stp/>
        <stp>BDP|17897218622273716260</stp>
        <tr r="Q615" s="2"/>
      </tp>
      <tp t="s">
        <v>#N/A N/A</v>
        <stp/>
        <stp>BDP|16979078317022491377</stp>
        <tr r="M228" s="2"/>
      </tp>
      <tp t="s">
        <v>#N/A N/A</v>
        <stp/>
        <stp>BDP|15670192495579648265</stp>
        <tr r="O536" s="2"/>
      </tp>
      <tp t="s">
        <v>#N/A N/A</v>
        <stp/>
        <stp>BDP|16237129608472382317</stp>
        <tr r="M747" s="2"/>
      </tp>
      <tp t="s">
        <v>#N/A N/A</v>
        <stp/>
        <stp>BDP|15221349727936914422</stp>
        <tr r="H1531" s="2"/>
      </tp>
      <tp t="s">
        <v>#N/A N/A</v>
        <stp/>
        <stp>BDP|15450582252682367177</stp>
        <tr r="R104" s="2"/>
      </tp>
      <tp t="s">
        <v>#N/A N/A</v>
        <stp/>
        <stp>BDP|17120000861111936630</stp>
        <tr r="O1708" s="2"/>
      </tp>
      <tp t="s">
        <v>#N/A N/A</v>
        <stp/>
        <stp>BDP|13632456965565864246</stp>
        <tr r="R649" s="2"/>
      </tp>
      <tp t="s">
        <v>#N/A N/A</v>
        <stp/>
        <stp>BDP|10688366723431999603</stp>
        <tr r="O91" s="2"/>
      </tp>
      <tp t="s">
        <v>#N/A N/A</v>
        <stp/>
        <stp>BDP|14824128205187588403</stp>
        <tr r="M169" s="2"/>
      </tp>
      <tp t="s">
        <v>#N/A N/A</v>
        <stp/>
        <stp>BDP|16359862886892068299</stp>
        <tr r="H186" s="2"/>
      </tp>
      <tp t="s">
        <v>#N/A N/A</v>
        <stp/>
        <stp>BDP|15867623871577157502</stp>
        <tr r="K676" s="2"/>
      </tp>
      <tp t="s">
        <v>#N/A N/A</v>
        <stp/>
        <stp>BDP|10597792495698024038</stp>
        <tr r="H622" s="2"/>
      </tp>
      <tp t="s">
        <v>#N/A N/A</v>
        <stp/>
        <stp>BDP|13840973106435508964</stp>
        <tr r="D94" s="2"/>
      </tp>
      <tp t="s">
        <v>#N/A N/A</v>
        <stp/>
        <stp>BDP|17725707849727615524</stp>
        <tr r="O641" s="2"/>
      </tp>
      <tp t="s">
        <v>#N/A N/A</v>
        <stp/>
        <stp>BDP|17558686472767745726</stp>
        <tr r="R96" s="2"/>
      </tp>
      <tp t="s">
        <v>#N/A N/A</v>
        <stp/>
        <stp>BDP|10546872828465046900</stp>
        <tr r="P407" s="2"/>
      </tp>
      <tp t="s">
        <v>#N/A N/A</v>
        <stp/>
        <stp>BDP|15408820787034334785</stp>
        <tr r="A693" s="2"/>
      </tp>
      <tp t="s">
        <v>#N/A N/A</v>
        <stp/>
        <stp>BDP|16459094406377554742</stp>
        <tr r="J738" s="2"/>
      </tp>
      <tp t="s">
        <v>#N/A N/A</v>
        <stp/>
        <stp>BDP|12900450106006018604</stp>
        <tr r="K1745" s="2"/>
      </tp>
      <tp t="s">
        <v>#N/A N/A</v>
        <stp/>
        <stp>BDS|13732432642572717780</stp>
        <tr r="I635" s="2"/>
      </tp>
      <tp t="s">
        <v>#N/A N/A</v>
        <stp/>
        <stp>BDP|10162869138859776425</stp>
        <tr r="N1120" s="2"/>
      </tp>
      <tp t="s">
        <v>#N/A N/A</v>
        <stp/>
        <stp>BDP|10791953771949162180</stp>
        <tr r="F725" s="2"/>
      </tp>
      <tp t="s">
        <v>#N/A N/A</v>
        <stp/>
        <stp>BDP|14495017539962515333</stp>
        <tr r="C1544" s="2"/>
      </tp>
      <tp t="s">
        <v>#N/A N/A</v>
        <stp/>
        <stp>BDP|10237592682089304205</stp>
        <tr r="Q664" s="2"/>
      </tp>
      <tp t="s">
        <v>#N/A N/A</v>
        <stp/>
        <stp>BDP|15050950839689249043</stp>
        <tr r="T1666" s="2"/>
      </tp>
      <tp t="s">
        <v>#N/A N/A</v>
        <stp/>
        <stp>BDP|11910895787035382297</stp>
        <tr r="J887" s="2"/>
      </tp>
      <tp t="s">
        <v>#N/A N/A</v>
        <stp/>
        <stp>BDP|16916938307769863083</stp>
        <tr r="R1595" s="2"/>
      </tp>
      <tp t="s">
        <v>#N/A N/A</v>
        <stp/>
        <stp>BDP|18145598174559763564</stp>
        <tr r="N374" s="2"/>
      </tp>
      <tp t="s">
        <v>#N/A N/A</v>
        <stp/>
        <stp>BDP|13239285435276496267</stp>
        <tr r="N1706" s="2"/>
      </tp>
      <tp t="s">
        <v>#N/A N/A</v>
        <stp/>
        <stp>BDP|12367618908436188468</stp>
        <tr r="P1010" s="2"/>
      </tp>
      <tp t="s">
        <v>#N/A N/A</v>
        <stp/>
        <stp>BDP|11979269732284259220</stp>
        <tr r="H1456" s="2"/>
      </tp>
      <tp t="s">
        <v>#N/A N/A</v>
        <stp/>
        <stp>BDP|12036911838269501719</stp>
        <tr r="H701" s="2"/>
      </tp>
      <tp t="s">
        <v>#N/A N/A</v>
        <stp/>
        <stp>BDP|13899317273384153561</stp>
        <tr r="O915" s="2"/>
      </tp>
      <tp t="s">
        <v>#N/A N/A</v>
        <stp/>
        <stp>BDP|13285553178361075627</stp>
        <tr r="E61" s="2"/>
      </tp>
      <tp t="s">
        <v>#N/A N/A</v>
        <stp/>
        <stp>BDP|14159699992219521424</stp>
        <tr r="R1071" s="2"/>
      </tp>
      <tp t="s">
        <v>#N/A N/A</v>
        <stp/>
        <stp>BDP|11397982192545050243</stp>
        <tr r="E108" s="2"/>
      </tp>
      <tp t="s">
        <v>#N/A N/A</v>
        <stp/>
        <stp>BDP|17063914589908316865</stp>
        <tr r="R91" s="2"/>
      </tp>
      <tp t="s">
        <v>#N/A N/A</v>
        <stp/>
        <stp>BDS|10170290127186618079</stp>
        <tr r="I1167" s="2"/>
      </tp>
      <tp t="s">
        <v>#N/A N/A</v>
        <stp/>
        <stp>BDP|13708492120032048138</stp>
        <tr r="K1327" s="2"/>
      </tp>
      <tp t="s">
        <v>#N/A N/A</v>
        <stp/>
        <stp>BDP|14406434051936289598</stp>
        <tr r="J147" s="2"/>
      </tp>
      <tp t="s">
        <v>#N/A N/A</v>
        <stp/>
        <stp>BDP|17958199315130156195</stp>
        <tr r="N1373" s="2"/>
      </tp>
      <tp t="s">
        <v>#N/A N/A</v>
        <stp/>
        <stp>BDP|11352403372100428488</stp>
        <tr r="A1709" s="2"/>
      </tp>
      <tp t="s">
        <v>#N/A N/A</v>
        <stp/>
        <stp>BDP|12688669894018947308</stp>
        <tr r="C182" s="2"/>
      </tp>
      <tp t="s">
        <v>#N/A N/A</v>
        <stp/>
        <stp>BDP|10641259565414318684</stp>
        <tr r="H1118" s="2"/>
      </tp>
      <tp t="s">
        <v>#N/A N/A</v>
        <stp/>
        <stp>BDP|16917300400021193254</stp>
        <tr r="P1723" s="2"/>
      </tp>
      <tp t="s">
        <v>#N/A N/A</v>
        <stp/>
        <stp>BDP|14076856112328909331</stp>
        <tr r="N1192" s="2"/>
      </tp>
      <tp t="s">
        <v>#N/A N/A</v>
        <stp/>
        <stp>BDP|14999336973476408008</stp>
        <tr r="M80" s="2"/>
      </tp>
      <tp t="s">
        <v>#N/A N/A</v>
        <stp/>
        <stp>BDP|13727671744165021293</stp>
        <tr r="C217" s="2"/>
      </tp>
      <tp t="s">
        <v>#N/A N/A</v>
        <stp/>
        <stp>BDP|10004768090049926129</stp>
        <tr r="J1730" s="2"/>
      </tp>
      <tp t="s">
        <v>#N/A N/A</v>
        <stp/>
        <stp>BDP|11232225134363873511</stp>
        <tr r="S158" s="2"/>
      </tp>
      <tp t="s">
        <v>#N/A N/A</v>
        <stp/>
        <stp>BDP|12323533669305114250</stp>
        <tr r="E1633" s="2"/>
      </tp>
      <tp t="s">
        <v>#N/A N/A</v>
        <stp/>
        <stp>BDP|16047387272216677215</stp>
        <tr r="A1122" s="2"/>
      </tp>
      <tp t="s">
        <v>#N/A N/A</v>
        <stp/>
        <stp>BDP|16953226673053509601</stp>
        <tr r="C1594" s="2"/>
      </tp>
      <tp t="s">
        <v>#N/A N/A</v>
        <stp/>
        <stp>BDP|14455687000043620772</stp>
        <tr r="Q854" s="2"/>
      </tp>
      <tp t="s">
        <v>#N/A N/A</v>
        <stp/>
        <stp>BDP|13516329755953837070</stp>
        <tr r="C1474" s="2"/>
      </tp>
      <tp t="s">
        <v>#N/A N/A</v>
        <stp/>
        <stp>BDP|10858387973067935573</stp>
        <tr r="F734" s="2"/>
      </tp>
      <tp t="s">
        <v>#N/A N/A</v>
        <stp/>
        <stp>BDP|12460534649665272011</stp>
        <tr r="J1580" s="2"/>
      </tp>
      <tp t="s">
        <v>#N/A N/A</v>
        <stp/>
        <stp>BDP|12223674842321261782</stp>
        <tr r="T1008" s="2"/>
      </tp>
      <tp t="s">
        <v>#N/A N/A</v>
        <stp/>
        <stp>BDP|13765883191550665457</stp>
        <tr r="M123" s="2"/>
      </tp>
      <tp t="s">
        <v>#N/A N/A</v>
        <stp/>
        <stp>BDP|10580780726975410621</stp>
        <tr r="J1085" s="2"/>
      </tp>
      <tp t="s">
        <v>#N/A N/A</v>
        <stp/>
        <stp>BDP|14624760658369467916</stp>
        <tr r="D9" s="2"/>
      </tp>
      <tp t="s">
        <v>#N/A N/A</v>
        <stp/>
        <stp>BDP|11949764477507306065</stp>
        <tr r="H945" s="2"/>
      </tp>
      <tp t="s">
        <v>#N/A N/A</v>
        <stp/>
        <stp>BDP|18416519349996818990</stp>
        <tr r="D949" s="2"/>
      </tp>
      <tp t="s">
        <v>#N/A N/A</v>
        <stp/>
        <stp>BDP|17096309347706923035</stp>
        <tr r="S492" s="2"/>
      </tp>
      <tp t="s">
        <v>#N/A N/A</v>
        <stp/>
        <stp>BDP|15425910588602850081</stp>
        <tr r="P1008" s="2"/>
      </tp>
      <tp t="s">
        <v>#N/A N/A</v>
        <stp/>
        <stp>BDP|12696447410260639198</stp>
        <tr r="D37" s="2"/>
      </tp>
      <tp t="s">
        <v>#N/A N/A</v>
        <stp/>
        <stp>BDP|10930571097382154853</stp>
        <tr r="E1567" s="2"/>
      </tp>
      <tp t="s">
        <v>#N/A N/A</v>
        <stp/>
        <stp>BDP|17339123018131112057</stp>
        <tr r="M391" s="2"/>
      </tp>
      <tp t="s">
        <v>#N/A N/A</v>
        <stp/>
        <stp>BDP|16262084223671723331</stp>
        <tr r="D1595" s="2"/>
      </tp>
      <tp t="s">
        <v>#N/A N/A</v>
        <stp/>
        <stp>BDP|15002985444988239638</stp>
        <tr r="C962" s="2"/>
      </tp>
      <tp t="s">
        <v>#N/A N/A</v>
        <stp/>
        <stp>BDP|17904012454442265637</stp>
        <tr r="R432" s="2"/>
      </tp>
      <tp t="s">
        <v>#N/A N/A</v>
        <stp/>
        <stp>BDP|11734444676187929313</stp>
        <tr r="E116" s="2"/>
      </tp>
      <tp t="s">
        <v>#N/A N/A</v>
        <stp/>
        <stp>BDP|12259078378867308433</stp>
        <tr r="E1452" s="2"/>
      </tp>
      <tp t="s">
        <v>#N/A N/A</v>
        <stp/>
        <stp>BDP|17993172480628391002</stp>
        <tr r="N1178" s="2"/>
      </tp>
      <tp t="s">
        <v>#N/A N/A</v>
        <stp/>
        <stp>BDP|10720249663114597686</stp>
        <tr r="J509" s="2"/>
      </tp>
      <tp t="s">
        <v>#N/A N/A</v>
        <stp/>
        <stp>BDP|16372071498830398923</stp>
        <tr r="Q1028" s="2"/>
      </tp>
      <tp t="s">
        <v>#N/A N/A</v>
        <stp/>
        <stp>BDP|14062303031553508194</stp>
        <tr r="F382" s="2"/>
      </tp>
      <tp t="s">
        <v>#N/A N/A</v>
        <stp/>
        <stp>BDS|17300152969696378027</stp>
        <tr r="I1393" s="2"/>
      </tp>
      <tp t="s">
        <v>#N/A N/A</v>
        <stp/>
        <stp>BDP|11686250834765822329</stp>
        <tr r="T1287" s="2"/>
      </tp>
      <tp t="s">
        <v>#N/A N/A</v>
        <stp/>
        <stp>BDP|15951138359957947074</stp>
        <tr r="H486" s="2"/>
      </tp>
      <tp t="s">
        <v>#N/A N/A</v>
        <stp/>
        <stp>BDP|17461483124450337766</stp>
        <tr r="A1080" s="2"/>
      </tp>
      <tp t="s">
        <v>#N/A N/A</v>
        <stp/>
        <stp>BDP|11516309028804688273</stp>
        <tr r="C1143" s="2"/>
      </tp>
      <tp t="s">
        <v>#N/A N/A</v>
        <stp/>
        <stp>BDP|12965616760154393073</stp>
        <tr r="G1678" s="2"/>
      </tp>
      <tp t="s">
        <v>#N/A N/A</v>
        <stp/>
        <stp>BDP|14908460883967650967</stp>
        <tr r="O491" s="2"/>
      </tp>
      <tp t="s">
        <v>#N/A N/A</v>
        <stp/>
        <stp>BDP|15928017861374195144</stp>
        <tr r="C442" s="2"/>
      </tp>
      <tp t="s">
        <v>#N/A N/A</v>
        <stp/>
        <stp>BDP|17595716438694171114</stp>
        <tr r="H1501" s="2"/>
      </tp>
      <tp t="s">
        <v>#N/A N/A</v>
        <stp/>
        <stp>BDP|14019408964648009886</stp>
        <tr r="M1305" s="2"/>
      </tp>
      <tp t="s">
        <v>#N/A N/A</v>
        <stp/>
        <stp>BDP|11114676965120860779</stp>
        <tr r="D1008" s="2"/>
      </tp>
      <tp t="s">
        <v>#N/A N/A</v>
        <stp/>
        <stp>BDP|12998230637211541446</stp>
        <tr r="G997" s="2"/>
      </tp>
      <tp t="s">
        <v>#N/A N/A</v>
        <stp/>
        <stp>BDP|14619859839291271844</stp>
        <tr r="R1634" s="2"/>
      </tp>
      <tp t="s">
        <v>#N/A N/A</v>
        <stp/>
        <stp>BDP|16138075606563430389</stp>
        <tr r="F1021" s="2"/>
      </tp>
      <tp t="s">
        <v>#N/A N/A</v>
        <stp/>
        <stp>BDP|16590196671384876292</stp>
        <tr r="S340" s="2"/>
      </tp>
      <tp t="s">
        <v>#N/A N/A</v>
        <stp/>
        <stp>BDP|12889262859691362283</stp>
        <tr r="K486" s="2"/>
      </tp>
      <tp t="s">
        <v>#N/A N/A</v>
        <stp/>
        <stp>BDP|14456592631690883480</stp>
        <tr r="P1636" s="2"/>
      </tp>
      <tp t="s">
        <v>#N/A N/A</v>
        <stp/>
        <stp>BDP|10511301326991758685</stp>
        <tr r="T192" s="2"/>
      </tp>
      <tp t="s">
        <v>#N/A N/A</v>
        <stp/>
        <stp>BDP|12647114239054393210</stp>
        <tr r="O5" s="2"/>
      </tp>
      <tp t="s">
        <v>#N/A N/A</v>
        <stp/>
        <stp>BDP|10808629257774520144</stp>
        <tr r="F710" s="2"/>
      </tp>
      <tp t="s">
        <v>#N/A N/A</v>
        <stp/>
        <stp>BDP|15452016545980440786</stp>
        <tr r="M21" s="2"/>
      </tp>
      <tp t="s">
        <v>#N/A N/A</v>
        <stp/>
        <stp>BDP|17009598600083769726</stp>
        <tr r="N1352" s="2"/>
      </tp>
      <tp t="s">
        <v>#N/A N/A</v>
        <stp/>
        <stp>BDP|15973479545781334242</stp>
        <tr r="C1616" s="2"/>
      </tp>
      <tp t="s">
        <v>#N/A N/A</v>
        <stp/>
        <stp>BDP|11758099160901559078</stp>
        <tr r="D1323" s="2"/>
      </tp>
      <tp t="s">
        <v>#N/A N/A</v>
        <stp/>
        <stp>BDP|12856502344367499242</stp>
        <tr r="F1174" s="2"/>
      </tp>
      <tp t="s">
        <v>#N/A N/A</v>
        <stp/>
        <stp>BDP|17001238238051653112</stp>
        <tr r="E253" s="2"/>
      </tp>
      <tp t="s">
        <v>#N/A N/A</v>
        <stp/>
        <stp>BDP|15613156866864849014</stp>
        <tr r="H670" s="2"/>
      </tp>
      <tp t="s">
        <v>#N/A N/A</v>
        <stp/>
        <stp>BDP|12278163939970520640</stp>
        <tr r="K586" s="2"/>
      </tp>
      <tp t="s">
        <v>#N/A N/A</v>
        <stp/>
        <stp>BDP|15399725222566720086</stp>
        <tr r="O831" s="2"/>
      </tp>
      <tp t="s">
        <v>#N/A N/A</v>
        <stp/>
        <stp>BDP|17666083870401242708</stp>
        <tr r="R1643" s="2"/>
      </tp>
      <tp t="s">
        <v>#N/A N/A</v>
        <stp/>
        <stp>BDP|11933138260214279443</stp>
        <tr r="D301" s="2"/>
      </tp>
      <tp t="s">
        <v>#N/A N/A</v>
        <stp/>
        <stp>BDP|11733222032476882030</stp>
        <tr r="P725" s="2"/>
      </tp>
      <tp t="s">
        <v>#N/A N/A</v>
        <stp/>
        <stp>BDS|13379790846290695650</stp>
        <tr r="I343" s="2"/>
      </tp>
      <tp t="s">
        <v>#N/A N/A</v>
        <stp/>
        <stp>BDP|11954302451642350378</stp>
        <tr r="J587" s="2"/>
      </tp>
      <tp t="s">
        <v>#N/A N/A</v>
        <stp/>
        <stp>BDP|14994550570507332733</stp>
        <tr r="J525" s="2"/>
      </tp>
      <tp t="s">
        <v>#N/A N/A</v>
        <stp/>
        <stp>BDP|14172022564483812733</stp>
        <tr r="P896" s="2"/>
      </tp>
      <tp t="s">
        <v>#N/A N/A</v>
        <stp/>
        <stp>BDP|13952425290788028076</stp>
        <tr r="C648" s="2"/>
      </tp>
      <tp t="s">
        <v>#N/A N/A</v>
        <stp/>
        <stp>BDP|15841931582672183048</stp>
        <tr r="E358" s="2"/>
      </tp>
      <tp t="s">
        <v>#N/A N/A</v>
        <stp/>
        <stp>BDP|13502640175436836205</stp>
        <tr r="F1114" s="2"/>
      </tp>
      <tp t="s">
        <v>#N/A N/A</v>
        <stp/>
        <stp>BDP|13181104416815954023</stp>
        <tr r="K446" s="2"/>
      </tp>
      <tp t="s">
        <v>#N/A N/A</v>
        <stp/>
        <stp>BDP|10071483635082720367</stp>
        <tr r="E1303" s="2"/>
      </tp>
      <tp t="s">
        <v>#N/A N/A</v>
        <stp/>
        <stp>BDP|10582983899636051089</stp>
        <tr r="Q557" s="2"/>
      </tp>
      <tp t="s">
        <v>#N/A N/A</v>
        <stp/>
        <stp>BDP|17418463129725113265</stp>
        <tr r="S1422" s="2"/>
      </tp>
      <tp t="s">
        <v>#N/A N/A</v>
        <stp/>
        <stp>BDP|15812714084374603877</stp>
        <tr r="J279" s="2"/>
      </tp>
      <tp t="s">
        <v>#N/A N/A</v>
        <stp/>
        <stp>BDP|13459368616077159099</stp>
        <tr r="Q975" s="2"/>
      </tp>
      <tp t="s">
        <v>#N/A N/A</v>
        <stp/>
        <stp>BDP|16415942081067932641</stp>
        <tr r="O1607" s="2"/>
      </tp>
      <tp t="s">
        <v>#N/A N/A</v>
        <stp/>
        <stp>BDP|13894625735162397205</stp>
        <tr r="A36" s="2"/>
      </tp>
      <tp t="s">
        <v>#N/A N/A</v>
        <stp/>
        <stp>BDP|17717231832503208385</stp>
        <tr r="E1291" s="2"/>
      </tp>
      <tp t="s">
        <v>#N/A N/A</v>
        <stp/>
        <stp>BDP|15159550249260860296</stp>
        <tr r="C1607" s="2"/>
      </tp>
      <tp t="s">
        <v>#N/A N/A</v>
        <stp/>
        <stp>BDP|10282865251062129988</stp>
        <tr r="D125" s="2"/>
      </tp>
      <tp t="s">
        <v>#N/A N/A</v>
        <stp/>
        <stp>BDP|17345430805561875411</stp>
        <tr r="K774" s="2"/>
      </tp>
      <tp t="s">
        <v>#N/A N/A</v>
        <stp/>
        <stp>BDP|12964613552187760015</stp>
        <tr r="G904" s="2"/>
      </tp>
      <tp t="s">
        <v>#N/A N/A</v>
        <stp/>
        <stp>BDP|17442108999960315923</stp>
        <tr r="D384" s="2"/>
      </tp>
      <tp t="s">
        <v>#N/A N/A</v>
        <stp/>
        <stp>BDP|15269667273434243696</stp>
        <tr r="N644" s="2"/>
      </tp>
      <tp t="s">
        <v>#N/A N/A</v>
        <stp/>
        <stp>BDP|15431436607564854342</stp>
        <tr r="Q1473" s="2"/>
      </tp>
      <tp t="s">
        <v>#N/A N/A</v>
        <stp/>
        <stp>BDS|16962024534052206125</stp>
        <tr r="I995" s="2"/>
      </tp>
      <tp t="s">
        <v>#N/A N/A</v>
        <stp/>
        <stp>BDP|14879178635917339752</stp>
        <tr r="D995" s="2"/>
      </tp>
      <tp t="s">
        <v>#N/A N/A</v>
        <stp/>
        <stp>BDP|10230139199249797736</stp>
        <tr r="S1535" s="2"/>
      </tp>
      <tp t="s">
        <v>#N/A N/A</v>
        <stp/>
        <stp>BDP|16626866817971290892</stp>
        <tr r="R191" s="2"/>
      </tp>
      <tp t="s">
        <v>#N/A N/A</v>
        <stp/>
        <stp>BDP|14876600686799611547</stp>
        <tr r="H1507" s="2"/>
      </tp>
      <tp t="s">
        <v>#N/A N/A</v>
        <stp/>
        <stp>BDP|11020860208626643946</stp>
        <tr r="R1521" s="2"/>
      </tp>
      <tp t="s">
        <v>#N/A N/A</v>
        <stp/>
        <stp>BDP|11402600021102141183</stp>
        <tr r="H1011" s="2"/>
      </tp>
      <tp t="s">
        <v>#N/A N/A</v>
        <stp/>
        <stp>BDP|10236047210531946630</stp>
        <tr r="C1482" s="2"/>
      </tp>
      <tp t="s">
        <v>#N/A N/A</v>
        <stp/>
        <stp>BDP|13955134764101622347</stp>
        <tr r="R1206" s="2"/>
      </tp>
      <tp t="s">
        <v>#N/A N/A</v>
        <stp/>
        <stp>BDP|17622494879085910732</stp>
        <tr r="C465" s="2"/>
      </tp>
      <tp t="s">
        <v>#N/A N/A</v>
        <stp/>
        <stp>BDP|17383149784981650999</stp>
        <tr r="S1472" s="2"/>
      </tp>
      <tp t="s">
        <v>#N/A N/A</v>
        <stp/>
        <stp>BDP|17870204058594927250</stp>
        <tr r="E902" s="2"/>
      </tp>
      <tp t="s">
        <v>#N/A N/A</v>
        <stp/>
        <stp>BDP|12220481893541034851</stp>
        <tr r="E345" s="2"/>
      </tp>
      <tp t="s">
        <v>#N/A N/A</v>
        <stp/>
        <stp>BDP|10547023232596117387</stp>
        <tr r="G1746" s="2"/>
      </tp>
      <tp t="s">
        <v>#N/A N/A</v>
        <stp/>
        <stp>BDP|12068637017064835706</stp>
        <tr r="F1487" s="2"/>
      </tp>
      <tp t="s">
        <v>#N/A N/A</v>
        <stp/>
        <stp>BDP|15173108990308811359</stp>
        <tr r="K1257" s="2"/>
      </tp>
      <tp t="s">
        <v>#N/A N/A</v>
        <stp/>
        <stp>BDP|17618242815044970620</stp>
        <tr r="C274" s="2"/>
      </tp>
      <tp t="s">
        <v>#N/A N/A</v>
        <stp/>
        <stp>BDS|16071863798511400055</stp>
        <tr r="I1306" s="2"/>
      </tp>
      <tp t="s">
        <v>#N/A N/A</v>
        <stp/>
        <stp>BDP|10523331758274122437</stp>
        <tr r="J1200" s="2"/>
      </tp>
      <tp t="s">
        <v>#N/A N/A</v>
        <stp/>
        <stp>BDP|15878014909864997756</stp>
        <tr r="P1464" s="2"/>
      </tp>
      <tp t="s">
        <v>#N/A N/A</v>
        <stp/>
        <stp>BDP|10668165689657791817</stp>
        <tr r="T930" s="2"/>
      </tp>
      <tp t="s">
        <v>#N/A N/A</v>
        <stp/>
        <stp>BDP|14835415376531392031</stp>
        <tr r="E958" s="2"/>
      </tp>
      <tp t="s">
        <v>#N/A N/A</v>
        <stp/>
        <stp>BDP|17964313084933447973</stp>
        <tr r="J593" s="2"/>
      </tp>
      <tp t="s">
        <v>#N/A N/A</v>
        <stp/>
        <stp>BDP|14312218354760124587</stp>
        <tr r="D1737" s="2"/>
      </tp>
      <tp t="s">
        <v>#N/A N/A</v>
        <stp/>
        <stp>BDP|16487320222826996723</stp>
        <tr r="H1666" s="2"/>
      </tp>
      <tp t="s">
        <v>#N/A N/A</v>
        <stp/>
        <stp>BDS|12545227254034727788</stp>
        <tr r="I1218" s="2"/>
      </tp>
      <tp t="s">
        <v>#N/A N/A</v>
        <stp/>
        <stp>BDP|14998606593964389967</stp>
        <tr r="T140" s="2"/>
      </tp>
      <tp t="s">
        <v>#N/A N/A</v>
        <stp/>
        <stp>BDP|18189319196671086597</stp>
        <tr r="J1023" s="2"/>
      </tp>
      <tp t="s">
        <v>#N/A N/A</v>
        <stp/>
        <stp>BDP|10565400799733789841</stp>
        <tr r="T48" s="2"/>
      </tp>
      <tp t="s">
        <v>#N/A N/A</v>
        <stp/>
        <stp>BDP|10879556966794488106</stp>
        <tr r="K1019" s="2"/>
      </tp>
      <tp t="s">
        <v>#N/A N/A</v>
        <stp/>
        <stp>BDP|17057409070737921566</stp>
        <tr r="F609" s="2"/>
      </tp>
      <tp t="s">
        <v>#N/A N/A</v>
        <stp/>
        <stp>BDP|11915055267963106252</stp>
        <tr r="Q1687" s="2"/>
      </tp>
      <tp t="s">
        <v>#N/A N/A</v>
        <stp/>
        <stp>BDP|15106299566424906382</stp>
        <tr r="R1098" s="2"/>
      </tp>
      <tp t="s">
        <v>#N/A N/A</v>
        <stp/>
        <stp>BDP|15953938225350365837</stp>
        <tr r="J312" s="2"/>
      </tp>
      <tp t="s">
        <v>#N/A N/A</v>
        <stp/>
        <stp>BDP|15358746400497116399</stp>
        <tr r="C1599" s="2"/>
      </tp>
      <tp t="s">
        <v>#N/A N/A</v>
        <stp/>
        <stp>BDP|14257581396488471679</stp>
        <tr r="P737" s="2"/>
      </tp>
      <tp t="s">
        <v>#N/A N/A</v>
        <stp/>
        <stp>BDP|12978451537942766137</stp>
        <tr r="R1233" s="2"/>
      </tp>
      <tp t="s">
        <v>#N/A N/A</v>
        <stp/>
        <stp>BDP|17417709075698821962</stp>
        <tr r="D1554" s="2"/>
      </tp>
      <tp t="s">
        <v>#N/A N/A</v>
        <stp/>
        <stp>BDP|12058485720137489537</stp>
        <tr r="S1299" s="2"/>
      </tp>
      <tp t="s">
        <v>#N/A N/A</v>
        <stp/>
        <stp>BDS|11239478118696077414</stp>
        <tr r="I984" s="2"/>
      </tp>
      <tp t="s">
        <v>#N/A N/A</v>
        <stp/>
        <stp>BDP|11921118730891182467</stp>
        <tr r="N1246" s="2"/>
      </tp>
      <tp t="s">
        <v>#N/A N/A</v>
        <stp/>
        <stp>BDP|12296570602649115893</stp>
        <tr r="T877" s="2"/>
      </tp>
      <tp t="s">
        <v>#N/A N/A</v>
        <stp/>
        <stp>BDP|13691166526974085292</stp>
        <tr r="A1620" s="2"/>
      </tp>
      <tp t="s">
        <v>#N/A N/A</v>
        <stp/>
        <stp>BDP|10541551570877663397</stp>
        <tr r="Q403" s="2"/>
      </tp>
      <tp t="s">
        <v>#N/A N/A</v>
        <stp/>
        <stp>BDP|16195095400031310141</stp>
        <tr r="F843" s="2"/>
      </tp>
      <tp t="s">
        <v>#N/A N/A</v>
        <stp/>
        <stp>BDP|16334617056116297590</stp>
        <tr r="E684" s="2"/>
      </tp>
      <tp t="s">
        <v>#N/A N/A</v>
        <stp/>
        <stp>BDP|15526064807772324180</stp>
        <tr r="D625" s="2"/>
      </tp>
      <tp t="s">
        <v>#N/A N/A</v>
        <stp/>
        <stp>BDP|10428249909866409220</stp>
        <tr r="H326" s="2"/>
      </tp>
      <tp t="s">
        <v>#N/A N/A</v>
        <stp/>
        <stp>BDP|17112455957377967752</stp>
        <tr r="P1522" s="2"/>
      </tp>
      <tp t="s">
        <v>#N/A N/A</v>
        <stp/>
        <stp>BDP|14932209042975441104</stp>
        <tr r="R567" s="2"/>
      </tp>
      <tp t="s">
        <v>#N/A N/A</v>
        <stp/>
        <stp>BDP|10983425620267592715</stp>
        <tr r="P818" s="2"/>
      </tp>
      <tp t="s">
        <v>#N/A N/A</v>
        <stp/>
        <stp>BDP|10100410021727921776</stp>
        <tr r="O959" s="2"/>
      </tp>
      <tp t="s">
        <v>#N/A N/A</v>
        <stp/>
        <stp>BDP|10808741922502633174</stp>
        <tr r="K467" s="2"/>
      </tp>
      <tp t="s">
        <v>#N/A N/A</v>
        <stp/>
        <stp>BDP|13693028829316782158</stp>
        <tr r="T1590" s="2"/>
      </tp>
      <tp t="s">
        <v>#N/A N/A</v>
        <stp/>
        <stp>BDP|16402732955094969646</stp>
        <tr r="T1733" s="2"/>
      </tp>
      <tp t="s">
        <v>#N/A N/A</v>
        <stp/>
        <stp>BDS|12225161966134954775</stp>
        <tr r="I1233" s="2"/>
      </tp>
      <tp t="s">
        <v>#N/A N/A</v>
        <stp/>
        <stp>BDP|10912316142894580505</stp>
        <tr r="E39" s="2"/>
      </tp>
      <tp t="s">
        <v>#N/A N/A</v>
        <stp/>
        <stp>BDP|11062389814810168523</stp>
        <tr r="C160" s="2"/>
      </tp>
      <tp t="s">
        <v>#N/A N/A</v>
        <stp/>
        <stp>BDP|12128917493462524692</stp>
        <tr r="O154" s="2"/>
      </tp>
      <tp t="s">
        <v>#N/A N/A</v>
        <stp/>
        <stp>BDP|15939270303581109037</stp>
        <tr r="G567" s="2"/>
      </tp>
      <tp t="s">
        <v>#N/A N/A</v>
        <stp/>
        <stp>BDP|10132169061407861619</stp>
        <tr r="G1181" s="2"/>
      </tp>
      <tp t="s">
        <v>#N/A N/A</v>
        <stp/>
        <stp>BDP|15770587041010133202</stp>
        <tr r="N528" s="2"/>
      </tp>
      <tp t="s">
        <v>#N/A N/A</v>
        <stp/>
        <stp>BDS|16178892992538448924</stp>
        <tr r="I802" s="2"/>
      </tp>
      <tp t="s">
        <v>#N/A N/A</v>
        <stp/>
        <stp>BDP|13355383952637458425</stp>
        <tr r="O719" s="2"/>
      </tp>
      <tp t="s">
        <v>#N/A N/A</v>
        <stp/>
        <stp>BDP|15701036642386000192</stp>
        <tr r="C169" s="2"/>
      </tp>
      <tp t="s">
        <v>#N/A N/A</v>
        <stp/>
        <stp>BDP|12867021577781252202</stp>
        <tr r="M1524" s="2"/>
      </tp>
      <tp t="s">
        <v>#N/A N/A</v>
        <stp/>
        <stp>BDP|17227396737974732549</stp>
        <tr r="E961" s="2"/>
      </tp>
      <tp t="s">
        <v>#N/A N/A</v>
        <stp/>
        <stp>BDP|15798568749416028470</stp>
        <tr r="D765" s="2"/>
      </tp>
      <tp t="s">
        <v>#N/A N/A</v>
        <stp/>
        <stp>BDS|13171402404758150980</stp>
        <tr r="I1426" s="2"/>
      </tp>
      <tp t="s">
        <v>#N/A N/A</v>
        <stp/>
        <stp>BDP|16496278634534170594</stp>
        <tr r="G1692" s="2"/>
      </tp>
      <tp t="s">
        <v>#N/A N/A</v>
        <stp/>
        <stp>BDP|14861566801932778579</stp>
        <tr r="R815" s="2"/>
      </tp>
      <tp t="s">
        <v>#N/A N/A</v>
        <stp/>
        <stp>BDP|13911217662555748421</stp>
        <tr r="F1326" s="2"/>
      </tp>
      <tp t="s">
        <v>#N/A N/A</v>
        <stp/>
        <stp>BDP|17152155037224434787</stp>
        <tr r="S696" s="2"/>
      </tp>
      <tp t="s">
        <v>#N/A N/A</v>
        <stp/>
        <stp>BDP|14562328353852922622</stp>
        <tr r="N1363" s="2"/>
      </tp>
      <tp t="s">
        <v>#N/A N/A</v>
        <stp/>
        <stp>BDP|17517753537512935712</stp>
        <tr r="Q1697" s="2"/>
      </tp>
      <tp t="s">
        <v>#N/A N/A</v>
        <stp/>
        <stp>BDP|10953144947621125240</stp>
        <tr r="C1444" s="2"/>
      </tp>
      <tp t="s">
        <v>#N/A N/A</v>
        <stp/>
        <stp>BDP|16178843531573201894</stp>
        <tr r="R1605" s="2"/>
      </tp>
      <tp t="s">
        <v>#N/A N/A</v>
        <stp/>
        <stp>BDP|14726162867613800612</stp>
        <tr r="A147" s="2"/>
      </tp>
      <tp t="s">
        <v>#N/A N/A</v>
        <stp/>
        <stp>BDP|14922063670283457642</stp>
        <tr r="J1226" s="2"/>
      </tp>
      <tp t="s">
        <v>#N/A N/A</v>
        <stp/>
        <stp>BDP|12975966922187671843</stp>
        <tr r="P563" s="2"/>
      </tp>
      <tp t="s">
        <v>#N/A N/A</v>
        <stp/>
        <stp>BDP|10721812516917848867</stp>
        <tr r="K1077" s="2"/>
      </tp>
      <tp t="s">
        <v>#N/A N/A</v>
        <stp/>
        <stp>BDP|16103048583078078085</stp>
        <tr r="Q960" s="2"/>
      </tp>
      <tp t="s">
        <v>#N/A N/A</v>
        <stp/>
        <stp>BDP|14034013148766585025</stp>
        <tr r="E1526" s="2"/>
      </tp>
      <tp t="s">
        <v>#N/A N/A</v>
        <stp/>
        <stp>BDP|13825503040806198279</stp>
        <tr r="R323" s="2"/>
      </tp>
      <tp t="s">
        <v>#N/A N/A</v>
        <stp/>
        <stp>BDP|16683761904626947132</stp>
        <tr r="Q1130" s="2"/>
      </tp>
      <tp t="s">
        <v>#N/A N/A</v>
        <stp/>
        <stp>BDP|10884064171256120705</stp>
        <tr r="P1568" s="2"/>
      </tp>
      <tp t="s">
        <v>#N/A N/A</v>
        <stp/>
        <stp>BDP|17182738638551559418</stp>
        <tr r="G929" s="2"/>
      </tp>
      <tp t="s">
        <v>#N/A N/A</v>
        <stp/>
        <stp>BDP|13195257703950963709</stp>
        <tr r="K30" s="2"/>
      </tp>
      <tp t="s">
        <v>#N/A N/A</v>
        <stp/>
        <stp>BDP|13679756634522090392</stp>
        <tr r="D783" s="2"/>
      </tp>
      <tp t="s">
        <v>#N/A N/A</v>
        <stp/>
        <stp>BDP|16057530345549094886</stp>
        <tr r="O1116" s="2"/>
      </tp>
      <tp t="s">
        <v>#N/A N/A</v>
        <stp/>
        <stp>BDP|10634141378321483106</stp>
        <tr r="C878" s="2"/>
      </tp>
      <tp t="s">
        <v>#N/A N/A</v>
        <stp/>
        <stp>BDP|13513067404503184684</stp>
        <tr r="N1437" s="2"/>
      </tp>
      <tp t="s">
        <v>#N/A N/A</v>
        <stp/>
        <stp>BDP|17104128319782493308</stp>
        <tr r="E325" s="2"/>
      </tp>
      <tp t="s">
        <v>#N/A N/A</v>
        <stp/>
        <stp>BDP|13839752442753510549</stp>
        <tr r="P314" s="2"/>
      </tp>
      <tp t="s">
        <v>#N/A N/A</v>
        <stp/>
        <stp>BDP|16779204566547600398</stp>
        <tr r="Q1666" s="2"/>
      </tp>
      <tp t="s">
        <v>#N/A N/A</v>
        <stp/>
        <stp>BDP|17803130711847261660</stp>
        <tr r="D415" s="2"/>
      </tp>
      <tp t="s">
        <v>#N/A N/A</v>
        <stp/>
        <stp>BDP|17544124233972801127</stp>
        <tr r="C139" s="2"/>
      </tp>
      <tp t="s">
        <v>#N/A N/A</v>
        <stp/>
        <stp>BDP|17992802559035738995</stp>
        <tr r="E6" s="2"/>
      </tp>
      <tp t="s">
        <v>#N/A N/A</v>
        <stp/>
        <stp>BDP|11179778344736908255</stp>
        <tr r="Q1512" s="2"/>
      </tp>
      <tp t="s">
        <v>#N/A N/A</v>
        <stp/>
        <stp>BDP|16344239639474505524</stp>
        <tr r="C1248" s="2"/>
      </tp>
      <tp t="s">
        <v>#N/A N/A</v>
        <stp/>
        <stp>BDP|10310798546693641648</stp>
        <tr r="O530" s="2"/>
      </tp>
      <tp t="s">
        <v>#N/A N/A</v>
        <stp/>
        <stp>BDP|14150761074192924044</stp>
        <tr r="K1116" s="2"/>
      </tp>
      <tp t="s">
        <v>#N/A N/A</v>
        <stp/>
        <stp>BDP|11553209828120067738</stp>
        <tr r="Q1226" s="2"/>
      </tp>
      <tp t="s">
        <v>#N/A N/A</v>
        <stp/>
        <stp>BDP|18150594907148553346</stp>
        <tr r="S763" s="2"/>
      </tp>
      <tp t="s">
        <v>#N/A N/A</v>
        <stp/>
        <stp>BDP|10748731625747633492</stp>
        <tr r="J632" s="2"/>
      </tp>
      <tp t="s">
        <v>#N/A N/A</v>
        <stp/>
        <stp>BDP|10988087080427912969</stp>
        <tr r="S1159" s="2"/>
      </tp>
      <tp t="s">
        <v>#N/A N/A</v>
        <stp/>
        <stp>BDP|10641406139045661477</stp>
        <tr r="K1399" s="2"/>
      </tp>
      <tp t="s">
        <v>#N/A N/A</v>
        <stp/>
        <stp>BDP|11032006169536345747</stp>
        <tr r="D450" s="2"/>
      </tp>
      <tp t="s">
        <v>#N/A N/A</v>
        <stp/>
        <stp>BDP|15402506343941051398</stp>
        <tr r="A797" s="2"/>
      </tp>
      <tp t="s">
        <v>#N/A N/A</v>
        <stp/>
        <stp>BDP|11189028830787439396</stp>
        <tr r="D99" s="2"/>
      </tp>
      <tp t="s">
        <v>#N/A N/A</v>
        <stp/>
        <stp>BDP|10646747730764444682</stp>
        <tr r="H445" s="2"/>
      </tp>
      <tp t="s">
        <v>#N/A N/A</v>
        <stp/>
        <stp>BDP|11897640769714282394</stp>
        <tr r="H453" s="2"/>
      </tp>
      <tp t="s">
        <v>#N/A N/A</v>
        <stp/>
        <stp>BDP|12388129415652314697</stp>
        <tr r="D139" s="2"/>
      </tp>
      <tp t="s">
        <v>#N/A N/A</v>
        <stp/>
        <stp>BDP|11454690476792557406</stp>
        <tr r="O805" s="2"/>
      </tp>
      <tp t="s">
        <v>#N/A N/A</v>
        <stp/>
        <stp>BDP|11210593303245036762</stp>
        <tr r="K664" s="2"/>
      </tp>
      <tp t="s">
        <v>#N/A N/A</v>
        <stp/>
        <stp>BDP|12462475359597608227</stp>
        <tr r="C1462" s="2"/>
      </tp>
      <tp t="s">
        <v>#N/A N/A</v>
        <stp/>
        <stp>BDP|11582210409975178026</stp>
        <tr r="H1466" s="2"/>
      </tp>
      <tp t="s">
        <v>#N/A N/A</v>
        <stp/>
        <stp>BDP|17525807958939746548</stp>
        <tr r="K1357" s="2"/>
      </tp>
      <tp t="s">
        <v>#N/A N/A</v>
        <stp/>
        <stp>BDP|14230105531642819251</stp>
        <tr r="S245" s="2"/>
      </tp>
      <tp t="s">
        <v>#N/A N/A</v>
        <stp/>
        <stp>BDS|10339508342831443687</stp>
        <tr r="I276" s="2"/>
      </tp>
      <tp t="s">
        <v>#N/A N/A</v>
        <stp/>
        <stp>BDP|15357326655547811227</stp>
        <tr r="D1200" s="2"/>
      </tp>
      <tp t="s">
        <v>#N/A N/A</v>
        <stp/>
        <stp>BDP|16136560808175129000</stp>
        <tr r="P718" s="2"/>
      </tp>
      <tp t="s">
        <v>#N/A N/A</v>
        <stp/>
        <stp>BDP|11335228438573065578</stp>
        <tr r="T598" s="2"/>
      </tp>
      <tp t="s">
        <v>#N/A N/A</v>
        <stp/>
        <stp>BDP|10179215463353446192</stp>
        <tr r="J1419" s="2"/>
      </tp>
      <tp t="s">
        <v>#N/A N/A</v>
        <stp/>
        <stp>BDP|11365443041197905013</stp>
        <tr r="R722" s="2"/>
      </tp>
      <tp t="s">
        <v>#N/A N/A</v>
        <stp/>
        <stp>BDP|12909152300132762752</stp>
        <tr r="O1451" s="2"/>
      </tp>
      <tp t="s">
        <v>#N/A N/A</v>
        <stp/>
        <stp>BDP|16611264006464111697</stp>
        <tr r="T1650" s="2"/>
      </tp>
      <tp t="s">
        <v>#N/A N/A</v>
        <stp/>
        <stp>BDP|13555452968584479323</stp>
        <tr r="T750" s="2"/>
      </tp>
      <tp t="s">
        <v>#N/A N/A</v>
        <stp/>
        <stp>BDP|13222809978242479808</stp>
        <tr r="D1403" s="2"/>
      </tp>
      <tp t="s">
        <v>#N/A N/A</v>
        <stp/>
        <stp>BDP|16551325538178522845</stp>
        <tr r="Q158" s="2"/>
      </tp>
      <tp t="s">
        <v>#N/A N/A</v>
        <stp/>
        <stp>BDP|17600336899289311213</stp>
        <tr r="R1499" s="2"/>
      </tp>
      <tp t="s">
        <v>#N/A N/A</v>
        <stp/>
        <stp>BDP|10248681132092648104</stp>
        <tr r="O724" s="2"/>
      </tp>
      <tp t="s">
        <v>#N/A N/A</v>
        <stp/>
        <stp>BDP|11712251252438754894</stp>
        <tr r="N181" s="2"/>
      </tp>
      <tp t="s">
        <v>#N/A N/A</v>
        <stp/>
        <stp>BDP|12981949652551095918</stp>
        <tr r="Q277" s="2"/>
      </tp>
      <tp t="s">
        <v>#N/A N/A</v>
        <stp/>
        <stp>BDP|17207549223864304284</stp>
        <tr r="S1581" s="2"/>
      </tp>
      <tp t="s">
        <v>#N/A N/A</v>
        <stp/>
        <stp>BDP|14997151932784531458</stp>
        <tr r="P1527" s="2"/>
      </tp>
      <tp t="s">
        <v>#N/A N/A</v>
        <stp/>
        <stp>BDS|10732362639724527200</stp>
        <tr r="I722" s="2"/>
      </tp>
      <tp t="s">
        <v>#N/A N/A</v>
        <stp/>
        <stp>BDP|14125217013477500685</stp>
        <tr r="T1286" s="2"/>
      </tp>
      <tp t="s">
        <v>#N/A N/A</v>
        <stp/>
        <stp>BDP|10520288528770315677</stp>
        <tr r="R80" s="2"/>
      </tp>
      <tp t="s">
        <v>#N/A N/A</v>
        <stp/>
        <stp>BDP|10312609235054103763</stp>
        <tr r="Q1318" s="2"/>
      </tp>
      <tp t="s">
        <v>#N/A N/A</v>
        <stp/>
        <stp>BDS|11084796709401263107</stp>
        <tr r="I837" s="2"/>
      </tp>
      <tp t="s">
        <v>#N/A N/A</v>
        <stp/>
        <stp>BDP|15192027252161075703</stp>
        <tr r="M48" s="2"/>
      </tp>
      <tp t="s">
        <v>#N/A N/A</v>
        <stp/>
        <stp>BDP|15790307946391802586</stp>
        <tr r="A329" s="2"/>
      </tp>
      <tp t="s">
        <v>#N/A N/A</v>
        <stp/>
        <stp>BDP|12471011530360166759</stp>
        <tr r="E850" s="2"/>
      </tp>
      <tp t="s">
        <v>#N/A N/A</v>
        <stp/>
        <stp>BDP|16185348845525788267</stp>
        <tr r="E759" s="2"/>
      </tp>
      <tp t="s">
        <v>#N/A N/A</v>
        <stp/>
        <stp>BDP|16563882258969620425</stp>
        <tr r="F866" s="2"/>
      </tp>
      <tp t="s">
        <v>#N/A N/A</v>
        <stp/>
        <stp>BDP|13850285110275086310</stp>
        <tr r="T334" s="2"/>
      </tp>
      <tp t="s">
        <v>#N/A N/A</v>
        <stp/>
        <stp>BDP|14882114359715370326</stp>
        <tr r="F1550" s="2"/>
      </tp>
      <tp t="s">
        <v>#N/A N/A</v>
        <stp/>
        <stp>BDP|18030867711016381155</stp>
        <tr r="H436" s="2"/>
      </tp>
      <tp t="s">
        <v>#N/A N/A</v>
        <stp/>
        <stp>BDP|14607111187792670979</stp>
        <tr r="E536" s="2"/>
      </tp>
      <tp t="s">
        <v>#N/A N/A</v>
        <stp/>
        <stp>BDP|10361345160261092260</stp>
        <tr r="F1370" s="2"/>
      </tp>
      <tp t="s">
        <v>#N/A N/A</v>
        <stp/>
        <stp>BDP|14909480521824809090</stp>
        <tr r="H1215" s="2"/>
      </tp>
      <tp t="s">
        <v>#N/A N/A</v>
        <stp/>
        <stp>BDP|11231441062314682131</stp>
        <tr r="O513" s="2"/>
      </tp>
      <tp t="s">
        <v>#N/A N/A</v>
        <stp/>
        <stp>BDP|17737150814402490331</stp>
        <tr r="R745" s="2"/>
      </tp>
      <tp t="s">
        <v>#N/A N/A</v>
        <stp/>
        <stp>BDP|15198410736573338740</stp>
        <tr r="E901" s="2"/>
      </tp>
      <tp t="s">
        <v>#N/A N/A</v>
        <stp/>
        <stp>BDP|11970779336103905001</stp>
        <tr r="O414" s="2"/>
      </tp>
      <tp t="s">
        <v>#N/A N/A</v>
        <stp/>
        <stp>BDP|15721787358201594030</stp>
        <tr r="D1051" s="2"/>
      </tp>
      <tp t="s">
        <v>#N/A N/A</v>
        <stp/>
        <stp>BDP|15864195399569839218</stp>
        <tr r="J425" s="2"/>
      </tp>
      <tp t="s">
        <v>#N/A N/A</v>
        <stp/>
        <stp>BDS|15654419718081563787</stp>
        <tr r="I479" s="2"/>
      </tp>
      <tp t="s">
        <v>#N/A N/A</v>
        <stp/>
        <stp>BDP|10397454067130321433</stp>
        <tr r="E190" s="2"/>
      </tp>
      <tp t="s">
        <v>#N/A N/A</v>
        <stp/>
        <stp>BDP|12699608875876241300</stp>
        <tr r="J835" s="2"/>
      </tp>
      <tp t="s">
        <v>#N/A N/A</v>
        <stp/>
        <stp>BDP|18141929157383639130</stp>
        <tr r="K514" s="2"/>
      </tp>
      <tp t="s">
        <v>#N/A N/A</v>
        <stp/>
        <stp>BDP|11018187998237007818</stp>
        <tr r="D753" s="2"/>
      </tp>
      <tp t="s">
        <v>#N/A N/A</v>
        <stp/>
        <stp>BDP|17145565550134655509</stp>
        <tr r="P1377" s="2"/>
      </tp>
      <tp t="s">
        <v>#N/A N/A</v>
        <stp/>
        <stp>BDP|14492199369074647138</stp>
        <tr r="M367" s="2"/>
      </tp>
      <tp t="s">
        <v>#N/A N/A</v>
        <stp/>
        <stp>BDP|11025489298553361924</stp>
        <tr r="M1283" s="2"/>
      </tp>
      <tp t="s">
        <v>#N/A N/A</v>
        <stp/>
        <stp>BDP|17271334665083706720</stp>
        <tr r="O354" s="2"/>
      </tp>
      <tp t="s">
        <v>#N/A N/A</v>
        <stp/>
        <stp>BDP|18140359701768408509</stp>
        <tr r="S1002" s="2"/>
      </tp>
      <tp t="s">
        <v>#N/A N/A</v>
        <stp/>
        <stp>BDP|14483706130817659130</stp>
        <tr r="N1187" s="2"/>
      </tp>
      <tp t="s">
        <v>#N/A N/A</v>
        <stp/>
        <stp>BDP|16133302930776319634</stp>
        <tr r="D1204" s="2"/>
      </tp>
      <tp t="s">
        <v>#N/A N/A</v>
        <stp/>
        <stp>BDP|16239652317923899492</stp>
        <tr r="F25" s="2"/>
      </tp>
      <tp t="s">
        <v>#N/A N/A</v>
        <stp/>
        <stp>BDP|13272651175426541265</stp>
        <tr r="K912" s="2"/>
      </tp>
      <tp t="s">
        <v>#N/A N/A</v>
        <stp/>
        <stp>BDP|17355519326961312767</stp>
        <tr r="M939" s="2"/>
      </tp>
      <tp t="s">
        <v>#N/A N/A</v>
        <stp/>
        <stp>BDP|10808487330728076915</stp>
        <tr r="A142" s="2"/>
      </tp>
      <tp t="s">
        <v>#N/A N/A</v>
        <stp/>
        <stp>BDP|14035623944270652015</stp>
        <tr r="A718" s="2"/>
      </tp>
      <tp t="s">
        <v>#N/A N/A</v>
        <stp/>
        <stp>BDP|10001951261809328069</stp>
        <tr r="P235" s="2"/>
      </tp>
      <tp t="s">
        <v>#N/A N/A</v>
        <stp/>
        <stp>BDP|10309393473341808301</stp>
        <tr r="P781" s="2"/>
      </tp>
      <tp t="s">
        <v>#N/A N/A</v>
        <stp/>
        <stp>BDP|16244606552343455055</stp>
        <tr r="S1191" s="2"/>
      </tp>
      <tp t="s">
        <v>#N/A N/A</v>
        <stp/>
        <stp>BDP|15129936924470404831</stp>
        <tr r="R1191" s="2"/>
      </tp>
      <tp t="s">
        <v>#N/A N/A</v>
        <stp/>
        <stp>BDP|13208552118392718390</stp>
        <tr r="A1390" s="2"/>
      </tp>
      <tp t="s">
        <v>#N/A N/A</v>
        <stp/>
        <stp>BDP|13778778360651399520</stp>
        <tr r="J900" s="2"/>
      </tp>
      <tp t="s">
        <v>#N/A N/A</v>
        <stp/>
        <stp>BDP|16803691731554337127</stp>
        <tr r="O579" s="2"/>
      </tp>
      <tp t="s">
        <v>#N/A N/A</v>
        <stp/>
        <stp>BDP|10214771163560746706</stp>
        <tr r="P1053" s="2"/>
      </tp>
      <tp t="s">
        <v>#N/A N/A</v>
        <stp/>
        <stp>BDP|13122988292665382093</stp>
        <tr r="R1464" s="2"/>
      </tp>
      <tp t="s">
        <v>#N/A N/A</v>
        <stp/>
        <stp>BDP|14752860193706667553</stp>
        <tr r="E1433" s="2"/>
      </tp>
      <tp t="s">
        <v>#N/A N/A</v>
        <stp/>
        <stp>BDP|16013845515119547056</stp>
        <tr r="R1651" s="2"/>
      </tp>
      <tp t="s">
        <v>#N/A N/A</v>
        <stp/>
        <stp>BDP|13273340201311401722</stp>
        <tr r="T584" s="2"/>
      </tp>
      <tp t="s">
        <v>#N/A N/A</v>
        <stp/>
        <stp>BDP|11899977740939875365</stp>
        <tr r="A864" s="2"/>
      </tp>
      <tp t="s">
        <v>#N/A N/A</v>
        <stp/>
        <stp>BDP|16731672479686038781</stp>
        <tr r="R1495" s="2"/>
      </tp>
      <tp t="s">
        <v>#N/A N/A</v>
        <stp/>
        <stp>BDP|16515734725833595671</stp>
        <tr r="A28" s="2"/>
      </tp>
      <tp t="s">
        <v>#N/A N/A</v>
        <stp/>
        <stp>BDP|12671267522177432377</stp>
        <tr r="A1044" s="2"/>
      </tp>
      <tp t="s">
        <v>#N/A N/A</v>
        <stp/>
        <stp>BDP|14751562458001138390</stp>
        <tr r="A1062" s="2"/>
      </tp>
      <tp t="s">
        <v>#N/A N/A</v>
        <stp/>
        <stp>BDP|12645988214228829438</stp>
        <tr r="D57" s="2"/>
      </tp>
      <tp t="s">
        <v>#N/A N/A</v>
        <stp/>
        <stp>BDP|16134020188358358091</stp>
        <tr r="J929" s="2"/>
      </tp>
      <tp t="s">
        <v>#N/A N/A</v>
        <stp/>
        <stp>BDS|15677057263095114035</stp>
        <tr r="I1624" s="2"/>
      </tp>
      <tp t="s">
        <v>#N/A N/A</v>
        <stp/>
        <stp>BDP|11110273960771009271</stp>
        <tr r="N129" s="2"/>
      </tp>
      <tp t="s">
        <v>#N/A N/A</v>
        <stp/>
        <stp>BDP|15784055002555696675</stp>
        <tr r="A1282" s="2"/>
      </tp>
      <tp t="s">
        <v>#N/A N/A</v>
        <stp/>
        <stp>BDP|16472886362549904760</stp>
        <tr r="K1516" s="2"/>
      </tp>
      <tp t="s">
        <v>#N/A N/A</v>
        <stp/>
        <stp>BDP|18142789325373984842</stp>
        <tr r="E1221" s="2"/>
      </tp>
      <tp t="s">
        <v>#N/A N/A</v>
        <stp/>
        <stp>BDP|12404472879502941538</stp>
        <tr r="D232" s="2"/>
      </tp>
      <tp t="s">
        <v>#N/A N/A</v>
        <stp/>
        <stp>BDP|18060875006196592040</stp>
        <tr r="G1482" s="2"/>
      </tp>
      <tp t="s">
        <v>#N/A N/A</v>
        <stp/>
        <stp>BDP|11862308711513830613</stp>
        <tr r="F374" s="2"/>
      </tp>
      <tp t="s">
        <v>#N/A N/A</v>
        <stp/>
        <stp>BDP|13691375644464255676</stp>
        <tr r="G597" s="2"/>
      </tp>
      <tp t="s">
        <v>#N/A N/A</v>
        <stp/>
        <stp>BDP|12915993183952786748</stp>
        <tr r="C1730" s="2"/>
      </tp>
      <tp t="s">
        <v>#N/A N/A</v>
        <stp/>
        <stp>BDP|13035783098139026208</stp>
        <tr r="T1198" s="2"/>
      </tp>
      <tp t="s">
        <v>#N/A N/A</v>
        <stp/>
        <stp>BDP|12532360033973656764</stp>
        <tr r="H119" s="2"/>
      </tp>
      <tp t="s">
        <v>#N/A N/A</v>
        <stp/>
        <stp>BDP|14273954911962142874</stp>
        <tr r="K1371" s="2"/>
      </tp>
      <tp t="s">
        <v>#N/A N/A</v>
        <stp/>
        <stp>BDP|14735039537425520466</stp>
        <tr r="D1673" s="2"/>
      </tp>
      <tp t="s">
        <v>#N/A N/A</v>
        <stp/>
        <stp>BDP|10446366704594384156</stp>
        <tr r="J858" s="2"/>
      </tp>
      <tp t="s">
        <v>#N/A N/A</v>
        <stp/>
        <stp>BDP|13267522903367480776</stp>
        <tr r="C530" s="2"/>
      </tp>
      <tp t="s">
        <v>#N/A N/A</v>
        <stp/>
        <stp>BDP|14098127145014552322</stp>
        <tr r="T714" s="2"/>
      </tp>
      <tp t="s">
        <v>#N/A N/A</v>
        <stp/>
        <stp>BDP|10179710762400529778</stp>
        <tr r="T539" s="2"/>
      </tp>
      <tp t="s">
        <v>#N/A N/A</v>
        <stp/>
        <stp>BDP|17913561932353499493</stp>
        <tr r="N1343" s="2"/>
      </tp>
      <tp t="s">
        <v>#N/A N/A</v>
        <stp/>
        <stp>BDP|15010409901817598040</stp>
        <tr r="S353" s="2"/>
      </tp>
      <tp t="s">
        <v>#N/A N/A</v>
        <stp/>
        <stp>BDP|14661471751936434545</stp>
        <tr r="J848" s="2"/>
      </tp>
      <tp t="s">
        <v>#N/A N/A</v>
        <stp/>
        <stp>BDP|10179214273506778549</stp>
        <tr r="J1359" s="2"/>
      </tp>
      <tp t="s">
        <v>#N/A N/A</v>
        <stp/>
        <stp>BDP|15671140915830334343</stp>
        <tr r="H783" s="2"/>
      </tp>
      <tp t="s">
        <v>#N/A N/A</v>
        <stp/>
        <stp>BDP|13120104524826673036</stp>
        <tr r="H1648" s="2"/>
      </tp>
      <tp t="s">
        <v>#N/A N/A</v>
        <stp/>
        <stp>BDP|16171978451714232854</stp>
        <tr r="E18" s="2"/>
      </tp>
      <tp t="s">
        <v>#N/A N/A</v>
        <stp/>
        <stp>BDS|17597750170789378806</stp>
        <tr r="I1018" s="2"/>
      </tp>
      <tp t="s">
        <v>#N/A N/A</v>
        <stp/>
        <stp>BDP|15235585579899073837</stp>
        <tr r="T484" s="2"/>
      </tp>
      <tp t="s">
        <v>#N/A N/A</v>
        <stp/>
        <stp>BDP|17234505352909422840</stp>
        <tr r="F367" s="2"/>
      </tp>
      <tp t="s">
        <v>#N/A N/A</v>
        <stp/>
        <stp>BDP|12891370311210942672</stp>
        <tr r="Q487" s="2"/>
      </tp>
      <tp t="s">
        <v>#N/A N/A</v>
        <stp/>
        <stp>BDP|14804474372159400898</stp>
        <tr r="A873" s="2"/>
      </tp>
      <tp t="s">
        <v>#N/A N/A</v>
        <stp/>
        <stp>BDP|17852816476446920868</stp>
        <tr r="R923" s="2"/>
      </tp>
      <tp t="s">
        <v>#N/A N/A</v>
        <stp/>
        <stp>BDP|14192474432630251562</stp>
        <tr r="J1027" s="2"/>
      </tp>
      <tp t="s">
        <v>#N/A N/A</v>
        <stp/>
        <stp>BDP|14907998481047865492</stp>
        <tr r="K138" s="2"/>
      </tp>
      <tp t="s">
        <v>#N/A N/A</v>
        <stp/>
        <stp>BDP|11481236933670331678</stp>
        <tr r="Q358" s="2"/>
      </tp>
      <tp t="s">
        <v>#N/A N/A</v>
        <stp/>
        <stp>BDP|13268996482650937406</stp>
        <tr r="O1654" s="2"/>
      </tp>
      <tp t="s">
        <v>#N/A N/A</v>
        <stp/>
        <stp>BDP|11179782958875676079</stp>
        <tr r="E1368" s="2"/>
      </tp>
      <tp t="s">
        <v>#N/A N/A</v>
        <stp/>
        <stp>BDP|17133626715743493528</stp>
        <tr r="T1185" s="2"/>
      </tp>
      <tp t="s">
        <v>#N/A N/A</v>
        <stp/>
        <stp>BDP|13728770713064484778</stp>
        <tr r="H865" s="2"/>
      </tp>
      <tp t="s">
        <v>#N/A N/A</v>
        <stp/>
        <stp>BDP|17094841927703043839</stp>
        <tr r="Q593" s="2"/>
      </tp>
      <tp t="s">
        <v>#N/A N/A</v>
        <stp/>
        <stp>BDP|17720157831196342502</stp>
        <tr r="E160" s="2"/>
      </tp>
      <tp t="s">
        <v>#N/A N/A</v>
        <stp/>
        <stp>BDP|16158884476249714683</stp>
        <tr r="S605" s="2"/>
      </tp>
      <tp t="s">
        <v>#N/A N/A</v>
        <stp/>
        <stp>BDP|12458015083264351856</stp>
        <tr r="J1613" s="2"/>
      </tp>
      <tp t="s">
        <v>#N/A N/A</v>
        <stp/>
        <stp>BDP|16611488940970987079</stp>
        <tr r="Q1365" s="2"/>
      </tp>
      <tp t="s">
        <v>#N/A N/A</v>
        <stp/>
        <stp>BDP|15903665829092208544</stp>
        <tr r="Q1143" s="2"/>
      </tp>
      <tp t="s">
        <v>#N/A N/A</v>
        <stp/>
        <stp>BDP|18423144315028045653</stp>
        <tr r="Q567" s="2"/>
      </tp>
      <tp t="s">
        <v>#N/A N/A</v>
        <stp/>
        <stp>BDP|17698065462194287304</stp>
        <tr r="K1560" s="2"/>
      </tp>
      <tp t="s">
        <v>#N/A N/A</v>
        <stp/>
        <stp>BDP|17628298611790890264</stp>
        <tr r="G1170" s="2"/>
      </tp>
      <tp t="s">
        <v>#N/A N/A</v>
        <stp/>
        <stp>BDP|14061195216347767586</stp>
        <tr r="O1328" s="2"/>
      </tp>
      <tp t="s">
        <v>#N/A N/A</v>
        <stp/>
        <stp>BDP|15532515684146718871</stp>
        <tr r="A528" s="2"/>
      </tp>
      <tp t="s">
        <v>#N/A N/A</v>
        <stp/>
        <stp>BDP|11397364114854478155</stp>
        <tr r="K811" s="2"/>
      </tp>
      <tp t="s">
        <v>#N/A N/A</v>
        <stp/>
        <stp>BDP|14328157082932021949</stp>
        <tr r="E1667" s="2"/>
      </tp>
      <tp t="s">
        <v>#N/A N/A</v>
        <stp/>
        <stp>BDP|18446190973758640080</stp>
        <tr r="P1439" s="2"/>
      </tp>
      <tp t="s">
        <v>#N/A N/A</v>
        <stp/>
        <stp>BDP|14914403608350871691</stp>
        <tr r="R1637" s="2"/>
      </tp>
      <tp t="s">
        <v>#N/A N/A</v>
        <stp/>
        <stp>BDP|10711738846125363018</stp>
        <tr r="P446" s="2"/>
      </tp>
      <tp t="s">
        <v>#N/A N/A</v>
        <stp/>
        <stp>BDP|15799710346071376138</stp>
        <tr r="E1423" s="2"/>
      </tp>
      <tp t="s">
        <v>#N/A N/A</v>
        <stp/>
        <stp>BDP|14715856636099770036</stp>
        <tr r="S875" s="2"/>
      </tp>
      <tp t="s">
        <v>#N/A N/A</v>
        <stp/>
        <stp>BDP|12834780802580170337</stp>
        <tr r="M1004" s="2"/>
      </tp>
      <tp t="s">
        <v>#N/A N/A</v>
        <stp/>
        <stp>BDP|11620464647027533023</stp>
        <tr r="K81" s="2"/>
      </tp>
      <tp t="s">
        <v>#N/A N/A</v>
        <stp/>
        <stp>BDP|13655035619704920053</stp>
        <tr r="S1189" s="2"/>
      </tp>
      <tp t="s">
        <v>#N/A N/A</v>
        <stp/>
        <stp>BDP|10983102632381356589</stp>
        <tr r="Q765" s="2"/>
      </tp>
      <tp t="s">
        <v>#N/A N/A</v>
        <stp/>
        <stp>BDP|17354003772105435351</stp>
        <tr r="H1439" s="2"/>
      </tp>
      <tp t="s">
        <v>#N/A N/A</v>
        <stp/>
        <stp>BDP|17708830666687540877</stp>
        <tr r="D1642" s="2"/>
      </tp>
      <tp t="s">
        <v>#N/A N/A</v>
        <stp/>
        <stp>BDP|14005169722045689425</stp>
        <tr r="A1391" s="2"/>
      </tp>
      <tp t="s">
        <v>#N/A N/A</v>
        <stp/>
        <stp>BDS|16797666860822114232</stp>
        <tr r="I1754" s="2"/>
      </tp>
      <tp t="s">
        <v>#N/A N/A</v>
        <stp/>
        <stp>BDP|12282623356166184176</stp>
        <tr r="R1681" s="2"/>
      </tp>
      <tp t="s">
        <v>#N/A N/A</v>
        <stp/>
        <stp>BDS|10617473905661577318</stp>
        <tr r="I1664" s="2"/>
      </tp>
      <tp t="s">
        <v>#N/A N/A</v>
        <stp/>
        <stp>BDP|14199875647199608746</stp>
        <tr r="T934" s="2"/>
      </tp>
      <tp t="s">
        <v>#N/A N/A</v>
        <stp/>
        <stp>BDP|13923114554201691096</stp>
        <tr r="S147" s="2"/>
      </tp>
      <tp t="s">
        <v>#N/A N/A</v>
        <stp/>
        <stp>BDP|15864595750532653148</stp>
        <tr r="M14" s="2"/>
      </tp>
      <tp t="s">
        <v>#N/A N/A</v>
        <stp/>
        <stp>BDP|11066330556934122576</stp>
        <tr r="A1036" s="2"/>
      </tp>
      <tp t="s">
        <v>#N/A N/A</v>
        <stp/>
        <stp>BDP|17376589005542830653</stp>
        <tr r="C1550" s="2"/>
      </tp>
      <tp t="s">
        <v>#N/A N/A</v>
        <stp/>
        <stp>BDP|17714564243785081510</stp>
        <tr r="F1245" s="2"/>
      </tp>
      <tp t="s">
        <v>#N/A N/A</v>
        <stp/>
        <stp>BDP|16126214885539485321</stp>
        <tr r="T1550" s="2"/>
      </tp>
      <tp t="s">
        <v>#N/A N/A</v>
        <stp/>
        <stp>BDP|17192527172545253604</stp>
        <tr r="G1042" s="2"/>
      </tp>
      <tp t="s">
        <v>#N/A N/A</v>
        <stp/>
        <stp>BDP|10084078402947142177</stp>
        <tr r="O1072" s="2"/>
      </tp>
      <tp t="s">
        <v>#N/A N/A</v>
        <stp/>
        <stp>BDP|15334329978083303490</stp>
        <tr r="F929" s="2"/>
      </tp>
      <tp t="s">
        <v>#N/A N/A</v>
        <stp/>
        <stp>BDP|10259569656144105204</stp>
        <tr r="M585" s="2"/>
      </tp>
      <tp t="s">
        <v>#N/A N/A</v>
        <stp/>
        <stp>BDP|13807283605410667708</stp>
        <tr r="G1347" s="2"/>
      </tp>
      <tp t="s">
        <v>#N/A N/A</v>
        <stp/>
        <stp>BDP|15913650549570347159</stp>
        <tr r="E513" s="2"/>
      </tp>
      <tp t="s">
        <v>#N/A N/A</v>
        <stp/>
        <stp>BDS|11772707515865487469</stp>
        <tr r="I622" s="2"/>
      </tp>
      <tp t="s">
        <v>#N/A N/A</v>
        <stp/>
        <stp>BDP|12811500325842827162</stp>
        <tr r="F1210" s="2"/>
      </tp>
      <tp t="s">
        <v>#N/A N/A</v>
        <stp/>
        <stp>BDP|14316507703781404679</stp>
        <tr r="J185" s="2"/>
      </tp>
      <tp t="s">
        <v>#N/A N/A</v>
        <stp/>
        <stp>BDP|10231939873328943085</stp>
        <tr r="G1337" s="2"/>
      </tp>
      <tp t="s">
        <v>#N/A N/A</v>
        <stp/>
        <stp>BDP|17219652124840547557</stp>
        <tr r="D527" s="2"/>
      </tp>
      <tp t="s">
        <v>#N/A N/A</v>
        <stp/>
        <stp>BDP|12549256481589393716</stp>
        <tr r="Q1488" s="2"/>
      </tp>
      <tp t="s">
        <v>#N/A N/A</v>
        <stp/>
        <stp>BDP|10124075756204153728</stp>
        <tr r="K1058" s="2"/>
      </tp>
      <tp t="s">
        <v>#N/A N/A</v>
        <stp/>
        <stp>BDP|17680730707046007017</stp>
        <tr r="H292" s="2"/>
      </tp>
      <tp t="s">
        <v>#N/A N/A</v>
        <stp/>
        <stp>BDP|12327102980439580452</stp>
        <tr r="R1208" s="2"/>
      </tp>
      <tp t="s">
        <v>#N/A N/A</v>
        <stp/>
        <stp>BDP|16663614657915429677</stp>
        <tr r="M1662" s="2"/>
      </tp>
      <tp t="s">
        <v>#N/A N/A</v>
        <stp/>
        <stp>BDP|10878191307806360166</stp>
        <tr r="O303" s="2"/>
      </tp>
      <tp t="s">
        <v>#N/A N/A</v>
        <stp/>
        <stp>BDP|11725422116590737278</stp>
        <tr r="M351" s="2"/>
      </tp>
      <tp t="s">
        <v>#N/A N/A</v>
        <stp/>
        <stp>BDP|16941550831545797396</stp>
        <tr r="H1740" s="2"/>
      </tp>
      <tp t="s">
        <v>#N/A N/A</v>
        <stp/>
        <stp>BDP|15841323755170403588</stp>
        <tr r="C118" s="2"/>
      </tp>
      <tp t="s">
        <v>#N/A N/A</v>
        <stp/>
        <stp>BDP|13989281481746306903</stp>
        <tr r="O1564" s="2"/>
      </tp>
      <tp t="s">
        <v>#N/A N/A</v>
        <stp/>
        <stp>BDP|16076561776714588664</stp>
        <tr r="P34" s="2"/>
      </tp>
      <tp t="s">
        <v>#N/A N/A</v>
        <stp/>
        <stp>BDP|16365687578147481645</stp>
        <tr r="E16" s="2"/>
      </tp>
      <tp t="s">
        <v>#N/A N/A</v>
        <stp/>
        <stp>BDP|15594641322265236224</stp>
        <tr r="R1349" s="2"/>
      </tp>
      <tp t="s">
        <v>#N/A N/A</v>
        <stp/>
        <stp>BDP|17775079330060577264</stp>
        <tr r="S801" s="2"/>
      </tp>
      <tp t="s">
        <v>#N/A N/A</v>
        <stp/>
        <stp>BDP|17781744291346710963</stp>
        <tr r="E817" s="2"/>
      </tp>
      <tp t="s">
        <v>#N/A N/A</v>
        <stp/>
        <stp>BDP|12153741047836411150</stp>
        <tr r="K540" s="2"/>
      </tp>
      <tp t="s">
        <v>#N/A N/A</v>
        <stp/>
        <stp>BDP|16261331405974313742</stp>
        <tr r="P759" s="2"/>
      </tp>
      <tp t="s">
        <v>#N/A N/A</v>
        <stp/>
        <stp>BDP|14652872176909710432</stp>
        <tr r="J705" s="2"/>
      </tp>
      <tp t="s">
        <v>#N/A N/A</v>
        <stp/>
        <stp>BDP|15679743064362022059</stp>
        <tr r="F580" s="2"/>
      </tp>
      <tp t="s">
        <v>#N/A N/A</v>
        <stp/>
        <stp>BDP|17385633251622528073</stp>
        <tr r="M249" s="2"/>
      </tp>
      <tp t="s">
        <v>#N/A N/A</v>
        <stp/>
        <stp>BDP|11327135854507293457</stp>
        <tr r="N1561" s="2"/>
      </tp>
      <tp t="s">
        <v>#N/A N/A</v>
        <stp/>
        <stp>BDP|13621088008090107546</stp>
        <tr r="G1034" s="2"/>
      </tp>
      <tp t="s">
        <v>#N/A N/A</v>
        <stp/>
        <stp>BDP|15158036435855307577</stp>
        <tr r="R1700" s="2"/>
      </tp>
      <tp t="s">
        <v>#N/A N/A</v>
        <stp/>
        <stp>BDP|16831997187994687539</stp>
        <tr r="N1614" s="2"/>
      </tp>
      <tp t="s">
        <v>#N/A N/A</v>
        <stp/>
        <stp>BDP|12999674628089261977</stp>
        <tr r="D113" s="2"/>
      </tp>
      <tp t="s">
        <v>#N/A N/A</v>
        <stp/>
        <stp>BDP|16388332440061111628</stp>
        <tr r="E1364" s="2"/>
      </tp>
      <tp t="s">
        <v>#N/A N/A</v>
        <stp/>
        <stp>BDP|17736977211741207800</stp>
        <tr r="H1301" s="2"/>
      </tp>
      <tp t="s">
        <v>#N/A N/A</v>
        <stp/>
        <stp>BDP|10407335055029346922</stp>
        <tr r="J745" s="2"/>
      </tp>
      <tp t="s">
        <v>#N/A N/A</v>
        <stp/>
        <stp>BDP|15318129583462179808</stp>
        <tr r="T706" s="2"/>
      </tp>
      <tp t="s">
        <v>#N/A N/A</v>
        <stp/>
        <stp>BDP|16369538131466585070</stp>
        <tr r="K842" s="2"/>
      </tp>
      <tp t="s">
        <v>#N/A N/A</v>
        <stp/>
        <stp>BDP|11797418548412545583</stp>
        <tr r="E1721" s="2"/>
      </tp>
      <tp t="s">
        <v>#N/A N/A</v>
        <stp/>
        <stp>BDS|11085653574792684475</stp>
        <tr r="I1380" s="2"/>
      </tp>
      <tp t="s">
        <v>#N/A N/A</v>
        <stp/>
        <stp>BDP|12294093738993576455</stp>
        <tr r="K739" s="2"/>
      </tp>
      <tp t="s">
        <v>#N/A N/A</v>
        <stp/>
        <stp>BDP|11748440526142523336</stp>
        <tr r="N816" s="2"/>
      </tp>
      <tp t="s">
        <v>#N/A N/A</v>
        <stp/>
        <stp>BDP|13917892320368145725</stp>
        <tr r="D1584" s="2"/>
      </tp>
      <tp t="s">
        <v>#N/A N/A</v>
        <stp/>
        <stp>BDP|15370462118385824364</stp>
        <tr r="N740" s="2"/>
      </tp>
      <tp t="s">
        <v>#N/A N/A</v>
        <stp/>
        <stp>BDP|12084660740721199746</stp>
        <tr r="K823" s="2"/>
      </tp>
      <tp t="s">
        <v>#N/A N/A</v>
        <stp/>
        <stp>BDP|18266909826600385541</stp>
        <tr r="S1462" s="2"/>
      </tp>
      <tp t="s">
        <v>#N/A N/A</v>
        <stp/>
        <stp>BDP|14450337681330672936</stp>
        <tr r="M931" s="2"/>
      </tp>
      <tp t="s">
        <v>#N/A N/A</v>
        <stp/>
        <stp>BDP|11113107145326751400</stp>
        <tr r="T1523" s="2"/>
      </tp>
      <tp t="s">
        <v>#N/A N/A</v>
        <stp/>
        <stp>BDP|14471437052642534135</stp>
        <tr r="M1489" s="2"/>
      </tp>
      <tp t="s">
        <v>#N/A N/A</v>
        <stp/>
        <stp>BDS|10795125451066757439</stp>
        <tr r="I229" s="2"/>
      </tp>
      <tp t="s">
        <v>#N/A N/A</v>
        <stp/>
        <stp>BDP|17508381438933296246</stp>
        <tr r="S363" s="2"/>
      </tp>
      <tp t="s">
        <v>#N/A N/A</v>
        <stp/>
        <stp>BDS|16588259489613968906</stp>
        <tr r="I1519" s="2"/>
      </tp>
      <tp t="s">
        <v>#N/A N/A</v>
        <stp/>
        <stp>BDP|13351428947265783021</stp>
        <tr r="S551" s="2"/>
      </tp>
      <tp t="s">
        <v>#N/A N/A</v>
        <stp/>
        <stp>BDP|13173714277245550012</stp>
        <tr r="K1262" s="2"/>
      </tp>
      <tp t="s">
        <v>#N/A N/A</v>
        <stp/>
        <stp>BDP|10265125325403535632</stp>
        <tr r="N206" s="2"/>
      </tp>
      <tp t="s">
        <v>#N/A N/A</v>
        <stp/>
        <stp>BDP|12992497632360786360</stp>
        <tr r="G62" s="2"/>
      </tp>
      <tp t="s">
        <v>#N/A N/A</v>
        <stp/>
        <stp>BDP|11775445541031234634</stp>
        <tr r="E564" s="2"/>
      </tp>
      <tp t="s">
        <v>#N/A N/A</v>
        <stp/>
        <stp>BDP|12846952567123056897</stp>
        <tr r="T1734" s="2"/>
      </tp>
      <tp t="s">
        <v>#N/A N/A</v>
        <stp/>
        <stp>BDP|16107770454704674675</stp>
        <tr r="O322" s="2"/>
      </tp>
      <tp t="s">
        <v>#N/A N/A</v>
        <stp/>
        <stp>BDP|11049395646571419180</stp>
        <tr r="M365" s="2"/>
      </tp>
      <tp t="s">
        <v>#N/A N/A</v>
        <stp/>
        <stp>BDP|16425718171813526325</stp>
        <tr r="A452" s="2"/>
      </tp>
      <tp t="s">
        <v>#N/A N/A</v>
        <stp/>
        <stp>BDP|18366804874574352576</stp>
        <tr r="T550" s="2"/>
      </tp>
      <tp t="s">
        <v>#N/A N/A</v>
        <stp/>
        <stp>BDP|10993075507670856634</stp>
        <tr r="O767" s="2"/>
      </tp>
      <tp t="s">
        <v>#N/A N/A</v>
        <stp/>
        <stp>BDP|18200899428135069114</stp>
        <tr r="R186" s="2"/>
      </tp>
      <tp t="s">
        <v>#N/A N/A</v>
        <stp/>
        <stp>BDP|16279577966096291533</stp>
        <tr r="N912" s="2"/>
      </tp>
      <tp t="s">
        <v>#N/A N/A</v>
        <stp/>
        <stp>BDP|14694770007093476604</stp>
        <tr r="G1539" s="2"/>
      </tp>
      <tp t="s">
        <v>#N/A N/A</v>
        <stp/>
        <stp>BDP|10205971680064221359</stp>
        <tr r="H1251" s="2"/>
      </tp>
      <tp t="s">
        <v>#N/A N/A</v>
        <stp/>
        <stp>BDP|17738360855925044264</stp>
        <tr r="C131" s="2"/>
      </tp>
      <tp t="s">
        <v>#N/A N/A</v>
        <stp/>
        <stp>BDP|18233814257522099163</stp>
        <tr r="D821" s="2"/>
      </tp>
      <tp t="s">
        <v>#N/A N/A</v>
        <stp/>
        <stp>BDP|15193401540877505468</stp>
        <tr r="H1036" s="2"/>
      </tp>
      <tp t="s">
        <v>#N/A N/A</v>
        <stp/>
        <stp>BDP|17202391762015917128</stp>
        <tr r="Q685" s="2"/>
      </tp>
      <tp t="s">
        <v>#N/A N/A</v>
        <stp/>
        <stp>BDP|13334766247817545151</stp>
        <tr r="M969" s="2"/>
      </tp>
      <tp t="s">
        <v>#N/A N/A</v>
        <stp/>
        <stp>BDP|17384411994524633820</stp>
        <tr r="K694" s="2"/>
      </tp>
      <tp t="s">
        <v>#N/A N/A</v>
        <stp/>
        <stp>BDP|13694001858449828941</stp>
        <tr r="J954" s="2"/>
      </tp>
      <tp t="s">
        <v>#N/A N/A</v>
        <stp/>
        <stp>BDP|14461511659311894362</stp>
        <tr r="N1280" s="2"/>
      </tp>
      <tp t="s">
        <v>#N/A N/A</v>
        <stp/>
        <stp>BDP|16148409501453462761</stp>
        <tr r="T1258" s="2"/>
      </tp>
      <tp t="s">
        <v>#N/A N/A</v>
        <stp/>
        <stp>BDP|17505969305661587919</stp>
        <tr r="T1307" s="2"/>
      </tp>
      <tp t="s">
        <v>#N/A N/A</v>
        <stp/>
        <stp>BDP|10456697120386979468</stp>
        <tr r="R1533" s="2"/>
      </tp>
      <tp t="s">
        <v>#N/A N/A</v>
        <stp/>
        <stp>BDP|16218214280083884993</stp>
        <tr r="D186" s="2"/>
      </tp>
      <tp t="s">
        <v>#N/A N/A</v>
        <stp/>
        <stp>BDP|15882196671055110031</stp>
        <tr r="T1411" s="2"/>
      </tp>
      <tp t="s">
        <v>#N/A N/A</v>
        <stp/>
        <stp>BDP|11027060778719883943</stp>
        <tr r="D227" s="2"/>
      </tp>
      <tp t="s">
        <v>#N/A N/A</v>
        <stp/>
        <stp>BDP|16541678801827493150</stp>
        <tr r="A635" s="2"/>
      </tp>
      <tp t="s">
        <v>#N/A N/A</v>
        <stp/>
        <stp>BDS|13182372896536061914</stp>
        <tr r="I1653" s="2"/>
      </tp>
      <tp t="s">
        <v>#N/A N/A</v>
        <stp/>
        <stp>BDP|15726963096335781627</stp>
        <tr r="R1424" s="2"/>
      </tp>
      <tp t="s">
        <v>#N/A N/A</v>
        <stp/>
        <stp>BDP|15012754627225497343</stp>
        <tr r="D493" s="2"/>
      </tp>
      <tp t="s">
        <v>#N/A N/A</v>
        <stp/>
        <stp>BDP|16701555232883558575</stp>
        <tr r="S1522" s="2"/>
      </tp>
      <tp t="s">
        <v>#N/A N/A</v>
        <stp/>
        <stp>BDP|17148503596175036859</stp>
        <tr r="K845" s="2"/>
      </tp>
      <tp t="s">
        <v>#N/A N/A</v>
        <stp/>
        <stp>BDP|16404514770151099370</stp>
        <tr r="D1555" s="2"/>
      </tp>
      <tp t="s">
        <v>#N/A N/A</v>
        <stp/>
        <stp>BDP|17954648768688044973</stp>
        <tr r="S1307" s="2"/>
      </tp>
      <tp t="s">
        <v>#N/A N/A</v>
        <stp/>
        <stp>BDP|10886431096988673394</stp>
        <tr r="T1151" s="2"/>
      </tp>
      <tp t="s">
        <v>#N/A N/A</v>
        <stp/>
        <stp>BDP|12624560331311109322</stp>
        <tr r="M1480" s="2"/>
      </tp>
      <tp t="s">
        <v>#N/A N/A</v>
        <stp/>
        <stp>BDS|11001431921829684852</stp>
        <tr r="I1334" s="2"/>
      </tp>
      <tp t="s">
        <v>#N/A N/A</v>
        <stp/>
        <stp>BDP|17101917730499746254</stp>
        <tr r="M1504" s="2"/>
      </tp>
      <tp t="s">
        <v>#N/A N/A</v>
        <stp/>
        <stp>BDP|16654686776866910739</stp>
        <tr r="H1681" s="2"/>
      </tp>
      <tp t="s">
        <v>#N/A N/A</v>
        <stp/>
        <stp>BDP|14337374041677726200</stp>
        <tr r="N1510" s="2"/>
      </tp>
      <tp t="s">
        <v>#N/A N/A</v>
        <stp/>
        <stp>BDP|10024604504761146176</stp>
        <tr r="R1217" s="2"/>
      </tp>
      <tp t="s">
        <v>#N/A N/A</v>
        <stp/>
        <stp>BDP|13616072625545177272</stp>
        <tr r="H758" s="2"/>
      </tp>
      <tp t="s">
        <v>#N/A N/A</v>
        <stp/>
        <stp>BDS|11408227727350467740</stp>
        <tr r="I1442" s="2"/>
      </tp>
      <tp t="s">
        <v>#N/A N/A</v>
        <stp/>
        <stp>BDP|13166184276093562086</stp>
        <tr r="R208" s="2"/>
      </tp>
      <tp t="s">
        <v>#N/A N/A</v>
        <stp/>
        <stp>BDP|12812720629354638573</stp>
        <tr r="S1592" s="2"/>
      </tp>
      <tp t="s">
        <v>#N/A N/A</v>
        <stp/>
        <stp>BDP|14599010164921352517</stp>
        <tr r="Q218" s="2"/>
      </tp>
      <tp t="s">
        <v>#N/A N/A</v>
        <stp/>
        <stp>BDP|15116425698697909900</stp>
        <tr r="E314" s="2"/>
      </tp>
      <tp t="s">
        <v>#N/A N/A</v>
        <stp/>
        <stp>BDP|16308310816431620304</stp>
        <tr r="T1152" s="2"/>
      </tp>
      <tp t="s">
        <v>#N/A N/A</v>
        <stp/>
        <stp>BDP|13750369363484729478</stp>
        <tr r="N660" s="2"/>
      </tp>
      <tp t="s">
        <v>#N/A N/A</v>
        <stp/>
        <stp>BDP|12656062891438651557</stp>
        <tr r="F717" s="2"/>
      </tp>
      <tp t="s">
        <v>#N/A N/A</v>
        <stp/>
        <stp>BDP|12273015050483923285</stp>
        <tr r="F1132" s="2"/>
      </tp>
      <tp t="s">
        <v>#N/A N/A</v>
        <stp/>
        <stp>BDP|15052165336647651642</stp>
        <tr r="T54" s="2"/>
      </tp>
      <tp t="s">
        <v>#N/A N/A</v>
        <stp/>
        <stp>BDP|16463932234622917882</stp>
        <tr r="R36" s="2"/>
      </tp>
      <tp t="s">
        <v>#N/A N/A</v>
        <stp/>
        <stp>BDS|13010353533415312046</stp>
        <tr r="I239" s="2"/>
      </tp>
      <tp t="s">
        <v>#N/A N/A</v>
        <stp/>
        <stp>BDS|14820174168027515236</stp>
        <tr r="I738" s="2"/>
      </tp>
      <tp t="s">
        <v>#N/A N/A</v>
        <stp/>
        <stp>BDP|10650063127061726525</stp>
        <tr r="M47" s="2"/>
      </tp>
      <tp t="s">
        <v>#N/A N/A</v>
        <stp/>
        <stp>BDP|11396768589651606986</stp>
        <tr r="G1533" s="2"/>
      </tp>
      <tp t="s">
        <v>#N/A N/A</v>
        <stp/>
        <stp>BDP|13277583424547429584</stp>
        <tr r="F258" s="2"/>
      </tp>
      <tp t="s">
        <v>#N/A N/A</v>
        <stp/>
        <stp>BDP|18000920112346529077</stp>
        <tr r="A268" s="2"/>
      </tp>
      <tp t="s">
        <v>#N/A N/A</v>
        <stp/>
        <stp>BDP|10986226749863072307</stp>
        <tr r="O885" s="2"/>
      </tp>
      <tp t="s">
        <v>#N/A N/A</v>
        <stp/>
        <stp>BDP|17272154655784668164</stp>
        <tr r="J1281" s="2"/>
      </tp>
      <tp t="s">
        <v>#N/A N/A</v>
        <stp/>
        <stp>BDP|12025535730464422657</stp>
        <tr r="T248" s="2"/>
      </tp>
      <tp t="s">
        <v>#N/A N/A</v>
        <stp/>
        <stp>BDS|14501247833441769240</stp>
        <tr r="I1627" s="2"/>
      </tp>
      <tp t="s">
        <v>#N/A N/A</v>
        <stp/>
        <stp>BDS|17120886090130124092</stp>
        <tr r="I25" s="2"/>
      </tp>
      <tp t="s">
        <v>#N/A N/A</v>
        <stp/>
        <stp>BDP|16220463774316110536</stp>
        <tr r="J1543" s="2"/>
      </tp>
      <tp t="s">
        <v>#N/A N/A</v>
        <stp/>
        <stp>BDP|16849227959657257035</stp>
        <tr r="O1581" s="2"/>
      </tp>
      <tp t="s">
        <v>#N/A N/A</v>
        <stp/>
        <stp>BDP|17410890353128852441</stp>
        <tr r="R500" s="2"/>
      </tp>
      <tp t="s">
        <v>#N/A N/A</v>
        <stp/>
        <stp>BDS|13095134031836079149</stp>
        <tr r="I1589" s="2"/>
      </tp>
      <tp t="s">
        <v>#N/A N/A</v>
        <stp/>
        <stp>BDP|10986818049033632928</stp>
        <tr r="T1092" s="2"/>
      </tp>
      <tp t="s">
        <v>#N/A N/A</v>
        <stp/>
        <stp>BDP|14159422873224194547</stp>
        <tr r="Q1090" s="2"/>
      </tp>
      <tp t="s">
        <v>#N/A N/A</v>
        <stp/>
        <stp>BDP|11685313328794812227</stp>
        <tr r="F745" s="2"/>
      </tp>
      <tp t="s">
        <v>#N/A N/A</v>
        <stp/>
        <stp>BDP|16182975862258676772</stp>
        <tr r="J764" s="2"/>
      </tp>
      <tp t="s">
        <v>#N/A N/A</v>
        <stp/>
        <stp>BDP|12714769524837883682</stp>
        <tr r="D1487" s="2"/>
      </tp>
      <tp t="s">
        <v>#N/A N/A</v>
        <stp/>
        <stp>BDP|11809270379937266516</stp>
        <tr r="H41" s="2"/>
      </tp>
      <tp t="s">
        <v>#N/A N/A</v>
        <stp/>
        <stp>BDP|17801290882288027368</stp>
        <tr r="Q1048" s="2"/>
      </tp>
      <tp t="s">
        <v>#N/A N/A</v>
        <stp/>
        <stp>BDP|10612688772615934204</stp>
        <tr r="S1634" s="2"/>
      </tp>
      <tp t="s">
        <v>#N/A N/A</v>
        <stp/>
        <stp>BDP|10487468556031003618</stp>
        <tr r="R1514" s="2"/>
      </tp>
      <tp t="s">
        <v>#N/A N/A</v>
        <stp/>
        <stp>BDP|18208417605752177828</stp>
        <tr r="J1149" s="2"/>
      </tp>
      <tp t="s">
        <v>#N/A N/A</v>
        <stp/>
        <stp>BDP|11658191123440166489</stp>
        <tr r="P1663" s="2"/>
      </tp>
      <tp t="s">
        <v>#N/A N/A</v>
        <stp/>
        <stp>BDP|15398974101729564352</stp>
        <tr r="H1315" s="2"/>
      </tp>
      <tp t="s">
        <v>#N/A N/A</v>
        <stp/>
        <stp>BDP|10389491631237829667</stp>
        <tr r="K1333" s="2"/>
      </tp>
      <tp t="s">
        <v>#N/A N/A</v>
        <stp/>
        <stp>BDP|12759625575034199147</stp>
        <tr r="O934" s="2"/>
      </tp>
      <tp t="s">
        <v>#N/A N/A</v>
        <stp/>
        <stp>BDP|15253685074763804139</stp>
        <tr r="E364" s="2"/>
      </tp>
      <tp t="s">
        <v>#N/A N/A</v>
        <stp/>
        <stp>BDP|14301497464889812933</stp>
        <tr r="G1271" s="2"/>
      </tp>
      <tp t="s">
        <v>#N/A N/A</v>
        <stp/>
        <stp>BDP|16455282073432969738</stp>
        <tr r="F562" s="2"/>
      </tp>
      <tp t="s">
        <v>#N/A N/A</v>
        <stp/>
        <stp>BDP|15113446136243218749</stp>
        <tr r="J565" s="2"/>
      </tp>
      <tp t="s">
        <v>#N/A N/A</v>
        <stp/>
        <stp>BDP|15494822116402510803</stp>
        <tr r="P797" s="2"/>
      </tp>
      <tp t="s">
        <v>#N/A N/A</v>
        <stp/>
        <stp>BDP|13354618255036268007</stp>
        <tr r="A125" s="2"/>
      </tp>
      <tp t="s">
        <v>#N/A N/A</v>
        <stp/>
        <stp>BDP|16318084419083119268</stp>
        <tr r="H408" s="2"/>
      </tp>
      <tp t="s">
        <v>#N/A N/A</v>
        <stp/>
        <stp>BDP|17891293964400845586</stp>
        <tr r="E1589" s="2"/>
      </tp>
      <tp t="s">
        <v>#N/A N/A</v>
        <stp/>
        <stp>BDS|18254348262698661341</stp>
        <tr r="I652" s="2"/>
      </tp>
      <tp t="s">
        <v>#N/A N/A</v>
        <stp/>
        <stp>BDP|17522776531062488720</stp>
        <tr r="G989" s="2"/>
      </tp>
      <tp t="s">
        <v>#N/A N/A</v>
        <stp/>
        <stp>BDP|13064371926540762438</stp>
        <tr r="R643" s="2"/>
      </tp>
      <tp t="s">
        <v>#N/A N/A</v>
        <stp/>
        <stp>BDP|11786754378295736281</stp>
        <tr r="S1633" s="2"/>
      </tp>
      <tp t="s">
        <v>#N/A N/A</v>
        <stp/>
        <stp>BDP|18437860829121987576</stp>
        <tr r="G1278" s="2"/>
      </tp>
      <tp t="s">
        <v>#N/A N/A</v>
        <stp/>
        <stp>BDP|11133663795938401035</stp>
        <tr r="Q431" s="2"/>
      </tp>
      <tp t="s">
        <v>#N/A N/A</v>
        <stp/>
        <stp>BDP|16556147426057096427</stp>
        <tr r="T479" s="2"/>
      </tp>
      <tp t="s">
        <v>#N/A N/A</v>
        <stp/>
        <stp>BDP|16994617742524710686</stp>
        <tr r="R1070" s="2"/>
      </tp>
      <tp t="s">
        <v>#N/A N/A</v>
        <stp/>
        <stp>BDP|12882764232119861917</stp>
        <tr r="O1037" s="2"/>
      </tp>
      <tp t="s">
        <v>#N/A N/A</v>
        <stp/>
        <stp>BDP|16083699579951736028</stp>
        <tr r="E675" s="2"/>
      </tp>
      <tp t="s">
        <v>#N/A N/A</v>
        <stp/>
        <stp>BDP|13350200776269527956</stp>
        <tr r="C804" s="2"/>
      </tp>
      <tp t="s">
        <v>#N/A N/A</v>
        <stp/>
        <stp>BDP|17944797737880486561</stp>
        <tr r="K236" s="2"/>
      </tp>
      <tp t="s">
        <v>#N/A N/A</v>
        <stp/>
        <stp>BDP|12043276075771448033</stp>
        <tr r="N1119" s="2"/>
      </tp>
      <tp t="s">
        <v>#N/A N/A</v>
        <stp/>
        <stp>BDP|11645035437126336241</stp>
        <tr r="T1175" s="2"/>
      </tp>
      <tp t="s">
        <v>#N/A N/A</v>
        <stp/>
        <stp>BDS|12611684929375836594</stp>
        <tr r="I295" s="2"/>
      </tp>
      <tp t="s">
        <v>#N/A N/A</v>
        <stp/>
        <stp>BDP|10338272143824699441</stp>
        <tr r="T1133" s="2"/>
      </tp>
      <tp t="s">
        <v>#N/A N/A</v>
        <stp/>
        <stp>BDP|12217728113494187675</stp>
        <tr r="N117" s="2"/>
      </tp>
      <tp t="s">
        <v>#N/A N/A</v>
        <stp/>
        <stp>BDP|12883442256700899574</stp>
        <tr r="M116" s="2"/>
      </tp>
      <tp t="s">
        <v>#N/A N/A</v>
        <stp/>
        <stp>BDP|14324830128571903947</stp>
        <tr r="E1436" s="2"/>
      </tp>
      <tp t="s">
        <v>#N/A N/A</v>
        <stp/>
        <stp>BDP|13883780202847179560</stp>
        <tr r="N622" s="2"/>
      </tp>
      <tp t="s">
        <v>#N/A N/A</v>
        <stp/>
        <stp>BDS|15565811944197569837</stp>
        <tr r="I593" s="2"/>
      </tp>
      <tp t="s">
        <v>#N/A N/A</v>
        <stp/>
        <stp>BDP|16764418772581883294</stp>
        <tr r="Q779" s="2"/>
      </tp>
      <tp t="s">
        <v>#N/A N/A</v>
        <stp/>
        <stp>BDP|12597110187798504539</stp>
        <tr r="K572" s="2"/>
      </tp>
      <tp t="s">
        <v>#N/A N/A</v>
        <stp/>
        <stp>BDP|11457125654595649616</stp>
        <tr r="D200" s="2"/>
      </tp>
      <tp t="s">
        <v>#N/A N/A</v>
        <stp/>
        <stp>BDP|16039094733424920767</stp>
        <tr r="G1370" s="2"/>
      </tp>
      <tp t="s">
        <v>#N/A N/A</v>
        <stp/>
        <stp>BDP|11255388345186834629</stp>
        <tr r="P27" s="2"/>
      </tp>
      <tp t="s">
        <v>#N/A N/A</v>
        <stp/>
        <stp>BDP|15224737787658713444</stp>
        <tr r="R1569" s="2"/>
      </tp>
      <tp t="s">
        <v>#N/A N/A</v>
        <stp/>
        <stp>BDP|17340665736552572635</stp>
        <tr r="Q895" s="2"/>
      </tp>
      <tp t="s">
        <v>#N/A N/A</v>
        <stp/>
        <stp>BDP|17455661017176151016</stp>
        <tr r="N190" s="2"/>
      </tp>
      <tp t="s">
        <v>#N/A N/A</v>
        <stp/>
        <stp>BDS|17314051518036970611</stp>
        <tr r="I1291" s="2"/>
      </tp>
      <tp t="s">
        <v>#N/A N/A</v>
        <stp/>
        <stp>BDS|15241674330395176321</stp>
        <tr r="I424" s="2"/>
      </tp>
      <tp t="s">
        <v>#N/A N/A</v>
        <stp/>
        <stp>BDP|14708676757924421568</stp>
        <tr r="R1577" s="2"/>
      </tp>
      <tp t="s">
        <v>#N/A N/A</v>
        <stp/>
        <stp>BDP|17724317221581716154</stp>
        <tr r="O73" s="2"/>
      </tp>
      <tp t="s">
        <v>#N/A N/A</v>
        <stp/>
        <stp>BDP|11100359360995001715</stp>
        <tr r="O1526" s="2"/>
      </tp>
      <tp t="s">
        <v>#N/A N/A</v>
        <stp/>
        <stp>BDP|17984185926752772058</stp>
        <tr r="P1467" s="2"/>
      </tp>
      <tp t="s">
        <v>#N/A N/A</v>
        <stp/>
        <stp>BDP|10940597078767460397</stp>
        <tr r="C318" s="2"/>
      </tp>
      <tp t="s">
        <v>#N/A N/A</v>
        <stp/>
        <stp>BDP|16958360538375222500</stp>
        <tr r="M1445" s="2"/>
      </tp>
      <tp t="s">
        <v>#N/A N/A</v>
        <stp/>
        <stp>BDP|16606927462909036639</stp>
        <tr r="T40" s="2"/>
      </tp>
      <tp t="s">
        <v>#N/A N/A</v>
        <stp/>
        <stp>BDP|10169439520528612800</stp>
        <tr r="F867" s="2"/>
      </tp>
      <tp t="s">
        <v>#N/A N/A</v>
        <stp/>
        <stp>BDS|10929602423953461194</stp>
        <tr r="I259" s="2"/>
      </tp>
      <tp t="s">
        <v>#N/A N/A</v>
        <stp/>
        <stp>BDP|14510786495399998556</stp>
        <tr r="H948" s="2"/>
      </tp>
      <tp t="s">
        <v>#N/A N/A</v>
        <stp/>
        <stp>BDP|11585830805528418737</stp>
        <tr r="N1395" s="2"/>
      </tp>
      <tp t="s">
        <v>#N/A N/A</v>
        <stp/>
        <stp>BDP|14225656750828077930</stp>
        <tr r="Q889" s="2"/>
      </tp>
      <tp t="s">
        <v>#N/A N/A</v>
        <stp/>
        <stp>BDP|10104998245838196382</stp>
        <tr r="Q94" s="2"/>
      </tp>
      <tp t="s">
        <v>#N/A N/A</v>
        <stp/>
        <stp>BDP|13261960737886612915</stp>
        <tr r="F1124" s="2"/>
      </tp>
      <tp t="s">
        <v>#N/A N/A</v>
        <stp/>
        <stp>BDP|12519342945484186715</stp>
        <tr r="K1123" s="2"/>
      </tp>
      <tp t="s">
        <v>#N/A N/A</v>
        <stp/>
        <stp>BDP|16628431941442498247</stp>
        <tr r="S1063" s="2"/>
      </tp>
      <tp t="s">
        <v>#N/A N/A</v>
        <stp/>
        <stp>BDP|13442508150240739574</stp>
        <tr r="E776" s="2"/>
      </tp>
      <tp t="s">
        <v>#N/A N/A</v>
        <stp/>
        <stp>BDP|17563789839261953491</stp>
        <tr r="M644" s="2"/>
      </tp>
      <tp t="s">
        <v>#N/A N/A</v>
        <stp/>
        <stp>BDP|13289192715344237182</stp>
        <tr r="Q749" s="2"/>
      </tp>
      <tp t="s">
        <v>#N/A N/A</v>
        <stp/>
        <stp>BDP|15447424065684173569</stp>
        <tr r="E269" s="2"/>
      </tp>
      <tp t="s">
        <v>#N/A N/A</v>
        <stp/>
        <stp>BDP|11301108822814683030</stp>
        <tr r="H716" s="2"/>
      </tp>
      <tp t="s">
        <v>#N/A N/A</v>
        <stp/>
        <stp>BDP|16523872730672689906</stp>
        <tr r="F33" s="2"/>
      </tp>
      <tp t="s">
        <v>#N/A N/A</v>
        <stp/>
        <stp>BDP|10100273043767252739</stp>
        <tr r="R1047" s="2"/>
      </tp>
      <tp t="s">
        <v>#N/A N/A</v>
        <stp/>
        <stp>BDP|12666920875869175346</stp>
        <tr r="S842" s="2"/>
      </tp>
      <tp t="s">
        <v>#N/A N/A</v>
        <stp/>
        <stp>BDP|17819836794072804238</stp>
        <tr r="O236" s="2"/>
      </tp>
      <tp t="s">
        <v>#N/A N/A</v>
        <stp/>
        <stp>BDP|10492663926243003107</stp>
        <tr r="J648" s="2"/>
      </tp>
      <tp t="s">
        <v>#N/A N/A</v>
        <stp/>
        <stp>BDP|14498247037752565160</stp>
        <tr r="Q137" s="2"/>
      </tp>
      <tp t="s">
        <v>#N/A N/A</v>
        <stp/>
        <stp>BDP|15603512254004249759</stp>
        <tr r="P657" s="2"/>
      </tp>
      <tp t="s">
        <v>#N/A N/A</v>
        <stp/>
        <stp>BDP|18104013713546718909</stp>
        <tr r="G68" s="2"/>
      </tp>
      <tp t="s">
        <v>#N/A N/A</v>
        <stp/>
        <stp>BDP|15531661872492588000</stp>
        <tr r="P810" s="2"/>
      </tp>
      <tp t="s">
        <v>#N/A N/A</v>
        <stp/>
        <stp>BDP|17275967885176572608</stp>
        <tr r="S1150" s="2"/>
      </tp>
      <tp t="s">
        <v>#N/A N/A</v>
        <stp/>
        <stp>BDP|14377613177923644077</stp>
        <tr r="T403" s="2"/>
      </tp>
      <tp t="s">
        <v>#N/A N/A</v>
        <stp/>
        <stp>BDP|15410188458543200422</stp>
        <tr r="A414" s="2"/>
      </tp>
      <tp t="s">
        <v>#N/A N/A</v>
        <stp/>
        <stp>BDP|13530127239985356295</stp>
        <tr r="K1412" s="2"/>
      </tp>
      <tp t="s">
        <v>#N/A N/A</v>
        <stp/>
        <stp>BDP|13328734327711092135</stp>
        <tr r="H206" s="2"/>
      </tp>
      <tp t="s">
        <v>#N/A N/A</v>
        <stp/>
        <stp>BDP|15111758167440357245</stp>
        <tr r="S632" s="2"/>
      </tp>
      <tp t="s">
        <v>#N/A N/A</v>
        <stp/>
        <stp>BDP|11196676205151573024</stp>
        <tr r="O1614" s="2"/>
      </tp>
      <tp t="s">
        <v>#N/A N/A</v>
        <stp/>
        <stp>BDP|11788500547966446009</stp>
        <tr r="S811" s="2"/>
      </tp>
      <tp t="s">
        <v>#N/A N/A</v>
        <stp/>
        <stp>BDP|16634961892176666609</stp>
        <tr r="G856" s="2"/>
      </tp>
      <tp t="s">
        <v>#N/A N/A</v>
        <stp/>
        <stp>BDP|18438124993943578545</stp>
        <tr r="P1411" s="2"/>
      </tp>
      <tp t="s">
        <v>#N/A N/A</v>
        <stp/>
        <stp>BDP|16094854394747042652</stp>
        <tr r="G690" s="2"/>
      </tp>
      <tp t="s">
        <v>#N/A N/A</v>
        <stp/>
        <stp>BDP|11140727146065477158</stp>
        <tr r="O863" s="2"/>
      </tp>
      <tp t="s">
        <v>#N/A N/A</v>
        <stp/>
        <stp>BDP|17731422207021051468</stp>
        <tr r="C1167" s="2"/>
      </tp>
      <tp t="s">
        <v>#N/A N/A</v>
        <stp/>
        <stp>BDP|16907312864972185790</stp>
        <tr r="T816" s="2"/>
      </tp>
      <tp t="s">
        <v>#N/A N/A</v>
        <stp/>
        <stp>BDP|16161869908920345881</stp>
        <tr r="F1579" s="2"/>
      </tp>
      <tp t="s">
        <v>#N/A N/A</v>
        <stp/>
        <stp>BDP|13533927818724231993</stp>
        <tr r="J1466" s="2"/>
      </tp>
      <tp t="s">
        <v>#N/A N/A</v>
        <stp/>
        <stp>BDP|15485147605901614374</stp>
        <tr r="Q299" s="2"/>
      </tp>
      <tp t="s">
        <v>#N/A N/A</v>
        <stp/>
        <stp>BDP|11055306370611455203</stp>
        <tr r="G1417" s="2"/>
      </tp>
      <tp t="s">
        <v>#N/A N/A</v>
        <stp/>
        <stp>BDP|13272105105407612355</stp>
        <tr r="S1101" s="2"/>
      </tp>
      <tp t="s">
        <v>#N/A N/A</v>
        <stp/>
        <stp>BDP|13823460479576542061</stp>
        <tr r="P105" s="2"/>
      </tp>
      <tp t="s">
        <v>#N/A N/A</v>
        <stp/>
        <stp>BDP|13665906677322139941</stp>
        <tr r="Q1272" s="2"/>
      </tp>
      <tp t="s">
        <v>#N/A N/A</v>
        <stp/>
        <stp>BDP|14702181274155902161</stp>
        <tr r="C1463" s="2"/>
      </tp>
      <tp t="s">
        <v>#N/A N/A</v>
        <stp/>
        <stp>BDP|14484496358062590146</stp>
        <tr r="H1668" s="2"/>
      </tp>
      <tp t="s">
        <v>#N/A N/A</v>
        <stp/>
        <stp>BDP|12719125370093414155</stp>
        <tr r="F1095" s="2"/>
      </tp>
      <tp t="s">
        <v>#N/A N/A</v>
        <stp/>
        <stp>BDP|15443170521097168772</stp>
        <tr r="N1058" s="2"/>
      </tp>
      <tp t="s">
        <v>#N/A N/A</v>
        <stp/>
        <stp>BDP|16837081589541824955</stp>
        <tr r="M1369" s="2"/>
      </tp>
      <tp t="s">
        <v>#N/A N/A</v>
        <stp/>
        <stp>BDP|15379950091576519564</stp>
        <tr r="T43" s="2"/>
      </tp>
      <tp t="s">
        <v>#N/A N/A</v>
        <stp/>
        <stp>BDP|17172806582217127666</stp>
        <tr r="C408" s="2"/>
      </tp>
      <tp t="s">
        <v>#N/A N/A</v>
        <stp/>
        <stp>BDP|10124946437728070463</stp>
        <tr r="M1274" s="2"/>
      </tp>
      <tp t="s">
        <v>#N/A N/A</v>
        <stp/>
        <stp>BDP|13822550008798057816</stp>
        <tr r="N1747" s="2"/>
      </tp>
      <tp t="s">
        <v>#N/A N/A</v>
        <stp/>
        <stp>BDP|18201349963663810898</stp>
        <tr r="A425" s="2"/>
      </tp>
      <tp t="s">
        <v>#N/A N/A</v>
        <stp/>
        <stp>BDP|12303770970717892388</stp>
        <tr r="M1149" s="2"/>
      </tp>
      <tp t="s">
        <v>#N/A N/A</v>
        <stp/>
        <stp>BDP|15559650775277181509</stp>
        <tr r="D1708" s="2"/>
      </tp>
      <tp t="s">
        <v>#N/A N/A</v>
        <stp/>
        <stp>BDP|13685787766742993657</stp>
        <tr r="E1638" s="2"/>
      </tp>
      <tp t="s">
        <v>#N/A N/A</v>
        <stp/>
        <stp>BDP|11531526723725105514</stp>
        <tr r="G1319" s="2"/>
      </tp>
      <tp t="s">
        <v>#N/A N/A</v>
        <stp/>
        <stp>BDP|11364098443145814658</stp>
        <tr r="M816" s="2"/>
      </tp>
      <tp t="s">
        <v>#N/A N/A</v>
        <stp/>
        <stp>BDP|15164039892649680324</stp>
        <tr r="E1644" s="2"/>
      </tp>
      <tp t="s">
        <v>#N/A N/A</v>
        <stp/>
        <stp>BDP|16621772175652122211</stp>
        <tr r="S657" s="2"/>
      </tp>
      <tp t="s">
        <v>#N/A N/A</v>
        <stp/>
        <stp>BDS|13821182307603824781</stp>
        <tr r="I8" s="2"/>
      </tp>
      <tp t="s">
        <v>#N/A N/A</v>
        <stp/>
        <stp>BDP|12697029517746055377</stp>
        <tr r="F63" s="2"/>
      </tp>
      <tp t="s">
        <v>#N/A N/A</v>
        <stp/>
        <stp>BDP|12441261266414930497</stp>
        <tr r="G1427" s="2"/>
      </tp>
      <tp t="s">
        <v>#N/A N/A</v>
        <stp/>
        <stp>BDP|15117456677359436932</stp>
        <tr r="P1697" s="2"/>
      </tp>
      <tp t="s">
        <v>#N/A N/A</v>
        <stp/>
        <stp>BDP|11921214908321716430</stp>
        <tr r="N193" s="2"/>
      </tp>
      <tp t="s">
        <v>#N/A N/A</v>
        <stp/>
        <stp>BDP|17225770797186281970</stp>
        <tr r="O839" s="2"/>
      </tp>
      <tp t="s">
        <v>#N/A N/A</v>
        <stp/>
        <stp>BDP|12774127395924056877</stp>
        <tr r="F1158" s="2"/>
      </tp>
      <tp t="s">
        <v>#N/A N/A</v>
        <stp/>
        <stp>BDP|13242172639946363182</stp>
        <tr r="F469" s="2"/>
      </tp>
      <tp t="s">
        <v>#N/A N/A</v>
        <stp/>
        <stp>BDS|15219477578476809619</stp>
        <tr r="I814" s="2"/>
      </tp>
      <tp t="s">
        <v>#N/A N/A</v>
        <stp/>
        <stp>BDP|18217654680090973098</stp>
        <tr r="O1377" s="2"/>
      </tp>
      <tp t="s">
        <v>#N/A N/A</v>
        <stp/>
        <stp>BDP|16522450302976657234</stp>
        <tr r="O1700" s="2"/>
      </tp>
      <tp t="s">
        <v>#N/A N/A</v>
        <stp/>
        <stp>BDP|16481000854083711603</stp>
        <tr r="P1410" s="2"/>
      </tp>
      <tp t="s">
        <v>#N/A N/A</v>
        <stp/>
        <stp>BDP|15242784725316829008</stp>
        <tr r="C447" s="2"/>
      </tp>
      <tp t="s">
        <v>#N/A N/A</v>
        <stp/>
        <stp>BDP|10281234359286911766</stp>
        <tr r="F123" s="2"/>
      </tp>
      <tp t="s">
        <v>#N/A N/A</v>
        <stp/>
        <stp>BDP|12267208070625140445</stp>
        <tr r="H449" s="2"/>
      </tp>
      <tp t="s">
        <v>#N/A N/A</v>
        <stp/>
        <stp>BDP|17637739190048015722</stp>
        <tr r="H1722" s="2"/>
      </tp>
      <tp t="s">
        <v>#N/A N/A</v>
        <stp/>
        <stp>BDP|18213913445073687073</stp>
        <tr r="A802" s="2"/>
      </tp>
      <tp t="s">
        <v>#N/A N/A</v>
        <stp/>
        <stp>BDS|12058646979890823511</stp>
        <tr r="I46" s="2"/>
      </tp>
      <tp t="s">
        <v>#N/A N/A</v>
        <stp/>
        <stp>BDP|11822834779939160141</stp>
        <tr r="P1442" s="2"/>
      </tp>
      <tp t="s">
        <v>#N/A N/A</v>
        <stp/>
        <stp>BDP|16781613629483949713</stp>
        <tr r="G1332" s="2"/>
      </tp>
      <tp t="s">
        <v>#N/A N/A</v>
        <stp/>
        <stp>BDP|11234024286957288839</stp>
        <tr r="T711" s="2"/>
      </tp>
      <tp t="s">
        <v>#N/A N/A</v>
        <stp/>
        <stp>BDP|12012077877932462136</stp>
        <tr r="H1379" s="2"/>
      </tp>
      <tp t="s">
        <v>#N/A N/A</v>
        <stp/>
        <stp>BDP|14672911177039004579</stp>
        <tr r="R1320" s="2"/>
      </tp>
      <tp t="s">
        <v>#N/A N/A</v>
        <stp/>
        <stp>BDS|11245151672253788261</stp>
        <tr r="I1360" s="2"/>
      </tp>
      <tp t="s">
        <v>#N/A N/A</v>
        <stp/>
        <stp>BDP|14257783189975038842</stp>
        <tr r="E465" s="2"/>
      </tp>
      <tp t="s">
        <v>#N/A N/A</v>
        <stp/>
        <stp>BDS|14528678575403645054</stp>
        <tr r="I1638" s="2"/>
      </tp>
      <tp t="s">
        <v>#N/A N/A</v>
        <stp/>
        <stp>BDS|11965062544903661095</stp>
        <tr r="I1744" s="2"/>
      </tp>
      <tp t="s">
        <v>#N/A N/A</v>
        <stp/>
        <stp>BDP|13675210599198989600</stp>
        <tr r="M708" s="2"/>
      </tp>
      <tp t="s">
        <v>#N/A N/A</v>
        <stp/>
        <stp>BDP|18392202551361476812</stp>
        <tr r="J356" s="2"/>
      </tp>
      <tp t="s">
        <v>#N/A N/A</v>
        <stp/>
        <stp>BDP|16268333523352535309</stp>
        <tr r="H1522" s="2"/>
      </tp>
      <tp t="s">
        <v>#N/A N/A</v>
        <stp/>
        <stp>BDP|11287433555680135622</stp>
        <tr r="O1117" s="2"/>
      </tp>
      <tp t="s">
        <v>#N/A N/A</v>
        <stp/>
        <stp>BDP|10286160751646450467</stp>
        <tr r="R116" s="2"/>
      </tp>
      <tp t="s">
        <v>#N/A N/A</v>
        <stp/>
        <stp>BDP|10341989120824597990</stp>
        <tr r="D12" s="2"/>
      </tp>
      <tp t="s">
        <v>#N/A N/A</v>
        <stp/>
        <stp>BDP|14217797519995653139</stp>
        <tr r="C1155" s="2"/>
      </tp>
      <tp t="s">
        <v>#N/A N/A</v>
        <stp/>
        <stp>BDP|13183434852382399645</stp>
        <tr r="T1231" s="2"/>
      </tp>
      <tp t="s">
        <v>#N/A N/A</v>
        <stp/>
        <stp>BDP|11842205180415711887</stp>
        <tr r="N1427" s="2"/>
      </tp>
      <tp t="s">
        <v>#N/A N/A</v>
        <stp/>
        <stp>BDP|11385340166370193273</stp>
        <tr r="M1015" s="2"/>
      </tp>
      <tp t="s">
        <v>#N/A N/A</v>
        <stp/>
        <stp>BDP|17724595419522836781</stp>
        <tr r="A732" s="2"/>
      </tp>
      <tp t="s">
        <v>#N/A N/A</v>
        <stp/>
        <stp>BDP|16160740419302345481</stp>
        <tr r="G1226" s="2"/>
      </tp>
      <tp t="s">
        <v>#N/A N/A</v>
        <stp/>
        <stp>BDS|10919659877526883175</stp>
        <tr r="I1337" s="2"/>
      </tp>
      <tp t="s">
        <v>#N/A N/A</v>
        <stp/>
        <stp>BDP|10376758970333192502</stp>
        <tr r="H1494" s="2"/>
      </tp>
      <tp t="s">
        <v>#N/A N/A</v>
        <stp/>
        <stp>BDP|13000107317332209723</stp>
        <tr r="P863" s="2"/>
      </tp>
      <tp t="s">
        <v>#N/A N/A</v>
        <stp/>
        <stp>BDP|18234867465788023866</stp>
        <tr r="E431" s="2"/>
      </tp>
      <tp t="s">
        <v>#N/A N/A</v>
        <stp/>
        <stp>BDP|12780906233227627959</stp>
        <tr r="J1605" s="2"/>
      </tp>
      <tp t="s">
        <v>#N/A N/A</v>
        <stp/>
        <stp>BDP|12165190049920081160</stp>
        <tr r="T552" s="2"/>
      </tp>
      <tp t="s">
        <v>#N/A N/A</v>
        <stp/>
        <stp>BDS|10693151825276350319</stp>
        <tr r="I183" s="2"/>
      </tp>
      <tp t="s">
        <v>#N/A N/A</v>
        <stp/>
        <stp>BDP|15716277243631449402</stp>
        <tr r="T1597" s="2"/>
      </tp>
      <tp t="s">
        <v>#N/A N/A</v>
        <stp/>
        <stp>BDP|15967924281396856452</stp>
        <tr r="S493" s="2"/>
      </tp>
      <tp t="s">
        <v>#N/A N/A</v>
        <stp/>
        <stp>BDS|12234527910796040641</stp>
        <tr r="I1077" s="2"/>
      </tp>
      <tp t="s">
        <v>#N/A N/A</v>
        <stp/>
        <stp>BDP|13164585639750268357</stp>
        <tr r="H928" s="2"/>
      </tp>
      <tp t="s">
        <v>#N/A N/A</v>
        <stp/>
        <stp>BDS|16998675918871419660</stp>
        <tr r="I1443" s="2"/>
      </tp>
      <tp t="s">
        <v>#N/A N/A</v>
        <stp/>
        <stp>BDP|12878003545839214988</stp>
        <tr r="P1676" s="2"/>
      </tp>
      <tp t="s">
        <v>#N/A N/A</v>
        <stp/>
        <stp>BDP|14661408374330004158</stp>
        <tr r="D624" s="2"/>
      </tp>
      <tp t="s">
        <v>#N/A N/A</v>
        <stp/>
        <stp>BDS|12533970121528656716</stp>
        <tr r="I807" s="2"/>
      </tp>
      <tp t="s">
        <v>#N/A N/A</v>
        <stp/>
        <stp>BDP|16486658720851794514</stp>
        <tr r="R706" s="2"/>
      </tp>
      <tp t="s">
        <v>#N/A N/A</v>
        <stp/>
        <stp>BDP|16489559877320726264</stp>
        <tr r="T636" s="2"/>
      </tp>
      <tp t="s">
        <v>#N/A N/A</v>
        <stp/>
        <stp>BDP|10204080432520843575</stp>
        <tr r="G1618" s="2"/>
      </tp>
      <tp t="s">
        <v>#N/A N/A</v>
        <stp/>
        <stp>BDS|15809284997371193935</stp>
        <tr r="I1387" s="2"/>
      </tp>
      <tp t="s">
        <v>#N/A N/A</v>
        <stp/>
        <stp>BDP|15984715025037230195</stp>
        <tr r="R703" s="2"/>
      </tp>
      <tp t="s">
        <v>#N/A N/A</v>
        <stp/>
        <stp>BDP|10917033203801978767</stp>
        <tr r="T1017" s="2"/>
      </tp>
      <tp t="s">
        <v>#N/A N/A</v>
        <stp/>
        <stp>BDP|12161539907313337205</stp>
        <tr r="O365" s="2"/>
      </tp>
      <tp t="s">
        <v>#N/A N/A</v>
        <stp/>
        <stp>BDP|15828798749602711297</stp>
        <tr r="K1318" s="2"/>
      </tp>
      <tp t="s">
        <v>#N/A N/A</v>
        <stp/>
        <stp>BDP|10334394535175182384</stp>
        <tr r="O1171" s="2"/>
      </tp>
      <tp t="s">
        <v>#N/A N/A</v>
        <stp/>
        <stp>BDP|13353178157555443416</stp>
        <tr r="E498" s="2"/>
      </tp>
      <tp t="s">
        <v>#N/A N/A</v>
        <stp/>
        <stp>BDP|14267612614922967781</stp>
        <tr r="P1572" s="2"/>
      </tp>
      <tp t="s">
        <v>#N/A N/A</v>
        <stp/>
        <stp>BDP|18004509947979505649</stp>
        <tr r="F1432" s="2"/>
      </tp>
      <tp t="s">
        <v>#N/A N/A</v>
        <stp/>
        <stp>BDP|18096475120079044111</stp>
        <tr r="F545" s="2"/>
      </tp>
      <tp t="s">
        <v>#N/A N/A</v>
        <stp/>
        <stp>BDP|17929309859354785319</stp>
        <tr r="S534" s="2"/>
      </tp>
      <tp t="s">
        <v>#N/A N/A</v>
        <stp/>
        <stp>BDP|13697902450498579151</stp>
        <tr r="F219" s="2"/>
      </tp>
      <tp t="s">
        <v>#N/A N/A</v>
        <stp/>
        <stp>BDP|16960199453504058057</stp>
        <tr r="R824" s="2"/>
      </tp>
      <tp t="s">
        <v>#N/A N/A</v>
        <stp/>
        <stp>BDP|13062750144844128264</stp>
        <tr r="G994" s="2"/>
      </tp>
      <tp t="s">
        <v>#N/A N/A</v>
        <stp/>
        <stp>BDP|15853471541915149691</stp>
        <tr r="J434" s="2"/>
      </tp>
      <tp t="s">
        <v>#N/A N/A</v>
        <stp/>
        <stp>BDP|11352198129496593208</stp>
        <tr r="N947" s="2"/>
      </tp>
      <tp t="s">
        <v>#N/A N/A</v>
        <stp/>
        <stp>BDS|14968383390701490903</stp>
        <tr r="I1046" s="2"/>
      </tp>
      <tp t="s">
        <v>#N/A N/A</v>
        <stp/>
        <stp>BDP|17674064266554369338</stp>
        <tr r="D807" s="2"/>
      </tp>
      <tp t="s">
        <v>#N/A N/A</v>
        <stp/>
        <stp>BDP|17360735763226086651</stp>
        <tr r="K1529" s="2"/>
      </tp>
      <tp t="s">
        <v>#N/A N/A</v>
        <stp/>
        <stp>BDP|14344176417246696431</stp>
        <tr r="H965" s="2"/>
      </tp>
      <tp t="s">
        <v>#N/A N/A</v>
        <stp/>
        <stp>BDP|16282291358014052354</stp>
        <tr r="O1551" s="2"/>
      </tp>
      <tp t="s">
        <v>#N/A N/A</v>
        <stp/>
        <stp>BDP|10857319117002973614</stp>
        <tr r="O982" s="2"/>
      </tp>
      <tp t="s">
        <v>#N/A N/A</v>
        <stp/>
        <stp>BDP|14194014653173610432</stp>
        <tr r="S981" s="2"/>
      </tp>
      <tp t="s">
        <v>#N/A N/A</v>
        <stp/>
        <stp>BDP|13525118642409802981</stp>
        <tr r="S654" s="2"/>
      </tp>
      <tp t="s">
        <v>#N/A N/A</v>
        <stp/>
        <stp>BDP|14915656263971000391</stp>
        <tr r="K849" s="2"/>
      </tp>
      <tp t="s">
        <v>#N/A N/A</v>
        <stp/>
        <stp>BDS|11645639136156153476</stp>
        <tr r="I666" s="2"/>
      </tp>
      <tp t="s">
        <v>#N/A N/A</v>
        <stp/>
        <stp>BDS|14291400620695036172</stp>
        <tr r="I1450" s="2"/>
      </tp>
      <tp t="s">
        <v>#N/A N/A</v>
        <stp/>
        <stp>BDP|16556834878828116796</stp>
        <tr r="J128" s="2"/>
      </tp>
      <tp t="s">
        <v>#N/A N/A</v>
        <stp/>
        <stp>BDP|10102704692298618039</stp>
        <tr r="N1250" s="2"/>
      </tp>
      <tp t="s">
        <v>#N/A N/A</v>
        <stp/>
        <stp>BDP|16615944331649046359</stp>
        <tr r="K1248" s="2"/>
      </tp>
      <tp t="s">
        <v>#N/A N/A</v>
        <stp/>
        <stp>BDP|15949509762710859051</stp>
        <tr r="Q1558" s="2"/>
      </tp>
      <tp t="s">
        <v>#N/A N/A</v>
        <stp/>
        <stp>BDP|16678154094471922988</stp>
        <tr r="H677" s="2"/>
      </tp>
      <tp t="s">
        <v>#N/A N/A</v>
        <stp/>
        <stp>BDP|15592374429514518684</stp>
        <tr r="H543" s="2"/>
      </tp>
      <tp t="s">
        <v>#N/A N/A</v>
        <stp/>
        <stp>BDP|13723676084223285803</stp>
        <tr r="J481" s="2"/>
      </tp>
      <tp t="s">
        <v>#N/A N/A</v>
        <stp/>
        <stp>BDP|11165289912542948643</stp>
        <tr r="C1005" s="2"/>
      </tp>
      <tp t="s">
        <v>#N/A N/A</v>
        <stp/>
        <stp>BDP|11487729201326985687</stp>
        <tr r="G732" s="2"/>
      </tp>
      <tp t="s">
        <v>#N/A N/A</v>
        <stp/>
        <stp>BDP|16865589677215110701</stp>
        <tr r="O256" s="2"/>
      </tp>
      <tp t="s">
        <v>#N/A N/A</v>
        <stp/>
        <stp>BDP|11469447254926427066</stp>
        <tr r="H1400" s="2"/>
      </tp>
      <tp t="s">
        <v>#N/A N/A</v>
        <stp/>
        <stp>BDP|13328357003037380101</stp>
        <tr r="O307" s="2"/>
      </tp>
      <tp t="s">
        <v>#N/A N/A</v>
        <stp/>
        <stp>BDP|14052189479215113163</stp>
        <tr r="M1189" s="2"/>
      </tp>
      <tp t="s">
        <v>#N/A N/A</v>
        <stp/>
        <stp>BDP|16087331445412156514</stp>
        <tr r="R602" s="2"/>
      </tp>
      <tp t="s">
        <v>#N/A N/A</v>
        <stp/>
        <stp>BDP|14414079211703570014</stp>
        <tr r="N1049" s="2"/>
      </tp>
      <tp t="s">
        <v>#N/A N/A</v>
        <stp/>
        <stp>BDP|17446524770601680262</stp>
        <tr r="M28" s="2"/>
      </tp>
      <tp t="s">
        <v>#N/A N/A</v>
        <stp/>
        <stp>BDP|10180194526630925514</stp>
        <tr r="T1025" s="2"/>
      </tp>
      <tp t="s">
        <v>#N/A N/A</v>
        <stp/>
        <stp>BDP|13390572813437028611</stp>
        <tr r="J1318" s="2"/>
      </tp>
      <tp t="s">
        <v>#N/A N/A</v>
        <stp/>
        <stp>BDS|16358934683047617603</stp>
        <tr r="I788" s="2"/>
      </tp>
      <tp t="s">
        <v>#N/A N/A</v>
        <stp/>
        <stp>BDP|15557258831115181767</stp>
        <tr r="G365" s="2"/>
      </tp>
      <tp t="s">
        <v>#N/A N/A</v>
        <stp/>
        <stp>BDP|16056178880349790064</stp>
        <tr r="G1022" s="2"/>
      </tp>
      <tp t="s">
        <v>#N/A N/A</v>
        <stp/>
        <stp>BDP|18106609325073337919</stp>
        <tr r="E892" s="2"/>
      </tp>
      <tp t="s">
        <v>#N/A N/A</v>
        <stp/>
        <stp>BDP|16361245311610872381</stp>
        <tr r="Q611" s="2"/>
      </tp>
      <tp t="s">
        <v>#N/A N/A</v>
        <stp/>
        <stp>BDP|11823397187178000406</stp>
        <tr r="K539" s="2"/>
      </tp>
      <tp t="s">
        <v>#N/A N/A</v>
        <stp/>
        <stp>BDP|11786366636301493656</stp>
        <tr r="S1339" s="2"/>
      </tp>
      <tp t="s">
        <v>#N/A N/A</v>
        <stp/>
        <stp>BDP|12255037378307972467</stp>
        <tr r="F1253" s="2"/>
      </tp>
      <tp t="s">
        <v>#N/A N/A</v>
        <stp/>
        <stp>BDP|15182319576153785479</stp>
        <tr r="T226" s="2"/>
      </tp>
      <tp t="s">
        <v>#N/A N/A</v>
        <stp/>
        <stp>BDS|13748139709863029786</stp>
        <tr r="I337" s="2"/>
      </tp>
      <tp t="s">
        <v>#N/A N/A</v>
        <stp/>
        <stp>BDP|16074398966330992505</stp>
        <tr r="D1442" s="2"/>
      </tp>
      <tp t="s">
        <v>#N/A N/A</v>
        <stp/>
        <stp>BDP|10810133989218313771</stp>
        <tr r="C142" s="2"/>
      </tp>
      <tp t="s">
        <v>#N/A N/A</v>
        <stp/>
        <stp>BDP|11910236566077927435</stp>
        <tr r="P1324" s="2"/>
      </tp>
      <tp t="s">
        <v>#N/A N/A</v>
        <stp/>
        <stp>BDP|12954096956784451541</stp>
        <tr r="M372" s="2"/>
      </tp>
      <tp t="s">
        <v>#N/A N/A</v>
        <stp/>
        <stp>BDP|10258310135874489245</stp>
        <tr r="A417" s="2"/>
      </tp>
      <tp t="s">
        <v>#N/A N/A</v>
        <stp/>
        <stp>BDP|12152660665747157357</stp>
        <tr r="C515" s="2"/>
      </tp>
      <tp t="s">
        <v>#N/A N/A</v>
        <stp/>
        <stp>BDP|15053862496711565336</stp>
        <tr r="Q114" s="2"/>
      </tp>
      <tp t="s">
        <v>#N/A N/A</v>
        <stp/>
        <stp>BDP|16907560575457929551</stp>
        <tr r="R1039" s="2"/>
      </tp>
      <tp t="s">
        <v>#N/A N/A</v>
        <stp/>
        <stp>BDP|17528202971466452266</stp>
        <tr r="D1581" s="2"/>
      </tp>
      <tp t="s">
        <v>#N/A N/A</v>
        <stp/>
        <stp>BDP|14793724042507594646</stp>
        <tr r="K11" s="2"/>
      </tp>
      <tp t="s">
        <v>#N/A N/A</v>
        <stp/>
        <stp>BDP|17038775425181735533</stp>
        <tr r="D350" s="2"/>
      </tp>
      <tp t="s">
        <v>#N/A N/A</v>
        <stp/>
        <stp>BDP|10367348212933376707</stp>
        <tr r="Q1202" s="2"/>
      </tp>
      <tp t="s">
        <v>#N/A N/A</v>
        <stp/>
        <stp>BDP|16638746170025309572</stp>
        <tr r="P178" s="2"/>
      </tp>
      <tp t="s">
        <v>#N/A N/A</v>
        <stp/>
        <stp>BDP|17272775896219169641</stp>
        <tr r="R383" s="2"/>
      </tp>
      <tp t="s">
        <v>#N/A N/A</v>
        <stp/>
        <stp>BDP|16907454846520961051</stp>
        <tr r="P386" s="2"/>
      </tp>
      <tp t="s">
        <v>#N/A N/A</v>
        <stp/>
        <stp>BDS|13215344222686578242</stp>
        <tr r="I856" s="2"/>
      </tp>
      <tp t="s">
        <v>#N/A N/A</v>
        <stp/>
        <stp>BDP|16282463309987368382</stp>
        <tr r="J1630" s="2"/>
      </tp>
      <tp t="s">
        <v>#N/A N/A</v>
        <stp/>
        <stp>BDP|12567454820595155774</stp>
        <tr r="M1402" s="2"/>
      </tp>
      <tp t="s">
        <v>#N/A N/A</v>
        <stp/>
        <stp>BDP|10108374381408202535</stp>
        <tr r="T841" s="2"/>
      </tp>
      <tp t="s">
        <v>#N/A N/A</v>
        <stp/>
        <stp>BDP|15621004736673054360</stp>
        <tr r="J911" s="2"/>
      </tp>
      <tp t="s">
        <v>#N/A N/A</v>
        <stp/>
        <stp>BDP|10509582759334649240</stp>
        <tr r="D475" s="2"/>
      </tp>
      <tp t="s">
        <v>#N/A N/A</v>
        <stp/>
        <stp>BDP|17176009183459186057</stp>
        <tr r="Q773" s="2"/>
      </tp>
      <tp t="s">
        <v>#N/A N/A</v>
        <stp/>
        <stp>BDP|16891771681017050888</stp>
        <tr r="E1342" s="2"/>
      </tp>
      <tp t="s">
        <v>#N/A N/A</v>
        <stp/>
        <stp>BDP|17052160749030815411</stp>
        <tr r="P650" s="2"/>
      </tp>
      <tp t="s">
        <v>#N/A N/A</v>
        <stp/>
        <stp>BDP|15590548341027623506</stp>
        <tr r="S43" s="2"/>
      </tp>
      <tp t="s">
        <v>#N/A N/A</v>
        <stp/>
        <stp>BDP|15259434612320111647</stp>
        <tr r="C478" s="2"/>
      </tp>
      <tp t="s">
        <v>#N/A N/A</v>
        <stp/>
        <stp>BDP|12299659752421493679</stp>
        <tr r="K343" s="2"/>
      </tp>
      <tp t="s">
        <v>#N/A N/A</v>
        <stp/>
        <stp>BDP|16033458073694394730</stp>
        <tr r="H447" s="2"/>
      </tp>
      <tp t="s">
        <v>#N/A N/A</v>
        <stp/>
        <stp>BDP|14944694973004356761</stp>
        <tr r="N246" s="2"/>
      </tp>
      <tp t="s">
        <v>#N/A N/A</v>
        <stp/>
        <stp>BDP|16778525076137608537</stp>
        <tr r="C752" s="2"/>
      </tp>
      <tp t="s">
        <v>#N/A N/A</v>
        <stp/>
        <stp>BDP|14048788101052911696</stp>
        <tr r="O599" s="2"/>
      </tp>
      <tp t="s">
        <v>#N/A N/A</v>
        <stp/>
        <stp>BDP|16865981744785885953</stp>
        <tr r="R450" s="2"/>
      </tp>
      <tp t="s">
        <v>#N/A N/A</v>
        <stp/>
        <stp>BDP|13472175367897900441</stp>
        <tr r="P1536" s="2"/>
      </tp>
      <tp t="s">
        <v>#N/A N/A</v>
        <stp/>
        <stp>BDP|13404398317744229216</stp>
        <tr r="R353" s="2"/>
      </tp>
      <tp t="s">
        <v>#N/A N/A</v>
        <stp/>
        <stp>BDP|13339831381187896301</stp>
        <tr r="S176" s="2"/>
      </tp>
      <tp t="s">
        <v>#N/A N/A</v>
        <stp/>
        <stp>BDP|16753113530241686297</stp>
        <tr r="S1049" s="2"/>
      </tp>
      <tp t="s">
        <v>#N/A N/A</v>
        <stp/>
        <stp>BDP|12491360704502731485</stp>
        <tr r="P555" s="2"/>
      </tp>
      <tp t="s">
        <v>#N/A N/A</v>
        <stp/>
        <stp>BDP|13032095093848547560</stp>
        <tr r="J1029" s="2"/>
      </tp>
      <tp t="s">
        <v>#N/A N/A</v>
        <stp/>
        <stp>BDP|10322574302557623598</stp>
        <tr r="N1060" s="2"/>
      </tp>
      <tp t="s">
        <v>#N/A N/A</v>
        <stp/>
        <stp>BDS|13376199669027915406</stp>
        <tr r="I612" s="2"/>
      </tp>
      <tp t="s">
        <v>#N/A N/A</v>
        <stp/>
        <stp>BDP|11511951833408289485</stp>
        <tr r="A811" s="2"/>
      </tp>
      <tp t="s">
        <v>#N/A N/A</v>
        <stp/>
        <stp>BDP|11895205214614004153</stp>
        <tr r="E551" s="2"/>
      </tp>
      <tp t="s">
        <v>#N/A N/A</v>
        <stp/>
        <stp>BDP|15674281622451598303</stp>
        <tr r="M288" s="2"/>
      </tp>
      <tp t="s">
        <v>#N/A N/A</v>
        <stp/>
        <stp>BDP|11990496405621851344</stp>
        <tr r="Q850" s="2"/>
      </tp>
      <tp t="s">
        <v>#N/A N/A</v>
        <stp/>
        <stp>BDS|11982213924685155370</stp>
        <tr r="I1679" s="2"/>
      </tp>
      <tp t="s">
        <v>#N/A N/A</v>
        <stp/>
        <stp>BDP|17939274225927295708</stp>
        <tr r="J769" s="2"/>
      </tp>
      <tp t="s">
        <v>#N/A N/A</v>
        <stp/>
        <stp>BDP|11789597148453635497</stp>
        <tr r="K1593" s="2"/>
      </tp>
      <tp t="s">
        <v>#N/A N/A</v>
        <stp/>
        <stp>BDP|10471594852414713319</stp>
        <tr r="D1547" s="2"/>
      </tp>
      <tp t="s">
        <v>#N/A N/A</v>
        <stp/>
        <stp>BDP|15196191693038372210</stp>
        <tr r="P1146" s="2"/>
      </tp>
      <tp t="s">
        <v>#N/A N/A</v>
        <stp/>
        <stp>BDS|17358016928456315439</stp>
        <tr r="I294" s="2"/>
      </tp>
      <tp t="s">
        <v>#N/A N/A</v>
        <stp/>
        <stp>BDP|12294664533304973476</stp>
        <tr r="H1281" s="2"/>
      </tp>
      <tp t="s">
        <v>#N/A N/A</v>
        <stp/>
        <stp>BDP|14411478094947794997</stp>
        <tr r="E846" s="2"/>
      </tp>
      <tp t="s">
        <v>#N/A N/A</v>
        <stp/>
        <stp>BDP|15493137799848590221</stp>
        <tr r="G399" s="2"/>
      </tp>
      <tp t="s">
        <v>#N/A N/A</v>
        <stp/>
        <stp>BDP|12926250166845357402</stp>
        <tr r="P284" s="2"/>
      </tp>
      <tp t="s">
        <v>#N/A N/A</v>
        <stp/>
        <stp>BDP|11954516011901176310</stp>
        <tr r="P1063" s="2"/>
      </tp>
      <tp t="s">
        <v>#N/A N/A</v>
        <stp/>
        <stp>BDP|14979438323107753277</stp>
        <tr r="M520" s="2"/>
      </tp>
      <tp t="s">
        <v>#N/A N/A</v>
        <stp/>
        <stp>BDP|16084416811873024797</stp>
        <tr r="E8" s="2"/>
      </tp>
      <tp t="s">
        <v>#N/A N/A</v>
        <stp/>
        <stp>BDP|14076251339416071456</stp>
        <tr r="S32" s="2"/>
      </tp>
      <tp t="s">
        <v>#N/A N/A</v>
        <stp/>
        <stp>BDP|16541379925228759899</stp>
        <tr r="Q389" s="2"/>
      </tp>
      <tp t="s">
        <v>#N/A N/A</v>
        <stp/>
        <stp>BDP|10622500720259617993</stp>
        <tr r="N592" s="2"/>
      </tp>
      <tp t="s">
        <v>#N/A N/A</v>
        <stp/>
        <stp>BDP|13626258007051812759</stp>
        <tr r="Q868" s="2"/>
      </tp>
      <tp t="s">
        <v>#N/A N/A</v>
        <stp/>
        <stp>BDP|13392740114975217783</stp>
        <tr r="J170" s="2"/>
      </tp>
      <tp t="s">
        <v>#N/A N/A</v>
        <stp/>
        <stp>BDP|13814834298870873528</stp>
        <tr r="E1450" s="2"/>
      </tp>
      <tp t="s">
        <v>#N/A N/A</v>
        <stp/>
        <stp>BDP|12547666852264065287</stp>
        <tr r="S1448" s="2"/>
      </tp>
      <tp t="s">
        <v>#N/A N/A</v>
        <stp/>
        <stp>BDP|12385388918440211784</stp>
        <tr r="D167" s="2"/>
      </tp>
      <tp t="s">
        <v>#N/A N/A</v>
        <stp/>
        <stp>BDP|14051535317311956647</stp>
        <tr r="J594" s="2"/>
      </tp>
      <tp t="s">
        <v>#N/A N/A</v>
        <stp/>
        <stp>BDP|11664785345394653145</stp>
        <tr r="P272" s="2"/>
      </tp>
      <tp t="s">
        <v>#N/A N/A</v>
        <stp/>
        <stp>BDP|15950104063046408371</stp>
        <tr r="P1233" s="2"/>
      </tp>
      <tp t="s">
        <v>#N/A N/A</v>
        <stp/>
        <stp>BDP|18163752183390647083</stp>
        <tr r="M1673" s="2"/>
      </tp>
      <tp t="s">
        <v>#N/A N/A</v>
        <stp/>
        <stp>BDP|11341342454759839922</stp>
        <tr r="T1713" s="2"/>
      </tp>
      <tp t="s">
        <v>#N/A N/A</v>
        <stp/>
        <stp>BDP|12559577116942439398</stp>
        <tr r="J597" s="2"/>
      </tp>
      <tp t="s">
        <v>#N/A N/A</v>
        <stp/>
        <stp>BDP|12781048512603123794</stp>
        <tr r="H763" s="2"/>
      </tp>
      <tp t="s">
        <v>#N/A N/A</v>
        <stp/>
        <stp>BDP|16930169724672282004</stp>
        <tr r="P1108" s="2"/>
      </tp>
      <tp t="s">
        <v>#N/A N/A</v>
        <stp/>
        <stp>BDP|14813522550535448675</stp>
        <tr r="F684" s="2"/>
      </tp>
      <tp t="s">
        <v>#N/A N/A</v>
        <stp/>
        <stp>BDP|18220883127771061447</stp>
        <tr r="A701" s="2"/>
      </tp>
      <tp t="s">
        <v>#N/A N/A</v>
        <stp/>
        <stp>BDP|14029662699415538930</stp>
        <tr r="S630" s="2"/>
      </tp>
      <tp t="s">
        <v>#N/A N/A</v>
        <stp/>
        <stp>BDP|17127814659089278426</stp>
        <tr r="P930" s="2"/>
      </tp>
      <tp t="s">
        <v>#N/A N/A</v>
        <stp/>
        <stp>BDP|11920934620445432876</stp>
        <tr r="F1601" s="2"/>
      </tp>
      <tp t="s">
        <v>#N/A N/A</v>
        <stp/>
        <stp>BDP|10819688768296245138</stp>
        <tr r="H379" s="2"/>
      </tp>
      <tp t="s">
        <v>#N/A N/A</v>
        <stp/>
        <stp>BDP|10224707545640639486</stp>
        <tr r="P293" s="2"/>
      </tp>
      <tp t="s">
        <v>#N/A N/A</v>
        <stp/>
        <stp>BDP|14660411940962704198</stp>
        <tr r="M297" s="2"/>
      </tp>
      <tp t="s">
        <v>#N/A N/A</v>
        <stp/>
        <stp>BDP|15271248779933471427</stp>
        <tr r="K557" s="2"/>
      </tp>
      <tp t="s">
        <v>#N/A N/A</v>
        <stp/>
        <stp>BDP|13460937019588558427</stp>
        <tr r="K1481" s="2"/>
      </tp>
      <tp t="s">
        <v>#N/A N/A</v>
        <stp/>
        <stp>BDS|15275008065132904648</stp>
        <tr r="I172" s="2"/>
      </tp>
      <tp t="s">
        <v>#N/A N/A</v>
        <stp/>
        <stp>BDP|12904696223564338595</stp>
        <tr r="A1202" s="2"/>
      </tp>
      <tp t="s">
        <v>#N/A N/A</v>
        <stp/>
        <stp>BDP|18036347401319818543</stp>
        <tr r="S1405" s="2"/>
      </tp>
      <tp t="s">
        <v>#N/A N/A</v>
        <stp/>
        <stp>BDP|12343327409421731761</stp>
        <tr r="P515" s="2"/>
      </tp>
      <tp t="s">
        <v>#N/A N/A</v>
        <stp/>
        <stp>BDP|14581388851141279473</stp>
        <tr r="K988" s="2"/>
      </tp>
      <tp t="s">
        <v>#N/A N/A</v>
        <stp/>
        <stp>BDP|15626773414202966650</stp>
        <tr r="F215" s="2"/>
      </tp>
      <tp t="s">
        <v>#N/A N/A</v>
        <stp/>
        <stp>BDP|15664481127840585452</stp>
        <tr r="E1391" s="2"/>
      </tp>
      <tp t="s">
        <v>#N/A N/A</v>
        <stp/>
        <stp>BDP|17361577651857884744</stp>
        <tr r="S1338" s="2"/>
      </tp>
      <tp t="s">
        <v>#N/A N/A</v>
        <stp/>
        <stp>BDP|13545428579862735502</stp>
        <tr r="N61" s="2"/>
      </tp>
      <tp t="s">
        <v>#N/A N/A</v>
        <stp/>
        <stp>BDP|14347296404902180366</stp>
        <tr r="F938" s="2"/>
      </tp>
      <tp t="s">
        <v>#N/A N/A</v>
        <stp/>
        <stp>BDP|17150575942003524286</stp>
        <tr r="F1002" s="2"/>
      </tp>
      <tp t="s">
        <v>#N/A N/A</v>
        <stp/>
        <stp>BDP|11509483414157524454</stp>
        <tr r="D380" s="2"/>
      </tp>
      <tp t="s">
        <v>#N/A N/A</v>
        <stp/>
        <stp>BDP|17139288430433728279</stp>
        <tr r="T121" s="2"/>
      </tp>
      <tp t="s">
        <v>#N/A N/A</v>
        <stp/>
        <stp>BDP|16133981610549321031</stp>
        <tr r="H73" s="2"/>
      </tp>
      <tp t="s">
        <v>#N/A N/A</v>
        <stp/>
        <stp>BDP|13417798564454572141</stp>
        <tr r="G1231" s="2"/>
      </tp>
      <tp t="s">
        <v>#N/A N/A</v>
        <stp/>
        <stp>BDP|13309289832047807292</stp>
        <tr r="P684" s="2"/>
      </tp>
      <tp t="s">
        <v>#N/A N/A</v>
        <stp/>
        <stp>BDP|18252096253183308938</stp>
        <tr r="O1691" s="2"/>
      </tp>
      <tp t="s">
        <v>#N/A N/A</v>
        <stp/>
        <stp>BDP|13925586788661689873</stp>
        <tr r="D826" s="2"/>
      </tp>
      <tp t="s">
        <v>#N/A N/A</v>
        <stp/>
        <stp>BDP|10236566504326898406</stp>
        <tr r="E1609" s="2"/>
      </tp>
      <tp t="s">
        <v>#N/A N/A</v>
        <stp/>
        <stp>BDP|14290994790701340207</stp>
        <tr r="K1683" s="2"/>
      </tp>
      <tp t="s">
        <v>#N/A N/A</v>
        <stp/>
        <stp>BDP|16669385453680694735</stp>
        <tr r="T32" s="2"/>
      </tp>
      <tp t="s">
        <v>#N/A N/A</v>
        <stp/>
        <stp>BDP|16948478139184815274</stp>
        <tr r="T1705" s="2"/>
      </tp>
      <tp t="s">
        <v>#N/A N/A</v>
        <stp/>
        <stp>BDP|16886321545733233555</stp>
        <tr r="H825" s="2"/>
      </tp>
      <tp t="s">
        <v>#N/A N/A</v>
        <stp/>
        <stp>BDP|10300754426363190196</stp>
        <tr r="T744" s="2"/>
      </tp>
      <tp t="s">
        <v>#N/A N/A</v>
        <stp/>
        <stp>BDP|16652961848804867885</stp>
        <tr r="T1006" s="2"/>
      </tp>
      <tp t="s">
        <v>#N/A N/A</v>
        <stp/>
        <stp>BDP|17072685680149549758</stp>
        <tr r="G937" s="2"/>
      </tp>
      <tp t="s">
        <v>#N/A N/A</v>
        <stp/>
        <stp>BDP|10548088360461615036</stp>
        <tr r="K893" s="2"/>
      </tp>
      <tp t="s">
        <v>#N/A N/A</v>
        <stp/>
        <stp>BDP|13131259047032237096</stp>
        <tr r="R782" s="2"/>
      </tp>
      <tp t="s">
        <v>#N/A N/A</v>
        <stp/>
        <stp>BDP|10804911625608484400</stp>
        <tr r="F1510" s="2"/>
      </tp>
      <tp t="s">
        <v>#N/A N/A</v>
        <stp/>
        <stp>BDP|17951916757634196863</stp>
        <tr r="M981" s="2"/>
      </tp>
      <tp t="s">
        <v>#N/A N/A</v>
        <stp/>
        <stp>BDP|15321644476457049498</stp>
        <tr r="O1080" s="2"/>
      </tp>
      <tp t="s">
        <v>#N/A N/A</v>
        <stp/>
        <stp>BDP|10427192067646794651</stp>
        <tr r="F741" s="2"/>
      </tp>
      <tp t="s">
        <v>#N/A N/A</v>
        <stp/>
        <stp>BDP|10907619580051961891</stp>
        <tr r="Q564" s="2"/>
      </tp>
      <tp t="s">
        <v>#N/A N/A</v>
        <stp/>
        <stp>BDS|15267118974321488588</stp>
        <tr r="I132" s="2"/>
      </tp>
      <tp t="s">
        <v>#N/A N/A</v>
        <stp/>
        <stp>BDP|16909706070279688871</stp>
        <tr r="E1324" s="2"/>
      </tp>
      <tp t="s">
        <v>#N/A N/A</v>
        <stp/>
        <stp>BDP|10400479518765522761</stp>
        <tr r="S1145" s="2"/>
      </tp>
      <tp t="s">
        <v>#N/A N/A</v>
        <stp/>
        <stp>BDP|11998180468112272333</stp>
        <tr r="P1352" s="2"/>
      </tp>
      <tp t="s">
        <v>#N/A N/A</v>
        <stp/>
        <stp>BDP|17844875829382768897</stp>
        <tr r="K257" s="2"/>
      </tp>
      <tp t="s">
        <v>#N/A N/A</v>
        <stp/>
        <stp>BDS|12279016426282700590</stp>
        <tr r="I655" s="2"/>
      </tp>
      <tp t="s">
        <v>#N/A N/A</v>
        <stp/>
        <stp>BDP|17245467096528923537</stp>
        <tr r="G806" s="2"/>
      </tp>
      <tp t="s">
        <v>#N/A N/A</v>
        <stp/>
        <stp>BDP|12583154753784214598</stp>
        <tr r="D800" s="2"/>
      </tp>
      <tp t="s">
        <v>#N/A N/A</v>
        <stp/>
        <stp>BDP|10980205741921866080</stp>
        <tr r="Q998" s="2"/>
      </tp>
      <tp t="s">
        <v>#N/A N/A</v>
        <stp/>
        <stp>BDP|11569671701716821633</stp>
        <tr r="M997" s="2"/>
      </tp>
      <tp t="s">
        <v>#N/A N/A</v>
        <stp/>
        <stp>BDP|11983873194581362619</stp>
        <tr r="N156" s="2"/>
      </tp>
      <tp t="s">
        <v>#N/A N/A</v>
        <stp/>
        <stp>BDP|12627288824505467068</stp>
        <tr r="K1659" s="2"/>
      </tp>
      <tp t="s">
        <v>#N/A N/A</v>
        <stp/>
        <stp>BDP|16730839358819518512</stp>
        <tr r="A1121" s="2"/>
      </tp>
      <tp t="s">
        <v>#N/A N/A</v>
        <stp/>
        <stp>BDP|12359848098531694511</stp>
        <tr r="A1323" s="2"/>
      </tp>
      <tp t="s">
        <v>#N/A N/A</v>
        <stp/>
        <stp>BDP|11516566404344621796</stp>
        <tr r="G1496" s="2"/>
      </tp>
      <tp t="s">
        <v>#N/A N/A</v>
        <stp/>
        <stp>BDP|13564351360033923215</stp>
        <tr r="C1729" s="2"/>
      </tp>
      <tp t="s">
        <v>#N/A N/A</v>
        <stp/>
        <stp>BDP|16887716070678701968</stp>
        <tr r="F833" s="2"/>
      </tp>
      <tp t="s">
        <v>#N/A N/A</v>
        <stp/>
        <stp>BDP|16293494925634787314</stp>
        <tr r="S1085" s="2"/>
      </tp>
      <tp t="s">
        <v>#N/A N/A</v>
        <stp/>
        <stp>BDP|10179000272747971721</stp>
        <tr r="E96" s="2"/>
      </tp>
      <tp t="s">
        <v>#N/A N/A</v>
        <stp/>
        <stp>BDP|11088367761782969168</stp>
        <tr r="P175" s="2"/>
      </tp>
      <tp t="s">
        <v>#N/A N/A</v>
        <stp/>
        <stp>BDP|15808639144737493731</stp>
        <tr r="G869" s="2"/>
      </tp>
      <tp t="s">
        <v>#N/A N/A</v>
        <stp/>
        <stp>BDP|12112366497607107897</stp>
        <tr r="E330" s="2"/>
      </tp>
      <tp t="s">
        <v>#N/A N/A</v>
        <stp/>
        <stp>BDP|10505115698068369776</stp>
        <tr r="O342" s="2"/>
      </tp>
      <tp t="s">
        <v>#N/A N/A</v>
        <stp/>
        <stp>BDP|14596705939946512111</stp>
        <tr r="Q526" s="2"/>
      </tp>
      <tp t="s">
        <v>#N/A N/A</v>
        <stp/>
        <stp>BDP|16140164821087837566</stp>
        <tr r="C430" s="2"/>
      </tp>
      <tp t="s">
        <v>#N/A N/A</v>
        <stp/>
        <stp>BDP|13443234278126212755</stp>
        <tr r="A1461" s="2"/>
      </tp>
      <tp t="s">
        <v>#N/A N/A</v>
        <stp/>
        <stp>BDP|12274143791594764983</stp>
        <tr r="M1683" s="2"/>
      </tp>
      <tp t="s">
        <v>#N/A N/A</v>
        <stp/>
        <stp>BDP|16168364112335942641</stp>
        <tr r="F701" s="2"/>
      </tp>
      <tp t="s">
        <v>#N/A N/A</v>
        <stp/>
        <stp>BDP|16657238973975992179</stp>
        <tr r="K1667" s="2"/>
      </tp>
      <tp t="s">
        <v>#N/A N/A</v>
        <stp/>
        <stp>BDP|18114154372248955176</stp>
        <tr r="N340" s="2"/>
      </tp>
      <tp t="s">
        <v>#N/A N/A</v>
        <stp/>
        <stp>BDP|10748140722321245588</stp>
        <tr r="K440" s="2"/>
      </tp>
      <tp t="s">
        <v>#N/A N/A</v>
        <stp/>
        <stp>BDP|15414485330885264051</stp>
        <tr r="O1427" s="2"/>
      </tp>
      <tp t="s">
        <v>#N/A N/A</v>
        <stp/>
        <stp>BDP|13710562626253838048</stp>
        <tr r="M1481" s="2"/>
      </tp>
      <tp t="s">
        <v>#N/A N/A</v>
        <stp/>
        <stp>BDP|15240205805109493983</stp>
        <tr r="S57" s="2"/>
      </tp>
      <tp t="s">
        <v>#N/A N/A</v>
        <stp/>
        <stp>BDP|14460989145197039927</stp>
        <tr r="S491" s="2"/>
      </tp>
      <tp t="s">
        <v>#N/A N/A</v>
        <stp/>
        <stp>BDP|18047698325673522822</stp>
        <tr r="K705" s="2"/>
      </tp>
      <tp t="s">
        <v>#N/A N/A</v>
        <stp/>
        <stp>BDS|17198188228993140086</stp>
        <tr r="I1587" s="2"/>
      </tp>
      <tp t="s">
        <v>#N/A N/A</v>
        <stp/>
        <stp>BDP|10573197900314709209</stp>
        <tr r="R1008" s="2"/>
      </tp>
      <tp t="s">
        <v>#N/A N/A</v>
        <stp/>
        <stp>BDP|16717887481091066059</stp>
        <tr r="T1237" s="2"/>
      </tp>
      <tp t="s">
        <v>#N/A N/A</v>
        <stp/>
        <stp>BDP|10788120275037927623</stp>
        <tr r="T1211" s="2"/>
      </tp>
      <tp t="s">
        <v>#N/A N/A</v>
        <stp/>
        <stp>BDP|14452681043999300874</stp>
        <tr r="Q1591" s="2"/>
      </tp>
      <tp t="s">
        <v>#N/A N/A</v>
        <stp/>
        <stp>BDP|11832235906491288543</stp>
        <tr r="T76" s="2"/>
      </tp>
      <tp t="s">
        <v>#N/A N/A</v>
        <stp/>
        <stp>BDP|13990871094617460251</stp>
        <tr r="N555" s="2"/>
      </tp>
      <tp t="s">
        <v>#N/A N/A</v>
        <stp/>
        <stp>BDP|16284040819279120950</stp>
        <tr r="J1092" s="2"/>
      </tp>
      <tp t="s">
        <v>#N/A N/A</v>
        <stp/>
        <stp>BDP|17130468044532155293</stp>
        <tr r="T1126" s="2"/>
      </tp>
      <tp t="s">
        <v>#N/A N/A</v>
        <stp/>
        <stp>BDP|13612439554116347395</stp>
        <tr r="E1681" s="2"/>
      </tp>
      <tp t="s">
        <v>#N/A N/A</v>
        <stp/>
        <stp>BDP|15932129811771206332</stp>
        <tr r="J65" s="2"/>
      </tp>
      <tp t="s">
        <v>#N/A N/A</v>
        <stp/>
        <stp>BDP|10102444031979651997</stp>
        <tr r="K1024" s="2"/>
      </tp>
      <tp t="s">
        <v>#N/A N/A</v>
        <stp/>
        <stp>BDS|13311667553822747595</stp>
        <tr r="I1497" s="2"/>
      </tp>
      <tp t="s">
        <v>#N/A N/A</v>
        <stp/>
        <stp>BDP|10312519711162831105</stp>
        <tr r="T354" s="2"/>
      </tp>
      <tp t="s">
        <v>#N/A N/A</v>
        <stp/>
        <stp>BDP|17540748378081722150</stp>
        <tr r="C1576" s="2"/>
      </tp>
      <tp t="s">
        <v>#N/A N/A</v>
        <stp/>
        <stp>BDP|14948757104242075638</stp>
        <tr r="F1687" s="2"/>
      </tp>
      <tp t="s">
        <v>#N/A N/A</v>
        <stp/>
        <stp>BDP|15207036084483685984</stp>
        <tr r="A705" s="2"/>
      </tp>
      <tp t="s">
        <v>#N/A N/A</v>
        <stp/>
        <stp>BDP|11139639874546420193</stp>
        <tr r="E652" s="2"/>
      </tp>
      <tp t="s">
        <v>#N/A N/A</v>
        <stp/>
        <stp>BDP|17670678642634052682</stp>
        <tr r="D1201" s="2"/>
      </tp>
      <tp t="s">
        <v>#N/A N/A</v>
        <stp/>
        <stp>BDP|14943600209246803338</stp>
        <tr r="T578" s="2"/>
      </tp>
      <tp t="s">
        <v>#N/A N/A</v>
        <stp/>
        <stp>BDP|16353618307756713195</stp>
        <tr r="S1180" s="2"/>
      </tp>
      <tp t="s">
        <v>#N/A N/A</v>
        <stp/>
        <stp>BDP|12594274356650973262</stp>
        <tr r="O1715" s="2"/>
      </tp>
      <tp t="s">
        <v>#N/A N/A</v>
        <stp/>
        <stp>BDP|10195562318065153650</stp>
        <tr r="S1745" s="2"/>
      </tp>
      <tp t="s">
        <v>#N/A N/A</v>
        <stp/>
        <stp>BDP|15499826162925687993</stp>
        <tr r="H671" s="2"/>
      </tp>
      <tp t="s">
        <v>#N/A N/A</v>
        <stp/>
        <stp>BDP|13061632236226689783</stp>
        <tr r="C1079" s="2"/>
      </tp>
      <tp t="s">
        <v>#N/A N/A</v>
        <stp/>
        <stp>BDP|13809825211719598456</stp>
        <tr r="P903" s="2"/>
      </tp>
      <tp t="s">
        <v>#N/A N/A</v>
        <stp/>
        <stp>BDP|10305597560785942188</stp>
        <tr r="D876" s="2"/>
      </tp>
      <tp t="s">
        <v>#N/A N/A</v>
        <stp/>
        <stp>BDP|14090670540767952657</stp>
        <tr r="M1684" s="2"/>
      </tp>
      <tp t="s">
        <v>#N/A N/A</v>
        <stp/>
        <stp>BDP|15668425476612041392</stp>
        <tr r="P786" s="2"/>
      </tp>
      <tp t="s">
        <v>#N/A N/A</v>
        <stp/>
        <stp>BDP|16242348528796196641</stp>
        <tr r="R841" s="2"/>
      </tp>
      <tp t="s">
        <v>#N/A N/A</v>
        <stp/>
        <stp>BDP|14240507415163938452</stp>
        <tr r="H893" s="2"/>
      </tp>
      <tp t="s">
        <v>#N/A N/A</v>
        <stp/>
        <stp>BDP|16526864132463934932</stp>
        <tr r="J304" s="2"/>
      </tp>
      <tp t="s">
        <v>#N/A N/A</v>
        <stp/>
        <stp>BDP|17664413708840592417</stp>
        <tr r="H910" s="2"/>
      </tp>
      <tp t="s">
        <v>#N/A N/A</v>
        <stp/>
        <stp>BDP|18358705168406264820</stp>
        <tr r="E161" s="2"/>
      </tp>
      <tp t="s">
        <v>#N/A N/A</v>
        <stp/>
        <stp>BDP|16559976767636613886</stp>
        <tr r="S926" s="2"/>
      </tp>
      <tp t="s">
        <v>#N/A N/A</v>
        <stp/>
        <stp>BDP|10226244858476782628</stp>
        <tr r="N1137" s="2"/>
      </tp>
      <tp t="s">
        <v>#N/A N/A</v>
        <stp/>
        <stp>BDP|15359685052651109034</stp>
        <tr r="D1360" s="2"/>
      </tp>
      <tp t="s">
        <v>#N/A N/A</v>
        <stp/>
        <stp>BDP|13458795329309668897</stp>
        <tr r="K1461" s="2"/>
      </tp>
      <tp t="s">
        <v>#N/A N/A</v>
        <stp/>
        <stp>BDP|11972218723954632264</stp>
        <tr r="G8" s="2"/>
      </tp>
      <tp t="s">
        <v>#N/A N/A</v>
        <stp/>
        <stp>BDP|17966854975886089922</stp>
        <tr r="N95" s="2"/>
      </tp>
      <tp t="s">
        <v>#N/A N/A</v>
        <stp/>
        <stp>BDS|14682929459277378864</stp>
        <tr r="I1203" s="2"/>
      </tp>
      <tp t="s">
        <v>#N/A N/A</v>
        <stp/>
        <stp>BDP|10246965583053903551</stp>
        <tr r="J780" s="2"/>
      </tp>
      <tp t="s">
        <v>#N/A N/A</v>
        <stp/>
        <stp>BDP|12197612409976360514</stp>
        <tr r="G1259" s="2"/>
      </tp>
      <tp t="s">
        <v>#N/A N/A</v>
        <stp/>
        <stp>BDP|11341224732224115393</stp>
        <tr r="D338" s="2"/>
      </tp>
      <tp t="s">
        <v>#N/A N/A</v>
        <stp/>
        <stp>BDP|17367171478775277357</stp>
        <tr r="K1338" s="2"/>
      </tp>
      <tp t="s">
        <v>#N/A N/A</v>
        <stp/>
        <stp>BDP|11594092148305688797</stp>
        <tr r="R1669" s="2"/>
      </tp>
      <tp t="s">
        <v>#N/A N/A</v>
        <stp/>
        <stp>BDP|11359684253437166224</stp>
        <tr r="N28" s="2"/>
      </tp>
      <tp t="s">
        <v>#N/A N/A</v>
        <stp/>
        <stp>BDP|10720382465422762065</stp>
        <tr r="G236" s="2"/>
      </tp>
      <tp t="s">
        <v>#N/A N/A</v>
        <stp/>
        <stp>BDP|10918674103192210342</stp>
        <tr r="P1560" s="2"/>
      </tp>
      <tp t="s">
        <v>#N/A N/A</v>
        <stp/>
        <stp>BDP|13506936294781801517</stp>
        <tr r="H1314" s="2"/>
      </tp>
      <tp t="s">
        <v>#N/A N/A</v>
        <stp/>
        <stp>BDP|15963182827983528289</stp>
        <tr r="K529" s="2"/>
      </tp>
      <tp t="s">
        <v>#N/A N/A</v>
        <stp/>
        <stp>BDP|15320777775771327396</stp>
        <tr r="M1039" s="2"/>
      </tp>
      <tp t="s">
        <v>#N/A N/A</v>
        <stp/>
        <stp>BDP|10309065206234138392</stp>
        <tr r="Q424" s="2"/>
      </tp>
      <tp t="s">
        <v>#N/A N/A</v>
        <stp/>
        <stp>BDP|11676285574196209535</stp>
        <tr r="N173" s="2"/>
      </tp>
      <tp t="s">
        <v>#N/A N/A</v>
        <stp/>
        <stp>BDP|16718051238515246734</stp>
        <tr r="T1621" s="2"/>
      </tp>
      <tp t="s">
        <v>#N/A N/A</v>
        <stp/>
        <stp>BDP|17942633944340713220</stp>
        <tr r="K171" s="2"/>
      </tp>
      <tp t="s">
        <v>#N/A N/A</v>
        <stp/>
        <stp>BDP|13929946091452409635</stp>
        <tr r="Q498" s="2"/>
      </tp>
      <tp t="s">
        <v>#N/A N/A</v>
        <stp/>
        <stp>BDP|17387239033511992019</stp>
        <tr r="M1563" s="2"/>
      </tp>
      <tp t="s">
        <v>#N/A N/A</v>
        <stp/>
        <stp>BDP|16312027906183550296</stp>
        <tr r="A762" s="2"/>
      </tp>
      <tp t="s">
        <v>#N/A N/A</v>
        <stp/>
        <stp>BDP|18140378863162822874</stp>
        <tr r="A1518" s="2"/>
      </tp>
      <tp t="s">
        <v>#N/A N/A</v>
        <stp/>
        <stp>BDP|15137329960976190181</stp>
        <tr r="K1618" s="2"/>
      </tp>
      <tp t="s">
        <v>#N/A N/A</v>
        <stp/>
        <stp>BDS|16313651248780191365</stp>
        <tr r="I1168" s="2"/>
      </tp>
      <tp t="s">
        <v>#N/A N/A</v>
        <stp/>
        <stp>BDP|16309995101259450158</stp>
        <tr r="F1017" s="2"/>
      </tp>
      <tp t="s">
        <v>#N/A N/A</v>
        <stp/>
        <stp>BDP|11627588093799467331</stp>
        <tr r="O1034" s="2"/>
      </tp>
      <tp t="s">
        <v>#N/A N/A</v>
        <stp/>
        <stp>BDP|16552098504283224207</stp>
        <tr r="J1556" s="2"/>
      </tp>
      <tp t="s">
        <v>#N/A N/A</v>
        <stp/>
        <stp>BDP|14947570087006680856</stp>
        <tr r="G544" s="2"/>
      </tp>
      <tp t="s">
        <v>#N/A N/A</v>
        <stp/>
        <stp>BDP|15072398705363405226</stp>
        <tr r="C828" s="2"/>
      </tp>
      <tp t="s">
        <v>#N/A N/A</v>
        <stp/>
        <stp>BDP|12278584924492598014</stp>
        <tr r="P1513" s="2"/>
      </tp>
      <tp t="s">
        <v>#N/A N/A</v>
        <stp/>
        <stp>BDP|10895560571260744525</stp>
        <tr r="Q504" s="2"/>
      </tp>
      <tp t="s">
        <v>#N/A N/A</v>
        <stp/>
        <stp>BDP|17250659433632702793</stp>
        <tr r="D386" s="2"/>
      </tp>
      <tp t="s">
        <v>#N/A N/A</v>
        <stp/>
        <stp>BDP|16706789419325939251</stp>
        <tr r="P120" s="2"/>
      </tp>
      <tp t="s">
        <v>#N/A N/A</v>
        <stp/>
        <stp>BDP|15682396967747675046</stp>
        <tr r="C1218" s="2"/>
      </tp>
      <tp t="s">
        <v>#N/A N/A</v>
        <stp/>
        <stp>BDP|16647649827385642092</stp>
        <tr r="P623" s="2"/>
      </tp>
      <tp t="s">
        <v>#N/A N/A</v>
        <stp/>
        <stp>BDP|13445789150741131771</stp>
        <tr r="P1257" s="2"/>
      </tp>
      <tp t="s">
        <v>#N/A N/A</v>
        <stp/>
        <stp>BDP|18321899672374419466</stp>
        <tr r="G116" s="2"/>
      </tp>
      <tp t="s">
        <v>#N/A N/A</v>
        <stp/>
        <stp>BDP|15252188347945626219</stp>
        <tr r="G1171" s="2"/>
      </tp>
      <tp t="s">
        <v>#N/A N/A</v>
        <stp/>
        <stp>BDP|14943402933710392436</stp>
        <tr r="M35" s="2"/>
      </tp>
      <tp t="s">
        <v>#N/A N/A</v>
        <stp/>
        <stp>BDP|12392077951094976467</stp>
        <tr r="T823" s="2"/>
      </tp>
      <tp t="s">
        <v>#N/A N/A</v>
        <stp/>
        <stp>BDP|11120037649811827391</stp>
        <tr r="R318" s="2"/>
      </tp>
      <tp t="s">
        <v>#N/A N/A</v>
        <stp/>
        <stp>BDP|11379424862574014099</stp>
        <tr r="E9" s="2"/>
      </tp>
      <tp t="s">
        <v>#N/A N/A</v>
        <stp/>
        <stp>BDP|15286186518316117491</stp>
        <tr r="S152" s="2"/>
      </tp>
      <tp t="s">
        <v>#N/A N/A</v>
        <stp/>
        <stp>BDP|13687406398399719031</stp>
        <tr r="G633" s="2"/>
      </tp>
      <tp t="s">
        <v>#N/A N/A</v>
        <stp/>
        <stp>BDP|12685531713720471184</stp>
        <tr r="A1170" s="2"/>
      </tp>
      <tp t="s">
        <v>#N/A N/A</v>
        <stp/>
        <stp>BDP|13991857396056123310</stp>
        <tr r="H1359" s="2"/>
      </tp>
      <tp t="s">
        <v>#N/A N/A</v>
        <stp/>
        <stp>BDP|10452010605814963337</stp>
        <tr r="N956" s="2"/>
      </tp>
      <tp t="s">
        <v>#N/A N/A</v>
        <stp/>
        <stp>BDP|12430880352688009049</stp>
        <tr r="E395" s="2"/>
      </tp>
      <tp t="s">
        <v>#N/A N/A</v>
        <stp/>
        <stp>BDP|15130385871713204502</stp>
        <tr r="Q1547" s="2"/>
      </tp>
      <tp t="s">
        <v>#N/A N/A</v>
        <stp/>
        <stp>BDP|11917330309387115280</stp>
        <tr r="T882" s="2"/>
      </tp>
      <tp t="s">
        <v>#N/A N/A</v>
        <stp/>
        <stp>BDP|11968733313409320900</stp>
        <tr r="T472" s="2"/>
      </tp>
      <tp t="s">
        <v>#N/A N/A</v>
        <stp/>
        <stp>BDP|13293169105612254790</stp>
        <tr r="A598" s="2"/>
      </tp>
      <tp t="s">
        <v>#N/A N/A</v>
        <stp/>
        <stp>BDP|17085579149463022244</stp>
        <tr r="R418" s="2"/>
      </tp>
      <tp t="s">
        <v>#N/A N/A</v>
        <stp/>
        <stp>BDP|11838015217505664227</stp>
        <tr r="E1356" s="2"/>
      </tp>
      <tp t="s">
        <v>#N/A N/A</v>
        <stp/>
        <stp>BDS|13096078524941821728</stp>
        <tr r="I1524" s="2"/>
      </tp>
      <tp t="s">
        <v>#N/A N/A</v>
        <stp/>
        <stp>BDP|14291375855635818029</stp>
        <tr r="O217" s="2"/>
      </tp>
      <tp t="s">
        <v>#N/A N/A</v>
        <stp/>
        <stp>BDP|12314732856746476182</stp>
        <tr r="R62" s="2"/>
      </tp>
      <tp t="s">
        <v>#N/A N/A</v>
        <stp/>
        <stp>BDS|11612325334915859319</stp>
        <tr r="I650" s="2"/>
      </tp>
      <tp t="s">
        <v>#N/A N/A</v>
        <stp/>
        <stp>BDP|17856242156096446142</stp>
        <tr r="M438" s="2"/>
      </tp>
      <tp t="s">
        <v>#N/A N/A</v>
        <stp/>
        <stp>BDP|16272380365627232373</stp>
        <tr r="Q859" s="2"/>
      </tp>
      <tp t="s">
        <v>#N/A N/A</v>
        <stp/>
        <stp>BDP|12813625171646934280</stp>
        <tr r="T570" s="2"/>
      </tp>
      <tp t="s">
        <v>#N/A N/A</v>
        <stp/>
        <stp>BDP|10146223208855685077</stp>
        <tr r="J1480" s="2"/>
      </tp>
      <tp t="s">
        <v>#N/A N/A</v>
        <stp/>
        <stp>BDP|13916814347270536804</stp>
        <tr r="T723" s="2"/>
      </tp>
      <tp t="s">
        <v>#N/A N/A</v>
        <stp/>
        <stp>BDS|15265207099358567174</stp>
        <tr r="I980" s="2"/>
      </tp>
      <tp t="s">
        <v>#N/A N/A</v>
        <stp/>
        <stp>BDP|14589186267521428549</stp>
        <tr r="O731" s="2"/>
      </tp>
      <tp t="s">
        <v>#N/A N/A</v>
        <stp/>
        <stp>BDP|11617201289078308467</stp>
        <tr r="F246" s="2"/>
      </tp>
      <tp t="s">
        <v>#N/A N/A</v>
        <stp/>
        <stp>BDP|16941264023228715914</stp>
        <tr r="Q1340" s="2"/>
      </tp>
      <tp t="s">
        <v>#N/A N/A</v>
        <stp/>
        <stp>BDP|14121376376101226681</stp>
        <tr r="R994" s="2"/>
      </tp>
      <tp t="s">
        <v>#N/A N/A</v>
        <stp/>
        <stp>BDP|12533667040425177281</stp>
        <tr r="R800" s="2"/>
      </tp>
      <tp t="s">
        <v>#N/A N/A</v>
        <stp/>
        <stp>BDP|15958876696180630347</stp>
        <tr r="G1098" s="2"/>
      </tp>
      <tp t="s">
        <v>#N/A N/A</v>
        <stp/>
        <stp>BDP|12027417988160771946</stp>
        <tr r="M1019" s="2"/>
      </tp>
      <tp t="s">
        <v>#N/A N/A</v>
        <stp/>
        <stp>BDP|17723048110988012997</stp>
        <tr r="F1042" s="2"/>
      </tp>
      <tp t="s">
        <v>#N/A N/A</v>
        <stp/>
        <stp>BDP|14598067251781999715</stp>
        <tr r="Q840" s="2"/>
      </tp>
      <tp t="s">
        <v>#N/A N/A</v>
        <stp/>
        <stp>BDS|16534446169264568744</stp>
        <tr r="I203" s="2"/>
      </tp>
      <tp t="s">
        <v>#N/A N/A</v>
        <stp/>
        <stp>BDP|12100121524041545780</stp>
        <tr r="Q1595" s="2"/>
      </tp>
      <tp t="s">
        <v>#N/A N/A</v>
        <stp/>
        <stp>BDP|12033471670827461199</stp>
        <tr r="O1419" s="2"/>
      </tp>
      <tp t="s">
        <v>#N/A N/A</v>
        <stp/>
        <stp>BDP|11586218769073006175</stp>
        <tr r="M1214" s="2"/>
      </tp>
      <tp t="s">
        <v>#N/A N/A</v>
        <stp/>
        <stp>BDP|17951772968515845442</stp>
        <tr r="H320" s="2"/>
      </tp>
      <tp t="s">
        <v>#N/A N/A</v>
        <stp/>
        <stp>BDP|10131331460134878600</stp>
        <tr r="D574" s="2"/>
      </tp>
      <tp t="s">
        <v>#N/A N/A</v>
        <stp/>
        <stp>BDP|10407207088048457526</stp>
        <tr r="Q270" s="2"/>
      </tp>
      <tp t="s">
        <v>#N/A N/A</v>
        <stp/>
        <stp>BDP|15407390570252666410</stp>
        <tr r="P842" s="2"/>
      </tp>
      <tp t="s">
        <v>#N/A N/A</v>
        <stp/>
        <stp>BDP|14995567944640425221</stp>
        <tr r="K804" s="2"/>
      </tp>
      <tp t="s">
        <v>#N/A N/A</v>
        <stp/>
        <stp>BDP|12638712324153630388</stp>
        <tr r="E123" s="2"/>
      </tp>
      <tp t="s">
        <v>#N/A N/A</v>
        <stp/>
        <stp>BDS|17904754670531427168</stp>
        <tr r="I1171" s="2"/>
      </tp>
      <tp t="s">
        <v>#N/A N/A</v>
        <stp/>
        <stp>BDP|15332524582487612888</stp>
        <tr r="T811" s="2"/>
      </tp>
      <tp t="s">
        <v>#N/A N/A</v>
        <stp/>
        <stp>BDP|15402797857780485032</stp>
        <tr r="C936" s="2"/>
      </tp>
      <tp t="s">
        <v>#N/A N/A</v>
        <stp/>
        <stp>BDP|12840915167703150929</stp>
        <tr r="E306" s="2"/>
      </tp>
      <tp t="s">
        <v>#N/A N/A</v>
        <stp/>
        <stp>BDP|14145832182963474091</stp>
        <tr r="S1172" s="2"/>
      </tp>
      <tp t="s">
        <v>#N/A N/A</v>
        <stp/>
        <stp>BDP|17092880495510478143</stp>
        <tr r="H1404" s="2"/>
      </tp>
      <tp t="s">
        <v>#N/A N/A</v>
        <stp/>
        <stp>BDS|16132818959514012877</stp>
        <tr r="I996" s="2"/>
      </tp>
      <tp t="s">
        <v>#N/A N/A</v>
        <stp/>
        <stp>BDP|13845449048617175384</stp>
        <tr r="T184" s="2"/>
      </tp>
      <tp t="s">
        <v>#N/A N/A</v>
        <stp/>
        <stp>BDP|12592194927335197378</stp>
        <tr r="O346" s="2"/>
      </tp>
      <tp t="s">
        <v>#N/A N/A</v>
        <stp/>
        <stp>BDP|12844032395928592469</stp>
        <tr r="P1460" s="2"/>
      </tp>
      <tp t="s">
        <v>#N/A N/A</v>
        <stp/>
        <stp>BDP|16580570331406674184</stp>
        <tr r="D322" s="2"/>
      </tp>
      <tp t="s">
        <v>#N/A N/A</v>
        <stp/>
        <stp>BDP|13529956879978445206</stp>
        <tr r="P1263" s="2"/>
      </tp>
      <tp t="s">
        <v>#N/A N/A</v>
        <stp/>
        <stp>BDP|11855234272385044648</stp>
        <tr r="E918" s="2"/>
      </tp>
      <tp t="s">
        <v>#N/A N/A</v>
        <stp/>
        <stp>BDP|14065577864993833365</stp>
        <tr r="E1310" s="2"/>
      </tp>
      <tp t="s">
        <v>#N/A N/A</v>
        <stp/>
        <stp>BDP|16402185370513991487</stp>
        <tr r="G1024" s="2"/>
      </tp>
      <tp t="s">
        <v>#N/A N/A</v>
        <stp/>
        <stp>BDP|11433901811437998911</stp>
        <tr r="S675" s="2"/>
      </tp>
      <tp t="s">
        <v>#N/A N/A</v>
        <stp/>
        <stp>BDP|16362105720605787793</stp>
        <tr r="Q683" s="2"/>
      </tp>
      <tp t="s">
        <v>#N/A N/A</v>
        <stp/>
        <stp>BDP|13121490466120297617</stp>
        <tr r="Q1329" s="2"/>
      </tp>
      <tp t="s">
        <v>#N/A N/A</v>
        <stp/>
        <stp>BDP|12640389392658665770</stp>
        <tr r="F136" s="2"/>
      </tp>
      <tp t="s">
        <v>#N/A N/A</v>
        <stp/>
        <stp>BDP|12765281731135383103</stp>
        <tr r="P404" s="2"/>
      </tp>
      <tp t="s">
        <v>#N/A N/A</v>
        <stp/>
        <stp>BDP|14803036357406582047</stp>
        <tr r="K1599" s="2"/>
      </tp>
      <tp t="s">
        <v>#N/A N/A</v>
        <stp/>
        <stp>BDP|14860528670522328345</stp>
        <tr r="R2" s="2"/>
      </tp>
      <tp t="s">
        <v>#N/A N/A</v>
        <stp/>
        <stp>BDP|11900401055605831298</stp>
        <tr r="K1565" s="2"/>
      </tp>
      <tp t="s">
        <v>#N/A N/A</v>
        <stp/>
        <stp>BDP|17968175056722475610</stp>
        <tr r="H505" s="2"/>
      </tp>
      <tp t="s">
        <v>#N/A N/A</v>
        <stp/>
        <stp>BDP|12917923045131222912</stp>
        <tr r="H1516" s="2"/>
      </tp>
      <tp t="s">
        <v>#N/A N/A</v>
        <stp/>
        <stp>BDP|15081476586917963952</stp>
        <tr r="M878" s="2"/>
      </tp>
      <tp t="s">
        <v>#N/A N/A</v>
        <stp/>
        <stp>BDP|13754245658706623506</stp>
        <tr r="T1057" s="2"/>
      </tp>
      <tp t="s">
        <v>#N/A N/A</v>
        <stp/>
        <stp>BDP|11774740430365736794</stp>
        <tr r="E979" s="2"/>
      </tp>
      <tp t="s">
        <v>#N/A N/A</v>
        <stp/>
        <stp>BDP|10928142113173154426</stp>
        <tr r="D1186" s="2"/>
      </tp>
      <tp t="s">
        <v>#N/A N/A</v>
        <stp/>
        <stp>BDP|10220042073464848401</stp>
        <tr r="T1084" s="2"/>
      </tp>
      <tp t="s">
        <v>#N/A N/A</v>
        <stp/>
        <stp>BDP|11223127222717679294</stp>
        <tr r="R553" s="2"/>
      </tp>
      <tp t="s">
        <v>#N/A N/A</v>
        <stp/>
        <stp>BDP|13547680263537763346</stp>
        <tr r="H139" s="2"/>
      </tp>
      <tp t="s">
        <v>#N/A N/A</v>
        <stp/>
        <stp>BDP|11931352200461408455</stp>
        <tr r="C448" s="2"/>
      </tp>
      <tp t="s">
        <v>#N/A N/A</v>
        <stp/>
        <stp>BDP|16807505047992157239</stp>
        <tr r="S1482" s="2"/>
      </tp>
      <tp t="s">
        <v>#N/A N/A</v>
        <stp/>
        <stp>BDP|13072209256496892533</stp>
        <tr r="R1261" s="2"/>
      </tp>
      <tp t="s">
        <v>#N/A N/A</v>
        <stp/>
        <stp>BDP|10804865551822589875</stp>
        <tr r="E309" s="2"/>
      </tp>
      <tp t="s">
        <v>#N/A N/A</v>
        <stp/>
        <stp>BDP|16630355030726878766</stp>
        <tr r="K623" s="2"/>
      </tp>
      <tp t="s">
        <v>#N/A N/A</v>
        <stp/>
        <stp>BDP|14973363751041335407</stp>
        <tr r="K753" s="2"/>
      </tp>
      <tp t="s">
        <v>#N/A N/A</v>
        <stp/>
        <stp>BDP|14821200310798068853</stp>
        <tr r="P216" s="2"/>
      </tp>
      <tp t="s">
        <v>#N/A N/A</v>
        <stp/>
        <stp>BDP|12266354320031935536</stp>
        <tr r="R692" s="2"/>
      </tp>
      <tp t="s">
        <v>#N/A N/A</v>
        <stp/>
        <stp>BDP|16960590398169756425</stp>
        <tr r="E378" s="2"/>
      </tp>
      <tp t="s">
        <v>#N/A N/A</v>
        <stp/>
        <stp>BDP|17342464638057612066</stp>
        <tr r="S1301" s="2"/>
      </tp>
      <tp t="s">
        <v>#N/A N/A</v>
        <stp/>
        <stp>BDP|15629449973567414688</stp>
        <tr r="C1028" s="2"/>
      </tp>
      <tp t="s">
        <v>#N/A N/A</v>
        <stp/>
        <stp>BDP|12226265074981982140</stp>
        <tr r="E521" s="2"/>
      </tp>
      <tp t="s">
        <v>#N/A N/A</v>
        <stp/>
        <stp>BDP|15233390795631759946</stp>
        <tr r="E1729" s="2"/>
      </tp>
      <tp t="s">
        <v>#N/A N/A</v>
        <stp/>
        <stp>BDP|16006983220153148940</stp>
        <tr r="C473" s="2"/>
      </tp>
      <tp t="s">
        <v>#N/A N/A</v>
        <stp/>
        <stp>BDP|14924107903031743304</stp>
        <tr r="H235" s="2"/>
      </tp>
      <tp t="s">
        <v>#N/A N/A</v>
        <stp/>
        <stp>BDP|10886725564722168429</stp>
        <tr r="S1755" s="2"/>
      </tp>
      <tp t="s">
        <v>#N/A N/A</v>
        <stp/>
        <stp>BDP|12348459239785277708</stp>
        <tr r="J1578" s="2"/>
      </tp>
      <tp t="s">
        <v>#N/A N/A</v>
        <stp/>
        <stp>BDP|15304596246374645774</stp>
        <tr r="G14" s="2"/>
      </tp>
      <tp t="s">
        <v>#N/A N/A</v>
        <stp/>
        <stp>BDP|11398806700418889666</stp>
        <tr r="C1297" s="2"/>
      </tp>
      <tp t="s">
        <v>#N/A N/A</v>
        <stp/>
        <stp>BDP|15877920139188923070</stp>
        <tr r="S835" s="2"/>
      </tp>
      <tp t="s">
        <v>#N/A N/A</v>
        <stp/>
        <stp>BDP|16236997495439602854</stp>
        <tr r="R67" s="2"/>
      </tp>
      <tp t="s">
        <v>#N/A N/A</v>
        <stp/>
        <stp>BDP|18004368299384289118</stp>
        <tr r="T1150" s="2"/>
      </tp>
      <tp t="s">
        <v>#N/A N/A</v>
        <stp/>
        <stp>BDS|16567185113893441255</stp>
        <tr r="I1127" s="2"/>
      </tp>
      <tp t="s">
        <v>#N/A N/A</v>
        <stp/>
        <stp>BDP|15734389550637710347</stp>
        <tr r="S1447" s="2"/>
      </tp>
      <tp t="s">
        <v>#N/A N/A</v>
        <stp/>
        <stp>BDP|12173849283600255584</stp>
        <tr r="G1075" s="2"/>
      </tp>
      <tp t="s">
        <v>#N/A N/A</v>
        <stp/>
        <stp>BDP|12672277404863914400</stp>
        <tr r="R1142" s="2"/>
      </tp>
      <tp t="s">
        <v>#N/A N/A</v>
        <stp/>
        <stp>BDP|15131385621914739734</stp>
        <tr r="E574" s="2"/>
      </tp>
      <tp t="s">
        <v>#N/A N/A</v>
        <stp/>
        <stp>BDP|11149865208706675859</stp>
        <tr r="R1328" s="2"/>
      </tp>
      <tp t="s">
        <v>#N/A N/A</v>
        <stp/>
        <stp>BDP|10280786740266648200</stp>
        <tr r="M1507" s="2"/>
      </tp>
      <tp t="s">
        <v>#N/A N/A</v>
        <stp/>
        <stp>BDP|15751284208874961427</stp>
        <tr r="O851" s="2"/>
      </tp>
      <tp t="s">
        <v>#N/A N/A</v>
        <stp/>
        <stp>BDS|18446203212694198880</stp>
        <tr r="I197" s="2"/>
      </tp>
      <tp t="s">
        <v>#N/A N/A</v>
        <stp/>
        <stp>BDP|15658084965442153668</stp>
        <tr r="P389" s="2"/>
      </tp>
      <tp t="s">
        <v>#N/A N/A</v>
        <stp/>
        <stp>BDP|16924648238894183085</stp>
        <tr r="Q824" s="2"/>
      </tp>
      <tp t="s">
        <v>#N/A N/A</v>
        <stp/>
        <stp>BDP|12352574492190878928</stp>
        <tr r="K20" s="2"/>
      </tp>
      <tp t="s">
        <v>#N/A N/A</v>
        <stp/>
        <stp>BDP|13065956986001760488</stp>
        <tr r="D485" s="2"/>
      </tp>
      <tp t="s">
        <v>#N/A N/A</v>
        <stp/>
        <stp>BDP|12358339163513863371</stp>
        <tr r="E1352" s="2"/>
      </tp>
      <tp t="s">
        <v>#N/A N/A</v>
        <stp/>
        <stp>BDP|14524848288117200475</stp>
        <tr r="E1565" s="2"/>
      </tp>
      <tp t="s">
        <v>#N/A N/A</v>
        <stp/>
        <stp>BDP|17713864630619985245</stp>
        <tr r="N517" s="2"/>
      </tp>
      <tp t="s">
        <v>#N/A N/A</v>
        <stp/>
        <stp>BDP|15108192612881528335</stp>
        <tr r="G464" s="2"/>
      </tp>
      <tp t="s">
        <v>#N/A N/A</v>
        <stp/>
        <stp>BDP|11084877765920628889</stp>
        <tr r="K955" s="2"/>
      </tp>
      <tp t="s">
        <v>#N/A N/A</v>
        <stp/>
        <stp>BDS|17280666349672302015</stp>
        <tr r="I1208" s="2"/>
      </tp>
      <tp t="s">
        <v>#N/A N/A</v>
        <stp/>
        <stp>BDS|10002495275502292614</stp>
        <tr r="I1720" s="2"/>
      </tp>
      <tp t="s">
        <v>#N/A N/A</v>
        <stp/>
        <stp>BDP|16177151589681150909</stp>
        <tr r="T894" s="2"/>
      </tp>
      <tp t="s">
        <v>#N/A N/A</v>
        <stp/>
        <stp>BDP|16007121534143297085</stp>
        <tr r="O10" s="2"/>
      </tp>
      <tp t="s">
        <v>#N/A N/A</v>
        <stp/>
        <stp>BDP|17567693662437241709</stp>
        <tr r="F755" s="2"/>
      </tp>
      <tp t="s">
        <v>#N/A N/A</v>
        <stp/>
        <stp>BDP|16154762346450475297</stp>
        <tr r="P57" s="2"/>
      </tp>
      <tp t="s">
        <v>#N/A N/A</v>
        <stp/>
        <stp>BDP|13922752114411673320</stp>
        <tr r="K1672" s="2"/>
      </tp>
      <tp t="s">
        <v>#N/A N/A</v>
        <stp/>
        <stp>BDP|16303655042562117192</stp>
        <tr r="N901" s="2"/>
      </tp>
      <tp t="s">
        <v>#N/A N/A</v>
        <stp/>
        <stp>BDP|11896211607966108233</stp>
        <tr r="P864" s="2"/>
      </tp>
      <tp t="s">
        <v>#N/A N/A</v>
        <stp/>
        <stp>BDP|10112481744261369626</stp>
        <tr r="N1477" s="2"/>
      </tp>
      <tp t="s">
        <v>#N/A N/A</v>
        <stp/>
        <stp>BDP|15500795127512623510</stp>
        <tr r="H288" s="2"/>
      </tp>
      <tp t="s">
        <v>#N/A N/A</v>
        <stp/>
        <stp>BDP|17504243552775924264</stp>
        <tr r="J843" s="2"/>
      </tp>
      <tp t="s">
        <v>#N/A N/A</v>
        <stp/>
        <stp>BDP|13038323684018343795</stp>
        <tr r="C18" s="2"/>
      </tp>
      <tp t="s">
        <v>#N/A N/A</v>
        <stp/>
        <stp>BDP|13352334999629737725</stp>
        <tr r="K733" s="2"/>
      </tp>
      <tp t="s">
        <v>#N/A N/A</v>
        <stp/>
        <stp>BDP|14368322786368340082</stp>
        <tr r="K1589" s="2"/>
      </tp>
      <tp t="s">
        <v>#N/A N/A</v>
        <stp/>
        <stp>BDP|15945341252200642452</stp>
        <tr r="G243" s="2"/>
      </tp>
      <tp t="s">
        <v>#N/A N/A</v>
        <stp/>
        <stp>BDS|14143986222060230860</stp>
        <tr r="I1082" s="2"/>
      </tp>
      <tp t="s">
        <v>#N/A N/A</v>
        <stp/>
        <stp>BDP|12494631876960957444</stp>
        <tr r="H570" s="2"/>
      </tp>
      <tp t="s">
        <v>#N/A N/A</v>
        <stp/>
        <stp>BDP|14196921899863667006</stp>
        <tr r="P328" s="2"/>
      </tp>
      <tp t="s">
        <v>#N/A N/A</v>
        <stp/>
        <stp>BDP|17616835279988755778</stp>
        <tr r="N720" s="2"/>
      </tp>
      <tp t="s">
        <v>#N/A N/A</v>
        <stp/>
        <stp>BDP|14382500799059204648</stp>
        <tr r="O872" s="2"/>
      </tp>
      <tp t="s">
        <v>#N/A N/A</v>
        <stp/>
        <stp>BDP|13165030949466748606</stp>
        <tr r="O876" s="2"/>
      </tp>
      <tp t="s">
        <v>#N/A N/A</v>
        <stp/>
        <stp>BDP|10849772062643568541</stp>
        <tr r="R375" s="2"/>
      </tp>
      <tp t="s">
        <v>#N/A N/A</v>
        <stp/>
        <stp>BDP|15413751259537033741</stp>
        <tr r="O1467" s="2"/>
      </tp>
      <tp t="s">
        <v>#N/A N/A</v>
        <stp/>
        <stp>BDS|13709100188369642461</stp>
        <tr r="I293" s="2"/>
      </tp>
      <tp t="s">
        <v>#N/A N/A</v>
        <stp/>
        <stp>BDP|10251883583622079551</stp>
        <tr r="F1346" s="2"/>
      </tp>
      <tp t="s">
        <v>#N/A N/A</v>
        <stp/>
        <stp>BDS|14897052756883401505</stp>
        <tr r="I919" s="2"/>
      </tp>
      <tp t="s">
        <v>#N/A N/A</v>
        <stp/>
        <stp>BDP|17504622948783203113</stp>
        <tr r="K1076" s="2"/>
      </tp>
      <tp t="s">
        <v>#N/A N/A</v>
        <stp/>
        <stp>BDP|18041241379642769860</stp>
        <tr r="F1152" s="2"/>
      </tp>
      <tp t="s">
        <v>#N/A N/A</v>
        <stp/>
        <stp>BDP|13024155324692840550</stp>
        <tr r="Q1109" s="2"/>
      </tp>
      <tp t="s">
        <v>#N/A N/A</v>
        <stp/>
        <stp>BDP|15605685125407663112</stp>
        <tr r="O1543" s="2"/>
      </tp>
      <tp t="s">
        <v>#N/A N/A</v>
        <stp/>
        <stp>BDP|12075509508349716939</stp>
        <tr r="G115" s="2"/>
      </tp>
      <tp t="s">
        <v>#N/A N/A</v>
        <stp/>
        <stp>BDP|11404491314485313660</stp>
        <tr r="C1642" s="2"/>
      </tp>
      <tp t="s">
        <v>#N/A N/A</v>
        <stp/>
        <stp>BDP|12625916936166475996</stp>
        <tr r="G244" s="2"/>
      </tp>
      <tp t="s">
        <v>#N/A N/A</v>
        <stp/>
        <stp>BDP|11284052906840817657</stp>
        <tr r="K748" s="2"/>
      </tp>
      <tp t="s">
        <v>#N/A N/A</v>
        <stp/>
        <stp>BDP|10155386244041444153</stp>
        <tr r="P1086" s="2"/>
      </tp>
      <tp t="s">
        <v>#N/A N/A</v>
        <stp/>
        <stp>BDP|11203932388174266371</stp>
        <tr r="E1407" s="2"/>
      </tp>
      <tp t="s">
        <v>#N/A N/A</v>
        <stp/>
        <stp>BDP|12336002016840208482</stp>
        <tr r="A369" s="2"/>
      </tp>
      <tp t="s">
        <v>#N/A N/A</v>
        <stp/>
        <stp>BDP|16676766156717048498</stp>
        <tr r="C245" s="2"/>
      </tp>
      <tp t="s">
        <v>#N/A N/A</v>
        <stp/>
        <stp>BDS|12871471878910363683</stp>
        <tr r="I1345" s="2"/>
      </tp>
      <tp t="s">
        <v>#N/A N/A</v>
        <stp/>
        <stp>BDP|16697720859283080029</stp>
        <tr r="N1605" s="2"/>
      </tp>
      <tp t="s">
        <v>#N/A N/A</v>
        <stp/>
        <stp>BDP|14985702116250270525</stp>
        <tr r="T265" s="2"/>
      </tp>
      <tp t="s">
        <v>#N/A N/A</v>
        <stp/>
        <stp>BDP|10620830334825712991</stp>
        <tr r="P994" s="2"/>
      </tp>
      <tp t="s">
        <v>#N/A N/A</v>
        <stp/>
        <stp>BDP|15099100644147938021</stp>
        <tr r="K223" s="2"/>
      </tp>
      <tp t="s">
        <v>#N/A N/A</v>
        <stp/>
        <stp>BDP|16150315762612985644</stp>
        <tr r="T1090" s="2"/>
      </tp>
      <tp t="s">
        <v>#N/A N/A</v>
        <stp/>
        <stp>BDP|11899017910072643503</stp>
        <tr r="R1145" s="2"/>
      </tp>
      <tp t="s">
        <v>#N/A N/A</v>
        <stp/>
        <stp>BDP|12810055967677489413</stp>
        <tr r="O698" s="2"/>
      </tp>
      <tp t="s">
        <v>#N/A N/A</v>
        <stp/>
        <stp>BDP|10941304789979672597</stp>
        <tr r="O747" s="2"/>
      </tp>
      <tp t="s">
        <v>#N/A N/A</v>
        <stp/>
        <stp>BDP|13481752789553620814</stp>
        <tr r="J1623" s="2"/>
      </tp>
      <tp t="s">
        <v>#N/A N/A</v>
        <stp/>
        <stp>BDS|15642373508811455013</stp>
        <tr r="I1148" s="2"/>
      </tp>
      <tp t="s">
        <v>#N/A N/A</v>
        <stp/>
        <stp>BDP|11134179902222315581</stp>
        <tr r="S883" s="2"/>
      </tp>
      <tp t="s">
        <v>#N/A N/A</v>
        <stp/>
        <stp>BDP|11221499535137822690</stp>
        <tr r="J1083" s="2"/>
      </tp>
      <tp t="s">
        <v>#N/A N/A</v>
        <stp/>
        <stp>BDP|16367197020101313369</stp>
        <tr r="F1667" s="2"/>
      </tp>
      <tp t="s">
        <v>#N/A N/A</v>
        <stp/>
        <stp>BDP|13403783574026634218</stp>
        <tr r="N429" s="2"/>
      </tp>
      <tp t="s">
        <v>#N/A N/A</v>
        <stp/>
        <stp>BDP|10747598914276355564</stp>
        <tr r="K404" s="2"/>
      </tp>
      <tp t="s">
        <v>#N/A N/A</v>
        <stp/>
        <stp>BDP|17409296445886639012</stp>
        <tr r="T164" s="2"/>
      </tp>
      <tp t="s">
        <v>#N/A N/A</v>
        <stp/>
        <stp>BDP|14606607600730969509</stp>
        <tr r="Q303" s="2"/>
      </tp>
      <tp t="s">
        <v>#N/A N/A</v>
        <stp/>
        <stp>BDP|13969503707883452257</stp>
        <tr r="F1075" s="2"/>
      </tp>
      <tp t="s">
        <v>#N/A N/A</v>
        <stp/>
        <stp>BDP|14674237758725219108</stp>
        <tr r="N1372" s="2"/>
      </tp>
      <tp t="s">
        <v>#N/A N/A</v>
        <stp/>
        <stp>BDP|17036398830527644704</stp>
        <tr r="D1265" s="2"/>
      </tp>
      <tp t="s">
        <v>#N/A N/A</v>
        <stp/>
        <stp>BDP|16615635568454092527</stp>
        <tr r="Q1714" s="2"/>
      </tp>
      <tp t="s">
        <v>#N/A N/A</v>
        <stp/>
        <stp>BDP|12657545935804121797</stp>
        <tr r="J1431" s="2"/>
      </tp>
      <tp t="s">
        <v>#N/A N/A</v>
        <stp/>
        <stp>BDP|14884091708321565231</stp>
        <tr r="G1521" s="2"/>
      </tp>
      <tp t="s">
        <v>#N/A N/A</v>
        <stp/>
        <stp>BDP|13342033021655956379</stp>
        <tr r="F971" s="2"/>
      </tp>
      <tp t="s">
        <v>#N/A N/A</v>
        <stp/>
        <stp>BDP|16901331402347260559</stp>
        <tr r="E1044" s="2"/>
      </tp>
      <tp t="s">
        <v>#N/A N/A</v>
        <stp/>
        <stp>BDP|11933716508902703380</stp>
        <tr r="H681" s="2"/>
      </tp>
      <tp t="s">
        <v>#N/A N/A</v>
        <stp/>
        <stp>BDP|13250377307405895253</stp>
        <tr r="O1556" s="2"/>
      </tp>
      <tp t="s">
        <v>#N/A N/A</v>
        <stp/>
        <stp>BDP|12606685436975668519</stp>
        <tr r="O469" s="2"/>
      </tp>
      <tp t="s">
        <v>#N/A N/A</v>
        <stp/>
        <stp>BDP|12724760505683233194</stp>
        <tr r="O175" s="2"/>
      </tp>
      <tp t="s">
        <v>#N/A N/A</v>
        <stp/>
        <stp>BDP|17180015048701385541</stp>
        <tr r="A155" s="2"/>
      </tp>
      <tp t="s">
        <v>#N/A N/A</v>
        <stp/>
        <stp>BDP|10429245945405391499</stp>
        <tr r="K1263" s="2"/>
      </tp>
      <tp t="s">
        <v>#N/A N/A</v>
        <stp/>
        <stp>BDP|15438173428485635424</stp>
        <tr r="H1748" s="2"/>
      </tp>
      <tp t="s">
        <v>#N/A N/A</v>
        <stp/>
        <stp>BDP|11675395320730418746</stp>
        <tr r="D1226" s="2"/>
      </tp>
      <tp t="s">
        <v>#N/A N/A</v>
        <stp/>
        <stp>BDP|11912839703608683604</stp>
        <tr r="P772" s="2"/>
      </tp>
      <tp t="s">
        <v>#N/A N/A</v>
        <stp/>
        <stp>BDP|14346120261401669597</stp>
        <tr r="O598" s="2"/>
      </tp>
      <tp t="s">
        <v>#N/A N/A</v>
        <stp/>
        <stp>BDP|15600907138521229931</stp>
        <tr r="R1379" s="2"/>
      </tp>
      <tp t="s">
        <v>#N/A N/A</v>
        <stp/>
        <stp>BDP|10741100605793877554</stp>
        <tr r="N324" s="2"/>
      </tp>
      <tp t="s">
        <v>#N/A N/A</v>
        <stp/>
        <stp>BDP|17410123833081235381</stp>
        <tr r="C102" s="2"/>
      </tp>
      <tp t="s">
        <v>#N/A N/A</v>
        <stp/>
        <stp>BDP|14067769666515980762</stp>
        <tr r="A1570" s="2"/>
      </tp>
      <tp t="s">
        <v>#N/A N/A</v>
        <stp/>
        <stp>BDP|18289022126339187486</stp>
        <tr r="R1346" s="2"/>
      </tp>
      <tp t="s">
        <v>#N/A N/A</v>
        <stp/>
        <stp>BDP|14393628848937583637</stp>
        <tr r="A916" s="2"/>
      </tp>
      <tp t="s">
        <v>#N/A N/A</v>
        <stp/>
        <stp>BDP|11951814383573562515</stp>
        <tr r="A234" s="2"/>
      </tp>
      <tp t="s">
        <v>#N/A N/A</v>
        <stp/>
        <stp>BDP|18074157195160645792</stp>
        <tr r="D730" s="2"/>
      </tp>
      <tp t="s">
        <v>#N/A N/A</v>
        <stp/>
        <stp>BDP|11519460907674856635</stp>
        <tr r="C1105" s="2"/>
      </tp>
      <tp t="s">
        <v>#N/A N/A</v>
        <stp/>
        <stp>BDP|12430849216945837917</stp>
        <tr r="T1016" s="2"/>
      </tp>
      <tp t="s">
        <v>#N/A N/A</v>
        <stp/>
        <stp>BDP|16653641963867722698</stp>
        <tr r="A1665" s="2"/>
      </tp>
      <tp t="s">
        <v>#N/A N/A</v>
        <stp/>
        <stp>BDP|12670574706877998714</stp>
        <tr r="P112" s="2"/>
      </tp>
      <tp t="s">
        <v>#N/A N/A</v>
        <stp/>
        <stp>BDP|11577526578690160417</stp>
        <tr r="D1033" s="2"/>
      </tp>
      <tp t="s">
        <v>#N/A N/A</v>
        <stp/>
        <stp>BDP|14889739021654697238</stp>
        <tr r="R811" s="2"/>
      </tp>
      <tp t="s">
        <v>#N/A N/A</v>
        <stp/>
        <stp>BDP|13474059018495348058</stp>
        <tr r="E1389" s="2"/>
      </tp>
      <tp t="s">
        <v>#N/A N/A</v>
        <stp/>
        <stp>BDP|14882795868970096268</stp>
        <tr r="M678" s="2"/>
      </tp>
      <tp t="s">
        <v>#N/A N/A</v>
        <stp/>
        <stp>BDP|14715705458435476442</stp>
        <tr r="C62" s="2"/>
      </tp>
      <tp t="s">
        <v>#N/A N/A</v>
        <stp/>
        <stp>BDP|11856433035593058213</stp>
        <tr r="K395" s="2"/>
      </tp>
      <tp t="s">
        <v>#N/A N/A</v>
        <stp/>
        <stp>BDP|14318480269553498298</stp>
        <tr r="S927" s="2"/>
      </tp>
      <tp t="s">
        <v>#N/A N/A</v>
        <stp/>
        <stp>BDP|13404461064624970205</stp>
        <tr r="Q533" s="2"/>
      </tp>
      <tp t="s">
        <v>#N/A N/A</v>
        <stp/>
        <stp>BDP|14902378147765193173</stp>
        <tr r="N1267" s="2"/>
      </tp>
      <tp t="s">
        <v>#N/A N/A</v>
        <stp/>
        <stp>BDP|15413428038284088116</stp>
        <tr r="J1043" s="2"/>
      </tp>
      <tp t="s">
        <v>#N/A N/A</v>
        <stp/>
        <stp>BDP|10845368229085082380</stp>
        <tr r="S1360" s="2"/>
      </tp>
      <tp t="s">
        <v>#N/A N/A</v>
        <stp/>
        <stp>BDP|15085796830905174374</stp>
        <tr r="H303" s="2"/>
      </tp>
      <tp t="s">
        <v>#N/A N/A</v>
        <stp/>
        <stp>BDP|17292868722702061894</stp>
        <tr r="J129" s="2"/>
      </tp>
      <tp t="s">
        <v>#N/A N/A</v>
        <stp/>
        <stp>BDP|11090437204170132298</stp>
        <tr r="S374" s="2"/>
      </tp>
      <tp t="s">
        <v>#N/A N/A</v>
        <stp/>
        <stp>BDP|15716310868556395136</stp>
        <tr r="O333" s="2"/>
      </tp>
      <tp t="s">
        <v>#N/A N/A</v>
        <stp/>
        <stp>BDP|10848109021025523124</stp>
        <tr r="J1728" s="2"/>
      </tp>
      <tp t="s">
        <v>#N/A N/A</v>
        <stp/>
        <stp>BDP|13087595583539224061</stp>
        <tr r="J1422" s="2"/>
      </tp>
      <tp t="s">
        <v>#N/A N/A</v>
        <stp/>
        <stp>BDP|13782010738007333030</stp>
        <tr r="P602" s="2"/>
      </tp>
      <tp t="s">
        <v>#N/A N/A</v>
        <stp/>
        <stp>BDP|18385532330138726192</stp>
        <tr r="K239" s="2"/>
      </tp>
      <tp t="s">
        <v>#N/A N/A</v>
        <stp/>
        <stp>BDP|12811141520026489062</stp>
        <tr r="Q838" s="2"/>
      </tp>
      <tp t="s">
        <v>#N/A N/A</v>
        <stp/>
        <stp>BDP|11847090528090289456</stp>
        <tr r="K455" s="2"/>
      </tp>
      <tp t="s">
        <v>#N/A N/A</v>
        <stp/>
        <stp>BDP|17972236838172400389</stp>
        <tr r="K502" s="2"/>
      </tp>
      <tp t="s">
        <v>#N/A N/A</v>
        <stp/>
        <stp>BDP|13119796707915750662</stp>
        <tr r="K783" s="2"/>
      </tp>
      <tp t="s">
        <v>#N/A N/A</v>
        <stp/>
        <stp>BDP|12954505311024718519</stp>
        <tr r="C781" s="2"/>
      </tp>
      <tp t="s">
        <v>#N/A N/A</v>
        <stp/>
        <stp>BDP|16109270049454044318</stp>
        <tr r="G701" s="2"/>
      </tp>
      <tp t="s">
        <v>#N/A N/A</v>
        <stp/>
        <stp>BDP|14304440009191187611</stp>
        <tr r="D1457" s="2"/>
      </tp>
      <tp t="s">
        <v>#N/A N/A</v>
        <stp/>
        <stp>BDP|12714169482984865858</stp>
        <tr r="C795" s="2"/>
      </tp>
      <tp t="s">
        <v>#N/A N/A</v>
        <stp/>
        <stp>BDP|16325041319303885387</stp>
        <tr r="J380" s="2"/>
      </tp>
      <tp t="s">
        <v>#N/A N/A</v>
        <stp/>
        <stp>BDP|11901642753170079509</stp>
        <tr r="E1464" s="2"/>
      </tp>
      <tp t="s">
        <v>#N/A N/A</v>
        <stp/>
        <stp>BDP|14487754572465433696</stp>
        <tr r="R1719" s="2"/>
      </tp>
      <tp t="s">
        <v>#N/A N/A</v>
        <stp/>
        <stp>BDP|13078201279110406134</stp>
        <tr r="E678" s="2"/>
      </tp>
      <tp t="s">
        <v>#N/A N/A</v>
        <stp/>
        <stp>BDP|12773429849440683541</stp>
        <tr r="A128" s="2"/>
      </tp>
      <tp t="s">
        <v>#N/A N/A</v>
        <stp/>
        <stp>BDP|11786303150849151985</stp>
        <tr r="M121" s="2"/>
      </tp>
      <tp t="s">
        <v>#N/A N/A</v>
        <stp/>
        <stp>BDP|11213892185215922391</stp>
        <tr r="K959" s="2"/>
      </tp>
      <tp t="s">
        <v>#N/A N/A</v>
        <stp/>
        <stp>BDP|10244732586369877110</stp>
        <tr r="S122" s="2"/>
      </tp>
      <tp t="s">
        <v>#N/A N/A</v>
        <stp/>
        <stp>BDP|11505183333087032301</stp>
        <tr r="R1200" s="2"/>
      </tp>
      <tp t="s">
        <v>#N/A N/A</v>
        <stp/>
        <stp>BDS|11954072103794500251</stp>
        <tr r="I1617" s="2"/>
      </tp>
      <tp t="s">
        <v>#N/A N/A</v>
        <stp/>
        <stp>BDP|13584317159634318609</stp>
        <tr r="Q212" s="2"/>
      </tp>
      <tp t="s">
        <v>#N/A N/A</v>
        <stp/>
        <stp>BDP|10879115822741771523</stp>
        <tr r="N927" s="2"/>
      </tp>
      <tp t="s">
        <v>#N/A N/A</v>
        <stp/>
        <stp>BDP|17890053512020583143</stp>
        <tr r="H238" s="2"/>
      </tp>
      <tp t="s">
        <v>#N/A N/A</v>
        <stp/>
        <stp>BDP|18283822925887346287</stp>
        <tr r="G230" s="2"/>
      </tp>
      <tp t="s">
        <v>#N/A N/A</v>
        <stp/>
        <stp>BDP|12763038367286494595</stp>
        <tr r="H385" s="2"/>
      </tp>
      <tp t="s">
        <v>#N/A N/A</v>
        <stp/>
        <stp>BDP|11748837015486870970</stp>
        <tr r="H995" s="2"/>
      </tp>
      <tp t="s">
        <v>#N/A N/A</v>
        <stp/>
        <stp>BDP|11006668447201991563</stp>
        <tr r="M675" s="2"/>
      </tp>
      <tp t="s">
        <v>#N/A N/A</v>
        <stp/>
        <stp>BDP|12454236579527461740</stp>
        <tr r="P1298" s="2"/>
      </tp>
      <tp t="s">
        <v>#N/A N/A</v>
        <stp/>
        <stp>BDP|14562193791609728246</stp>
        <tr r="S818" s="2"/>
      </tp>
      <tp t="s">
        <v>#N/A N/A</v>
        <stp/>
        <stp>BDP|13389267082508196684</stp>
        <tr r="T373" s="2"/>
      </tp>
      <tp t="s">
        <v>#N/A N/A</v>
        <stp/>
        <stp>BDP|15149385570750400631</stp>
        <tr r="E1068" s="2"/>
      </tp>
      <tp t="s">
        <v>#N/A N/A</v>
        <stp/>
        <stp>BDP|15460476949116643422</stp>
        <tr r="E1612" s="2"/>
      </tp>
      <tp t="s">
        <v>#N/A N/A</v>
        <stp/>
        <stp>BDP|14131124113121775296</stp>
        <tr r="C873" s="2"/>
      </tp>
      <tp t="s">
        <v>#N/A N/A</v>
        <stp/>
        <stp>BDP|11407559615582338098</stp>
        <tr r="F1519" s="2"/>
      </tp>
      <tp t="s">
        <v>#N/A N/A</v>
        <stp/>
        <stp>BDP|10686882429149886414</stp>
        <tr r="T1739" s="2"/>
      </tp>
      <tp t="s">
        <v>#N/A N/A</v>
        <stp/>
        <stp>BDS|14474160077525124097</stp>
        <tr r="I770" s="2"/>
      </tp>
      <tp t="s">
        <v>#N/A N/A</v>
        <stp/>
        <stp>BDP|10614426252395840306</stp>
        <tr r="S230" s="2"/>
      </tp>
      <tp t="s">
        <v>#N/A N/A</v>
        <stp/>
        <stp>BDP|11661743127385377687</stp>
        <tr r="S227" s="2"/>
      </tp>
      <tp t="s">
        <v>#N/A N/A</v>
        <stp/>
        <stp>BDP|12257088860256384571</stp>
        <tr r="R321" s="2"/>
      </tp>
      <tp t="s">
        <v>#N/A N/A</v>
        <stp/>
        <stp>BDP|15382993593860134266</stp>
        <tr r="Q1295" s="2"/>
      </tp>
      <tp t="s">
        <v>#N/A N/A</v>
        <stp/>
        <stp>BDP|12801427841094107141</stp>
        <tr r="E349" s="2"/>
      </tp>
      <tp t="s">
        <v>#N/A N/A</v>
        <stp/>
        <stp>BDP|11635297324405360360</stp>
        <tr r="P1228" s="2"/>
      </tp>
      <tp t="s">
        <v>#N/A N/A</v>
        <stp/>
        <stp>BDP|13250465068625222302</stp>
        <tr r="M1368" s="2"/>
      </tp>
      <tp t="s">
        <v>#N/A N/A</v>
        <stp/>
        <stp>BDP|15675362898849605108</stp>
        <tr r="N1744" s="2"/>
      </tp>
      <tp t="s">
        <v>#N/A N/A</v>
        <stp/>
        <stp>BDP|15631540878706267667</stp>
        <tr r="G1445" s="2"/>
      </tp>
      <tp t="s">
        <v>#N/A N/A</v>
        <stp/>
        <stp>BDP|14321090643670755704</stp>
        <tr r="N558" s="2"/>
      </tp>
      <tp t="s">
        <v>#N/A N/A</v>
        <stp/>
        <stp>BDP|12452483425506577521</stp>
        <tr r="M1098" s="2"/>
      </tp>
      <tp t="s">
        <v>#N/A N/A</v>
        <stp/>
        <stp>BDP|16676685982086079921</stp>
        <tr r="F1665" s="2"/>
      </tp>
      <tp t="s">
        <v>#N/A N/A</v>
        <stp/>
        <stp>BDP|12220460916532423281</stp>
        <tr r="C1347" s="2"/>
      </tp>
      <tp t="s">
        <v>#N/A N/A</v>
        <stp/>
        <stp>BDP|14064446334650719493</stp>
        <tr r="P160" s="2"/>
      </tp>
      <tp t="s">
        <v>#N/A N/A</v>
        <stp/>
        <stp>BDP|18264974863432155297</stp>
        <tr r="F1171" s="2"/>
      </tp>
      <tp t="s">
        <v>#N/A N/A</v>
        <stp/>
        <stp>BDP|17679136558180261412</stp>
        <tr r="A411" s="2"/>
      </tp>
      <tp t="s">
        <v>#N/A N/A</v>
        <stp/>
        <stp>BDP|17579639577938838970</stp>
        <tr r="P342" s="2"/>
      </tp>
      <tp t="s">
        <v>#N/A N/A</v>
        <stp/>
        <stp>BDP|14621085096893639908</stp>
        <tr r="A735" s="2"/>
      </tp>
      <tp t="s">
        <v>#N/A N/A</v>
        <stp/>
        <stp>BDP|10327497673697094381</stp>
        <tr r="R659" s="2"/>
      </tp>
      <tp t="s">
        <v>#N/A N/A</v>
        <stp/>
        <stp>BDP|17979329209312044132</stp>
        <tr r="R436" s="2"/>
      </tp>
      <tp t="s">
        <v>#N/A N/A</v>
        <stp/>
        <stp>BDP|17322155348220889576</stp>
        <tr r="N994" s="2"/>
      </tp>
      <tp t="s">
        <v>#N/A N/A</v>
        <stp/>
        <stp>BDP|11687546772207953382</stp>
        <tr r="A1532" s="2"/>
      </tp>
      <tp t="s">
        <v>#N/A N/A</v>
        <stp/>
        <stp>BDP|16810981254184626939</stp>
        <tr r="T1244" s="2"/>
      </tp>
      <tp t="s">
        <v>#N/A N/A</v>
        <stp/>
        <stp>BDP|13356630757700509738</stp>
        <tr r="O919" s="2"/>
      </tp>
      <tp t="s">
        <v>#N/A N/A</v>
        <stp/>
        <stp>BDP|16622319960915602108</stp>
        <tr r="F69" s="2"/>
      </tp>
      <tp t="s">
        <v>#N/A N/A</v>
        <stp/>
        <stp>BDP|13811429549650026426</stp>
        <tr r="A843" s="2"/>
      </tp>
      <tp t="s">
        <v>#N/A N/A</v>
        <stp/>
        <stp>BDP|10410007336974472072</stp>
        <tr r="N979" s="2"/>
      </tp>
      <tp t="s">
        <v>#N/A N/A</v>
        <stp/>
        <stp>BDP|15281729025166597113</stp>
        <tr r="P1643" s="2"/>
      </tp>
      <tp t="s">
        <v>#N/A N/A</v>
        <stp/>
        <stp>BDP|17162643210956416107</stp>
        <tr r="S190" s="2"/>
      </tp>
      <tp t="s">
        <v>#N/A N/A</v>
        <stp/>
        <stp>BDP|17557285238072487301</stp>
        <tr r="H1168" s="2"/>
      </tp>
      <tp t="s">
        <v>#N/A N/A</v>
        <stp/>
        <stp>BDS|16587666100294159300</stp>
        <tr r="I563" s="2"/>
      </tp>
      <tp t="s">
        <v>#N/A N/A</v>
        <stp/>
        <stp>BDP|11867164799817300953</stp>
        <tr r="Q1123" s="2"/>
      </tp>
      <tp t="s">
        <v>#N/A N/A</v>
        <stp/>
        <stp>BDP|14941953695892177190</stp>
        <tr r="C1335" s="2"/>
      </tp>
      <tp t="s">
        <v>#N/A N/A</v>
        <stp/>
        <stp>BDP|13225642510557780405</stp>
        <tr r="J165" s="2"/>
      </tp>
      <tp t="s">
        <v>#N/A N/A</v>
        <stp/>
        <stp>BDP|10645065588967982808</stp>
        <tr r="R1182" s="2"/>
      </tp>
      <tp t="s">
        <v>#N/A N/A</v>
        <stp/>
        <stp>BDP|15631433466551796154</stp>
        <tr r="K264" s="2"/>
      </tp>
      <tp t="s">
        <v>#N/A N/A</v>
        <stp/>
        <stp>BDP|13757451181139494164</stp>
        <tr r="E805" s="2"/>
      </tp>
      <tp t="s">
        <v>#N/A N/A</v>
        <stp/>
        <stp>BDP|14378485908970126731</stp>
        <tr r="F1170" s="2"/>
      </tp>
      <tp t="s">
        <v>#N/A N/A</v>
        <stp/>
        <stp>BDP|15628539656587775551</stp>
        <tr r="D966" s="2"/>
      </tp>
      <tp t="s">
        <v>#N/A N/A</v>
        <stp/>
        <stp>BDP|18086463732880581804</stp>
        <tr r="E481" s="2"/>
      </tp>
      <tp t="s">
        <v>#N/A N/A</v>
        <stp/>
        <stp>BDP|13930707052365303398</stp>
        <tr r="M253" s="2"/>
      </tp>
      <tp t="s">
        <v>#N/A N/A</v>
        <stp/>
        <stp>BDP|12426263721447333219</stp>
        <tr r="R776" s="2"/>
      </tp>
      <tp t="s">
        <v>#N/A N/A</v>
        <stp/>
        <stp>BDP|16767633723362417728</stp>
        <tr r="R947" s="2"/>
      </tp>
      <tp t="s">
        <v>#N/A N/A</v>
        <stp/>
        <stp>BDP|11502051208170867619</stp>
        <tr r="K460" s="2"/>
      </tp>
      <tp t="s">
        <v>#N/A N/A</v>
        <stp/>
        <stp>BDS|13186060068137975541</stp>
        <tr r="I181" s="2"/>
      </tp>
      <tp t="s">
        <v>#N/A N/A</v>
        <stp/>
        <stp>BDP|10551031299928752697</stp>
        <tr r="N825" s="2"/>
      </tp>
      <tp t="s">
        <v>#N/A N/A</v>
        <stp/>
        <stp>BDP|14821374724650991236</stp>
        <tr r="D1530" s="2"/>
      </tp>
      <tp t="s">
        <v>#N/A N/A</v>
        <stp/>
        <stp>BDP|17330139907521469026</stp>
        <tr r="G1031" s="2"/>
      </tp>
      <tp t="s">
        <v>#N/A N/A</v>
        <stp/>
        <stp>BDP|10378348373193657035</stp>
        <tr r="F1361" s="2"/>
      </tp>
      <tp t="s">
        <v>#N/A N/A</v>
        <stp/>
        <stp>BDP|12365574071966057140</stp>
        <tr r="N1478" s="2"/>
      </tp>
      <tp t="s">
        <v>#N/A N/A</v>
        <stp/>
        <stp>BDP|11775644012013254228</stp>
        <tr r="A1212" s="2"/>
      </tp>
      <tp t="s">
        <v>#N/A N/A</v>
        <stp/>
        <stp>BDP|10845668021092722192</stp>
        <tr r="S595" s="2"/>
      </tp>
      <tp t="s">
        <v>#N/A N/A</v>
        <stp/>
        <stp>BDP|11453350553970501060</stp>
        <tr r="D1341" s="2"/>
      </tp>
      <tp t="s">
        <v>#N/A N/A</v>
        <stp/>
        <stp>BDP|18374322149111996901</stp>
        <tr r="F325" s="2"/>
      </tp>
      <tp t="s">
        <v>#N/A N/A</v>
        <stp/>
        <stp>BDP|12935717064027818356</stp>
        <tr r="P764" s="2"/>
      </tp>
      <tp t="s">
        <v>#N/A N/A</v>
        <stp/>
        <stp>BDP|14807243428770610336</stp>
        <tr r="H443" s="2"/>
      </tp>
      <tp t="s">
        <v>#N/A N/A</v>
        <stp/>
        <stp>BDP|10725125976293442262</stp>
        <tr r="A362" s="2"/>
      </tp>
      <tp t="s">
        <v>#N/A N/A</v>
        <stp/>
        <stp>BDP|18055751654748446544</stp>
        <tr r="J627" s="2"/>
      </tp>
      <tp t="s">
        <v>#N/A N/A</v>
        <stp/>
        <stp>BDP|13415356121885293034</stp>
        <tr r="F945" s="2"/>
      </tp>
      <tp t="s">
        <v>#N/A N/A</v>
        <stp/>
        <stp>BDP|17250508293324158819</stp>
        <tr r="Q408" s="2"/>
      </tp>
      <tp t="s">
        <v>#N/A N/A</v>
        <stp/>
        <stp>BDP|12759254850252431072</stp>
        <tr r="E1165" s="2"/>
      </tp>
      <tp t="s">
        <v>#N/A N/A</v>
        <stp/>
        <stp>BDP|17528679506635278378</stp>
        <tr r="M1371" s="2"/>
      </tp>
      <tp t="s">
        <v>#N/A N/A</v>
        <stp/>
        <stp>BDP|14162712036910080777</stp>
        <tr r="M88" s="2"/>
      </tp>
      <tp t="s">
        <v>#N/A N/A</v>
        <stp/>
        <stp>BDS|10591109166359927983</stp>
        <tr r="I744" s="2"/>
      </tp>
      <tp t="s">
        <v>#N/A N/A</v>
        <stp/>
        <stp>BDP|16691178193298326100</stp>
        <tr r="N860" s="2"/>
      </tp>
      <tp t="s">
        <v>#N/A N/A</v>
        <stp/>
        <stp>BDP|17096635568284395496</stp>
        <tr r="R1162" s="2"/>
      </tp>
      <tp t="s">
        <v>#N/A N/A</v>
        <stp/>
        <stp>BDP|12675100820615745304</stp>
        <tr r="K869" s="2"/>
      </tp>
      <tp t="s">
        <v>#N/A N/A</v>
        <stp/>
        <stp>BDP|15584573178443379389</stp>
        <tr r="M1033" s="2"/>
      </tp>
      <tp t="s">
        <v>#N/A N/A</v>
        <stp/>
        <stp>BDP|15769082258753676405</stp>
        <tr r="N1167" s="2"/>
      </tp>
      <tp t="s">
        <v>#N/A N/A</v>
        <stp/>
        <stp>BDP|16567448741122775369</stp>
        <tr r="F1172" s="2"/>
      </tp>
      <tp t="s">
        <v>#N/A N/A</v>
        <stp/>
        <stp>BDP|14206847082011738224</stp>
        <tr r="N68" s="2"/>
      </tp>
      <tp t="s">
        <v>#N/A N/A</v>
        <stp/>
        <stp>BDP|14983645966075253688</stp>
        <tr r="T200" s="2"/>
      </tp>
      <tp t="s">
        <v>#N/A N/A</v>
        <stp/>
        <stp>BDP|11010626642184125004</stp>
        <tr r="J1689" s="2"/>
      </tp>
      <tp t="s">
        <v>#N/A N/A</v>
        <stp/>
        <stp>BDP|15380540571939713900</stp>
        <tr r="M1025" s="2"/>
      </tp>
      <tp t="s">
        <v>#N/A N/A</v>
        <stp/>
        <stp>BDP|14129744079944899756</stp>
        <tr r="P787" s="2"/>
      </tp>
      <tp t="s">
        <v>#N/A N/A</v>
        <stp/>
        <stp>BDP|12430227751126036466</stp>
        <tr r="T1410" s="2"/>
      </tp>
      <tp t="s">
        <v>#N/A N/A</v>
        <stp/>
        <stp>BDP|10548078749493214089</stp>
        <tr r="N1207" s="2"/>
      </tp>
      <tp t="s">
        <v>#N/A N/A</v>
        <stp/>
        <stp>BDP|14693854190071197334</stp>
        <tr r="T1559" s="2"/>
      </tp>
      <tp t="s">
        <v>#N/A N/A</v>
        <stp/>
        <stp>BDP|10477361830701400676</stp>
        <tr r="S671" s="2"/>
      </tp>
      <tp t="s">
        <v>#N/A N/A</v>
        <stp/>
        <stp>BDP|17828242847796326092</stp>
        <tr r="G1561" s="2"/>
      </tp>
      <tp t="s">
        <v>#N/A N/A</v>
        <stp/>
        <stp>BDP|16480566617092481701</stp>
        <tr r="G262" s="2"/>
      </tp>
      <tp t="s">
        <v>#N/A N/A</v>
        <stp/>
        <stp>BDP|10879263981539639485</stp>
        <tr r="D958" s="2"/>
      </tp>
      <tp t="s">
        <v>#N/A N/A</v>
        <stp/>
        <stp>BDP|12285391858801703257</stp>
        <tr r="J1323" s="2"/>
      </tp>
      <tp t="s">
        <v>#N/A N/A</v>
        <stp/>
        <stp>BDP|16040224709740398398</stp>
        <tr r="C496" s="2"/>
      </tp>
      <tp t="s">
        <v>#N/A N/A</v>
        <stp/>
        <stp>BDP|10248342523341418702</stp>
        <tr r="T1161" s="2"/>
      </tp>
      <tp t="s">
        <v>#N/A N/A</v>
        <stp/>
        <stp>BDP|16205468585789981492</stp>
        <tr r="A184" s="2"/>
      </tp>
      <tp t="s">
        <v>#N/A N/A</v>
        <stp/>
        <stp>BDP|10882705320935879716</stp>
        <tr r="M1337" s="2"/>
      </tp>
      <tp t="s">
        <v>#N/A N/A</v>
        <stp/>
        <stp>BDP|13343635844045048350</stp>
        <tr r="E849" s="2"/>
      </tp>
      <tp t="s">
        <v>#N/A N/A</v>
        <stp/>
        <stp>BDP|14285248527406967597</stp>
        <tr r="O821" s="2"/>
      </tp>
      <tp t="s">
        <v>#N/A N/A</v>
        <stp/>
        <stp>BDP|14160410124145647036</stp>
        <tr r="F650" s="2"/>
      </tp>
      <tp t="s">
        <v>#N/A N/A</v>
        <stp/>
        <stp>BDP|14166441833487625315</stp>
        <tr r="E1061" s="2"/>
      </tp>
      <tp t="s">
        <v>#N/A N/A</v>
        <stp/>
        <stp>BDP|14760270204385439412</stp>
        <tr r="G1687" s="2"/>
      </tp>
      <tp t="s">
        <v>#N/A N/A</v>
        <stp/>
        <stp>BDP|10655671242154590178</stp>
        <tr r="O1011" s="2"/>
      </tp>
      <tp t="s">
        <v>#N/A N/A</v>
        <stp/>
        <stp>BDP|10657118397269030618</stp>
        <tr r="F1556" s="2"/>
      </tp>
      <tp t="s">
        <v>#N/A N/A</v>
        <stp/>
        <stp>BDP|15676958189515208681</stp>
        <tr r="G679" s="2"/>
      </tp>
      <tp t="s">
        <v>#N/A N/A</v>
        <stp/>
        <stp>BDP|13000165965743694050</stp>
        <tr r="J101" s="2"/>
      </tp>
      <tp t="s">
        <v>#N/A N/A</v>
        <stp/>
        <stp>BDP|11929641032925820673</stp>
        <tr r="N1006" s="2"/>
      </tp>
      <tp t="s">
        <v>#N/A N/A</v>
        <stp/>
        <stp>BDP|12345110063863124105</stp>
        <tr r="R368" s="2"/>
      </tp>
      <tp t="s">
        <v>#N/A N/A</v>
        <stp/>
        <stp>BDP|17435651855955428602</stp>
        <tr r="K524" s="2"/>
      </tp>
      <tp t="s">
        <v>#N/A N/A</v>
        <stp/>
        <stp>BDP|11212150333041327578</stp>
        <tr r="F452" s="2"/>
      </tp>
      <tp t="s">
        <v>#N/A N/A</v>
        <stp/>
        <stp>BDP|10267545756907098009</stp>
        <tr r="P1665" s="2"/>
      </tp>
      <tp t="s">
        <v>#N/A N/A</v>
        <stp/>
        <stp>BDP|10032728523270545247</stp>
        <tr r="T270" s="2"/>
      </tp>
      <tp t="s">
        <v>#N/A N/A</v>
        <stp/>
        <stp>BDP|14219488954075923771</stp>
        <tr r="D97" s="2"/>
      </tp>
      <tp t="s">
        <v>#N/A N/A</v>
        <stp/>
        <stp>BDP|11572485118992148145</stp>
        <tr r="R938" s="2"/>
      </tp>
      <tp t="s">
        <v>#N/A N/A</v>
        <stp/>
        <stp>BDP|11007343991969067555</stp>
        <tr r="F986" s="2"/>
      </tp>
      <tp t="s">
        <v>#N/A N/A</v>
        <stp/>
        <stp>BDP|12753255405873086479</stp>
        <tr r="S803" s="2"/>
      </tp>
      <tp t="s">
        <v>#N/A N/A</v>
        <stp/>
        <stp>BDP|16629160916299288841</stp>
        <tr r="E779" s="2"/>
      </tp>
      <tp t="s">
        <v>#N/A N/A</v>
        <stp/>
        <stp>BDP|10100601821402385135</stp>
        <tr r="N1121" s="2"/>
      </tp>
      <tp t="s">
        <v>#N/A N/A</v>
        <stp/>
        <stp>BDP|10708533046154795253</stp>
        <tr r="E1260" s="2"/>
      </tp>
      <tp t="s">
        <v>#N/A N/A</v>
        <stp/>
        <stp>BDP|10541254040339598852</stp>
        <tr r="C777" s="2"/>
      </tp>
      <tp t="s">
        <v>#N/A N/A</v>
        <stp/>
        <stp>BDP|17519298811250431390</stp>
        <tr r="O751" s="2"/>
      </tp>
      <tp t="s">
        <v>#N/A N/A</v>
        <stp/>
        <stp>BDP|10531699950895527198</stp>
        <tr r="M172" s="2"/>
      </tp>
      <tp t="s">
        <v>#N/A N/A</v>
        <stp/>
        <stp>BDS|10912259363392925156</stp>
        <tr r="I1452" s="2"/>
      </tp>
      <tp t="s">
        <v>#N/A N/A</v>
        <stp/>
        <stp>BDP|10271542438032728398</stp>
        <tr r="S499" s="2"/>
      </tp>
      <tp t="s">
        <v>#N/A N/A</v>
        <stp/>
        <stp>BDP|12242340867219300929</stp>
        <tr r="Q128" s="2"/>
      </tp>
      <tp t="s">
        <v>#N/A N/A</v>
        <stp/>
        <stp>BDP|14399470054315533756</stp>
        <tr r="A901" s="2"/>
      </tp>
      <tp t="s">
        <v>#N/A N/A</v>
        <stp/>
        <stp>BDP|10293659628820920365</stp>
        <tr r="T436" s="2"/>
      </tp>
      <tp t="s">
        <v>#N/A N/A</v>
        <stp/>
        <stp>BDP|17154672826651276528</stp>
        <tr r="G616" s="2"/>
      </tp>
      <tp t="s">
        <v>#N/A N/A</v>
        <stp/>
        <stp>BDP|12590787481592475882</stp>
        <tr r="P1250" s="2"/>
      </tp>
      <tp t="s">
        <v>#N/A N/A</v>
        <stp/>
        <stp>BDP|10578974810828379712</stp>
        <tr r="A629" s="2"/>
      </tp>
      <tp t="s">
        <v>#N/A N/A</v>
        <stp/>
        <stp>BDP|13585831769893790986</stp>
        <tr r="A904" s="2"/>
      </tp>
      <tp t="s">
        <v>#N/A N/A</v>
        <stp/>
        <stp>BDP|10452077556517401519</stp>
        <tr r="T471" s="2"/>
      </tp>
      <tp t="s">
        <v>#N/A N/A</v>
        <stp/>
        <stp>BDP|11224476674945461055</stp>
        <tr r="H1407" s="2"/>
      </tp>
      <tp t="s">
        <v>#N/A N/A</v>
        <stp/>
        <stp>BDP|13191392519736050017</stp>
        <tr r="G993" s="2"/>
      </tp>
      <tp t="s">
        <v>#N/A N/A</v>
        <stp/>
        <stp>BDP|14391730501715442154</stp>
        <tr r="R1516" s="2"/>
      </tp>
      <tp t="s">
        <v>#N/A N/A</v>
        <stp/>
        <stp>BDP|15000195679093838788</stp>
        <tr r="K127" s="2"/>
      </tp>
      <tp t="s">
        <v>#N/A N/A</v>
        <stp/>
        <stp>BDP|14591773575425378644</stp>
        <tr r="J1308" s="2"/>
      </tp>
      <tp t="s">
        <v>#N/A N/A</v>
        <stp/>
        <stp>BDP|15908092272652291700</stp>
        <tr r="K541" s="2"/>
      </tp>
      <tp t="s">
        <v>#N/A N/A</v>
        <stp/>
        <stp>BDP|13073803522218520679</stp>
        <tr r="S897" s="2"/>
      </tp>
      <tp t="s">
        <v>#N/A N/A</v>
        <stp/>
        <stp>BDP|18119905969559888905</stp>
        <tr r="E1239" s="2"/>
      </tp>
      <tp t="s">
        <v>#N/A N/A</v>
        <stp/>
        <stp>BDP|10828798795330706935</stp>
        <tr r="F1208" s="2"/>
      </tp>
      <tp t="s">
        <v>#N/A N/A</v>
        <stp/>
        <stp>BDS|14139477720802638733</stp>
        <tr r="I1523" s="2"/>
      </tp>
      <tp t="s">
        <v>#N/A N/A</v>
        <stp/>
        <stp>BDP|14100528418645353287</stp>
        <tr r="Q789" s="2"/>
      </tp>
      <tp t="s">
        <v>#N/A N/A</v>
        <stp/>
        <stp>BDP|17560123406726875799</stp>
        <tr r="D1028" s="2"/>
      </tp>
      <tp t="s">
        <v>#N/A N/A</v>
        <stp/>
        <stp>BDP|12088004412674107039</stp>
        <tr r="O571" s="2"/>
      </tp>
      <tp t="s">
        <v>#N/A N/A</v>
        <stp/>
        <stp>BDP|10889948318326177957</stp>
        <tr r="T1374" s="2"/>
      </tp>
      <tp t="s">
        <v>#N/A N/A</v>
        <stp/>
        <stp>BDP|17521140612044678456</stp>
        <tr r="M682" s="2"/>
      </tp>
      <tp t="s">
        <v>#N/A N/A</v>
        <stp/>
        <stp>BDP|16359046841187163277</stp>
        <tr r="R154" s="2"/>
      </tp>
      <tp t="s">
        <v>#N/A N/A</v>
        <stp/>
        <stp>BDP|11460556060962194703</stp>
        <tr r="G226" s="2"/>
      </tp>
      <tp t="s">
        <v>#N/A N/A</v>
        <stp/>
        <stp>BDP|14986515975924804556</stp>
        <tr r="N1651" s="2"/>
      </tp>
      <tp t="s">
        <v>#N/A N/A</v>
        <stp/>
        <stp>BDP|10185598193333391888</stp>
        <tr r="K150" s="2"/>
      </tp>
      <tp t="s">
        <v>#N/A N/A</v>
        <stp/>
        <stp>BDP|13452207156053127032</stp>
        <tr r="C984" s="2"/>
      </tp>
      <tp t="s">
        <v>#N/A N/A</v>
        <stp/>
        <stp>BDP|16768622400292717525</stp>
        <tr r="A1250" s="2"/>
      </tp>
      <tp t="s">
        <v>#N/A N/A</v>
        <stp/>
        <stp>BDP|17004884631453947805</stp>
        <tr r="P1125" s="2"/>
      </tp>
      <tp t="s">
        <v>#N/A N/A</v>
        <stp/>
        <stp>BDP|11380909885425438227</stp>
        <tr r="P5" s="2"/>
      </tp>
      <tp t="s">
        <v>#N/A N/A</v>
        <stp/>
        <stp>BDP|13752662025465008543</stp>
        <tr r="A195" s="2"/>
      </tp>
      <tp t="s">
        <v>#N/A N/A</v>
        <stp/>
        <stp>BDP|11318970203669764601</stp>
        <tr r="G662" s="2"/>
      </tp>
      <tp t="s">
        <v>#N/A N/A</v>
        <stp/>
        <stp>BDP|16448496641212588398</stp>
        <tr r="H1361" s="2"/>
      </tp>
      <tp t="s">
        <v>#N/A N/A</v>
        <stp/>
        <stp>BDP|15113833033368273136</stp>
        <tr r="Q1237" s="2"/>
      </tp>
      <tp t="s">
        <v>#N/A N/A</v>
        <stp/>
        <stp>BDS|10341978174381014839</stp>
        <tr r="I544" s="2"/>
      </tp>
      <tp t="s">
        <v>#N/A N/A</v>
        <stp/>
        <stp>BDP|12139706340111276735</stp>
        <tr r="D646" s="2"/>
      </tp>
      <tp t="s">
        <v>#N/A N/A</v>
        <stp/>
        <stp>BDP|10942583442462708445</stp>
        <tr r="F262" s="2"/>
      </tp>
      <tp t="s">
        <v>#N/A N/A</v>
        <stp/>
        <stp>BDP|11258720416122656207</stp>
        <tr r="J1266" s="2"/>
      </tp>
      <tp t="s">
        <v>#N/A N/A</v>
        <stp/>
        <stp>BDP|15648652387108281469</stp>
        <tr r="J1076" s="2"/>
      </tp>
      <tp t="s">
        <v>#N/A N/A</v>
        <stp/>
        <stp>BDP|18031600687133703204</stp>
        <tr r="F850" s="2"/>
      </tp>
      <tp t="s">
        <v>#N/A N/A</v>
        <stp/>
        <stp>BDP|14862119511855023683</stp>
        <tr r="H136" s="2"/>
      </tp>
      <tp t="s">
        <v>#N/A N/A</v>
        <stp/>
        <stp>BDP|12527021750473644315</stp>
        <tr r="Q928" s="2"/>
      </tp>
      <tp t="s">
        <v>#N/A N/A</v>
        <stp/>
        <stp>BDP|13896520934652988071</stp>
        <tr r="T1013" s="2"/>
      </tp>
      <tp t="s">
        <v>#N/A N/A</v>
        <stp/>
        <stp>BDP|13053150951772632224</stp>
        <tr r="J326" s="2"/>
      </tp>
      <tp t="s">
        <v>#N/A N/A</v>
        <stp/>
        <stp>BDP|13865394914732161446</stp>
        <tr r="D1236" s="2"/>
      </tp>
      <tp t="s">
        <v>#N/A N/A</v>
        <stp/>
        <stp>BDP|10671338146391090130</stp>
        <tr r="A1028" s="2"/>
      </tp>
      <tp t="s">
        <v>#N/A N/A</v>
        <stp/>
        <stp>BDP|17560721006440447752</stp>
        <tr r="D1070" s="2"/>
      </tp>
      <tp t="s">
        <v>#N/A N/A</v>
        <stp/>
        <stp>BDP|12134113955750474114</stp>
        <tr r="M20" s="2"/>
      </tp>
      <tp t="s">
        <v>#N/A N/A</v>
        <stp/>
        <stp>BDP|16146545843318547832</stp>
        <tr r="R426" s="2"/>
      </tp>
      <tp t="s">
        <v>#N/A N/A</v>
        <stp/>
        <stp>BDP|14155551559942912148</stp>
        <tr r="R756" s="2"/>
      </tp>
      <tp t="s">
        <v>#N/A N/A</v>
        <stp/>
        <stp>BDP|13331115202230201520</stp>
        <tr r="D1229" s="2"/>
      </tp>
      <tp t="s">
        <v>#N/A N/A</v>
        <stp/>
        <stp>BDP|10428301912100041562</stp>
        <tr r="Q1372" s="2"/>
      </tp>
      <tp t="s">
        <v>#N/A N/A</v>
        <stp/>
        <stp>BDP|11194120122633896692</stp>
        <tr r="K867" s="2"/>
      </tp>
      <tp t="s">
        <v>#N/A N/A</v>
        <stp/>
        <stp>BDP|17153868493780020173</stp>
        <tr r="T1177" s="2"/>
      </tp>
      <tp t="s">
        <v>#N/A N/A</v>
        <stp/>
        <stp>BDP|15272221253211968499</stp>
        <tr r="C1691" s="2"/>
      </tp>
      <tp t="s">
        <v>#N/A N/A</v>
        <stp/>
        <stp>BDS|17769233901813405116</stp>
        <tr r="I978" s="2"/>
      </tp>
      <tp t="s">
        <v>#N/A N/A</v>
        <stp/>
        <stp>BDP|14511443641832068136</stp>
        <tr r="O374" s="2"/>
      </tp>
      <tp t="s">
        <v>#N/A N/A</v>
        <stp/>
        <stp>BDP|15806014881968266291</stp>
        <tr r="D1480" s="2"/>
      </tp>
      <tp t="s">
        <v>#N/A N/A</v>
        <stp/>
        <stp>BDP|14845299128270802325</stp>
        <tr r="M580" s="2"/>
      </tp>
      <tp t="s">
        <v>#N/A N/A</v>
        <stp/>
        <stp>BDP|13048011305783093771</stp>
        <tr r="E1255" s="2"/>
      </tp>
      <tp t="s">
        <v>#N/A N/A</v>
        <stp/>
        <stp>BDP|10666015224333394633</stp>
        <tr r="R1462" s="2"/>
      </tp>
      <tp t="s">
        <v>#N/A N/A</v>
        <stp/>
        <stp>BDP|15923327200502092383</stp>
        <tr r="C1148" s="2"/>
      </tp>
      <tp t="s">
        <v>#N/A N/A</v>
        <stp/>
        <stp>BDP|11396351271511028346</stp>
        <tr r="S1497" s="2"/>
      </tp>
      <tp t="s">
        <v>#N/A N/A</v>
        <stp/>
        <stp>BDP|15609667006467787322</stp>
        <tr r="Q810" s="2"/>
      </tp>
      <tp t="s">
        <v>#N/A N/A</v>
        <stp/>
        <stp>BDP|16684436043514243576</stp>
        <tr r="Q247" s="2"/>
      </tp>
      <tp t="s">
        <v>#N/A N/A</v>
        <stp/>
        <stp>BDP|14973787062553687164</stp>
        <tr r="S1656" s="2"/>
      </tp>
      <tp t="s">
        <v>#N/A N/A</v>
        <stp/>
        <stp>BDP|15873511246227993454</stp>
        <tr r="C1476" s="2"/>
      </tp>
      <tp t="s">
        <v>#N/A N/A</v>
        <stp/>
        <stp>BDP|17857458687055838916</stp>
        <tr r="D128" s="2"/>
      </tp>
      <tp t="s">
        <v>#N/A N/A</v>
        <stp/>
        <stp>BDP|16190113860854738249</stp>
        <tr r="C366" s="2"/>
      </tp>
      <tp t="s">
        <v>#N/A N/A</v>
        <stp/>
        <stp>BDP|11620561911886661445</stp>
        <tr r="C1698" s="2"/>
      </tp>
      <tp t="s">
        <v>#N/A N/A</v>
        <stp/>
        <stp>BDP|16542168661334016211</stp>
        <tr r="N388" s="2"/>
      </tp>
      <tp t="s">
        <v>#N/A N/A</v>
        <stp/>
        <stp>BDP|15877597945380758308</stp>
        <tr r="F1441" s="2"/>
      </tp>
      <tp t="s">
        <v>#N/A N/A</v>
        <stp/>
        <stp>BDP|12568320515875503240</stp>
        <tr r="M656" s="2"/>
      </tp>
      <tp t="s">
        <v>#N/A N/A</v>
        <stp/>
        <stp>BDP|15837276628835109750</stp>
        <tr r="T55" s="2"/>
      </tp>
      <tp t="s">
        <v>#N/A N/A</v>
        <stp/>
        <stp>BDP|11528071601414585252</stp>
        <tr r="E1048" s="2"/>
      </tp>
      <tp t="s">
        <v>#N/A N/A</v>
        <stp/>
        <stp>BDP|13750359463124242504</stp>
        <tr r="H564" s="2"/>
      </tp>
      <tp t="s">
        <v>#N/A N/A</v>
        <stp/>
        <stp>BDP|16294266759647771193</stp>
        <tr r="M1072" s="2"/>
      </tp>
      <tp t="s">
        <v>#N/A N/A</v>
        <stp/>
        <stp>BDP|11051318873096580448</stp>
        <tr r="Q1616" s="2"/>
      </tp>
      <tp t="s">
        <v>#N/A N/A</v>
        <stp/>
        <stp>BDP|18303247214774646869</stp>
        <tr r="D1515" s="2"/>
      </tp>
      <tp t="s">
        <v>#N/A N/A</v>
        <stp/>
        <stp>BDP|16329439746444212572</stp>
        <tr r="K470" s="2"/>
      </tp>
      <tp t="s">
        <v>#N/A N/A</v>
        <stp/>
        <stp>BDP|14100319574800544729</stp>
        <tr r="Q1554" s="2"/>
      </tp>
      <tp t="s">
        <v>#N/A N/A</v>
        <stp/>
        <stp>BDP|17476807246105244939</stp>
        <tr r="M630" s="2"/>
      </tp>
      <tp t="s">
        <v>#N/A N/A</v>
        <stp/>
        <stp>BDP|12488000250005797502</stp>
        <tr r="J1202" s="2"/>
      </tp>
      <tp t="s">
        <v>#N/A N/A</v>
        <stp/>
        <stp>BDP|16034148013039398871</stp>
        <tr r="R1597" s="2"/>
      </tp>
      <tp t="s">
        <v>#N/A N/A</v>
        <stp/>
        <stp>BDP|15365703327705373246</stp>
        <tr r="O560" s="2"/>
      </tp>
      <tp t="s">
        <v>#N/A N/A</v>
        <stp/>
        <stp>BDP|18372563606112143812</stp>
        <tr r="E307" s="2"/>
      </tp>
      <tp t="s">
        <v>#N/A N/A</v>
        <stp/>
        <stp>BDP|17851705750664201695</stp>
        <tr r="G956" s="2"/>
      </tp>
      <tp t="s">
        <v>#N/A N/A</v>
        <stp/>
        <stp>BDP|12470645231346045626</stp>
        <tr r="H1450" s="2"/>
      </tp>
      <tp t="s">
        <v>#N/A N/A</v>
        <stp/>
        <stp>BDP|16223662136483619776</stp>
        <tr r="E831" s="2"/>
      </tp>
      <tp t="s">
        <v>#N/A N/A</v>
        <stp/>
        <stp>BDP|13760352962758390908</stp>
        <tr r="J1646" s="2"/>
      </tp>
      <tp t="s">
        <v>#N/A N/A</v>
        <stp/>
        <stp>BDP|11865081420221764541</stp>
        <tr r="R857" s="2"/>
      </tp>
      <tp t="s">
        <v>#N/A N/A</v>
        <stp/>
        <stp>BDP|15664290244200126494</stp>
        <tr r="D23" s="2"/>
      </tp>
      <tp t="s">
        <v>#N/A N/A</v>
        <stp/>
        <stp>BDP|14593431860142302368</stp>
        <tr r="O242" s="2"/>
      </tp>
      <tp t="s">
        <v>#N/A N/A</v>
        <stp/>
        <stp>BDP|12477156174180592338</stp>
        <tr r="A1561" s="2"/>
      </tp>
      <tp t="s">
        <v>#N/A N/A</v>
        <stp/>
        <stp>BDP|11451771862790145736</stp>
        <tr r="N775" s="2"/>
      </tp>
      <tp t="s">
        <v>#N/A N/A</v>
        <stp/>
        <stp>BDP|10538416838134634496</stp>
        <tr r="P1487" s="2"/>
      </tp>
      <tp t="s">
        <v>#N/A N/A</v>
        <stp/>
        <stp>BDP|11047364527400245701</stp>
        <tr r="K998" s="2"/>
      </tp>
      <tp t="s">
        <v>#N/A N/A</v>
        <stp/>
        <stp>BDP|13221016551758364925</stp>
        <tr r="N260" s="2"/>
      </tp>
      <tp t="s">
        <v>#N/A N/A</v>
        <stp/>
        <stp>BDP|12690597619562386363</stp>
        <tr r="H368" s="2"/>
      </tp>
      <tp t="s">
        <v>#N/A N/A</v>
        <stp/>
        <stp>BDP|13333471747812792674</stp>
        <tr r="Q539" s="2"/>
      </tp>
      <tp t="s">
        <v>#N/A N/A</v>
        <stp/>
        <stp>BDP|12669089209967124252</stp>
        <tr r="Q1540" s="2"/>
      </tp>
      <tp t="s">
        <v>#N/A N/A</v>
        <stp/>
        <stp>BDP|14590601562587088443</stp>
        <tr r="K685" s="2"/>
      </tp>
      <tp t="s">
        <v>#N/A N/A</v>
        <stp/>
        <stp>BDP|15447341713239964997</stp>
        <tr r="M298" s="2"/>
      </tp>
      <tp t="s">
        <v>#N/A N/A</v>
        <stp/>
        <stp>BDP|16995386477561541408</stp>
        <tr r="O1458" s="2"/>
      </tp>
      <tp t="s">
        <v>#N/A N/A</v>
        <stp/>
        <stp>BDP|10245955396765091229</stp>
        <tr r="N464" s="2"/>
      </tp>
      <tp t="s">
        <v>#N/A N/A</v>
        <stp/>
        <stp>BDP|17435521833754791219</stp>
        <tr r="S986" s="2"/>
      </tp>
      <tp t="s">
        <v>#N/A N/A</v>
        <stp/>
        <stp>BDP|15208166516304495659</stp>
        <tr r="F1713" s="2"/>
      </tp>
      <tp t="s">
        <v>#N/A N/A</v>
        <stp/>
        <stp>BDP|14390529790018127737</stp>
        <tr r="P1122" s="2"/>
      </tp>
      <tp t="s">
        <v>#N/A N/A</v>
        <stp/>
        <stp>BDP|15386338146145240070</stp>
        <tr r="R1542" s="2"/>
      </tp>
      <tp t="s">
        <v>#N/A N/A</v>
        <stp/>
        <stp>BDP|17562304846520274724</stp>
        <tr r="N1362" s="2"/>
      </tp>
      <tp t="s">
        <v>#N/A N/A</v>
        <stp/>
        <stp>BDP|13181067283258690410</stp>
        <tr r="A1750" s="2"/>
      </tp>
      <tp t="s">
        <v>#N/A N/A</v>
        <stp/>
        <stp>BDP|12317188423843934526</stp>
        <tr r="D1731" s="2"/>
      </tp>
      <tp t="s">
        <v>#N/A N/A</v>
        <stp/>
        <stp>BDP|12964638468221701477</stp>
        <tr r="E236" s="2"/>
      </tp>
      <tp t="s">
        <v>#N/A N/A</v>
        <stp/>
        <stp>BDP|11413187904632394593</stp>
        <tr r="N1604" s="2"/>
      </tp>
      <tp t="s">
        <v>#N/A N/A</v>
        <stp/>
        <stp>BDP|14033895823489894001</stp>
        <tr r="T1598" s="2"/>
      </tp>
      <tp t="s">
        <v>#N/A N/A</v>
        <stp/>
        <stp>BDP|13681224672100241163</stp>
        <tr r="G192" s="2"/>
      </tp>
      <tp t="s">
        <v>#N/A N/A</v>
        <stp/>
        <stp>BDP|15269726364492360158</stp>
        <tr r="K1102" s="2"/>
      </tp>
      <tp t="s">
        <v>#N/A N/A</v>
        <stp/>
        <stp>BDP|12820569717650970120</stp>
        <tr r="G1555" s="2"/>
      </tp>
      <tp t="s">
        <v>#N/A N/A</v>
        <stp/>
        <stp>BDP|11114517746394486304</stp>
        <tr r="O763" s="2"/>
      </tp>
      <tp t="s">
        <v>#N/A N/A</v>
        <stp/>
        <stp>BDP|16420765691397591844</stp>
        <tr r="G10" s="2"/>
      </tp>
      <tp t="s">
        <v>#N/A N/A</v>
        <stp/>
        <stp>BDP|12192535846270014466</stp>
        <tr r="P1570" s="2"/>
      </tp>
      <tp t="s">
        <v>#N/A N/A</v>
        <stp/>
        <stp>BDP|15432515777000780077</stp>
        <tr r="C418" s="2"/>
      </tp>
      <tp t="s">
        <v>#N/A N/A</v>
        <stp/>
        <stp>BDS|17079518575702137043</stp>
        <tr r="I205" s="2"/>
      </tp>
      <tp t="s">
        <v>#N/A N/A</v>
        <stp/>
        <stp>BDP|17223143427855687659</stp>
        <tr r="H1193" s="2"/>
      </tp>
      <tp t="s">
        <v>#N/A N/A</v>
        <stp/>
        <stp>BDP|13535504475434093222</stp>
        <tr r="A867" s="2"/>
      </tp>
      <tp t="s">
        <v>#N/A N/A</v>
        <stp/>
        <stp>BDP|10827303350043980231</stp>
        <tr r="A511" s="2"/>
      </tp>
      <tp t="s">
        <v>#N/A N/A</v>
        <stp/>
        <stp>BDP|14877986529419893134</stp>
        <tr r="N1042" s="2"/>
      </tp>
      <tp t="s">
        <v>#N/A N/A</v>
        <stp/>
        <stp>BDP|12926198224586707010</stp>
        <tr r="M1725" s="2"/>
      </tp>
      <tp t="s">
        <v>#N/A N/A</v>
        <stp/>
        <stp>BDP|18435624628662471989</stp>
        <tr r="G1106" s="2"/>
      </tp>
      <tp t="s">
        <v>#N/A N/A</v>
        <stp/>
        <stp>BDS|18048844877539195933</stp>
        <tr r="I1500" s="2"/>
      </tp>
      <tp t="s">
        <v>#N/A N/A</v>
        <stp/>
        <stp>BDP|11668724705939462873</stp>
        <tr r="R181" s="2"/>
      </tp>
      <tp t="s">
        <v>#N/A N/A</v>
        <stp/>
        <stp>BDP|15759120560304004178</stp>
        <tr r="J1552" s="2"/>
      </tp>
      <tp t="s">
        <v>#N/A N/A</v>
        <stp/>
        <stp>BDP|16120863490276396664</stp>
        <tr r="G389" s="2"/>
      </tp>
      <tp t="s">
        <v>#N/A N/A</v>
        <stp/>
        <stp>BDP|14579552957475583607</stp>
        <tr r="S809" s="2"/>
      </tp>
      <tp t="s">
        <v>#N/A N/A</v>
        <stp/>
        <stp>BDP|18152006686164342368</stp>
        <tr r="H1675" s="2"/>
      </tp>
      <tp t="s">
        <v>#N/A N/A</v>
        <stp/>
        <stp>BDP|13582264821123057705</stp>
        <tr r="D805" s="2"/>
      </tp>
      <tp t="s">
        <v>#N/A N/A</v>
        <stp/>
        <stp>BDP|16999684972596857690</stp>
        <tr r="A294" s="2"/>
      </tp>
      <tp t="s">
        <v>#N/A N/A</v>
        <stp/>
        <stp>BDS|15654201316994420552</stp>
        <tr r="I342" s="2"/>
      </tp>
      <tp t="s">
        <v>#N/A N/A</v>
        <stp/>
        <stp>BDP|17490763416950274649</stp>
        <tr r="O375" s="2"/>
      </tp>
      <tp t="s">
        <v>#N/A N/A</v>
        <stp/>
        <stp>BDP|17207549147779100823</stp>
        <tr r="F910" s="2"/>
      </tp>
      <tp t="s">
        <v>#N/A N/A</v>
        <stp/>
        <stp>BDP|17153132710484674468</stp>
        <tr r="A238" s="2"/>
      </tp>
      <tp t="s">
        <v>#N/A N/A</v>
        <stp/>
        <stp>BDP|14541245207908316975</stp>
        <tr r="S76" s="2"/>
      </tp>
      <tp t="s">
        <v>#N/A N/A</v>
        <stp/>
        <stp>BDP|13741311246840176336</stp>
        <tr r="D428" s="2"/>
      </tp>
      <tp t="s">
        <v>#N/A N/A</v>
        <stp/>
        <stp>BDP|12604009052327515737</stp>
        <tr r="R84" s="2"/>
      </tp>
      <tp t="s">
        <v>#N/A N/A</v>
        <stp/>
        <stp>BDP|17835728130435974114</stp>
        <tr r="M1219" s="2"/>
      </tp>
      <tp t="s">
        <v>#N/A N/A</v>
        <stp/>
        <stp>BDP|14281118520006079614</stp>
        <tr r="O693" s="2"/>
      </tp>
      <tp t="s">
        <v>#N/A N/A</v>
        <stp/>
        <stp>BDP|12719531746396474247</stp>
        <tr r="S930" s="2"/>
      </tp>
      <tp t="s">
        <v>#N/A N/A</v>
        <stp/>
        <stp>BDP|12243767622742303277</stp>
        <tr r="M754" s="2"/>
      </tp>
      <tp t="s">
        <v>#N/A N/A</v>
        <stp/>
        <stp>BDP|13813182621511048630</stp>
        <tr r="S1392" s="2"/>
      </tp>
      <tp t="s">
        <v>#N/A N/A</v>
        <stp/>
        <stp>BDP|15567915667365148806</stp>
        <tr r="K330" s="2"/>
      </tp>
      <tp t="s">
        <v>#N/A N/A</v>
        <stp/>
        <stp>BDP|16110724775195351473</stp>
        <tr r="J937" s="2"/>
      </tp>
      <tp t="s">
        <v>#N/A N/A</v>
        <stp/>
        <stp>BDP|15476161130580455044</stp>
        <tr r="S325" s="2"/>
      </tp>
      <tp t="s">
        <v>#N/A N/A</v>
        <stp/>
        <stp>BDP|12302353243365727700</stp>
        <tr r="E767" s="2"/>
      </tp>
      <tp t="s">
        <v>#N/A N/A</v>
        <stp/>
        <stp>BDP|16623997661726896849</stp>
        <tr r="C1047" s="2"/>
      </tp>
      <tp t="s">
        <v>#N/A N/A</v>
        <stp/>
        <stp>BDP|17217459664070284232</stp>
        <tr r="T1444" s="2"/>
      </tp>
      <tp t="s">
        <v>#N/A N/A</v>
        <stp/>
        <stp>BDP|16719735479976853779</stp>
        <tr r="D1429" s="2"/>
      </tp>
      <tp t="s">
        <v>#N/A N/A</v>
        <stp/>
        <stp>BDS|12622936306309258503</stp>
        <tr r="I1084" s="2"/>
      </tp>
      <tp t="s">
        <v>#N/A N/A</v>
        <stp/>
        <stp>BDP|14426521701084241276</stp>
        <tr r="E1227" s="2"/>
      </tp>
      <tp t="s">
        <v>#N/A N/A</v>
        <stp/>
        <stp>BDP|17482559718713853732</stp>
        <tr r="T1618" s="2"/>
      </tp>
      <tp t="s">
        <v>#N/A N/A</v>
        <stp/>
        <stp>BDP|16168331309524065694</stp>
        <tr r="N1019" s="2"/>
      </tp>
      <tp t="s">
        <v>#N/A N/A</v>
        <stp/>
        <stp>BDP|16431476573310610247</stp>
        <tr r="F648" s="2"/>
      </tp>
      <tp t="s">
        <v>#N/A N/A</v>
        <stp/>
        <stp>BDP|10103660515719270920</stp>
        <tr r="D643" s="2"/>
      </tp>
      <tp t="s">
        <v>#N/A N/A</v>
        <stp/>
        <stp>BDP|12611710585729060300</stp>
        <tr r="F1374" s="2"/>
      </tp>
      <tp t="s">
        <v>#N/A N/A</v>
        <stp/>
        <stp>BDP|13324258525986330227</stp>
        <tr r="T1338" s="2"/>
      </tp>
      <tp t="s">
        <v>#N/A N/A</v>
        <stp/>
        <stp>BDP|14254534112565533240</stp>
        <tr r="N387" s="2"/>
      </tp>
      <tp t="s">
        <v>#N/A N/A</v>
        <stp/>
        <stp>BDP|17490445355172497333</stp>
        <tr r="E967" s="2"/>
      </tp>
      <tp t="s">
        <v>#N/A N/A</v>
        <stp/>
        <stp>BDP|12048020001701416454</stp>
        <tr r="G1553" s="2"/>
      </tp>
      <tp t="s">
        <v>#N/A N/A</v>
        <stp/>
        <stp>BDP|13817443644337225385</stp>
        <tr r="N1381" s="2"/>
      </tp>
      <tp t="s">
        <v>#N/A N/A</v>
        <stp/>
        <stp>BDP|16439327504013906191</stp>
        <tr r="H1541" s="2"/>
      </tp>
      <tp t="s">
        <v>#N/A N/A</v>
        <stp/>
        <stp>BDP|13555725330857156748</stp>
        <tr r="J1036" s="2"/>
      </tp>
      <tp t="s">
        <v>#N/A N/A</v>
        <stp/>
        <stp>BDP|13643641645835303368</stp>
        <tr r="G589" s="2"/>
      </tp>
      <tp t="s">
        <v>#N/A N/A</v>
        <stp/>
        <stp>BDP|12074101457338114941</stp>
        <tr r="K885" s="2"/>
      </tp>
      <tp t="s">
        <v>#N/A N/A</v>
        <stp/>
        <stp>BDS|11040670726432822087</stp>
        <tr r="I573" s="2"/>
      </tp>
      <tp t="s">
        <v>#N/A N/A</v>
        <stp/>
        <stp>BDP|11346165156424708661</stp>
        <tr r="M1476" s="2"/>
      </tp>
      <tp t="s">
        <v>#N/A N/A</v>
        <stp/>
        <stp>BDP|13844293234083241628</stp>
        <tr r="C954" s="2"/>
      </tp>
      <tp t="s">
        <v>#N/A N/A</v>
        <stp/>
        <stp>BDP|12653357833013094650</stp>
        <tr r="P719" s="2"/>
      </tp>
      <tp t="s">
        <v>#N/A N/A</v>
        <stp/>
        <stp>BDP|12418310670143083203</stp>
        <tr r="T79" s="2"/>
      </tp>
      <tp t="s">
        <v>#N/A N/A</v>
        <stp/>
        <stp>BDP|14143187532017990671</stp>
        <tr r="T1294" s="2"/>
      </tp>
      <tp t="s">
        <v>#N/A N/A</v>
        <stp/>
        <stp>BDP|14390530705220014601</stp>
        <tr r="G721" s="2"/>
      </tp>
      <tp t="s">
        <v>#N/A N/A</v>
        <stp/>
        <stp>BDP|11309758431195516773</stp>
        <tr r="R476" s="2"/>
      </tp>
      <tp t="s">
        <v>#N/A N/A</v>
        <stp/>
        <stp>BDP|13387712806056498558</stp>
        <tr r="F1105" s="2"/>
      </tp>
      <tp t="s">
        <v>#N/A N/A</v>
        <stp/>
        <stp>BDP|17170766980958043726</stp>
        <tr r="T245" s="2"/>
      </tp>
      <tp t="s">
        <v>#N/A N/A</v>
        <stp/>
        <stp>BDP|13292075993708220513</stp>
        <tr r="C287" s="2"/>
      </tp>
      <tp t="s">
        <v>#N/A N/A</v>
        <stp/>
        <stp>BDS|11594466479576961356</stp>
        <tr r="I1328" s="2"/>
      </tp>
      <tp t="s">
        <v>#N/A N/A</v>
        <stp/>
        <stp>BDP|12767649926616655765</stp>
        <tr r="J1206" s="2"/>
      </tp>
      <tp t="s">
        <v>#N/A N/A</v>
        <stp/>
        <stp>BDP|13286910865243120821</stp>
        <tr r="K1289" s="2"/>
      </tp>
      <tp t="s">
        <v>#N/A N/A</v>
        <stp/>
        <stp>BDP|10264551121873447372</stp>
        <tr r="F1244" s="2"/>
      </tp>
      <tp t="s">
        <v>#N/A N/A</v>
        <stp/>
        <stp>BDP|12115433261057086063</stp>
        <tr r="H168" s="2"/>
      </tp>
      <tp t="s">
        <v>#N/A N/A</v>
        <stp/>
        <stp>BDP|12844205076813949325</stp>
        <tr r="P731" s="2"/>
      </tp>
      <tp t="s">
        <v>#N/A N/A</v>
        <stp/>
        <stp>BDP|14494652839207960147</stp>
        <tr r="F51" s="2"/>
      </tp>
      <tp t="s">
        <v>#N/A N/A</v>
        <stp/>
        <stp>BDP|10033625973142470408</stp>
        <tr r="T1263" s="2"/>
      </tp>
      <tp t="s">
        <v>#N/A N/A</v>
        <stp/>
        <stp>BDP|13705947480423529639</stp>
        <tr r="G829" s="2"/>
      </tp>
      <tp t="s">
        <v>#N/A N/A</v>
        <stp/>
        <stp>BDP|15313357123364683765</stp>
        <tr r="G527" s="2"/>
      </tp>
      <tp t="s">
        <v>#N/A N/A</v>
        <stp/>
        <stp>BDP|10662040570354190464</stp>
        <tr r="E1445" s="2"/>
      </tp>
      <tp t="s">
        <v>#N/A N/A</v>
        <stp/>
        <stp>BDP|16473692270884954417</stp>
        <tr r="Q842" s="2"/>
      </tp>
      <tp t="s">
        <v>#N/A N/A</v>
        <stp/>
        <stp>BDP|15238345813887022703</stp>
        <tr r="O832" s="2"/>
      </tp>
      <tp t="s">
        <v>#N/A N/A</v>
        <stp/>
        <stp>BDP|11417732077745387363</stp>
        <tr r="E1240" s="2"/>
      </tp>
      <tp t="s">
        <v>#N/A N/A</v>
        <stp/>
        <stp>BDP|16437857620992345977</stp>
        <tr r="J820" s="2"/>
      </tp>
      <tp t="s">
        <v>#N/A N/A</v>
        <stp/>
        <stp>BDP|12382851472413603973</stp>
        <tr r="M986" s="2"/>
      </tp>
      <tp t="s">
        <v>#N/A N/A</v>
        <stp/>
        <stp>BDP|12454042316011612558</stp>
        <tr r="T381" s="2"/>
      </tp>
      <tp t="s">
        <v>#N/A N/A</v>
        <stp/>
        <stp>BDP|12144895549289048049</stp>
        <tr r="N256" s="2"/>
      </tp>
      <tp t="s">
        <v>#N/A N/A</v>
        <stp/>
        <stp>BDP|13959538999320503830</stp>
        <tr r="S761" s="2"/>
      </tp>
      <tp t="s">
        <v>#N/A N/A</v>
        <stp/>
        <stp>BDP|10742010335010533439</stp>
        <tr r="R164" s="2"/>
      </tp>
      <tp t="s">
        <v>#N/A N/A</v>
        <stp/>
        <stp>BDP|15789202860474029221</stp>
        <tr r="F1643" s="2"/>
      </tp>
      <tp t="s">
        <v>#N/A N/A</v>
        <stp/>
        <stp>BDP|10274212882009386470</stp>
        <tr r="Q1160" s="2"/>
      </tp>
      <tp t="s">
        <v>#N/A N/A</v>
        <stp/>
        <stp>BDP|10369018037403748773</stp>
        <tr r="N1255" s="2"/>
      </tp>
      <tp t="s">
        <v>#N/A N/A</v>
        <stp/>
        <stp>BDP|16864183273827344054</stp>
        <tr r="F1477" s="2"/>
      </tp>
      <tp t="s">
        <v>#N/A N/A</v>
        <stp/>
        <stp>BDP|11007658302254003427</stp>
        <tr r="H535" s="2"/>
      </tp>
      <tp t="s">
        <v>#N/A N/A</v>
        <stp/>
        <stp>BDP|14449758360667130555</stp>
        <tr r="C1018" s="2"/>
      </tp>
      <tp t="s">
        <v>#N/A N/A</v>
        <stp/>
        <stp>BDP|15243704873130353276</stp>
        <tr r="M1680" s="2"/>
      </tp>
      <tp t="s">
        <v>#N/A N/A</v>
        <stp/>
        <stp>BDP|17788856737732036908</stp>
        <tr r="T1293" s="2"/>
      </tp>
      <tp t="s">
        <v>#N/A N/A</v>
        <stp/>
        <stp>BDP|10496262844097482671</stp>
        <tr r="P1465" s="2"/>
      </tp>
      <tp t="s">
        <v>#N/A N/A</v>
        <stp/>
        <stp>BDP|16783654391529625709</stp>
        <tr r="O376" s="2"/>
      </tp>
      <tp t="s">
        <v>#N/A N/A</v>
        <stp/>
        <stp>BDP|11044325255537577771</stp>
        <tr r="H1154" s="2"/>
      </tp>
      <tp t="s">
        <v>#N/A N/A</v>
        <stp/>
        <stp>BDP|12747909183262452658</stp>
        <tr r="G107" s="2"/>
      </tp>
      <tp t="s">
        <v>#N/A N/A</v>
        <stp/>
        <stp>BDP|15641210575626348147</stp>
        <tr r="K216" s="2"/>
      </tp>
      <tp t="s">
        <v>#N/A N/A</v>
        <stp/>
        <stp>BDP|13452877983164447016</stp>
        <tr r="S1198" s="2"/>
      </tp>
      <tp t="s">
        <v>#N/A N/A</v>
        <stp/>
        <stp>BDP|17260357931762475270</stp>
        <tr r="F1085" s="2"/>
      </tp>
      <tp t="s">
        <v>#N/A N/A</v>
        <stp/>
        <stp>BDP|15103208540461395574</stp>
        <tr r="H46" s="2"/>
      </tp>
      <tp t="s">
        <v>#N/A N/A</v>
        <stp/>
        <stp>BDP|11716451286673704967</stp>
        <tr r="E67" s="2"/>
      </tp>
      <tp t="s">
        <v>#N/A N/A</v>
        <stp/>
        <stp>BDP|18198670687068196950</stp>
        <tr r="S1061" s="2"/>
      </tp>
      <tp t="s">
        <v>#N/A N/A</v>
        <stp/>
        <stp>BDP|15970326032392462084</stp>
        <tr r="R611" s="2"/>
      </tp>
      <tp t="s">
        <v>#N/A N/A</v>
        <stp/>
        <stp>BDP|16195765863730325029</stp>
        <tr r="P709" s="2"/>
      </tp>
      <tp t="s">
        <v>#N/A N/A</v>
        <stp/>
        <stp>BDP|17353305688223602882</stp>
        <tr r="H954" s="2"/>
      </tp>
      <tp t="s">
        <v>#N/A N/A</v>
        <stp/>
        <stp>BDP|17902320097479100384</stp>
        <tr r="J749" s="2"/>
      </tp>
      <tp t="s">
        <v>#N/A N/A</v>
        <stp/>
        <stp>BDP|11108662103130929081</stp>
        <tr r="H1390" s="2"/>
      </tp>
      <tp t="s">
        <v>#N/A N/A</v>
        <stp/>
        <stp>BDP|15381126824677581657</stp>
        <tr r="T663" s="2"/>
      </tp>
      <tp t="s">
        <v>#N/A N/A</v>
        <stp/>
        <stp>BDP|15870353715101413193</stp>
        <tr r="E1208" s="2"/>
      </tp>
      <tp t="s">
        <v>#N/A N/A</v>
        <stp/>
        <stp>BDP|16758793842002943005</stp>
        <tr r="D656" s="2"/>
      </tp>
      <tp t="s">
        <v>#N/A N/A</v>
        <stp/>
        <stp>BDP|15430603306796607211</stp>
        <tr r="J295" s="2"/>
      </tp>
      <tp t="s">
        <v>#N/A N/A</v>
        <stp/>
        <stp>BDP|17607316798502919834</stp>
        <tr r="A73" s="2"/>
      </tp>
      <tp t="s">
        <v>#N/A N/A</v>
        <stp/>
        <stp>BDP|15843845798371466252</stp>
        <tr r="P151" s="2"/>
      </tp>
      <tp t="s">
        <v>#N/A N/A</v>
        <stp/>
        <stp>BDP|12198503833901631216</stp>
        <tr r="O247" s="2"/>
      </tp>
      <tp t="s">
        <v>#N/A N/A</v>
        <stp/>
        <stp>BDP|15925548766732880363</stp>
        <tr r="K958" s="2"/>
      </tp>
      <tp t="s">
        <v>#N/A N/A</v>
        <stp/>
        <stp>BDP|15564401860104730470</stp>
        <tr r="N814" s="2"/>
      </tp>
      <tp t="s">
        <v>#N/A N/A</v>
        <stp/>
        <stp>BDS|10305941083622069424</stp>
        <tr r="I447" s="2"/>
      </tp>
      <tp t="s">
        <v>#N/A N/A</v>
        <stp/>
        <stp>BDP|12542478564487687055</stp>
        <tr r="F898" s="2"/>
      </tp>
      <tp t="s">
        <v>#N/A N/A</v>
        <stp/>
        <stp>BDP|17809046896470841973</stp>
        <tr r="H1004" s="2"/>
      </tp>
      <tp t="s">
        <v>#N/A N/A</v>
        <stp/>
        <stp>BDP|13551792766760761583</stp>
        <tr r="D45" s="2"/>
      </tp>
      <tp t="s">
        <v>#N/A N/A</v>
        <stp/>
        <stp>BDP|14126644571940496253</stp>
        <tr r="K1346" s="2"/>
      </tp>
      <tp t="s">
        <v>#N/A N/A</v>
        <stp/>
        <stp>BDP|10185609245600207532</stp>
        <tr r="K1138" s="2"/>
      </tp>
      <tp t="s">
        <v>#N/A N/A</v>
        <stp/>
        <stp>BDP|14353059771347023328</stp>
        <tr r="R683" s="2"/>
      </tp>
      <tp t="s">
        <v>#N/A N/A</v>
        <stp/>
        <stp>BDP|10270390912510574591</stp>
        <tr r="T828" s="2"/>
      </tp>
      <tp t="s">
        <v>#N/A N/A</v>
        <stp/>
        <stp>BDP|12863645019446979494</stp>
        <tr r="F140" s="2"/>
      </tp>
      <tp t="s">
        <v>#N/A N/A</v>
        <stp/>
        <stp>BDP|11769747947053850690</stp>
        <tr r="D728" s="2"/>
      </tp>
      <tp t="s">
        <v>#N/A N/A</v>
        <stp/>
        <stp>BDP|11000517014642962093</stp>
        <tr r="G1463" s="2"/>
      </tp>
      <tp t="s">
        <v>#N/A N/A</v>
        <stp/>
        <stp>BDP|11813481079412574797</stp>
        <tr r="E862" s="2"/>
      </tp>
      <tp t="s">
        <v>#N/A N/A</v>
        <stp/>
        <stp>BDP|16616230113031362303</stp>
        <tr r="F1357" s="2"/>
      </tp>
      <tp t="s">
        <v>#N/A N/A</v>
        <stp/>
        <stp>BDP|16167527253102716325</stp>
        <tr r="S1694" s="2"/>
      </tp>
      <tp t="s">
        <v>#N/A N/A</v>
        <stp/>
        <stp>BDP|11981823088411028776</stp>
        <tr r="C1735" s="2"/>
      </tp>
      <tp t="s">
        <v>#N/A N/A</v>
        <stp/>
        <stp>BDP|15537673328190988672</stp>
        <tr r="C559" s="2"/>
      </tp>
      <tp t="s">
        <v>#N/A N/A</v>
        <stp/>
        <stp>BDP|12283217260473200250</stp>
        <tr r="O1220" s="2"/>
      </tp>
      <tp t="s">
        <v>#N/A N/A</v>
        <stp/>
        <stp>BDP|10689642414227330711</stp>
        <tr r="O646" s="2"/>
      </tp>
      <tp t="s">
        <v>#N/A N/A</v>
        <stp/>
        <stp>BDP|11430518466291738400</stp>
        <tr r="D288" s="2"/>
      </tp>
      <tp t="s">
        <v>#N/A N/A</v>
        <stp/>
        <stp>BDP|17507153102413241249</stp>
        <tr r="T1401" s="2"/>
      </tp>
      <tp t="s">
        <v>#N/A N/A</v>
        <stp/>
        <stp>BDP|15706600904771558528</stp>
        <tr r="J368" s="2"/>
      </tp>
      <tp t="s">
        <v>#N/A N/A</v>
        <stp/>
        <stp>BDP|13834306177960369083</stp>
        <tr r="D1499" s="2"/>
      </tp>
      <tp t="s">
        <v>#N/A N/A</v>
        <stp/>
        <stp>BDP|17778903093553114318</stp>
        <tr r="K957" s="2"/>
      </tp>
      <tp t="s">
        <v>#N/A N/A</v>
        <stp/>
        <stp>BDP|14115373431951035230</stp>
        <tr r="C189" s="2"/>
      </tp>
      <tp t="s">
        <v>#N/A N/A</v>
        <stp/>
        <stp>BDP|16860759648686760460</stp>
        <tr r="F379" s="2"/>
      </tp>
      <tp t="s">
        <v>#N/A N/A</v>
        <stp/>
        <stp>BDP|17267467315377696234</stp>
        <tr r="C1117" s="2"/>
      </tp>
      <tp t="s">
        <v>#N/A N/A</v>
        <stp/>
        <stp>BDP|15521602035437331078</stp>
        <tr r="N1505" s="2"/>
      </tp>
      <tp t="s">
        <v>#N/A N/A</v>
        <stp/>
        <stp>BDP|14501154211860537300</stp>
        <tr r="K1420" s="2"/>
      </tp>
      <tp t="s">
        <v>#N/A N/A</v>
        <stp/>
        <stp>BDP|15461348893049226152</stp>
        <tr r="A1008" s="2"/>
      </tp>
      <tp t="s">
        <v>#N/A N/A</v>
        <stp/>
        <stp>BDP|15494736394225362945</stp>
        <tr r="D357" s="2"/>
      </tp>
      <tp t="s">
        <v>#N/A N/A</v>
        <stp/>
        <stp>BDP|13800393442115688617</stp>
        <tr r="H516" s="2"/>
      </tp>
      <tp t="s">
        <v>#N/A N/A</v>
        <stp/>
        <stp>BDP|14108760170572102128</stp>
        <tr r="T1667" s="2"/>
      </tp>
      <tp t="s">
        <v>#N/A N/A</v>
        <stp/>
        <stp>BDP|13613428749891889514</stp>
        <tr r="S955" s="2"/>
      </tp>
      <tp t="s">
        <v>#N/A N/A</v>
        <stp/>
        <stp>BDP|11570452021690566009</stp>
        <tr r="A99" s="2"/>
      </tp>
      <tp t="s">
        <v>#N/A N/A</v>
        <stp/>
        <stp>BDP|10944263938815562365</stp>
        <tr r="A1376" s="2"/>
      </tp>
      <tp t="s">
        <v>#N/A N/A</v>
        <stp/>
        <stp>BDP|12358961207545659908</stp>
        <tr r="E1518" s="2"/>
      </tp>
      <tp t="s">
        <v>#N/A N/A</v>
        <stp/>
        <stp>BDP|11929114705524902300</stp>
        <tr r="M1125" s="2"/>
      </tp>
      <tp t="s">
        <v>#N/A N/A</v>
        <stp/>
        <stp>BDP|17523574241010648111</stp>
        <tr r="R1128" s="2"/>
      </tp>
      <tp t="s">
        <v>#N/A N/A</v>
        <stp/>
        <stp>BDP|10659162630571512410</stp>
        <tr r="H848" s="2"/>
      </tp>
      <tp t="s">
        <v>#N/A N/A</v>
        <stp/>
        <stp>BDP|18147407419249922350</stp>
        <tr r="T486" s="2"/>
      </tp>
      <tp t="s">
        <v>#N/A N/A</v>
        <stp/>
        <stp>BDP|18107163233744126915</stp>
        <tr r="J1314" s="2"/>
      </tp>
      <tp t="s">
        <v>#N/A N/A</v>
        <stp/>
        <stp>BDP|12635574412018526926</stp>
        <tr r="T1591" s="2"/>
      </tp>
      <tp t="s">
        <v>#N/A N/A</v>
        <stp/>
        <stp>BDP|13785278028325801140</stp>
        <tr r="G1552" s="2"/>
      </tp>
      <tp t="s">
        <v>#N/A N/A</v>
        <stp/>
        <stp>BDP|16484328617325746624</stp>
        <tr r="F1296" s="2"/>
      </tp>
      <tp t="s">
        <v>#N/A N/A</v>
        <stp/>
        <stp>BDP|10272754344213370745</stp>
        <tr r="J1360" s="2"/>
      </tp>
      <tp t="s">
        <v>#N/A N/A</v>
        <stp/>
        <stp>BDP|16071490062454637793</stp>
        <tr r="D424" s="2"/>
      </tp>
      <tp t="s">
        <v>#N/A N/A</v>
        <stp/>
        <stp>BDP|11070316342197314643</stp>
        <tr r="A703" s="2"/>
      </tp>
      <tp t="s">
        <v>#N/A N/A</v>
        <stp/>
        <stp>BDP|16088230422076683732</stp>
        <tr r="C1071" s="2"/>
      </tp>
      <tp t="s">
        <v>#N/A N/A</v>
        <stp/>
        <stp>BDP|10129623946722079713</stp>
        <tr r="O1642" s="2"/>
      </tp>
      <tp t="s">
        <v>#N/A N/A</v>
        <stp/>
        <stp>BDP|11105619150875636020</stp>
        <tr r="D1474" s="2"/>
      </tp>
      <tp t="s">
        <v>#N/A N/A</v>
        <stp/>
        <stp>BDP|15627235205839253968</stp>
        <tr r="O418" s="2"/>
      </tp>
      <tp t="s">
        <v>#N/A N/A</v>
        <stp/>
        <stp>BDP|15137890718593205867</stp>
        <tr r="O1548" s="2"/>
      </tp>
      <tp t="s">
        <v>#N/A N/A</v>
        <stp/>
        <stp>BDP|13356154639173288599</stp>
        <tr r="F1647" s="2"/>
      </tp>
      <tp t="s">
        <v>#N/A N/A</v>
        <stp/>
        <stp>BDP|16356065105518729936</stp>
        <tr r="P1236" s="2"/>
      </tp>
      <tp t="s">
        <v>#N/A N/A</v>
        <stp/>
        <stp>BDP|10138385841457570794</stp>
        <tr r="D1187" s="2"/>
      </tp>
      <tp t="s">
        <v>#N/A N/A</v>
        <stp/>
        <stp>BDP|15944636789709447530</stp>
        <tr r="T1234" s="2"/>
      </tp>
      <tp t="s">
        <v>#N/A N/A</v>
        <stp/>
        <stp>BDP|13646389326341977458</stp>
        <tr r="E331" s="2"/>
      </tp>
      <tp t="s">
        <v>#N/A N/A</v>
        <stp/>
        <stp>BDP|12639535877043124475</stp>
        <tr r="S1546" s="2"/>
      </tp>
      <tp t="s">
        <v>#N/A N/A</v>
        <stp/>
        <stp>BDP|17809015026607218593</stp>
        <tr r="C927" s="2"/>
      </tp>
      <tp t="s">
        <v>#N/A N/A</v>
        <stp/>
        <stp>BDP|17320810187444008416</stp>
        <tr r="P1743" s="2"/>
      </tp>
      <tp t="s">
        <v>#N/A N/A</v>
        <stp/>
        <stp>BDP|10711043775269289908</stp>
        <tr r="P1332" s="2"/>
      </tp>
      <tp t="s">
        <v>#N/A N/A</v>
        <stp/>
        <stp>BDP|10298363261442186006</stp>
        <tr r="S1021" s="2"/>
      </tp>
      <tp t="s">
        <v>#N/A N/A</v>
        <stp/>
        <stp>BDP|12266415866437845093</stp>
        <tr r="K832" s="2"/>
      </tp>
      <tp t="s">
        <v>#N/A N/A</v>
        <stp/>
        <stp>BDP|13380873998323013689</stp>
        <tr r="G305" s="2"/>
      </tp>
      <tp t="s">
        <v>#N/A N/A</v>
        <stp/>
        <stp>BDP|14835724640419978974</stp>
        <tr r="M1744" s="2"/>
      </tp>
      <tp t="s">
        <v>#N/A N/A</v>
        <stp/>
        <stp>BDP|16206360372415650041</stp>
        <tr r="J1700" s="2"/>
      </tp>
      <tp t="s">
        <v>#N/A N/A</v>
        <stp/>
        <stp>BDP|10022302271201517203</stp>
        <tr r="J605" s="2"/>
      </tp>
      <tp t="s">
        <v>#N/A N/A</v>
        <stp/>
        <stp>BDP|12805703695663845811</stp>
        <tr r="O1605" s="2"/>
      </tp>
      <tp t="s">
        <v>#N/A N/A</v>
        <stp/>
        <stp>BDP|12080045107801573422</stp>
        <tr r="N74" s="2"/>
      </tp>
      <tp t="s">
        <v>#N/A N/A</v>
        <stp/>
        <stp>BDP|10841412771092973656</stp>
        <tr r="E386" s="2"/>
      </tp>
      <tp t="s">
        <v>#N/A N/A</v>
        <stp/>
        <stp>BDS|12248593477521265693</stp>
        <tr r="I1145" s="2"/>
      </tp>
      <tp t="s">
        <v>#N/A N/A</v>
        <stp/>
        <stp>BDP|13807609751067973049</stp>
        <tr r="G1616" s="2"/>
      </tp>
      <tp t="s">
        <v>#N/A N/A</v>
        <stp/>
        <stp>BDP|11199068378144923524</stp>
        <tr r="E66" s="2"/>
      </tp>
      <tp t="s">
        <v>#N/A N/A</v>
        <stp/>
        <stp>BDP|11386029758930495397</stp>
        <tr r="A1490" s="2"/>
      </tp>
      <tp t="s">
        <v>#N/A N/A</v>
        <stp/>
        <stp>BDP|12131641510124241631</stp>
        <tr r="O309" s="2"/>
      </tp>
      <tp t="s">
        <v>#N/A N/A</v>
        <stp/>
        <stp>BDP|16663102272326945195</stp>
        <tr r="C1723" s="2"/>
      </tp>
      <tp t="s">
        <v>#N/A N/A</v>
        <stp/>
        <stp>BDP|16717112104744432421</stp>
        <tr r="Q558" s="2"/>
      </tp>
      <tp t="s">
        <v>#N/A N/A</v>
        <stp/>
        <stp>BDP|17201842393144811597</stp>
        <tr r="D1367" s="2"/>
      </tp>
      <tp t="s">
        <v>#N/A N/A</v>
        <stp/>
        <stp>BDP|11120245501140507453</stp>
        <tr r="O1429" s="2"/>
      </tp>
      <tp t="s">
        <v>#N/A N/A</v>
        <stp/>
        <stp>BDP|16235231522821464039</stp>
        <tr r="O1455" s="2"/>
      </tp>
      <tp t="s">
        <v>#N/A N/A</v>
        <stp/>
        <stp>BDP|13735340111636794019</stp>
        <tr r="A1306" s="2"/>
      </tp>
      <tp t="s">
        <v>#N/A N/A</v>
        <stp/>
        <stp>BDP|11356124701982294565</stp>
        <tr r="O350" s="2"/>
      </tp>
      <tp t="s">
        <v>#N/A N/A</v>
        <stp/>
        <stp>BDP|14344282951403661780</stp>
        <tr r="F194" s="2"/>
      </tp>
      <tp t="s">
        <v>#N/A N/A</v>
        <stp/>
        <stp>BDP|14035421700933488427</stp>
        <tr r="E656" s="2"/>
      </tp>
      <tp t="s">
        <v>#N/A N/A</v>
        <stp/>
        <stp>BDP|12238057033145044305</stp>
        <tr r="M1361" s="2"/>
      </tp>
      <tp t="s">
        <v>#N/A N/A</v>
        <stp/>
        <stp>BDP|12496025975930727203</stp>
        <tr r="S652" s="2"/>
      </tp>
      <tp t="s">
        <v>#N/A N/A</v>
        <stp/>
        <stp>BDP|13286927173082385843</stp>
        <tr r="T294" s="2"/>
      </tp>
      <tp t="s">
        <v>#N/A N/A</v>
        <stp/>
        <stp>BDP|11639322819605146187</stp>
        <tr r="S744" s="2"/>
      </tp>
      <tp t="s">
        <v>#N/A N/A</v>
        <stp/>
        <stp>BDP|10469580829356265637</stp>
        <tr r="T974" s="2"/>
      </tp>
      <tp t="s">
        <v>#N/A N/A</v>
        <stp/>
        <stp>BDP|12740790040736932034</stp>
        <tr r="G1323" s="2"/>
      </tp>
      <tp t="s">
        <v>#N/A N/A</v>
        <stp/>
        <stp>BDP|17491840093490045142</stp>
        <tr r="J1377" s="2"/>
      </tp>
      <tp t="s">
        <v>#N/A N/A</v>
        <stp/>
        <stp>BDP|14447650932215390374</stp>
        <tr r="O713" s="2"/>
      </tp>
      <tp t="s">
        <v>#N/A N/A</v>
        <stp/>
        <stp>BDP|11184751471685306314</stp>
        <tr r="K359" s="2"/>
      </tp>
      <tp t="s">
        <v>#N/A N/A</v>
        <stp/>
        <stp>BDP|11685726211780144036</stp>
        <tr r="F353" s="2"/>
      </tp>
      <tp t="s">
        <v>#N/A N/A</v>
        <stp/>
        <stp>BDP|15701708991904383822</stp>
        <tr r="D1721" s="2"/>
      </tp>
      <tp t="s">
        <v>#N/A N/A</v>
        <stp/>
        <stp>BDP|13123728663474238156</stp>
        <tr r="M1362" s="2"/>
      </tp>
      <tp t="s">
        <v>#N/A N/A</v>
        <stp/>
        <stp>BDP|10898342849549302915</stp>
        <tr r="K1707" s="2"/>
      </tp>
      <tp t="s">
        <v>#N/A N/A</v>
        <stp/>
        <stp>BDP|15479319574032229447</stp>
        <tr r="S1459" s="2"/>
      </tp>
      <tp t="s">
        <v>#N/A N/A</v>
        <stp/>
        <stp>BDP|10340963986481400708</stp>
        <tr r="T954" s="2"/>
      </tp>
      <tp t="s">
        <v>#N/A N/A</v>
        <stp/>
        <stp>BDP|12711592928821029312</stp>
        <tr r="E1477" s="2"/>
      </tp>
      <tp t="s">
        <v>#N/A N/A</v>
        <stp/>
        <stp>BDP|10482285524997893077</stp>
        <tr r="F1122" s="2"/>
      </tp>
      <tp t="s">
        <v>#N/A N/A</v>
        <stp/>
        <stp>BDP|14040418692797442905</stp>
        <tr r="N192" s="2"/>
      </tp>
      <tp t="s">
        <v>#N/A N/A</v>
        <stp/>
        <stp>BDP|18326572822939863195</stp>
        <tr r="J348" s="2"/>
      </tp>
      <tp t="s">
        <v>#N/A N/A</v>
        <stp/>
        <stp>BDP|13441732604860728336</stp>
        <tr r="K1342" s="2"/>
      </tp>
      <tp t="s">
        <v>#N/A N/A</v>
        <stp/>
        <stp>BDP|10784132107325522311</stp>
        <tr r="G1485" s="2"/>
      </tp>
      <tp t="s">
        <v>#N/A N/A</v>
        <stp/>
        <stp>BDS|16685625013416321001</stp>
        <tr r="I1068" s="2"/>
      </tp>
      <tp t="s">
        <v>#N/A N/A</v>
        <stp/>
        <stp>BDP|11962459373946983314</stp>
        <tr r="O1002" s="2"/>
      </tp>
      <tp t="s">
        <v>#N/A N/A</v>
        <stp/>
        <stp>BDP|14282616587705088838</stp>
        <tr r="R585" s="2"/>
      </tp>
      <tp t="s">
        <v>#N/A N/A</v>
        <stp/>
        <stp>BDS|17404699676691804076</stp>
        <tr r="I494" s="2"/>
      </tp>
      <tp t="s">
        <v>#N/A N/A</v>
        <stp/>
        <stp>BDP|11369375058425273599</stp>
        <tr r="H1492" s="2"/>
      </tp>
      <tp t="s">
        <v>#N/A N/A</v>
        <stp/>
        <stp>BDP|16732766672534182551</stp>
        <tr r="G622" s="2"/>
      </tp>
      <tp t="s">
        <v>#N/A N/A</v>
        <stp/>
        <stp>BDP|10404513370720282505</stp>
        <tr r="Q352" s="2"/>
      </tp>
      <tp t="s">
        <v>#N/A N/A</v>
        <stp/>
        <stp>BDP|18335262344039002068</stp>
        <tr r="H552" s="2"/>
      </tp>
      <tp t="s">
        <v>#N/A N/A</v>
        <stp/>
        <stp>BDP|15559305356650469409</stp>
        <tr r="Q111" s="2"/>
      </tp>
      <tp t="s">
        <v>#N/A N/A</v>
        <stp/>
        <stp>BDP|13619525601255689447</stp>
        <tr r="H1440" s="2"/>
      </tp>
      <tp t="s">
        <v>#N/A N/A</v>
        <stp/>
        <stp>BDP|13595745455123366503</stp>
        <tr r="K546" s="2"/>
      </tp>
      <tp t="s">
        <v>#N/A N/A</v>
        <stp/>
        <stp>BDP|16230647887516372959</stp>
        <tr r="Q12" s="2"/>
      </tp>
      <tp t="s">
        <v>#N/A N/A</v>
        <stp/>
        <stp>BDP|16747504575600519308</stp>
        <tr r="R39" s="2"/>
      </tp>
      <tp t="s">
        <v>#N/A N/A</v>
        <stp/>
        <stp>BDP|16448328432203496278</stp>
        <tr r="P315" s="2"/>
      </tp>
      <tp t="s">
        <v>#N/A N/A</v>
        <stp/>
        <stp>BDP|12922528618010771132</stp>
        <tr r="O1134" s="2"/>
      </tp>
      <tp t="s">
        <v>#N/A N/A</v>
        <stp/>
        <stp>BDP|18199606987860304128</stp>
        <tr r="C1086" s="2"/>
      </tp>
      <tp t="s">
        <v>#N/A N/A</v>
        <stp/>
        <stp>BDP|10031272634660118658</stp>
        <tr r="J1382" s="2"/>
      </tp>
      <tp t="s">
        <v>#N/A N/A</v>
        <stp/>
        <stp>BDP|17392862982455466547</stp>
        <tr r="G919" s="2"/>
      </tp>
      <tp t="s">
        <v>#N/A N/A</v>
        <stp/>
        <stp>BDP|10889787171186083168</stp>
        <tr r="R1551" s="2"/>
      </tp>
      <tp t="s">
        <v>#N/A N/A</v>
        <stp/>
        <stp>BDP|14780914877724359950</stp>
        <tr r="Q1316" s="2"/>
      </tp>
      <tp t="s">
        <v>#N/A N/A</v>
        <stp/>
        <stp>BDP|18061714991825458431</stp>
        <tr r="S1342" s="2"/>
      </tp>
      <tp t="s">
        <v>#N/A N/A</v>
        <stp/>
        <stp>BDP|11789122479895378588</stp>
        <tr r="M1345" s="2"/>
      </tp>
      <tp t="s">
        <v>#N/A N/A</v>
        <stp/>
        <stp>BDP|17525470148926979641</stp>
        <tr r="T1558" s="2"/>
      </tp>
      <tp t="s">
        <v>#N/A N/A</v>
        <stp/>
        <stp>BDP|10518222370711617369</stp>
        <tr r="R1222" s="2"/>
      </tp>
      <tp t="s">
        <v>#N/A N/A</v>
        <stp/>
        <stp>BDP|14550006953657285131</stp>
        <tr r="T567" s="2"/>
      </tp>
      <tp t="s">
        <v>#N/A N/A</v>
        <stp/>
        <stp>BDP|12237477779915809331</stp>
        <tr r="O456" s="2"/>
      </tp>
      <tp t="s">
        <v>#N/A N/A</v>
        <stp/>
        <stp>BDP|15857394607723320228</stp>
        <tr r="D1075" s="2"/>
      </tp>
      <tp t="s">
        <v>#N/A N/A</v>
        <stp/>
        <stp>BDP|11829169642313982023</stp>
        <tr r="N584" s="2"/>
      </tp>
      <tp t="s">
        <v>#N/A N/A</v>
        <stp/>
        <stp>BDP|13800102934677202197</stp>
        <tr r="H772" s="2"/>
      </tp>
      <tp t="s">
        <v>#N/A N/A</v>
        <stp/>
        <stp>BDP|14008163250102170506</stp>
        <tr r="A160" s="2"/>
      </tp>
      <tp t="s">
        <v>#N/A N/A</v>
        <stp/>
        <stp>BDP|11521013241700546271</stp>
        <tr r="G177" s="2"/>
      </tp>
      <tp t="s">
        <v>#N/A N/A</v>
        <stp/>
        <stp>BDP|12841981152748380169</stp>
        <tr r="A365" s="2"/>
      </tp>
      <tp t="s">
        <v>#N/A N/A</v>
        <stp/>
        <stp>BDP|14057723372457337442</stp>
        <tr r="G127" s="2"/>
      </tp>
      <tp t="s">
        <v>#N/A N/A</v>
        <stp/>
        <stp>BDP|10504953376091714860</stp>
        <tr r="O1634" s="2"/>
      </tp>
      <tp t="s">
        <v>#N/A N/A</v>
        <stp/>
        <stp>BDP|10766825499210912622</stp>
        <tr r="E1284" s="2"/>
      </tp>
      <tp t="s">
        <v>#N/A N/A</v>
        <stp/>
        <stp>BDP|16760296291562826805</stp>
        <tr r="G787" s="2"/>
      </tp>
      <tp t="s">
        <v>#N/A N/A</v>
        <stp/>
        <stp>BDP|14069440766817084657</stp>
        <tr r="O394" s="2"/>
      </tp>
      <tp t="s">
        <v>#N/A N/A</v>
        <stp/>
        <stp>BDP|13766718134892144243</stp>
        <tr r="M290" s="2"/>
      </tp>
      <tp t="s">
        <v>#N/A N/A</v>
        <stp/>
        <stp>BDP|13463028371102095107</stp>
        <tr r="Q1249" s="2"/>
      </tp>
      <tp t="s">
        <v>#N/A N/A</v>
        <stp/>
        <stp>BDP|15075005218360725382</stp>
        <tr r="N788" s="2"/>
      </tp>
      <tp t="s">
        <v>#N/A N/A</v>
        <stp/>
        <stp>BDP|12563208014440096662</stp>
        <tr r="N686" s="2"/>
      </tp>
      <tp t="s">
        <v>#N/A N/A</v>
        <stp/>
        <stp>BDP|10962250062913885017</stp>
        <tr r="T520" s="2"/>
      </tp>
      <tp t="s">
        <v>#N/A N/A</v>
        <stp/>
        <stp>BDP|14613202941616838386</stp>
        <tr r="N1379" s="2"/>
      </tp>
      <tp t="s">
        <v>#N/A N/A</v>
        <stp/>
        <stp>BDP|10435124980407218935</stp>
        <tr r="J1280" s="2"/>
      </tp>
      <tp t="s">
        <v>#N/A N/A</v>
        <stp/>
        <stp>BDP|10545593225276667684</stp>
        <tr r="H1071" s="2"/>
      </tp>
      <tp t="s">
        <v>#N/A N/A</v>
        <stp/>
        <stp>BDP|17356605161724434413</stp>
        <tr r="A999" s="2"/>
      </tp>
      <tp t="s">
        <v>#N/A N/A</v>
        <stp/>
        <stp>BDP|16151917318190947961</stp>
        <tr r="F439" s="2"/>
      </tp>
      <tp t="s">
        <v>#N/A N/A</v>
        <stp/>
        <stp>BDP|12428878114639322538</stp>
        <tr r="E1611" s="2"/>
      </tp>
      <tp t="s">
        <v>#N/A N/A</v>
        <stp/>
        <stp>BDP|15604980308368379322</stp>
        <tr r="F1473" s="2"/>
      </tp>
      <tp t="s">
        <v>#N/A N/A</v>
        <stp/>
        <stp>BDP|10502424330776406645</stp>
        <tr r="P658" s="2"/>
      </tp>
      <tp t="s">
        <v>#N/A N/A</v>
        <stp/>
        <stp>BDP|18405666867466629946</stp>
        <tr r="F738" s="2"/>
      </tp>
      <tp t="s">
        <v>#N/A N/A</v>
        <stp/>
        <stp>BDP|16758042623031277255</stp>
        <tr r="E73" s="2"/>
      </tp>
      <tp t="s">
        <v>#N/A N/A</v>
        <stp/>
        <stp>BDP|10051296338905467329</stp>
        <tr r="S1363" s="2"/>
      </tp>
      <tp t="s">
        <v>#N/A N/A</v>
        <stp/>
        <stp>BDP|12393912200935175940</stp>
        <tr r="C1134" s="2"/>
      </tp>
      <tp t="s">
        <v>#N/A N/A</v>
        <stp/>
        <stp>BDP|14341340631222618173</stp>
        <tr r="S679" s="2"/>
      </tp>
      <tp t="s">
        <v>#N/A N/A</v>
        <stp/>
        <stp>BDP|17596638030182010715</stp>
        <tr r="J42" s="2"/>
      </tp>
      <tp t="s">
        <v>#N/A N/A</v>
        <stp/>
        <stp>BDP|12058063380074927980</stp>
        <tr r="N1537" s="2"/>
      </tp>
      <tp t="s">
        <v>#N/A N/A</v>
        <stp/>
        <stp>BDP|13133140476475627721</stp>
        <tr r="E179" s="2"/>
      </tp>
      <tp t="s">
        <v>#N/A N/A</v>
        <stp/>
        <stp>BDP|18413004095907615109</stp>
        <tr r="F969" s="2"/>
      </tp>
      <tp t="s">
        <v>#N/A N/A</v>
        <stp/>
        <stp>BDP|12291310941256411401</stp>
        <tr r="P1196" s="2"/>
      </tp>
      <tp t="s">
        <v>#N/A N/A</v>
        <stp/>
        <stp>BDP|10499424242742420563</stp>
        <tr r="Q726" s="2"/>
      </tp>
      <tp t="s">
        <v>#N/A N/A</v>
        <stp/>
        <stp>BDP|14087193633893983250</stp>
        <tr r="M1159" s="2"/>
      </tp>
      <tp t="s">
        <v>#N/A N/A</v>
        <stp/>
        <stp>BDP|15636342813524476438</stp>
        <tr r="N1273" s="2"/>
      </tp>
      <tp t="s">
        <v>#N/A N/A</v>
        <stp/>
        <stp>BDP|13671464736467354439</stp>
        <tr r="A1596" s="2"/>
      </tp>
      <tp t="s">
        <v>#N/A N/A</v>
        <stp/>
        <stp>BDP|18228516537881112836</stp>
        <tr r="H539" s="2"/>
      </tp>
      <tp t="s">
        <v>#N/A N/A</v>
        <stp/>
        <stp>BDP|13404326454903113155</stp>
        <tr r="H11" s="2"/>
      </tp>
      <tp t="s">
        <v>#N/A N/A</v>
        <stp/>
        <stp>BDP|13856495179261712698</stp>
        <tr r="Q447" s="2"/>
      </tp>
      <tp t="s">
        <v>#N/A N/A</v>
        <stp/>
        <stp>BDP|12188515253764077157</stp>
        <tr r="G507" s="2"/>
      </tp>
      <tp t="s">
        <v>#N/A N/A</v>
        <stp/>
        <stp>BDP|14832293843344105159</stp>
        <tr r="G624" s="2"/>
      </tp>
      <tp t="s">
        <v>#N/A N/A</v>
        <stp/>
        <stp>BDP|11364125131496397257</stp>
        <tr r="K690" s="2"/>
      </tp>
      <tp t="s">
        <v>#N/A N/A</v>
        <stp/>
        <stp>BDP|15443218838004800735</stp>
        <tr r="S451" s="2"/>
      </tp>
      <tp t="s">
        <v>#N/A N/A</v>
        <stp/>
        <stp>BDP|16979398609646760486</stp>
        <tr r="T799" s="2"/>
      </tp>
      <tp t="s">
        <v>#N/A N/A</v>
        <stp/>
        <stp>BDP|11210507653252549429</stp>
        <tr r="F944" s="2"/>
      </tp>
      <tp t="s">
        <v>#N/A N/A</v>
        <stp/>
        <stp>BDP|16727998701191958907</stp>
        <tr r="O993" s="2"/>
      </tp>
      <tp t="s">
        <v>#N/A N/A</v>
        <stp/>
        <stp>BDP|10290330430011078676</stp>
        <tr r="T1031" s="2"/>
      </tp>
      <tp t="s">
        <v>#N/A N/A</v>
        <stp/>
        <stp>BDP|16857919076389909607</stp>
        <tr r="F1096" s="2"/>
      </tp>
      <tp t="s">
        <v>#N/A N/A</v>
        <stp/>
        <stp>BDP|11656301191439615579</stp>
        <tr r="G1701" s="2"/>
      </tp>
      <tp t="s">
        <v>#N/A N/A</v>
        <stp/>
        <stp>BDP|15791527672014967480</stp>
        <tr r="D692" s="2"/>
      </tp>
      <tp t="s">
        <v>#N/A N/A</v>
        <stp/>
        <stp>BDS|12226773946085684301</stp>
        <tr r="I355" s="2"/>
      </tp>
      <tp t="s">
        <v>#N/A N/A</v>
        <stp/>
        <stp>BDP|11173568383363230800</stp>
        <tr r="J898" s="2"/>
      </tp>
      <tp t="s">
        <v>#N/A N/A</v>
        <stp/>
        <stp>BDP|12704695932938378894</stp>
        <tr r="M86" s="2"/>
      </tp>
      <tp t="s">
        <v>#N/A N/A</v>
        <stp/>
        <stp>BDP|11356757511928539846</stp>
        <tr r="N1668" s="2"/>
      </tp>
      <tp t="s">
        <v>#N/A N/A</v>
        <stp/>
        <stp>BDP|11123731365836528147</stp>
        <tr r="G229" s="2"/>
      </tp>
      <tp t="s">
        <v>#N/A N/A</v>
        <stp/>
        <stp>BDP|15476781759672573269</stp>
        <tr r="H171" s="2"/>
      </tp>
      <tp t="s">
        <v>#N/A N/A</v>
        <stp/>
        <stp>BDP|14842487612722581412</stp>
        <tr r="H430" s="2"/>
      </tp>
      <tp t="s">
        <v>#N/A N/A</v>
        <stp/>
        <stp>BDP|16687416041497909694</stp>
        <tr r="R1631" s="2"/>
      </tp>
      <tp t="s">
        <v>#N/A N/A</v>
        <stp/>
        <stp>BDP|17127677080569287726</stp>
        <tr r="A1534" s="2"/>
      </tp>
      <tp t="s">
        <v>#N/A N/A</v>
        <stp/>
        <stp>BDP|16660406139917951101</stp>
        <tr r="J1107" s="2"/>
      </tp>
      <tp t="s">
        <v>#N/A N/A</v>
        <stp/>
        <stp>BDP|18060641587715285475</stp>
        <tr r="O1529" s="2"/>
      </tp>
      <tp t="s">
        <v>#N/A N/A</v>
        <stp/>
        <stp>BDP|16629237973190510459</stp>
        <tr r="G1546" s="2"/>
      </tp>
      <tp t="s">
        <v>#N/A N/A</v>
        <stp/>
        <stp>BDP|10906233475914177681</stp>
        <tr r="Q347" s="2"/>
      </tp>
      <tp t="s">
        <v>#N/A N/A</v>
        <stp/>
        <stp>BDP|14217704059114587580</stp>
        <tr r="M202" s="2"/>
      </tp>
      <tp t="s">
        <v>#N/A N/A</v>
        <stp/>
        <stp>BDP|15733879656739444645</stp>
        <tr r="M1291" s="2"/>
      </tp>
      <tp t="s">
        <v>#N/A N/A</v>
        <stp/>
        <stp>BDP|10227104313837688015</stp>
        <tr r="D234" s="2"/>
      </tp>
      <tp t="s">
        <v>#N/A N/A</v>
        <stp/>
        <stp>BDP|15698347526957006424</stp>
        <tr r="S1722" s="2"/>
      </tp>
      <tp t="s">
        <v>#N/A N/A</v>
        <stp/>
        <stp>BDP|10715034483907399826</stp>
        <tr r="M874" s="2"/>
      </tp>
      <tp t="s">
        <v>#N/A N/A</v>
        <stp/>
        <stp>BDP|12080261164710180155</stp>
        <tr r="Q1752" s="2"/>
      </tp>
      <tp t="s">
        <v>#N/A N/A</v>
        <stp/>
        <stp>BDP|16770057054756718274</stp>
        <tr r="Q781" s="2"/>
      </tp>
      <tp t="s">
        <v>#N/A N/A</v>
        <stp/>
        <stp>BDP|12423637320209137806</stp>
        <tr r="C1600" s="2"/>
      </tp>
      <tp t="s">
        <v>#N/A N/A</v>
        <stp/>
        <stp>BDP|14648093023495262487</stp>
        <tr r="K1256" s="2"/>
      </tp>
      <tp t="s">
        <v>#N/A N/A</v>
        <stp/>
        <stp>BDP|10559228546548009978</stp>
        <tr r="P1154" s="2"/>
      </tp>
      <tp t="s">
        <v>#N/A N/A</v>
        <stp/>
        <stp>BDP|10549040726730260532</stp>
        <tr r="K871" s="2"/>
      </tp>
      <tp t="s">
        <v>#N/A N/A</v>
        <stp/>
        <stp>BDP|13534656039432743382</stp>
        <tr r="F1270" s="2"/>
      </tp>
      <tp t="s">
        <v>#N/A N/A</v>
        <stp/>
        <stp>BDP|18016657650384779845</stp>
        <tr r="F1094" s="2"/>
      </tp>
      <tp t="s">
        <v>#N/A N/A</v>
        <stp/>
        <stp>BDP|13440065010606433303</stp>
        <tr r="C1428" s="2"/>
      </tp>
      <tp t="s">
        <v>#N/A N/A</v>
        <stp/>
        <stp>BDP|14099011572970148442</stp>
        <tr r="O1748" s="2"/>
      </tp>
      <tp t="s">
        <v>#N/A N/A</v>
        <stp/>
        <stp>BDP|11738566975744177032</stp>
        <tr r="E287" s="2"/>
      </tp>
      <tp t="s">
        <v>#N/A N/A</v>
        <stp/>
        <stp>BDP|14391208036550019233</stp>
        <tr r="N1259" s="2"/>
      </tp>
      <tp t="s">
        <v>#N/A N/A</v>
        <stp/>
        <stp>BDP|14552670749593521284</stp>
        <tr r="D107" s="2"/>
      </tp>
      <tp t="s">
        <v>#N/A N/A</v>
        <stp/>
        <stp>BDP|13149733072555733117</stp>
        <tr r="K94" s="2"/>
      </tp>
      <tp t="s">
        <v>#N/A N/A</v>
        <stp/>
        <stp>BDP|11052069133022539769</stp>
        <tr r="K1292" s="2"/>
      </tp>
      <tp t="s">
        <v>#N/A N/A</v>
        <stp/>
        <stp>BDP|14652440522210233542</stp>
        <tr r="E1648" s="2"/>
      </tp>
      <tp t="s">
        <v>#N/A N/A</v>
        <stp/>
        <stp>BDP|15195424531805707033</stp>
        <tr r="C625" s="2"/>
      </tp>
      <tp t="s">
        <v>#N/A N/A</v>
        <stp/>
        <stp>BDP|15441476152554577726</stp>
        <tr r="M56" s="2"/>
      </tp>
      <tp t="s">
        <v>#N/A N/A</v>
        <stp/>
        <stp>BDP|13435110898338927427</stp>
        <tr r="K1361" s="2"/>
      </tp>
      <tp t="s">
        <v>#N/A N/A</v>
        <stp/>
        <stp>BDP|12369378963840471054</stp>
        <tr r="H1458" s="2"/>
      </tp>
      <tp t="s">
        <v>#N/A N/A</v>
        <stp/>
        <stp>BDP|11237473763753669765</stp>
        <tr r="R930" s="2"/>
      </tp>
      <tp t="s">
        <v>#N/A N/A</v>
        <stp/>
        <stp>BDP|11677087419063720799</stp>
        <tr r="O152" s="2"/>
      </tp>
      <tp t="s">
        <v>#N/A N/A</v>
        <stp/>
        <stp>BDP|18051688214238556301</stp>
        <tr r="N894" s="2"/>
      </tp>
      <tp t="s">
        <v>#N/A N/A</v>
        <stp/>
        <stp>BDP|11758088055214118425</stp>
        <tr r="M979" s="2"/>
      </tp>
      <tp t="s">
        <v>#N/A N/A</v>
        <stp/>
        <stp>BDP|11284457348805653008</stp>
        <tr r="T574" s="2"/>
      </tp>
      <tp t="s">
        <v>#N/A N/A</v>
        <stp/>
        <stp>BDP|11564340449967262533</stp>
        <tr r="A888" s="2"/>
      </tp>
      <tp t="s">
        <v>#N/A N/A</v>
        <stp/>
        <stp>BDP|18087758082664845768</stp>
        <tr r="T370" s="2"/>
      </tp>
      <tp t="s">
        <v>#N/A N/A</v>
        <stp/>
        <stp>BDP|12806181359664655668</stp>
        <tr r="O144" s="2"/>
      </tp>
      <tp t="s">
        <v>#N/A N/A</v>
        <stp/>
        <stp>BDP|10470224872938568986</stp>
        <tr r="A928" s="2"/>
      </tp>
      <tp t="s">
        <v>#N/A N/A</v>
        <stp/>
        <stp>BDP|13124615603565838428</stp>
        <tr r="P1376" s="2"/>
      </tp>
      <tp t="s">
        <v>#N/A N/A</v>
        <stp/>
        <stp>BDP|12517297814332058719</stp>
        <tr r="S1686" s="2"/>
      </tp>
      <tp t="s">
        <v>#N/A N/A</v>
        <stp/>
        <stp>BDP|11597143131140904702</stp>
        <tr r="C656" s="2"/>
      </tp>
      <tp t="s">
        <v>#N/A N/A</v>
        <stp/>
        <stp>BDP|11388286061723444275</stp>
        <tr r="T931" s="2"/>
      </tp>
      <tp t="s">
        <v>#N/A N/A</v>
        <stp/>
        <stp>BDP|11372989351418729140</stp>
        <tr r="G1741" s="2"/>
      </tp>
      <tp t="s">
        <v>#N/A N/A</v>
        <stp/>
        <stp>BDP|17405600658322238278</stp>
        <tr r="O1663" s="2"/>
      </tp>
      <tp t="s">
        <v>#N/A N/A</v>
        <stp/>
        <stp>BDP|11000186455566429709</stp>
        <tr r="J1471" s="2"/>
      </tp>
      <tp t="s">
        <v>#N/A N/A</v>
        <stp/>
        <stp>BDP|14710940290348249889</stp>
        <tr r="D1511" s="2"/>
      </tp>
      <tp t="s">
        <v>#N/A N/A</v>
        <stp/>
        <stp>BDP|17213484079527268789</stp>
        <tr r="M1236" s="2"/>
      </tp>
      <tp t="s">
        <v>#N/A N/A</v>
        <stp/>
        <stp>BDP|13013539824975976579</stp>
        <tr r="G984" s="2"/>
      </tp>
      <tp t="s">
        <v>#N/A N/A</v>
        <stp/>
        <stp>BDP|15225832068947715877</stp>
        <tr r="H1493" s="2"/>
      </tp>
      <tp t="s">
        <v>#N/A N/A</v>
        <stp/>
        <stp>BDP|10035774308923083069</stp>
        <tr r="R991" s="2"/>
      </tp>
      <tp t="s">
        <v>#N/A N/A</v>
        <stp/>
        <stp>BDP|14928153036944541662</stp>
        <tr r="O1012" s="2"/>
      </tp>
      <tp t="s">
        <v>#N/A N/A</v>
        <stp/>
        <stp>BDP|13473113616062285582</stp>
        <tr r="S360" s="2"/>
      </tp>
      <tp t="s">
        <v>#N/A N/A</v>
        <stp/>
        <stp>BDP|17802436191819434773</stp>
        <tr r="C289" s="2"/>
      </tp>
      <tp t="s">
        <v>#N/A N/A</v>
        <stp/>
        <stp>BDP|17996213045200310577</stp>
        <tr r="J747" s="2"/>
      </tp>
      <tp t="s">
        <v>#N/A N/A</v>
        <stp/>
        <stp>BDP|11856750896099526279</stp>
        <tr r="O1219" s="2"/>
      </tp>
      <tp t="s">
        <v>#N/A N/A</v>
        <stp/>
        <stp>BDP|16217438786209630786</stp>
        <tr r="D42" s="2"/>
      </tp>
      <tp t="s">
        <v>#N/A N/A</v>
        <stp/>
        <stp>BDP|11475229597048936613</stp>
        <tr r="K1517" s="2"/>
      </tp>
      <tp t="s">
        <v>#N/A N/A</v>
        <stp/>
        <stp>BDP|13059832862838119193</stp>
        <tr r="M1448" s="2"/>
      </tp>
      <tp t="s">
        <v>#N/A N/A</v>
        <stp/>
        <stp>BDP|11683232405687939002</stp>
        <tr r="S1568" s="2"/>
      </tp>
      <tp t="s">
        <v>#N/A N/A</v>
        <stp/>
        <stp>BDP|15567729436105912012</stp>
        <tr r="A26" s="2"/>
      </tp>
      <tp t="s">
        <v>#N/A N/A</v>
        <stp/>
        <stp>BDP|10034406319816634763</stp>
        <tr r="Q537" s="2"/>
      </tp>
      <tp t="s">
        <v>#N/A N/A</v>
        <stp/>
        <stp>BDP|10847249237520701554</stp>
        <tr r="T450" s="2"/>
      </tp>
      <tp t="s">
        <v>#N/A N/A</v>
        <stp/>
        <stp>BDP|12280767706273973226</stp>
        <tr r="G1083" s="2"/>
      </tp>
      <tp t="s">
        <v>#N/A N/A</v>
        <stp/>
        <stp>BDP|15936233964862384743</stp>
        <tr r="S542" s="2"/>
      </tp>
      <tp t="s">
        <v>#N/A N/A</v>
        <stp/>
        <stp>BDP|13250660753166708297</stp>
        <tr r="N640" s="2"/>
      </tp>
      <tp t="s">
        <v>#N/A N/A</v>
        <stp/>
        <stp>BDP|11065833640300346991</stp>
        <tr r="M701" s="2"/>
      </tp>
      <tp t="s">
        <v>#N/A N/A</v>
        <stp/>
        <stp>BDP|11461367712465103286</stp>
        <tr r="N1682" s="2"/>
      </tp>
      <tp t="s">
        <v>#N/A N/A</v>
        <stp/>
        <stp>BDP|13070500579177860283</stp>
        <tr r="H1037" s="2"/>
      </tp>
      <tp t="s">
        <v>#N/A N/A</v>
        <stp/>
        <stp>BDP|15863108791830505955</stp>
        <tr r="F481" s="2"/>
      </tp>
      <tp t="s">
        <v>#N/A N/A</v>
        <stp/>
        <stp>BDP|17999157504270763268</stp>
        <tr r="M236" s="2"/>
      </tp>
      <tp t="s">
        <v>#N/A N/A</v>
        <stp/>
        <stp>BDP|10427712459271562706</stp>
        <tr r="P955" s="2"/>
      </tp>
      <tp t="s">
        <v>#N/A N/A</v>
        <stp/>
        <stp>BDS|16812515373740533052</stp>
        <tr r="I527" s="2"/>
      </tp>
      <tp t="s">
        <v>#N/A N/A</v>
        <stp/>
        <stp>BDS|10960177539547830155</stp>
        <tr r="I619" s="2"/>
      </tp>
      <tp t="s">
        <v>#N/A N/A</v>
        <stp/>
        <stp>BDP|17677454450041934332</stp>
        <tr r="H57" s="2"/>
      </tp>
      <tp t="s">
        <v>#N/A N/A</v>
        <stp/>
        <stp>BDP|15984177368500815679</stp>
        <tr r="P1169" s="2"/>
      </tp>
      <tp t="s">
        <v>#N/A N/A</v>
        <stp/>
        <stp>BDP|11997165332273289467</stp>
        <tr r="O1508" s="2"/>
      </tp>
      <tp t="s">
        <v>#N/A N/A</v>
        <stp/>
        <stp>BDP|16284578584168083788</stp>
        <tr r="N559" s="2"/>
      </tp>
      <tp t="s">
        <v>#N/A N/A</v>
        <stp/>
        <stp>BDP|10103922391124343086</stp>
        <tr r="N923" s="2"/>
      </tp>
      <tp t="s">
        <v>#N/A N/A</v>
        <stp/>
        <stp>BDP|16908922283425503646</stp>
        <tr r="T993" s="2"/>
      </tp>
      <tp t="s">
        <v>#N/A N/A</v>
        <stp/>
        <stp>BDP|12061097504513073543</stp>
        <tr r="T886" s="2"/>
      </tp>
      <tp t="s">
        <v>#N/A N/A</v>
        <stp/>
        <stp>BDP|11698411280981802861</stp>
        <tr r="Q724" s="2"/>
      </tp>
      <tp t="s">
        <v>#N/A N/A</v>
        <stp/>
        <stp>BDP|17312915779019049427</stp>
        <tr r="D1580" s="2"/>
      </tp>
      <tp t="s">
        <v>#N/A N/A</v>
        <stp/>
        <stp>BDP|11048741275122859706</stp>
        <tr r="Q929" s="2"/>
      </tp>
      <tp t="s">
        <v>#N/A N/A</v>
        <stp/>
        <stp>BDP|17244419702107081083</stp>
        <tr r="E921" s="2"/>
      </tp>
      <tp t="s">
        <v>#N/A N/A</v>
        <stp/>
        <stp>BDP|14849725807983397477</stp>
        <tr r="F1697" s="2"/>
      </tp>
      <tp t="s">
        <v>#N/A N/A</v>
        <stp/>
        <stp>BDP|11125913965099430384</stp>
        <tr r="G60" s="2"/>
      </tp>
      <tp t="s">
        <v>#N/A N/A</v>
        <stp/>
        <stp>BDP|15336010456334414097</stp>
        <tr r="H778" s="2"/>
      </tp>
      <tp t="s">
        <v>#N/A N/A</v>
        <stp/>
        <stp>BDP|12252712119318156827</stp>
        <tr r="H1115" s="2"/>
      </tp>
      <tp t="s">
        <v>#N/A N/A</v>
        <stp/>
        <stp>BDP|13542487193533564926</stp>
        <tr r="Q1670" s="2"/>
      </tp>
      <tp t="s">
        <v>#N/A N/A</v>
        <stp/>
        <stp>BDP|16811269515802767350</stp>
        <tr r="P1714" s="2"/>
      </tp>
      <tp t="s">
        <v>#N/A N/A</v>
        <stp/>
        <stp>BDP|11836564166603715566</stp>
        <tr r="F1715" s="2"/>
      </tp>
      <tp t="s">
        <v>#N/A N/A</v>
        <stp/>
        <stp>BDP|16032604868747551540</stp>
        <tr r="D1687" s="2"/>
      </tp>
      <tp t="s">
        <v>#N/A N/A</v>
        <stp/>
        <stp>BDP|17855035959847343189</stp>
        <tr r="S1685" s="2"/>
      </tp>
      <tp t="s">
        <v>#N/A N/A</v>
        <stp/>
        <stp>BDP|12393589585123751801</stp>
        <tr r="S1679" s="2"/>
      </tp>
      <tp t="s">
        <v>#N/A N/A</v>
        <stp/>
        <stp>BDP|10654179249954402550</stp>
        <tr r="F1032" s="2"/>
      </tp>
      <tp t="s">
        <v>#N/A N/A</v>
        <stp/>
        <stp>BDP|16025582919397814107</stp>
        <tr r="D294" s="2"/>
      </tp>
      <tp t="s">
        <v>#N/A N/A</v>
        <stp/>
        <stp>BDP|15712797942200196249</stp>
        <tr r="H189" s="2"/>
      </tp>
      <tp t="s">
        <v>#N/A N/A</v>
        <stp/>
        <stp>BDP|15638650649012676150</stp>
        <tr r="S443" s="2"/>
      </tp>
      <tp t="s">
        <v>#N/A N/A</v>
        <stp/>
        <stp>BDP|16510750501182090792</stp>
        <tr r="E1535" s="2"/>
      </tp>
      <tp t="s">
        <v>#N/A N/A</v>
        <stp/>
        <stp>BDP|18360195278412895825</stp>
        <tr r="G1194" s="2"/>
      </tp>
      <tp t="s">
        <v>#N/A N/A</v>
        <stp/>
        <stp>BDP|10304581774042734409</stp>
        <tr r="F314" s="2"/>
      </tp>
      <tp t="s">
        <v>#N/A N/A</v>
        <stp/>
        <stp>BDP|11169065988315682813</stp>
        <tr r="G963" s="2"/>
      </tp>
      <tp t="s">
        <v>#N/A N/A</v>
        <stp/>
        <stp>BDP|11728123975685091684</stp>
        <tr r="P1351" s="2"/>
      </tp>
      <tp t="s">
        <v>#N/A N/A</v>
        <stp/>
        <stp>BDP|13535761141497988334</stp>
        <tr r="G1016" s="2"/>
      </tp>
      <tp t="s">
        <v>#N/A N/A</v>
        <stp/>
        <stp>BDP|11145631406946536595</stp>
        <tr r="D1437" s="2"/>
      </tp>
      <tp t="s">
        <v>#N/A N/A</v>
        <stp/>
        <stp>BDP|14684727557696234493</stp>
        <tr r="F150" s="2"/>
      </tp>
      <tp t="s">
        <v>#N/A N/A</v>
        <stp/>
        <stp>BDP|11986128841803137332</stp>
        <tr r="R174" s="2"/>
      </tp>
      <tp t="s">
        <v>#N/A N/A</v>
        <stp/>
        <stp>BDP|15923313076895762017</stp>
        <tr r="M988" s="2"/>
      </tp>
      <tp t="s">
        <v>#N/A N/A</v>
        <stp/>
        <stp>BDP|15697268119856258434</stp>
        <tr r="O1606" s="2"/>
      </tp>
      <tp t="s">
        <v>#N/A N/A</v>
        <stp/>
        <stp>BDS|16935687661371271398</stp>
        <tr r="I406" s="2"/>
      </tp>
      <tp t="s">
        <v>#N/A N/A</v>
        <stp/>
        <stp>BDS|15974658554400176224</stp>
        <tr r="I986" s="2"/>
      </tp>
      <tp t="s">
        <v>#N/A N/A</v>
        <stp/>
        <stp>BDP|13339739189600908884</stp>
        <tr r="D1167" s="2"/>
      </tp>
      <tp t="s">
        <v>#N/A N/A</v>
        <stp/>
        <stp>BDP|15530547019293894680</stp>
        <tr r="F1504" s="2"/>
      </tp>
      <tp t="s">
        <v>#N/A N/A</v>
        <stp/>
        <stp>BDP|17460079830168212890</stp>
        <tr r="M106" s="2"/>
      </tp>
      <tp t="s">
        <v>#N/A N/A</v>
        <stp/>
        <stp>BDP|10557009239752240560</stp>
        <tr r="N488" s="2"/>
      </tp>
      <tp t="s">
        <v>#N/A N/A</v>
        <stp/>
        <stp>BDP|11036087454799158959</stp>
        <tr r="F819" s="2"/>
      </tp>
      <tp t="s">
        <v>#N/A N/A</v>
        <stp/>
        <stp>BDP|11580108818557525209</stp>
        <tr r="O1373" s="2"/>
      </tp>
      <tp t="s">
        <v>#N/A N/A</v>
        <stp/>
        <stp>BDP|15110442649065785435</stp>
        <tr r="N747" s="2"/>
      </tp>
      <tp t="s">
        <v>#N/A N/A</v>
        <stp/>
        <stp>BDP|13453373476642494197</stp>
        <tr r="T1131" s="2"/>
      </tp>
      <tp t="s">
        <v>#N/A N/A</v>
        <stp/>
        <stp>BDP|13016437625836875767</stp>
        <tr r="Q40" s="2"/>
      </tp>
      <tp t="s">
        <v>#N/A N/A</v>
        <stp/>
        <stp>BDP|17325399557086603336</stp>
        <tr r="F767" s="2"/>
      </tp>
      <tp t="s">
        <v>#N/A N/A</v>
        <stp/>
        <stp>BDP|11261361264959921911</stp>
        <tr r="H1316" s="2"/>
      </tp>
      <tp t="s">
        <v>#N/A N/A</v>
        <stp/>
        <stp>BDP|11692032339111537714</stp>
        <tr r="H1348" s="2"/>
      </tp>
      <tp t="s">
        <v>#N/A N/A</v>
        <stp/>
        <stp>BDP|11261209510702307495</stp>
        <tr r="R1588" s="2"/>
      </tp>
      <tp t="s">
        <v>#N/A N/A</v>
        <stp/>
        <stp>BDP|17604435975681195196</stp>
        <tr r="O1008" s="2"/>
      </tp>
      <tp t="s">
        <v>#N/A N/A</v>
        <stp/>
        <stp>BDP|10081822893946067396</stp>
        <tr r="F1314" s="2"/>
      </tp>
      <tp t="s">
        <v>#N/A N/A</v>
        <stp/>
        <stp>BDP|10489920961702950969</stp>
        <tr r="G1097" s="2"/>
      </tp>
      <tp t="s">
        <v>#N/A N/A</v>
        <stp/>
        <stp>BDP|10686998313025555916</stp>
        <tr r="R475" s="2"/>
      </tp>
      <tp t="s">
        <v>#N/A N/A</v>
        <stp/>
        <stp>BDP|10502030249888696813</stp>
        <tr r="E121" s="2"/>
      </tp>
      <tp t="s">
        <v>#N/A N/A</v>
        <stp/>
        <stp>BDP|10744807485302235681</stp>
        <tr r="F903" s="2"/>
      </tp>
      <tp t="s">
        <v>#N/A N/A</v>
        <stp/>
        <stp>BDP|14902112018644817407</stp>
        <tr r="P44" s="2"/>
      </tp>
      <tp t="s">
        <v>#N/A N/A</v>
        <stp/>
        <stp>BDP|16695004118637287441</stp>
        <tr r="K157" s="2"/>
      </tp>
      <tp t="s">
        <v>#N/A N/A</v>
        <stp/>
        <stp>BDP|10527898448800951855</stp>
        <tr r="H722" s="2"/>
      </tp>
      <tp t="s">
        <v>#N/A N/A</v>
        <stp/>
        <stp>BDP|15843438540390590167</stp>
        <tr r="O1161" s="2"/>
      </tp>
      <tp t="s">
        <v>#N/A N/A</v>
        <stp/>
        <stp>BDP|11158340690439989648</stp>
        <tr r="F1037" s="2"/>
      </tp>
      <tp t="s">
        <v>#N/A N/A</v>
        <stp/>
        <stp>BDP|15283439844588527987</stp>
        <tr r="A430" s="2"/>
      </tp>
      <tp t="s">
        <v>#N/A N/A</v>
        <stp/>
        <stp>BDP|15914579151026103769</stp>
        <tr r="M680" s="2"/>
      </tp>
      <tp t="s">
        <v>#N/A N/A</v>
        <stp/>
        <stp>BDP|16644143439156211616</stp>
        <tr r="Q677" s="2"/>
      </tp>
      <tp t="s">
        <v>#N/A N/A</v>
        <stp/>
        <stp>BDP|15869862452188132457</stp>
        <tr r="F99" s="2"/>
      </tp>
      <tp t="s">
        <v>#N/A N/A</v>
        <stp/>
        <stp>BDP|17489447373538289893</stp>
        <tr r="G1673" s="2"/>
      </tp>
      <tp t="s">
        <v>#N/A N/A</v>
        <stp/>
        <stp>BDP|14323290990988336318</stp>
        <tr r="Q1291" s="2"/>
      </tp>
      <tp t="s">
        <v>#N/A N/A</v>
        <stp/>
        <stp>BDP|10725543152306024290</stp>
        <tr r="M315" s="2"/>
      </tp>
      <tp t="s">
        <v>#N/A N/A</v>
        <stp/>
        <stp>BDP|14150466158887339648</stp>
        <tr r="Q1010" s="2"/>
      </tp>
      <tp t="s">
        <v>#N/A N/A</v>
        <stp/>
        <stp>BDP|10313442464646250090</stp>
        <tr r="M1193" s="2"/>
      </tp>
      <tp t="s">
        <v>#N/A N/A</v>
        <stp/>
        <stp>BDP|17432092150882087456</stp>
        <tr r="H134" s="2"/>
      </tp>
      <tp t="s">
        <v>#N/A N/A</v>
        <stp/>
        <stp>BDP|16554252561603029594</stp>
        <tr r="D785" s="2"/>
      </tp>
      <tp t="s">
        <v>#N/A N/A</v>
        <stp/>
        <stp>BDP|10763435723530860277</stp>
        <tr r="O30" s="2"/>
      </tp>
      <tp t="s">
        <v>#N/A N/A</v>
        <stp/>
        <stp>BDP|12456997267121430867</stp>
        <tr r="A91" s="2"/>
      </tp>
      <tp t="s">
        <v>#N/A N/A</v>
        <stp/>
        <stp>BDP|11207677430597909745</stp>
        <tr r="R384" s="2"/>
      </tp>
      <tp t="s">
        <v>#N/A N/A</v>
        <stp/>
        <stp>BDP|15459554240796940605</stp>
        <tr r="S1526" s="2"/>
      </tp>
      <tp t="s">
        <v>#N/A N/A</v>
        <stp/>
        <stp>BDP|15022766727424038095</stp>
        <tr r="O1554" s="2"/>
      </tp>
      <tp t="s">
        <v>#N/A N/A</v>
        <stp/>
        <stp>BDP|15999739173838883996</stp>
        <tr r="O49" s="2"/>
      </tp>
      <tp t="s">
        <v>#N/A N/A</v>
        <stp/>
        <stp>BDP|11267586170575637240</stp>
        <tr r="R1624" s="2"/>
      </tp>
      <tp t="s">
        <v>#N/A N/A</v>
        <stp/>
        <stp>BDP|14702000657357007285</stp>
        <tr r="N1298" s="2"/>
      </tp>
      <tp t="s">
        <v>#N/A N/A</v>
        <stp/>
        <stp>BDP|12824179553953235167</stp>
        <tr r="Q776" s="2"/>
      </tp>
      <tp t="s">
        <v>#N/A N/A</v>
        <stp/>
        <stp>BDP|13877226884088217546</stp>
        <tr r="O1079" s="2"/>
      </tp>
      <tp t="s">
        <v>#N/A N/A</v>
        <stp/>
        <stp>BDP|17424018727511810028</stp>
        <tr r="G1077" s="2"/>
      </tp>
      <tp t="s">
        <v>#N/A N/A</v>
        <stp/>
        <stp>BDP|16842023734710668103</stp>
        <tr r="P835" s="2"/>
      </tp>
      <tp t="s">
        <v>#N/A N/A</v>
        <stp/>
        <stp>BDS|11235824181785952030</stp>
        <tr r="I1521" s="2"/>
      </tp>
      <tp t="s">
        <v>#N/A N/A</v>
        <stp/>
        <stp>BDP|13482257025975402283</stp>
        <tr r="M185" s="2"/>
      </tp>
      <tp t="s">
        <v>#N/A N/A</v>
        <stp/>
        <stp>BDP|11750676451831095797</stp>
        <tr r="E880" s="2"/>
      </tp>
      <tp t="s">
        <v>#N/A N/A</v>
        <stp/>
        <stp>BDP|11129801678712793869</stp>
        <tr r="P1404" s="2"/>
      </tp>
      <tp t="s">
        <v>#N/A N/A</v>
        <stp/>
        <stp>BDP|11871601990358921293</stp>
        <tr r="G1614" s="2"/>
      </tp>
      <tp t="s">
        <v>#N/A N/A</v>
        <stp/>
        <stp>BDP|15837248275392042618</stp>
        <tr r="R1086" s="2"/>
      </tp>
      <tp t="s">
        <v>#N/A N/A</v>
        <stp/>
        <stp>BDP|12462571430985226598</stp>
        <tr r="O545" s="2"/>
      </tp>
      <tp t="s">
        <v>#N/A N/A</v>
        <stp/>
        <stp>BDP|16042195803721260204</stp>
        <tr r="O218" s="2"/>
      </tp>
      <tp t="s">
        <v>#N/A N/A</v>
        <stp/>
        <stp>BDP|16330471855154837714</stp>
        <tr r="S192" s="2"/>
      </tp>
      <tp t="s">
        <v>#N/A N/A</v>
        <stp/>
        <stp>BDP|11873946571982420921</stp>
        <tr r="C148" s="2"/>
      </tp>
      <tp t="s">
        <v>#N/A N/A</v>
        <stp/>
        <stp>BDP|12501505349385543229</stp>
        <tr r="T485" s="2"/>
      </tp>
      <tp t="s">
        <v>#N/A N/A</v>
        <stp/>
        <stp>BDP|14177508378563525173</stp>
        <tr r="O963" s="2"/>
      </tp>
      <tp t="s">
        <v>#N/A N/A</v>
        <stp/>
        <stp>BDP|12001840205897321990</stp>
        <tr r="J832" s="2"/>
      </tp>
      <tp t="s">
        <v>#N/A N/A</v>
        <stp/>
        <stp>BDP|11057668741142822544</stp>
        <tr r="E1562" s="2"/>
      </tp>
      <tp t="s">
        <v>#N/A N/A</v>
        <stp/>
        <stp>BDP|10067238148534514650</stp>
        <tr r="M475" s="2"/>
      </tp>
      <tp t="s">
        <v>#N/A N/A</v>
        <stp/>
        <stp>BDP|14369218014314939744</stp>
        <tr r="N498" s="2"/>
      </tp>
      <tp t="s">
        <v>#N/A N/A</v>
        <stp/>
        <stp>BDP|11161533747183856768</stp>
        <tr r="O624" s="2"/>
      </tp>
      <tp t="s">
        <v>#N/A N/A</v>
        <stp/>
        <stp>BDS|12454316203684849168</stp>
        <tr r="I374" s="2"/>
      </tp>
      <tp t="s">
        <v>#N/A N/A</v>
        <stp/>
        <stp>BDP|16021687347977715734</stp>
        <tr r="N455" s="2"/>
      </tp>
      <tp t="s">
        <v>#N/A N/A</v>
        <stp/>
        <stp>BDP|12183714279700456666</stp>
        <tr r="G753" s="2"/>
      </tp>
      <tp t="s">
        <v>#N/A N/A</v>
        <stp/>
        <stp>BDP|11891322614352670537</stp>
        <tr r="K282" s="2"/>
      </tp>
      <tp t="s">
        <v>#N/A N/A</v>
        <stp/>
        <stp>BDP|12525185175825738543</stp>
        <tr r="O130" s="2"/>
      </tp>
      <tp t="s">
        <v>#N/A N/A</v>
        <stp/>
        <stp>BDP|15974415347645689423</stp>
        <tr r="H1318" s="2"/>
      </tp>
      <tp t="s">
        <v>#N/A N/A</v>
        <stp/>
        <stp>BDP|18217569564458823731</stp>
        <tr r="F927" s="2"/>
      </tp>
      <tp t="s">
        <v>#N/A N/A</v>
        <stp/>
        <stp>BDP|15463502823620847648</stp>
        <tr r="A1072" s="2"/>
      </tp>
      <tp t="s">
        <v>#N/A N/A</v>
        <stp/>
        <stp>BDP|16083966249097040844</stp>
        <tr r="N265" s="2"/>
      </tp>
      <tp t="s">
        <v>#N/A N/A</v>
        <stp/>
        <stp>BDP|12591281156728842985</stp>
        <tr r="D1689" s="2"/>
      </tp>
      <tp t="s">
        <v>#N/A N/A</v>
        <stp/>
        <stp>BDP|10349902339356811899</stp>
        <tr r="Q1692" s="2"/>
      </tp>
      <tp t="s">
        <v>#N/A N/A</v>
        <stp/>
        <stp>BDS|16224232092480302989</stp>
        <tr r="I633" s="2"/>
      </tp>
      <tp t="s">
        <v>#N/A N/A</v>
        <stp/>
        <stp>BDP|12982290719945644048</stp>
        <tr r="A1478" s="2"/>
      </tp>
      <tp t="s">
        <v>#N/A N/A</v>
        <stp/>
        <stp>BDP|10693461739222521175</stp>
        <tr r="A715" s="2"/>
      </tp>
      <tp t="s">
        <v>#N/A N/A</v>
        <stp/>
        <stp>BDP|12215568651442651485</stp>
        <tr r="G1401" s="2"/>
      </tp>
      <tp t="s">
        <v>#N/A N/A</v>
        <stp/>
        <stp>BDP|15327237117284428688</stp>
        <tr r="Q1043" s="2"/>
      </tp>
      <tp t="s">
        <v>#N/A N/A</v>
        <stp/>
        <stp>BDP|10820081209333293704</stp>
        <tr r="T1485" s="2"/>
      </tp>
      <tp t="s">
        <v>#N/A N/A</v>
        <stp/>
        <stp>BDP|17548521514391986613</stp>
        <tr r="N148" s="2"/>
      </tp>
      <tp t="s">
        <v>#N/A N/A</v>
        <stp/>
        <stp>BDS|11784342568244435477</stp>
        <tr r="I1592" s="2"/>
      </tp>
      <tp t="s">
        <v>#N/A N/A</v>
        <stp/>
        <stp>BDS|17726489536370497452</stp>
        <tr r="I634" s="2"/>
      </tp>
      <tp t="s">
        <v>#N/A N/A</v>
        <stp/>
        <stp>BDP|15012666518003759520</stp>
        <tr r="A116" s="2"/>
      </tp>
      <tp t="s">
        <v>#N/A N/A</v>
        <stp/>
        <stp>BDP|10502220568871638129</stp>
        <tr r="E637" s="2"/>
      </tp>
      <tp t="s">
        <v>#N/A N/A</v>
        <stp/>
        <stp>BDP|12921613553326062306</stp>
        <tr r="M145" s="2"/>
      </tp>
      <tp t="s">
        <v>#N/A N/A</v>
        <stp/>
        <stp>BDP|17385859941159519693</stp>
        <tr r="S35" s="2"/>
      </tp>
      <tp t="s">
        <v>#N/A N/A</v>
        <stp/>
        <stp>BDP|16823854601018259252</stp>
        <tr r="C368" s="2"/>
      </tp>
      <tp t="s">
        <v>#N/A N/A</v>
        <stp/>
        <stp>BDP|17004504523645178194</stp>
        <tr r="R148" s="2"/>
      </tp>
      <tp t="s">
        <v>#N/A N/A</v>
        <stp/>
        <stp>BDP|16647547840914130788</stp>
        <tr r="K1372" s="2"/>
      </tp>
      <tp t="s">
        <v>#N/A N/A</v>
        <stp/>
        <stp>BDP|10848292682708096689</stp>
        <tr r="Q475" s="2"/>
      </tp>
      <tp t="s">
        <v>#N/A N/A</v>
        <stp/>
        <stp>BDP|10702235493398815746</stp>
        <tr r="R808" s="2"/>
      </tp>
      <tp t="s">
        <v>#N/A N/A</v>
        <stp/>
        <stp>BDP|17536702032070514791</stp>
        <tr r="E239" s="2"/>
      </tp>
      <tp t="s">
        <v>#N/A N/A</v>
        <stp/>
        <stp>BDP|12351143126017330294</stp>
        <tr r="Q1332" s="2"/>
      </tp>
      <tp t="s">
        <v>#N/A N/A</v>
        <stp/>
        <stp>BDP|14150766310331971756</stp>
        <tr r="M1390" s="2"/>
      </tp>
      <tp t="s">
        <v>#N/A N/A</v>
        <stp/>
        <stp>BDP|15427742368079470976</stp>
        <tr r="M323" s="2"/>
      </tp>
      <tp t="s">
        <v>#N/A N/A</v>
        <stp/>
        <stp>BDP|16116264440044414085</stp>
        <tr r="S143" s="2"/>
      </tp>
      <tp t="s">
        <v>#N/A N/A</v>
        <stp/>
        <stp>BDP|15653097116296162636</stp>
        <tr r="K805" s="2"/>
      </tp>
      <tp t="s">
        <v>#N/A N/A</v>
        <stp/>
        <stp>BDP|17518787037333510444</stp>
        <tr r="M884" s="2"/>
      </tp>
      <tp t="s">
        <v>#N/A N/A</v>
        <stp/>
        <stp>BDP|10803449947885018100</stp>
        <tr r="A689" s="2"/>
      </tp>
      <tp t="s">
        <v>#N/A N/A</v>
        <stp/>
        <stp>BDP|13721742868792074400</stp>
        <tr r="S364" s="2"/>
      </tp>
      <tp t="s">
        <v>#N/A N/A</v>
        <stp/>
        <stp>BDP|11829022952152382209</stp>
        <tr r="M51" s="2"/>
      </tp>
      <tp t="s">
        <v>#N/A N/A</v>
        <stp/>
        <stp>BDS|15840757667839225909</stp>
        <tr r="I874" s="2"/>
      </tp>
      <tp t="s">
        <v>#N/A N/A</v>
        <stp/>
        <stp>BDP|11579860102034239984</stp>
        <tr r="J22" s="2"/>
      </tp>
      <tp t="s">
        <v>#N/A N/A</v>
        <stp/>
        <stp>BDP|14958017062545292339</stp>
        <tr r="M131" s="2"/>
      </tp>
      <tp t="s">
        <v>#N/A N/A</v>
        <stp/>
        <stp>BDP|16470661331070842705</stp>
        <tr r="M1426" s="2"/>
      </tp>
      <tp t="s">
        <v>#N/A N/A</v>
        <stp/>
        <stp>BDS|15939221104380555322</stp>
        <tr r="I354" s="2"/>
      </tp>
      <tp t="s">
        <v>#N/A N/A</v>
        <stp/>
        <stp>BDP|12943613105669447923</stp>
        <tr r="J696" s="2"/>
      </tp>
      <tp t="s">
        <v>#N/A N/A</v>
        <stp/>
        <stp>BDP|17549950041978994631</stp>
        <tr r="F1664" s="2"/>
      </tp>
      <tp t="s">
        <v>#N/A N/A</v>
        <stp/>
        <stp>BDP|11604451338846096404</stp>
        <tr r="C647" s="2"/>
      </tp>
      <tp t="s">
        <v>#N/A N/A</v>
        <stp/>
        <stp>BDP|17505675372722218088</stp>
        <tr r="T431" s="2"/>
      </tp>
      <tp t="s">
        <v>#N/A N/A</v>
        <stp/>
        <stp>BDP|13478232508330487515</stp>
        <tr r="O518" s="2"/>
      </tp>
      <tp t="s">
        <v>#N/A N/A</v>
        <stp/>
        <stp>BDP|11266934800965830933</stp>
        <tr r="G1371" s="2"/>
      </tp>
      <tp t="s">
        <v>#N/A N/A</v>
        <stp/>
        <stp>BDP|10817033323462353418</stp>
        <tr r="D751" s="2"/>
      </tp>
      <tp t="s">
        <v>#N/A N/A</v>
        <stp/>
        <stp>BDP|15195676129025536007</stp>
        <tr r="S808" s="2"/>
      </tp>
      <tp t="s">
        <v>#N/A N/A</v>
        <stp/>
        <stp>BDP|15181383544433075573</stp>
        <tr r="O1014" s="2"/>
      </tp>
      <tp t="s">
        <v>#N/A N/A</v>
        <stp/>
        <stp>BDP|17779574321123304788</stp>
        <tr r="P221" s="2"/>
      </tp>
      <tp t="s">
        <v>#N/A N/A</v>
        <stp/>
        <stp>BDP|11314514988959236125</stp>
        <tr r="N185" s="2"/>
      </tp>
      <tp t="s">
        <v>#N/A N/A</v>
        <stp/>
        <stp>BDP|14518803323398437288</stp>
        <tr r="J1407" s="2"/>
      </tp>
      <tp t="s">
        <v>#N/A N/A</v>
        <stp/>
        <stp>BDP|15484615908290702705</stp>
        <tr r="R1698" s="2"/>
      </tp>
      <tp t="s">
        <v>#N/A N/A</v>
        <stp/>
        <stp>BDP|18380735479755101920</stp>
        <tr r="F475" s="2"/>
      </tp>
      <tp t="s">
        <v>#N/A N/A</v>
        <stp/>
        <stp>BDP|14521127876225369388</stp>
        <tr r="T557" s="2"/>
      </tp>
      <tp t="s">
        <v>#N/A N/A</v>
        <stp/>
        <stp>BDP|12691409005226139489</stp>
        <tr r="E801" s="2"/>
      </tp>
      <tp t="s">
        <v>#N/A N/A</v>
        <stp/>
        <stp>BDP|16556543823243199695</stp>
        <tr r="M218" s="2"/>
      </tp>
      <tp t="s">
        <v>#N/A N/A</v>
        <stp/>
        <stp>BDP|17114204528831449276</stp>
        <tr r="C321" s="2"/>
      </tp>
      <tp t="s">
        <v>#N/A N/A</v>
        <stp/>
        <stp>BDP|12431787391588560028</stp>
        <tr r="J740" s="2"/>
      </tp>
      <tp t="s">
        <v>#N/A N/A</v>
        <stp/>
        <stp>BDP|13722129054535206691</stp>
        <tr r="T784" s="2"/>
      </tp>
      <tp t="s">
        <v>#N/A N/A</v>
        <stp/>
        <stp>BDP|14517388026390649171</stp>
        <tr r="G1213" s="2"/>
      </tp>
      <tp t="s">
        <v>#N/A N/A</v>
        <stp/>
        <stp>BDP|10289968391981743582</stp>
        <tr r="G1149" s="2"/>
      </tp>
      <tp t="s">
        <v>#N/A N/A</v>
        <stp/>
        <stp>BDP|13107089760665547464</stp>
        <tr r="O1405" s="2"/>
      </tp>
      <tp t="s">
        <v>#N/A N/A</v>
        <stp/>
        <stp>BDP|13473621359356097253</stp>
        <tr r="H1634" s="2"/>
      </tp>
      <tp t="s">
        <v>#N/A N/A</v>
        <stp/>
        <stp>BDP|12504197906624988397</stp>
        <tr r="M1366" s="2"/>
      </tp>
      <tp t="s">
        <v>#N/A N/A</v>
        <stp/>
        <stp>BDP|13947942362308034058</stp>
        <tr r="F1437" s="2"/>
      </tp>
      <tp t="s">
        <v>#N/A N/A</v>
        <stp/>
        <stp>BDP|10992117584028717511</stp>
        <tr r="M379" s="2"/>
      </tp>
      <tp t="s">
        <v>#N/A N/A</v>
        <stp/>
        <stp>BDP|15830246644803154436</stp>
        <tr r="T862" s="2"/>
      </tp>
      <tp t="s">
        <v>#N/A N/A</v>
        <stp/>
        <stp>BDP|16849015389743382993</stp>
        <tr r="S311" s="2"/>
      </tp>
      <tp t="s">
        <v>#N/A N/A</v>
        <stp/>
        <stp>BDP|13751745703900958031</stp>
        <tr r="C1250" s="2"/>
      </tp>
      <tp t="s">
        <v>#N/A N/A</v>
        <stp/>
        <stp>BDP|16517055815844672796</stp>
        <tr r="N430" s="2"/>
      </tp>
      <tp t="s">
        <v>#N/A N/A</v>
        <stp/>
        <stp>BDP|16992209327011099344</stp>
        <tr r="F378" s="2"/>
      </tp>
      <tp t="s">
        <v>#N/A N/A</v>
        <stp/>
        <stp>BDS|11025701018974218736</stp>
        <tr r="I1439" s="2"/>
      </tp>
      <tp t="s">
        <v>#N/A N/A</v>
        <stp/>
        <stp>BDP|11736087172811206351</stp>
        <tr r="M855" s="2"/>
      </tp>
      <tp t="s">
        <v>#N/A N/A</v>
        <stp/>
        <stp>BDP|11696793533403739211</stp>
        <tr r="E510" s="2"/>
      </tp>
      <tp t="s">
        <v>#N/A N/A</v>
        <stp/>
        <stp>BDP|13140445118405110768</stp>
        <tr r="Q1261" s="2"/>
      </tp>
      <tp t="s">
        <v>#N/A N/A</v>
        <stp/>
        <stp>BDP|13304637163214095390</stp>
        <tr r="T1566" s="2"/>
      </tp>
      <tp t="s">
        <v>#N/A N/A</v>
        <stp/>
        <stp>BDP|12921459177056526345</stp>
        <tr r="C776" s="2"/>
      </tp>
      <tp t="s">
        <v>#N/A N/A</v>
        <stp/>
        <stp>BDP|13905520381543580951</stp>
        <tr r="Q1267" s="2"/>
      </tp>
      <tp t="s">
        <v>#N/A N/A</v>
        <stp/>
        <stp>BDP|16335632422980887603</stp>
        <tr r="J602" s="2"/>
      </tp>
      <tp t="s">
        <v>#N/A N/A</v>
        <stp/>
        <stp>BDP|17491224845945037094</stp>
        <tr r="O1331" s="2"/>
      </tp>
      <tp t="s">
        <v>#N/A N/A</v>
        <stp/>
        <stp>BDP|16392876177969951400</stp>
        <tr r="A760" s="2"/>
      </tp>
      <tp t="s">
        <v>#N/A N/A</v>
        <stp/>
        <stp>BDP|13939454720598066967</stp>
        <tr r="N255" s="2"/>
      </tp>
      <tp t="s">
        <v>#N/A N/A</v>
        <stp/>
        <stp>BDP|11043703343012831417</stp>
        <tr r="O1213" s="2"/>
      </tp>
      <tp t="s">
        <v>#N/A N/A</v>
        <stp/>
        <stp>BDP|14915402872087255435</stp>
        <tr r="S295" s="2"/>
      </tp>
      <tp t="s">
        <v>#N/A N/A</v>
        <stp/>
        <stp>BDP|12667484432525522437</stp>
        <tr r="P1694" s="2"/>
      </tp>
      <tp t="s">
        <v>#N/A N/A</v>
        <stp/>
        <stp>BDP|13207679715510262088</stp>
        <tr r="M1737" s="2"/>
      </tp>
      <tp t="s">
        <v>#N/A N/A</v>
        <stp/>
        <stp>BDS|10468481712382134365</stp>
        <tr r="I214" s="2"/>
      </tp>
      <tp t="s">
        <v>#N/A N/A</v>
        <stp/>
        <stp>BDP|10292719331096106691</stp>
        <tr r="T588" s="2"/>
      </tp>
      <tp t="s">
        <v>#N/A N/A</v>
        <stp/>
        <stp>BDP|11861516525071406321</stp>
        <tr r="G443" s="2"/>
      </tp>
      <tp t="s">
        <v>#N/A N/A</v>
        <stp/>
        <stp>BDP|12762775366727933056</stp>
        <tr r="M436" s="2"/>
      </tp>
      <tp t="s">
        <v>#N/A N/A</v>
        <stp/>
        <stp>BDP|10761701949610210760</stp>
        <tr r="J1561" s="2"/>
      </tp>
      <tp t="s">
        <v>#N/A N/A</v>
        <stp/>
        <stp>BDP|13859449547236674179</stp>
        <tr r="G1101" s="2"/>
      </tp>
      <tp t="s">
        <v>#N/A N/A</v>
        <stp/>
        <stp>BDP|14846751607556024102</stp>
        <tr r="H792" s="2"/>
      </tp>
      <tp t="s">
        <v>#N/A N/A</v>
        <stp/>
        <stp>BDP|16758712658365569512</stp>
        <tr r="T728" s="2"/>
      </tp>
      <tp t="s">
        <v>#N/A N/A</v>
        <stp/>
        <stp>BDP|11052997197407173251</stp>
        <tr r="E271" s="2"/>
      </tp>
      <tp t="s">
        <v>#N/A N/A</v>
        <stp/>
        <stp>BDP|10889147927984488359</stp>
        <tr r="T1622" s="2"/>
      </tp>
      <tp t="s">
        <v>#N/A N/A</v>
        <stp/>
        <stp>BDP|16085806828158498061</stp>
        <tr r="S496" s="2"/>
      </tp>
      <tp t="s">
        <v>#N/A N/A</v>
        <stp/>
        <stp>BDP|17662314326170815235</stp>
        <tr r="F526" s="2"/>
      </tp>
      <tp t="s">
        <v>#N/A N/A</v>
        <stp/>
        <stp>BDP|14833126113655545560</stp>
        <tr r="M1411" s="2"/>
      </tp>
      <tp t="s">
        <v>#N/A N/A</v>
        <stp/>
        <stp>BDS|13990417111936910491</stp>
        <tr r="I504" s="2"/>
      </tp>
      <tp t="s">
        <v>#N/A N/A</v>
        <stp/>
        <stp>BDP|12880057468443941369</stp>
        <tr r="Q302" s="2"/>
      </tp>
      <tp t="s">
        <v>#N/A N/A</v>
        <stp/>
        <stp>BDP|13883507690189230208</stp>
        <tr r="M685" s="2"/>
      </tp>
      <tp t="s">
        <v>#N/A N/A</v>
        <stp/>
        <stp>BDS|16790270278907517044</stp>
        <tr r="I755" s="2"/>
      </tp>
      <tp t="s">
        <v>#N/A N/A</v>
        <stp/>
        <stp>BDP|10831651243731712731</stp>
        <tr r="K1381" s="2"/>
      </tp>
      <tp t="s">
        <v>#N/A N/A</v>
        <stp/>
        <stp>BDP|10048289673981419051</stp>
        <tr r="S148" s="2"/>
      </tp>
      <tp t="s">
        <v>#N/A N/A</v>
        <stp/>
        <stp>BDP|17674945997602979167</stp>
        <tr r="K392" s="2"/>
      </tp>
      <tp t="s">
        <v>#N/A N/A</v>
        <stp/>
        <stp>BDP|14246095263417243105</stp>
        <tr r="D1239" s="2"/>
      </tp>
      <tp t="s">
        <v>#N/A N/A</v>
        <stp/>
        <stp>BDP|11813853422158723725</stp>
        <tr r="F627" s="2"/>
      </tp>
      <tp t="s">
        <v>#N/A N/A</v>
        <stp/>
        <stp>BDP|10366486611966779705</stp>
        <tr r="N826" s="2"/>
      </tp>
      <tp t="s">
        <v>#N/A N/A</v>
        <stp/>
        <stp>BDP|10799345572992975259</stp>
        <tr r="K510" s="2"/>
      </tp>
      <tp t="s">
        <v>#N/A N/A</v>
        <stp/>
        <stp>BDP|11816057014703485702</stp>
        <tr r="R1082" s="2"/>
      </tp>
      <tp t="s">
        <v>#N/A N/A</v>
        <stp/>
        <stp>BDP|14462929495229847962</stp>
        <tr r="S1305" s="2"/>
      </tp>
      <tp t="s">
        <v>#N/A N/A</v>
        <stp/>
        <stp>BDP|12597721342864920119</stp>
        <tr r="D201" s="2"/>
      </tp>
      <tp t="s">
        <v>#N/A N/A</v>
        <stp/>
        <stp>BDP|15507411820342883510</stp>
        <tr r="A558" s="2"/>
      </tp>
      <tp t="s">
        <v>#N/A N/A</v>
        <stp/>
        <stp>BDP|10109278258476717544</stp>
        <tr r="O582" s="2"/>
      </tp>
      <tp t="s">
        <v>#N/A N/A</v>
        <stp/>
        <stp>BDP|16197745425716929140</stp>
        <tr r="D684" s="2"/>
      </tp>
      <tp t="s">
        <v>#N/A N/A</v>
        <stp/>
        <stp>BDP|17623258303236994748</stp>
        <tr r="C258" s="2"/>
      </tp>
      <tp t="s">
        <v>#N/A N/A</v>
        <stp/>
        <stp>BDP|12336743624052784191</stp>
        <tr r="E771" s="2"/>
      </tp>
      <tp t="s">
        <v>#N/A N/A</v>
        <stp/>
        <stp>BDP|14256662664639403998</stp>
        <tr r="K1705" s="2"/>
      </tp>
      <tp t="s">
        <v>#N/A N/A</v>
        <stp/>
        <stp>BDP|10986670624751326145</stp>
        <tr r="J1216" s="2"/>
      </tp>
      <tp t="s">
        <v>#N/A N/A</v>
        <stp/>
        <stp>BDP|13460071724303288683</stp>
        <tr r="J210" s="2"/>
      </tp>
      <tp t="s">
        <v>#N/A N/A</v>
        <stp/>
        <stp>BDS|10540698908225393798</stp>
        <tr r="I968" s="2"/>
      </tp>
      <tp t="s">
        <v>#N/A N/A</v>
        <stp/>
        <stp>BDP|13216736693818870177</stp>
        <tr r="G19" s="2"/>
      </tp>
      <tp t="s">
        <v>#N/A N/A</v>
        <stp/>
        <stp>BDP|17738529921340148483</stp>
        <tr r="R1447" s="2"/>
      </tp>
      <tp t="s">
        <v>#N/A N/A</v>
        <stp/>
        <stp>BDP|13652849451722966873</stp>
        <tr r="T380" s="2"/>
      </tp>
      <tp t="s">
        <v>#N/A N/A</v>
        <stp/>
        <stp>BDP|11755570518981015050</stp>
        <tr r="A1189" s="2"/>
      </tp>
      <tp t="s">
        <v>#N/A N/A</v>
        <stp/>
        <stp>BDP|16596565537730041492</stp>
        <tr r="M1566" s="2"/>
      </tp>
      <tp t="s">
        <v>#N/A N/A</v>
        <stp/>
        <stp>BDP|15063200727948810922</stp>
        <tr r="Q88" s="2"/>
      </tp>
      <tp t="s">
        <v>#N/A N/A</v>
        <stp/>
        <stp>BDP|11581880740280686961</stp>
        <tr r="K477" s="2"/>
      </tp>
      <tp t="s">
        <v>#N/A N/A</v>
        <stp/>
        <stp>BDP|16069933098270256241</stp>
        <tr r="J254" s="2"/>
      </tp>
      <tp t="s">
        <v>#N/A N/A</v>
        <stp/>
        <stp>BDP|13538174149646146476</stp>
        <tr r="E957" s="2"/>
      </tp>
      <tp t="s">
        <v>#N/A N/A</v>
        <stp/>
        <stp>BDP|16872264054782331744</stp>
        <tr r="M25" s="2"/>
      </tp>
      <tp t="s">
        <v>#N/A N/A</v>
        <stp/>
        <stp>BDP|11243912820057664983</stp>
        <tr r="F400" s="2"/>
      </tp>
      <tp t="s">
        <v>#N/A N/A</v>
        <stp/>
        <stp>BDP|12364579630277161788</stp>
        <tr r="H1487" s="2"/>
      </tp>
      <tp t="s">
        <v>#N/A N/A</v>
        <stp/>
        <stp>BDS|11954863410374314827</stp>
        <tr r="I1672" s="2"/>
      </tp>
      <tp t="s">
        <v>#N/A N/A</v>
        <stp/>
        <stp>BDP|11595460150432775699</stp>
        <tr r="A1095" s="2"/>
      </tp>
      <tp t="s">
        <v>#N/A N/A</v>
        <stp/>
        <stp>BDP|14554520153138974800</stp>
        <tr r="E1149" s="2"/>
      </tp>
      <tp t="s">
        <v>#N/A N/A</v>
        <stp/>
        <stp>BDP|16542652628504388269</stp>
        <tr r="N897" s="2"/>
      </tp>
      <tp t="s">
        <v>#N/A N/A</v>
        <stp/>
        <stp>BDP|11095508455561061480</stp>
        <tr r="E95" s="2"/>
      </tp>
      <tp t="s">
        <v>#N/A N/A</v>
        <stp/>
        <stp>BDP|14723891357404056940</stp>
        <tr r="R1695" s="2"/>
      </tp>
      <tp t="s">
        <v>#N/A N/A</v>
        <stp/>
        <stp>BDP|13103627536170871203</stp>
        <tr r="G1039" s="2"/>
      </tp>
      <tp t="s">
        <v>#N/A N/A</v>
        <stp/>
        <stp>BDP|15273462464241943241</stp>
        <tr r="N867" s="2"/>
      </tp>
      <tp t="s">
        <v>#N/A N/A</v>
        <stp/>
        <stp>BDP|13629327539903093404</stp>
        <tr r="O343" s="2"/>
      </tp>
      <tp t="s">
        <v>#N/A N/A</v>
        <stp/>
        <stp>BDP|13289056260250854128</stp>
        <tr r="H1378" s="2"/>
      </tp>
      <tp t="s">
        <v>#N/A N/A</v>
        <stp/>
        <stp>BDP|14731628139307598241</stp>
        <tr r="A303" s="2"/>
      </tp>
      <tp t="s">
        <v>#N/A N/A</v>
        <stp/>
        <stp>BDP|16553045633786865771</stp>
        <tr r="D532" s="2"/>
      </tp>
      <tp t="s">
        <v>#N/A N/A</v>
        <stp/>
        <stp>BDP|11694194593748291533</stp>
        <tr r="T320" s="2"/>
      </tp>
      <tp t="s">
        <v>#N/A N/A</v>
        <stp/>
        <stp>BDP|12907693883230728893</stp>
        <tr r="F1084" s="2"/>
      </tp>
      <tp t="s">
        <v>#N/A N/A</v>
        <stp/>
        <stp>BDP|11601640139140485029</stp>
        <tr r="K492" s="2"/>
      </tp>
      <tp t="s">
        <v>#N/A N/A</v>
        <stp/>
        <stp>BDP|13969938842753317968</stp>
        <tr r="Q1744" s="2"/>
      </tp>
      <tp t="s">
        <v>#N/A N/A</v>
        <stp/>
        <stp>BDP|18100478123413182994</stp>
        <tr r="M599" s="2"/>
      </tp>
      <tp t="s">
        <v>#N/A N/A</v>
        <stp/>
        <stp>BDP|16139371683189038087</stp>
        <tr r="F60" s="2"/>
      </tp>
      <tp t="s">
        <v>#N/A N/A</v>
        <stp/>
        <stp>BDP|16677088182863409950</stp>
        <tr r="H1503" s="2"/>
      </tp>
      <tp t="s">
        <v>#N/A N/A</v>
        <stp/>
        <stp>BDP|11008589797479290003</stp>
        <tr r="S1396" s="2"/>
      </tp>
      <tp t="s">
        <v>#N/A N/A</v>
        <stp/>
        <stp>BDP|15562846490273514394</stp>
        <tr r="O1230" s="2"/>
      </tp>
      <tp t="s">
        <v>#N/A N/A</v>
        <stp/>
        <stp>BDP|11331499317828307835</stp>
        <tr r="T465" s="2"/>
      </tp>
      <tp t="s">
        <v>#N/A N/A</v>
        <stp/>
        <stp>BDS|18358829066120098293</stp>
        <tr r="I1300" s="2"/>
      </tp>
      <tp t="s">
        <v>#N/A N/A</v>
        <stp/>
        <stp>BDP|16149439822277406399</stp>
        <tr r="H311" s="2"/>
      </tp>
      <tp t="s">
        <v>#N/A N/A</v>
        <stp/>
        <stp>BDP|12848433709222894079</stp>
        <tr r="K616" s="2"/>
      </tp>
      <tp t="s">
        <v>#N/A N/A</v>
        <stp/>
        <stp>BDP|10778396705136459120</stp>
        <tr r="G391" s="2"/>
      </tp>
      <tp t="s">
        <v>#N/A N/A</v>
        <stp/>
        <stp>BDP|18204853244279977973</stp>
        <tr r="K1712" s="2"/>
      </tp>
      <tp t="s">
        <v>#N/A N/A</v>
        <stp/>
        <stp>BDP|18340116989510678505</stp>
        <tr r="G318" s="2"/>
      </tp>
      <tp t="s">
        <v>#N/A N/A</v>
        <stp/>
        <stp>BDS|14540723646343699099</stp>
        <tr r="I1417" s="2"/>
      </tp>
      <tp t="s">
        <v>#N/A N/A</v>
        <stp/>
        <stp>BDP|16563567787226071990</stp>
        <tr r="S390" s="2"/>
      </tp>
      <tp t="s">
        <v>#N/A N/A</v>
        <stp/>
        <stp>BDP|10167289144887768575</stp>
        <tr r="T152" s="2"/>
      </tp>
      <tp t="s">
        <v>#N/A N/A</v>
        <stp/>
        <stp>BDP|11117141881114808815</stp>
        <tr r="H343" s="2"/>
      </tp>
      <tp t="s">
        <v>#N/A N/A</v>
        <stp/>
        <stp>BDP|14225661408075157302</stp>
        <tr r="K607" s="2"/>
      </tp>
      <tp t="s">
        <v>#N/A N/A</v>
        <stp/>
        <stp>BDP|16939073951550477766</stp>
        <tr r="E1013" s="2"/>
      </tp>
      <tp t="s">
        <v>#N/A N/A</v>
        <stp/>
        <stp>BDP|12981114816862790456</stp>
        <tr r="Q85" s="2"/>
      </tp>
      <tp t="s">
        <v>#N/A N/A</v>
        <stp/>
        <stp>BDP|17845582859965553601</stp>
        <tr r="C1044" s="2"/>
      </tp>
      <tp t="s">
        <v>#N/A N/A</v>
        <stp/>
        <stp>BDP|11339760721516088685</stp>
        <tr r="E1294" s="2"/>
      </tp>
      <tp t="s">
        <v>#N/A N/A</v>
        <stp/>
        <stp>BDP|16084942668669863481</stp>
        <tr r="N168" s="2"/>
      </tp>
      <tp t="s">
        <v>#N/A N/A</v>
        <stp/>
        <stp>BDP|13157696423095503629</stp>
        <tr r="P1479" s="2"/>
      </tp>
      <tp t="s">
        <v>#N/A N/A</v>
        <stp/>
        <stp>BDP|18131575277008454699</stp>
        <tr r="F856" s="2"/>
      </tp>
      <tp t="s">
        <v>#N/A N/A</v>
        <stp/>
        <stp>BDP|12542780714592680230</stp>
        <tr r="P766" s="2"/>
      </tp>
      <tp t="s">
        <v>#N/A N/A</v>
        <stp/>
        <stp>BDP|10241189207093563642</stp>
        <tr r="O461" s="2"/>
      </tp>
      <tp t="s">
        <v>#N/A N/A</v>
        <stp/>
        <stp>BDP|16345172931453190382</stp>
        <tr r="G922" s="2"/>
      </tp>
      <tp t="s">
        <v>#N/A N/A</v>
        <stp/>
        <stp>BDP|10202096373382248169</stp>
        <tr r="F633" s="2"/>
      </tp>
      <tp t="s">
        <v>#N/A N/A</v>
        <stp/>
        <stp>BDP|12523754007420291193</stp>
        <tr r="O1133" s="2"/>
      </tp>
      <tp t="s">
        <v>#N/A N/A</v>
        <stp/>
        <stp>BDP|13187412122917785693</stp>
        <tr r="T827" s="2"/>
      </tp>
      <tp t="s">
        <v>#N/A N/A</v>
        <stp/>
        <stp>BDP|10404227728751699546</stp>
        <tr r="J1245" s="2"/>
      </tp>
      <tp t="s">
        <v>#N/A N/A</v>
        <stp/>
        <stp>BDP|11277946470188995336</stp>
        <tr r="A1025" s="2"/>
      </tp>
      <tp t="s">
        <v>#N/A N/A</v>
        <stp/>
        <stp>BDP|17865838999012753095</stp>
        <tr r="J1611" s="2"/>
      </tp>
      <tp t="s">
        <v>#N/A N/A</v>
        <stp/>
        <stp>BDP|15563881585568547918</stp>
        <tr r="K935" s="2"/>
      </tp>
      <tp t="s">
        <v>#N/A N/A</v>
        <stp/>
        <stp>BDP|14611287323520386025</stp>
        <tr r="T324" s="2"/>
      </tp>
      <tp t="s">
        <v>#N/A N/A</v>
        <stp/>
        <stp>BDP|16781060502337731586</stp>
        <tr r="A664" s="2"/>
      </tp>
      <tp t="s">
        <v>#N/A N/A</v>
        <stp/>
        <stp>BDP|17958727012764593101</stp>
        <tr r="N547" s="2"/>
      </tp>
      <tp t="s">
        <v>#N/A N/A</v>
        <stp/>
        <stp>BDP|14872331391403598936</stp>
        <tr r="S1588" s="2"/>
      </tp>
      <tp t="s">
        <v>#N/A N/A</v>
        <stp/>
        <stp>BDP|11258742051873357487</stp>
        <tr r="Q1556" s="2"/>
      </tp>
      <tp t="s">
        <v>#N/A N/A</v>
        <stp/>
        <stp>BDP|15260425473843968160</stp>
        <tr r="P1658" s="2"/>
      </tp>
      <tp t="s">
        <v>#N/A N/A</v>
        <stp/>
        <stp>BDS|17352765733055990204</stp>
        <tr r="I1164" s="2"/>
      </tp>
      <tp t="s">
        <v>#N/A N/A</v>
        <stp/>
        <stp>BDP|10277049256623804244</stp>
        <tr r="M994" s="2"/>
      </tp>
      <tp t="s">
        <v>#N/A N/A</v>
        <stp/>
        <stp>BDP|12799132250354881603</stp>
        <tr r="J673" s="2"/>
      </tp>
      <tp t="s">
        <v>#N/A N/A</v>
        <stp/>
        <stp>BDP|17828018643060515739</stp>
        <tr r="S1297" s="2"/>
      </tp>
      <tp t="s">
        <v>#N/A N/A</v>
        <stp/>
        <stp>BDP|12245212719156379352</stp>
        <tr r="E414" s="2"/>
      </tp>
      <tp t="s">
        <v>#N/A N/A</v>
        <stp/>
        <stp>BDP|15251092476677051116</stp>
        <tr r="A1582" s="2"/>
      </tp>
      <tp t="s">
        <v>#N/A N/A</v>
        <stp/>
        <stp>BDP|15043608448666703538</stp>
        <tr r="K269" s="2"/>
      </tp>
      <tp t="s">
        <v>#N/A N/A</v>
        <stp/>
        <stp>BDP|10059523079642650415</stp>
        <tr r="A134" s="2"/>
      </tp>
      <tp t="s">
        <v>#N/A N/A</v>
        <stp/>
        <stp>BDP|12750886909229284789</stp>
        <tr r="M705" s="2"/>
      </tp>
      <tp t="s">
        <v>#N/A N/A</v>
        <stp/>
        <stp>BDP|12309584617540371236</stp>
        <tr r="O989" s="2"/>
      </tp>
      <tp t="s">
        <v>#N/A N/A</v>
        <stp/>
        <stp>BDP|17819964990886342519</stp>
        <tr r="A620" s="2"/>
      </tp>
      <tp t="s">
        <v>#N/A N/A</v>
        <stp/>
        <stp>BDP|15216813783347861647</stp>
        <tr r="M631" s="2"/>
      </tp>
      <tp t="s">
        <v>#N/A N/A</v>
        <stp/>
        <stp>BDP|10804705128104474583</stp>
        <tr r="E663" s="2"/>
      </tp>
      <tp t="s">
        <v>#N/A N/A</v>
        <stp/>
        <stp>BDP|10058104537774928224</stp>
        <tr r="A1082" s="2"/>
      </tp>
      <tp t="s">
        <v>#N/A N/A</v>
        <stp/>
        <stp>BDP|13731880843209115217</stp>
        <tr r="D1467" s="2"/>
      </tp>
      <tp t="s">
        <v>#N/A N/A</v>
        <stp/>
        <stp>BDP|11066333500102616492</stp>
        <tr r="T505" s="2"/>
      </tp>
      <tp t="s">
        <v>#N/A N/A</v>
        <stp/>
        <stp>BDP|12703583427711652026</stp>
        <tr r="J826" s="2"/>
      </tp>
      <tp t="s">
        <v>#N/A N/A</v>
        <stp/>
        <stp>BDP|15426187705317591708</stp>
        <tr r="H1050" s="2"/>
      </tp>
      <tp t="s">
        <v>#N/A N/A</v>
        <stp/>
        <stp>BDP|11675577615615189498</stp>
        <tr r="E1686" s="2"/>
      </tp>
      <tp t="s">
        <v>#N/A N/A</v>
        <stp/>
        <stp>BDP|17004111105647975516</stp>
        <tr r="O1489" s="2"/>
      </tp>
      <tp t="s">
        <v>#N/A N/A</v>
        <stp/>
        <stp>BDP|14542353638577254761</stp>
        <tr r="H739" s="2"/>
      </tp>
      <tp t="s">
        <v>#N/A N/A</v>
        <stp/>
        <stp>BDP|17494742179737030459</stp>
        <tr r="G1041" s="2"/>
      </tp>
      <tp t="s">
        <v>#N/A N/A</v>
        <stp/>
        <stp>BDP|13025183464791216122</stp>
        <tr r="K723" s="2"/>
      </tp>
      <tp t="s">
        <v>#N/A N/A</v>
        <stp/>
        <stp>BDP|11776055339505124360</stp>
        <tr r="P770" s="2"/>
      </tp>
      <tp t="s">
        <v>#N/A N/A</v>
        <stp/>
        <stp>BDP|16268566978459155914</stp>
        <tr r="E631" s="2"/>
      </tp>
      <tp t="s">
        <v>#N/A N/A</v>
        <stp/>
        <stp>BDP|13940520576772751763</stp>
        <tr r="D367" s="2"/>
      </tp>
      <tp t="s">
        <v>#N/A N/A</v>
        <stp/>
        <stp>BDP|13169871489480228715</stp>
        <tr r="O1712" s="2"/>
      </tp>
      <tp t="s">
        <v>#N/A N/A</v>
        <stp/>
        <stp>BDP|10772931118409116517</stp>
        <tr r="H24" s="2"/>
      </tp>
      <tp t="s">
        <v>#N/A N/A</v>
        <stp/>
        <stp>BDP|15748198983638776069</stp>
        <tr r="D1666" s="2"/>
      </tp>
      <tp t="s">
        <v>#N/A N/A</v>
        <stp/>
        <stp>BDP|16727197746636171150</stp>
        <tr r="E1482" s="2"/>
      </tp>
      <tp t="s">
        <v>#N/A N/A</v>
        <stp/>
        <stp>BDP|12304747379921933786</stp>
        <tr r="J753" s="2"/>
      </tp>
      <tp t="s">
        <v>#N/A N/A</v>
        <stp/>
        <stp>BDP|13335893716867226911</stp>
        <tr r="M1632" s="2"/>
      </tp>
      <tp t="s">
        <v>#N/A N/A</v>
        <stp/>
        <stp>BDP|14853436627087196123</stp>
        <tr r="R1260" s="2"/>
      </tp>
      <tp t="s">
        <v>#N/A N/A</v>
        <stp/>
        <stp>BDP|15376922582047493785</stp>
        <tr r="K1413" s="2"/>
      </tp>
      <tp t="s">
        <v>#N/A N/A</v>
        <stp/>
        <stp>BDP|15525789268471273181</stp>
        <tr r="P1591" s="2"/>
      </tp>
      <tp t="s">
        <v>#N/A N/A</v>
        <stp/>
        <stp>BDP|12838884193413536498</stp>
        <tr r="Q279" s="2"/>
      </tp>
      <tp t="s">
        <v>#N/A N/A</v>
        <stp/>
        <stp>BDP|16027038967612861634</stp>
        <tr r="Q1302" s="2"/>
      </tp>
      <tp t="s">
        <v>#N/A N/A</v>
        <stp/>
        <stp>BDP|11983218326896332325</stp>
        <tr r="T1320" s="2"/>
      </tp>
      <tp t="s">
        <v>#N/A N/A</v>
        <stp/>
        <stp>BDP|12926414064672585666</stp>
        <tr r="S397" s="2"/>
      </tp>
      <tp t="s">
        <v>#N/A N/A</v>
        <stp/>
        <stp>BDP|13631117301620194685</stp>
        <tr r="F344" s="2"/>
      </tp>
      <tp t="s">
        <v>#N/A N/A</v>
        <stp/>
        <stp>BDP|10324699913062609105</stp>
        <tr r="O1052" s="2"/>
      </tp>
      <tp t="s">
        <v>#N/A N/A</v>
        <stp/>
        <stp>BDP|11279765748060797646</stp>
        <tr r="C739" s="2"/>
      </tp>
      <tp t="s">
        <v>#N/A N/A</v>
        <stp/>
        <stp>BDP|14709926892684047489</stp>
        <tr r="J1398" s="2"/>
      </tp>
      <tp t="s">
        <v>#N/A N/A</v>
        <stp/>
        <stp>BDP|14708796194996270875</stp>
        <tr r="F989" s="2"/>
      </tp>
      <tp t="s">
        <v>#N/A N/A</v>
        <stp/>
        <stp>BDP|13437485228680984124</stp>
        <tr r="H711" s="2"/>
      </tp>
      <tp t="s">
        <v>#N/A N/A</v>
        <stp/>
        <stp>BDP|15050659442241922210</stp>
        <tr r="T1313" s="2"/>
      </tp>
      <tp t="s">
        <v>#N/A N/A</v>
        <stp/>
        <stp>BDP|13218441675325986158</stp>
        <tr r="J1132" s="2"/>
      </tp>
      <tp t="s">
        <v>#N/A N/A</v>
        <stp/>
        <stp>BDP|14985306611845612714</stp>
        <tr r="A1604" s="2"/>
      </tp>
      <tp t="s">
        <v>#N/A N/A</v>
        <stp/>
        <stp>BDP|17833154416334338775</stp>
        <tr r="T1568" s="2"/>
      </tp>
      <tp t="s">
        <v>#N/A N/A</v>
        <stp/>
        <stp>BDP|17827187465652303691</stp>
        <tr r="D815" s="2"/>
      </tp>
      <tp t="s">
        <v>#N/A N/A</v>
        <stp/>
        <stp>BDP|11020492510235652505</stp>
        <tr r="D709" s="2"/>
      </tp>
      <tp t="s">
        <v>#N/A N/A</v>
        <stp/>
        <stp>BDP|14069883664377636954</stp>
        <tr r="D346" s="2"/>
      </tp>
      <tp t="s">
        <v>#N/A N/A</v>
        <stp/>
        <stp>BDP|15457533549896682677</stp>
        <tr r="H52" s="2"/>
      </tp>
      <tp t="s">
        <v>#N/A N/A</v>
        <stp/>
        <stp>BDP|17877163000297337524</stp>
        <tr r="N1528" s="2"/>
      </tp>
      <tp t="s">
        <v>#N/A N/A</v>
        <stp/>
        <stp>BDP|15395061743261135488</stp>
        <tr r="P193" s="2"/>
      </tp>
      <tp t="s">
        <v>#N/A N/A</v>
        <stp/>
        <stp>BDP|16628054069512204673</stp>
        <tr r="M230" s="2"/>
      </tp>
      <tp t="s">
        <v>#N/A N/A</v>
        <stp/>
        <stp>BDP|10824480357301009481</stp>
        <tr r="N153" s="2"/>
      </tp>
      <tp t="s">
        <v>#N/A N/A</v>
        <stp/>
        <stp>BDP|11496531129894070617</stp>
        <tr r="N1713" s="2"/>
      </tp>
      <tp t="s">
        <v>#N/A N/A</v>
        <stp/>
        <stp>BDP|16677081801157953592</stp>
        <tr r="Q1284" s="2"/>
      </tp>
      <tp t="s">
        <v>#N/A N/A</v>
        <stp/>
        <stp>BDP|11770152305647043387</stp>
        <tr r="J774" s="2"/>
      </tp>
      <tp t="s">
        <v>#N/A N/A</v>
        <stp/>
        <stp>BDP|14797909580232922310</stp>
        <tr r="N1404" s="2"/>
      </tp>
      <tp t="s">
        <v>#N/A N/A</v>
        <stp/>
        <stp>BDP|16815755576052551016</stp>
        <tr r="H1370" s="2"/>
      </tp>
      <tp t="s">
        <v>#N/A N/A</v>
        <stp/>
        <stp>BDP|14417175667792975522</stp>
        <tr r="G1294" s="2"/>
      </tp>
      <tp t="s">
        <v>#N/A N/A</v>
        <stp/>
        <stp>BDP|14095191438121696386</stp>
        <tr r="K1220" s="2"/>
      </tp>
      <tp t="s">
        <v>#N/A N/A</v>
        <stp/>
        <stp>BDP|16635899167028590425</stp>
        <tr r="M911" s="2"/>
      </tp>
      <tp t="s">
        <v>#N/A N/A</v>
        <stp/>
        <stp>BDP|16789049501514894658</stp>
        <tr r="H36" s="2"/>
      </tp>
      <tp t="s">
        <v>#N/A N/A</v>
        <stp/>
        <stp>BDP|10477788555792643409</stp>
        <tr r="H1044" s="2"/>
      </tp>
      <tp t="s">
        <v>#N/A N/A</v>
        <stp/>
        <stp>BDP|15500792528604342085</stp>
        <tr r="J574" s="2"/>
      </tp>
      <tp t="s">
        <v>#N/A N/A</v>
        <stp/>
        <stp>BDP|17884513264133774358</stp>
        <tr r="M233" s="2"/>
      </tp>
      <tp t="s">
        <v>#N/A N/A</v>
        <stp/>
        <stp>BDP|10471726556131819775</stp>
        <tr r="O740" s="2"/>
      </tp>
      <tp t="s">
        <v>#N/A N/A</v>
        <stp/>
        <stp>BDP|10415791465004658111</stp>
        <tr r="M1194" s="2"/>
      </tp>
      <tp t="s">
        <v>#N/A N/A</v>
        <stp/>
        <stp>BDP|13614944497862215588</stp>
        <tr r="P449" s="2"/>
      </tp>
      <tp t="s">
        <v>#N/A N/A</v>
        <stp/>
        <stp>BDP|13402547652035475294</stp>
        <tr r="J1752" s="2"/>
      </tp>
      <tp t="s">
        <v>#N/A N/A</v>
        <stp/>
        <stp>BDP|14488420613670865533</stp>
        <tr r="T1499" s="2"/>
      </tp>
      <tp t="s">
        <v>#N/A N/A</v>
        <stp/>
        <stp>BDP|11022226503587738089</stp>
        <tr r="T836" s="2"/>
      </tp>
      <tp t="s">
        <v>#N/A N/A</v>
        <stp/>
        <stp>BDP|15896024401195718426</stp>
        <tr r="O347" s="2"/>
      </tp>
      <tp t="s">
        <v>#N/A N/A</v>
        <stp/>
        <stp>BDP|10333683315497394437</stp>
        <tr r="F395" s="2"/>
      </tp>
      <tp t="s">
        <v>#N/A N/A</v>
        <stp/>
        <stp>BDP|13256519932573645297</stp>
        <tr r="K1682" s="2"/>
      </tp>
      <tp t="s">
        <v>#N/A N/A</v>
        <stp/>
        <stp>BDP|14915401344199730948</stp>
        <tr r="M1276" s="2"/>
      </tp>
      <tp t="s">
        <v>#N/A N/A</v>
        <stp/>
        <stp>BDP|14980707760502198369</stp>
        <tr r="F1072" s="2"/>
      </tp>
      <tp t="s">
        <v>#N/A N/A</v>
        <stp/>
        <stp>BDP|12844272651928841981</stp>
        <tr r="F1181" s="2"/>
      </tp>
      <tp t="s">
        <v>#N/A N/A</v>
        <stp/>
        <stp>BDP|15542221664917818254</stp>
        <tr r="H757" s="2"/>
      </tp>
      <tp t="s">
        <v>#N/A N/A</v>
        <stp/>
        <stp>BDP|11928635444802962590</stp>
        <tr r="T729" s="2"/>
      </tp>
      <tp t="s">
        <v>#N/A N/A</v>
        <stp/>
        <stp>BDP|13338269849629648841</stp>
        <tr r="S87" s="2"/>
      </tp>
      <tp t="s">
        <v>#N/A N/A</v>
        <stp/>
        <stp>BDP|12988015377586314720</stp>
        <tr r="N376" s="2"/>
      </tp>
      <tp t="s">
        <v>#N/A N/A</v>
        <stp/>
        <stp>BDP|17616055028275776428</stp>
        <tr r="O1189" s="2"/>
      </tp>
      <tp t="s">
        <v>#N/A N/A</v>
        <stp/>
        <stp>BDP|14590489023402351438</stp>
        <tr r="A1495" s="2"/>
      </tp>
      <tp t="s">
        <v>#N/A N/A</v>
        <stp/>
        <stp>BDP|12536528309033514053</stp>
        <tr r="J1199" s="2"/>
      </tp>
      <tp t="s">
        <v>#N/A N/A</v>
        <stp/>
        <stp>BDP|10044206648787342559</stp>
        <tr r="E1614" s="2"/>
      </tp>
      <tp t="s">
        <v>#N/A N/A</v>
        <stp/>
        <stp>BDP|12395350511331879515</stp>
        <tr r="J865" s="2"/>
      </tp>
      <tp t="s">
        <v>#N/A N/A</v>
        <stp/>
        <stp>BDP|12151885792602075559</stp>
        <tr r="F1583" s="2"/>
      </tp>
      <tp t="s">
        <v>#N/A N/A</v>
        <stp/>
        <stp>BDP|10488461172106778190</stp>
        <tr r="Q1497" s="2"/>
      </tp>
      <tp t="s">
        <v>#N/A N/A</v>
        <stp/>
        <stp>BDP|12759063529333127779</stp>
        <tr r="G881" s="2"/>
      </tp>
      <tp t="s">
        <v>#N/A N/A</v>
        <stp/>
        <stp>BDP|16317348928176832595</stp>
        <tr r="H1364" s="2"/>
      </tp>
      <tp t="s">
        <v>#N/A N/A</v>
        <stp/>
        <stp>BDP|13768354856468203988</stp>
        <tr r="K212" s="2"/>
      </tp>
      <tp t="s">
        <v>#N/A N/A</v>
        <stp/>
        <stp>BDP|14885719086216152908</stp>
        <tr r="A601" s="2"/>
      </tp>
      <tp t="s">
        <v>#N/A N/A</v>
        <stp/>
        <stp>BDP|17734840665534800908</stp>
        <tr r="S502" s="2"/>
      </tp>
      <tp t="s">
        <v>#N/A N/A</v>
        <stp/>
        <stp>BDP|12790191580018956793</stp>
        <tr r="Q1608" s="2"/>
      </tp>
      <tp t="s">
        <v>#N/A N/A</v>
        <stp/>
        <stp>BDS|10310697224750485077</stp>
        <tr r="I1207" s="2"/>
      </tp>
      <tp t="s">
        <v>#N/A N/A</v>
        <stp/>
        <stp>BDP|11326542708515591541</stp>
        <tr r="R13" s="2"/>
      </tp>
      <tp t="s">
        <v>#N/A N/A</v>
        <stp/>
        <stp>BDP|12262244103617310388</stp>
        <tr r="M1450" s="2"/>
      </tp>
      <tp t="s">
        <v>#N/A N/A</v>
        <stp/>
        <stp>BDP|11941194728307295146</stp>
        <tr r="T1750" s="2"/>
      </tp>
      <tp t="s">
        <v>#N/A N/A</v>
        <stp/>
        <stp>BDP|12249192971582526212</stp>
        <tr r="P506" s="2"/>
      </tp>
      <tp t="s">
        <v>#N/A N/A</v>
        <stp/>
        <stp>BDP|10568835283167934322</stp>
        <tr r="J355" s="2"/>
      </tp>
      <tp t="s">
        <v>#N/A N/A</v>
        <stp/>
        <stp>BDP|10341831257110906907</stp>
        <tr r="G16" s="2"/>
      </tp>
      <tp t="s">
        <v>#N/A N/A</v>
        <stp/>
        <stp>BDP|11494525078837233024</stp>
        <tr r="R319" s="2"/>
      </tp>
      <tp t="s">
        <v>#N/A N/A</v>
        <stp/>
        <stp>BDP|17500726557516673787</stp>
        <tr r="S319" s="2"/>
      </tp>
      <tp t="s">
        <v>#N/A N/A</v>
        <stp/>
        <stp>BDP|11117831099607241371</stp>
        <tr r="M1451" s="2"/>
      </tp>
      <tp t="s">
        <v>#N/A N/A</v>
        <stp/>
        <stp>BDP|16530052333200802150</stp>
        <tr r="S521" s="2"/>
      </tp>
      <tp t="s">
        <v>#N/A N/A</v>
        <stp/>
        <stp>BDP|14306816046544222882</stp>
        <tr r="J883" s="2"/>
      </tp>
      <tp t="s">
        <v>#N/A N/A</v>
        <stp/>
        <stp>BDP|13540137004152979457</stp>
        <tr r="D209" s="2"/>
      </tp>
      <tp t="s">
        <v>#N/A N/A</v>
        <stp/>
        <stp>BDP|13269129647060182285</stp>
        <tr r="Q1557" s="2"/>
      </tp>
      <tp t="s">
        <v>#N/A N/A</v>
        <stp/>
        <stp>BDP|15356531501623770787</stp>
        <tr r="M958" s="2"/>
      </tp>
      <tp t="s">
        <v>#N/A N/A</v>
        <stp/>
        <stp>BDP|15613225959733764544</stp>
        <tr r="E393" s="2"/>
      </tp>
      <tp t="s">
        <v>#N/A N/A</v>
        <stp/>
        <stp>BDP|10025546837906443498</stp>
        <tr r="G1603" s="2"/>
      </tp>
      <tp t="s">
        <v>#N/A N/A</v>
        <stp/>
        <stp>BDP|18235006098062224766</stp>
        <tr r="J78" s="2"/>
      </tp>
      <tp t="s">
        <v>#N/A N/A</v>
        <stp/>
        <stp>BDP|11582420064856874156</stp>
        <tr r="M1547" s="2"/>
      </tp>
      <tp t="s">
        <v>#N/A N/A</v>
        <stp/>
        <stp>BDP|13963975790302886589</stp>
        <tr r="C495" s="2"/>
      </tp>
      <tp t="s">
        <v>#N/A N/A</v>
        <stp/>
        <stp>BDP|17199223979651057748</stp>
        <tr r="Q1677" s="2"/>
      </tp>
      <tp t="s">
        <v>#N/A N/A</v>
        <stp/>
        <stp>BDP|10986596512234844448</stp>
        <tr r="P949" s="2"/>
      </tp>
      <tp t="s">
        <v>#N/A N/A</v>
        <stp/>
        <stp>BDP|17975399104156887627</stp>
        <tr r="P157" s="2"/>
      </tp>
      <tp t="s">
        <v>#N/A N/A</v>
        <stp/>
        <stp>BDP|16852324518102566296</stp>
        <tr r="J1327" s="2"/>
      </tp>
      <tp t="s">
        <v>#N/A N/A</v>
        <stp/>
        <stp>BDS|16776673200081945547</stp>
        <tr r="I1615" s="2"/>
      </tp>
      <tp t="s">
        <v>#N/A N/A</v>
        <stp/>
        <stp>BDP|13124649315799996972</stp>
        <tr r="P778" s="2"/>
      </tp>
      <tp t="s">
        <v>#N/A N/A</v>
        <stp/>
        <stp>BDP|12932362433277723156</stp>
        <tr r="J77" s="2"/>
      </tp>
      <tp t="s">
        <v>#N/A N/A</v>
        <stp/>
        <stp>BDP|14929457202557272321</stp>
        <tr r="F561" s="2"/>
      </tp>
      <tp t="s">
        <v>#N/A N/A</v>
        <stp/>
        <stp>BDP|11415315209564137234</stp>
        <tr r="O1163" s="2"/>
      </tp>
      <tp t="s">
        <v>#N/A N/A</v>
        <stp/>
        <stp>BDP|18286385187920048735</stp>
        <tr r="N1055" s="2"/>
      </tp>
      <tp t="s">
        <v>#N/A N/A</v>
        <stp/>
        <stp>BDP|14529083064163400535</stp>
        <tr r="J230" s="2"/>
      </tp>
      <tp t="s">
        <v>#N/A N/A</v>
        <stp/>
        <stp>BDP|17720498176489331958</stp>
        <tr r="F308" s="2"/>
      </tp>
      <tp t="s">
        <v>#N/A N/A</v>
        <stp/>
        <stp>BDP|14052881185702547262</stp>
        <tr r="H1406" s="2"/>
      </tp>
      <tp t="s">
        <v>#N/A N/A</v>
        <stp/>
        <stp>BDS|14004010748227305377</stp>
        <tr r="I1197" s="2"/>
      </tp>
      <tp t="s">
        <v>#N/A N/A</v>
        <stp/>
        <stp>BDP|13546750354510235587</stp>
        <tr r="O410" s="2"/>
      </tp>
      <tp t="s">
        <v>#N/A N/A</v>
        <stp/>
        <stp>BDP|11369110722367838163</stp>
        <tr r="Q1052" s="2"/>
      </tp>
      <tp t="s">
        <v>#N/A N/A</v>
        <stp/>
        <stp>BDP|10048426212613926272</stp>
        <tr r="Q1391" s="2"/>
      </tp>
      <tp t="s">
        <v>#N/A N/A</v>
        <stp/>
        <stp>BDP|10902562816331474132</stp>
        <tr r="M314" s="2"/>
      </tp>
      <tp t="s">
        <v>#N/A N/A</v>
        <stp/>
        <stp>BDP|10285251758582592141</stp>
        <tr r="S498" s="2"/>
      </tp>
      <tp t="s">
        <v>#N/A N/A</v>
        <stp/>
        <stp>BDP|10222778740385948229</stp>
        <tr r="C411" s="2"/>
      </tp>
      <tp t="s">
        <v>#N/A N/A</v>
        <stp/>
        <stp>BDP|18219553440799914400</stp>
        <tr r="T781" s="2"/>
      </tp>
      <tp t="s">
        <v>#N/A N/A</v>
        <stp/>
        <stp>BDP|13394359151340088160</stp>
        <tr r="D240" s="2"/>
      </tp>
      <tp t="s">
        <v>#N/A N/A</v>
        <stp/>
        <stp>BDP|17954871278369345548</stp>
        <tr r="O201" s="2"/>
      </tp>
      <tp t="s">
        <v>#N/A N/A</v>
        <stp/>
        <stp>BDP|11457026745832645344</stp>
        <tr r="R1567" s="2"/>
      </tp>
      <tp t="s">
        <v>#N/A N/A</v>
        <stp/>
        <stp>BDS|15322578696484150911</stp>
        <tr r="I1590" s="2"/>
      </tp>
      <tp t="s">
        <v>#N/A N/A</v>
        <stp/>
        <stp>BDP|15393232473192384618</stp>
        <tr r="Q173" s="2"/>
      </tp>
      <tp t="s">
        <v>#N/A N/A</v>
        <stp/>
        <stp>BDP|13155078624611735442</stp>
        <tr r="R206" s="2"/>
      </tp>
      <tp t="s">
        <v>#N/A N/A</v>
        <stp/>
        <stp>BDP|12224875934294372938</stp>
        <tr r="D21" s="2"/>
      </tp>
      <tp t="s">
        <v>#N/A N/A</v>
        <stp/>
        <stp>BDP|16180314477003716517</stp>
        <tr r="Q1578" s="2"/>
      </tp>
      <tp t="s">
        <v>#N/A N/A</v>
        <stp/>
        <stp>BDP|12252210194169659408</stp>
        <tr r="H281" s="2"/>
      </tp>
      <tp t="s">
        <v>#N/A N/A</v>
        <stp/>
        <stp>BDP|12629635692060666908</stp>
        <tr r="J1255" s="2"/>
      </tp>
      <tp t="s">
        <v>#N/A N/A</v>
        <stp/>
        <stp>BDP|14133255674934369120</stp>
        <tr r="N1425" s="2"/>
      </tp>
      <tp t="s">
        <v>#N/A N/A</v>
        <stp/>
        <stp>BDP|12497412229724403495</stp>
        <tr r="P654" s="2"/>
      </tp>
      <tp t="s">
        <v>#N/A N/A</v>
        <stp/>
        <stp>BDP|15101306788428885203</stp>
        <tr r="A1498" s="2"/>
      </tp>
      <tp t="s">
        <v>#N/A N/A</v>
        <stp/>
        <stp>BDP|15917917360427187983</stp>
        <tr r="R180" s="2"/>
      </tp>
      <tp t="s">
        <v>#N/A N/A</v>
        <stp/>
        <stp>BDP|10933391166676388744</stp>
        <tr r="G1411" s="2"/>
      </tp>
      <tp t="s">
        <v>#N/A N/A</v>
        <stp/>
        <stp>BDP|14892582519544018087</stp>
        <tr r="E622" s="2"/>
      </tp>
      <tp t="s">
        <v>#N/A N/A</v>
        <stp/>
        <stp>BDP|14591035850560271551</stp>
        <tr r="G1755" s="2"/>
      </tp>
      <tp t="s">
        <v>#N/A N/A</v>
        <stp/>
        <stp>BDP|12168187383859854633</stp>
        <tr r="G1356" s="2"/>
      </tp>
      <tp t="s">
        <v>#N/A N/A</v>
        <stp/>
        <stp>BDP|13657949723265931992</stp>
        <tr r="F1433" s="2"/>
      </tp>
      <tp t="s">
        <v>#N/A N/A</v>
        <stp/>
        <stp>BDP|11394693311303251183</stp>
        <tr r="T161" s="2"/>
      </tp>
      <tp t="s">
        <v>#N/A N/A</v>
        <stp/>
        <stp>BDP|14241168334703212135</stp>
        <tr r="K357" s="2"/>
      </tp>
      <tp t="s">
        <v>#N/A N/A</v>
        <stp/>
        <stp>BDS|16753926944576403978</stp>
        <tr r="I854" s="2"/>
      </tp>
      <tp t="s">
        <v>#N/A N/A</v>
        <stp/>
        <stp>BDP|11597148521992803496</stp>
        <tr r="P258" s="2"/>
      </tp>
      <tp t="s">
        <v>#N/A N/A</v>
        <stp/>
        <stp>BDP|17263620977863607100</stp>
        <tr r="F438" s="2"/>
      </tp>
      <tp t="s">
        <v>#N/A N/A</v>
        <stp/>
        <stp>BDP|15474327286802663870</stp>
        <tr r="A1375" s="2"/>
      </tp>
      <tp t="s">
        <v>#N/A N/A</v>
        <stp/>
        <stp>BDP|12339071375990312134</stp>
        <tr r="S928" s="2"/>
      </tp>
      <tp t="s">
        <v>#N/A N/A</v>
        <stp/>
        <stp>BDP|12304048161121008174</stp>
        <tr r="J1644" s="2"/>
      </tp>
      <tp t="s">
        <v>#N/A N/A</v>
        <stp/>
        <stp>BDP|10628417348931841565</stp>
        <tr r="E215" s="2"/>
      </tp>
      <tp t="s">
        <v>#N/A N/A</v>
        <stp/>
        <stp>BDP|15199011292730043836</stp>
        <tr r="M217" s="2"/>
      </tp>
      <tp t="s">
        <v>#N/A N/A</v>
        <stp/>
        <stp>BDP|11425261347986024545</stp>
        <tr r="E796" s="2"/>
      </tp>
      <tp t="s">
        <v>#N/A N/A</v>
        <stp/>
        <stp>BDP|13686026211072659426</stp>
        <tr r="M1635" s="2"/>
      </tp>
      <tp t="s">
        <v>#N/A N/A</v>
        <stp/>
        <stp>BDP|10641237066305255508</stp>
        <tr r="F1646" s="2"/>
      </tp>
      <tp t="s">
        <v>#N/A N/A</v>
        <stp/>
        <stp>BDP|11027758080508473205</stp>
        <tr r="K187" s="2"/>
      </tp>
      <tp t="s">
        <v>#N/A N/A</v>
        <stp/>
        <stp>BDP|14936620641371243399</stp>
        <tr r="J1228" s="2"/>
      </tp>
      <tp t="s">
        <v>#N/A N/A</v>
        <stp/>
        <stp>BDP|17136133245032150478</stp>
        <tr r="R730" s="2"/>
      </tp>
      <tp t="s">
        <v>#N/A N/A</v>
        <stp/>
        <stp>BDP|17750527260766183650</stp>
        <tr r="N60" s="2"/>
      </tp>
      <tp t="s">
        <v>#N/A N/A</v>
        <stp/>
        <stp>BDS|14282291138611473055</stp>
        <tr r="I1708" s="2"/>
      </tp>
      <tp t="s">
        <v>#N/A N/A</v>
        <stp/>
        <stp>BDS|16009078888882955849</stp>
        <tr r="I1684" s="2"/>
      </tp>
      <tp t="s">
        <v>#N/A N/A</v>
        <stp/>
        <stp>BDP|12906994230939338522</stp>
        <tr r="J1631" s="2"/>
      </tp>
      <tp t="s">
        <v>#N/A N/A</v>
        <stp/>
        <stp>BDP|10566212901515144359</stp>
        <tr r="H907" s="2"/>
      </tp>
      <tp t="s">
        <v>#N/A N/A</v>
        <stp/>
        <stp>BDP|15623208490102520825</stp>
        <tr r="O636" s="2"/>
      </tp>
      <tp t="s">
        <v>#N/A N/A</v>
        <stp/>
        <stp>BDS|10764713927283135228</stp>
        <tr r="I1128" s="2"/>
      </tp>
      <tp t="s">
        <v>#N/A N/A</v>
        <stp/>
        <stp>BDP|10500503415333762365</stp>
        <tr r="M1598" s="2"/>
      </tp>
      <tp t="s">
        <v>#N/A N/A</v>
        <stp/>
        <stp>BDP|16653271937174678711</stp>
        <tr r="Q1336" s="2"/>
      </tp>
      <tp t="s">
        <v>#N/A N/A</v>
        <stp/>
        <stp>BDP|15194600077858717803</stp>
        <tr r="T1707" s="2"/>
      </tp>
      <tp t="s">
        <v>#N/A N/A</v>
        <stp/>
        <stp>BDP|18167082730576141996</stp>
        <tr r="G1151" s="2"/>
      </tp>
      <tp t="s">
        <v>#N/A N/A</v>
        <stp/>
        <stp>BDP|11317913695294368155</stp>
        <tr r="D930" s="2"/>
      </tp>
      <tp t="s">
        <v>#N/A N/A</v>
        <stp/>
        <stp>BDP|12793606724504304619</stp>
        <tr r="C1535" s="2"/>
      </tp>
      <tp t="s">
        <v>#N/A N/A</v>
        <stp/>
        <stp>BDP|17114561161756640610</stp>
        <tr r="O1183" s="2"/>
      </tp>
      <tp t="s">
        <v>#N/A N/A</v>
        <stp/>
        <stp>BDS|11897780208816834421</stp>
        <tr r="I1248" s="2"/>
      </tp>
      <tp t="s">
        <v>#N/A N/A</v>
        <stp/>
        <stp>BDP|13004639517008483812</stp>
        <tr r="Q1367" s="2"/>
      </tp>
      <tp t="s">
        <v>#N/A N/A</v>
        <stp/>
        <stp>BDP|12053751037390076232</stp>
        <tr r="R743" s="2"/>
      </tp>
      <tp t="s">
        <v>#N/A N/A</v>
        <stp/>
        <stp>BDP|11718925736199168631</stp>
        <tr r="H338" s="2"/>
      </tp>
      <tp t="s">
        <v>#N/A N/A</v>
        <stp/>
        <stp>BDP|14443641946221560323</stp>
        <tr r="C466" s="2"/>
      </tp>
      <tp t="s">
        <v>#N/A N/A</v>
        <stp/>
        <stp>BDP|16379610075447505431</stp>
        <tr r="N1171" s="2"/>
      </tp>
      <tp t="s">
        <v>#N/A N/A</v>
        <stp/>
        <stp>BDP|14082899490604163593</stp>
        <tr r="F238" s="2"/>
      </tp>
      <tp t="s">
        <v>#N/A N/A</v>
        <stp/>
        <stp>BDP|16533588829986042354</stp>
        <tr r="E731" s="2"/>
      </tp>
      <tp t="s">
        <v>#N/A N/A</v>
        <stp/>
        <stp>BDP|11900332526511934546</stp>
        <tr r="G1549" s="2"/>
      </tp>
      <tp t="s">
        <v>#N/A N/A</v>
        <stp/>
        <stp>BDP|15891097141814573143</stp>
        <tr r="K328" s="2"/>
      </tp>
      <tp t="s">
        <v>#N/A N/A</v>
        <stp/>
        <stp>BDP|11771541974465737210</stp>
        <tr r="K1457" s="2"/>
      </tp>
      <tp t="s">
        <v>#N/A N/A</v>
        <stp/>
        <stp>BDP|17480338831966716509</stp>
        <tr r="P176" s="2"/>
      </tp>
      <tp t="s">
        <v>#N/A N/A</v>
        <stp/>
        <stp>BDP|14111163903066039750</stp>
        <tr r="S1254" s="2"/>
      </tp>
      <tp t="s">
        <v>#N/A N/A</v>
        <stp/>
        <stp>BDP|14800002392439971020</stp>
        <tr r="F1188" s="2"/>
      </tp>
      <tp t="s">
        <v>#N/A N/A</v>
        <stp/>
        <stp>BDP|14670364518327050595</stp>
        <tr r="F404" s="2"/>
      </tp>
      <tp t="s">
        <v>#N/A N/A</v>
        <stp/>
        <stp>BDP|13594989318078076747</stp>
        <tr r="D221" s="2"/>
      </tp>
      <tp t="s">
        <v>#N/A N/A</v>
        <stp/>
        <stp>BDP|13206130285166212870</stp>
        <tr r="C557" s="2"/>
      </tp>
      <tp t="s">
        <v>#N/A N/A</v>
        <stp/>
        <stp>BDP|14266582847671830046</stp>
        <tr r="Q796" s="2"/>
      </tp>
      <tp t="s">
        <v>#N/A N/A</v>
        <stp/>
        <stp>BDP|17487467380856618951</stp>
        <tr r="T1220" s="2"/>
      </tp>
      <tp t="s">
        <v>#N/A N/A</v>
        <stp/>
        <stp>BDP|10232620950682166504</stp>
        <tr r="J196" s="2"/>
      </tp>
      <tp t="s">
        <v>#N/A N/A</v>
        <stp/>
        <stp>BDP|15603550167650030252</stp>
        <tr r="J1460" s="2"/>
      </tp>
      <tp t="s">
        <v>#N/A N/A</v>
        <stp/>
        <stp>BDP|17771203184371204800</stp>
        <tr r="P305" s="2"/>
      </tp>
      <tp t="s">
        <v>#N/A N/A</v>
        <stp/>
        <stp>BDP|11777607864324030126</stp>
        <tr r="C22" s="2"/>
      </tp>
      <tp t="s">
        <v>#N/A N/A</v>
        <stp/>
        <stp>BDS|10980852732496402988</stp>
        <tr r="I189" s="2"/>
      </tp>
      <tp t="s">
        <v>#N/A N/A</v>
        <stp/>
        <stp>BDP|17180058302697710401</stp>
        <tr r="J802" s="2"/>
      </tp>
      <tp t="s">
        <v>#N/A N/A</v>
        <stp/>
        <stp>BDP|10312472256510536563</stp>
        <tr r="M1384" s="2"/>
      </tp>
      <tp t="s">
        <v>#N/A N/A</v>
        <stp/>
        <stp>BDP|14544041511157024610</stp>
        <tr r="T120" s="2"/>
      </tp>
      <tp t="s">
        <v>#N/A N/A</v>
        <stp/>
        <stp>BDP|17757320486998539079</stp>
        <tr r="R519" s="2"/>
      </tp>
      <tp t="s">
        <v>#N/A N/A</v>
        <stp/>
        <stp>BDP|12081210015703083651</stp>
        <tr r="J8" s="2"/>
      </tp>
      <tp t="s">
        <v>#N/A N/A</v>
        <stp/>
        <stp>BDP|12170641456395170037</stp>
        <tr r="C1118" s="2"/>
      </tp>
      <tp t="s">
        <v>#N/A N/A</v>
        <stp/>
        <stp>BDP|15899156790891528890</stp>
        <tr r="A1414" s="2"/>
      </tp>
      <tp t="s">
        <v>#N/A N/A</v>
        <stp/>
        <stp>BDP|15799139697278736154</stp>
        <tr r="H705" s="2"/>
      </tp>
      <tp t="s">
        <v>#N/A N/A</v>
        <stp/>
        <stp>BDP|17779396744164216094</stp>
        <tr r="P601" s="2"/>
      </tp>
      <tp t="s">
        <v>#N/A N/A</v>
        <stp/>
        <stp>BDP|14311102130123437164</stp>
        <tr r="Q1715" s="2"/>
      </tp>
      <tp t="s">
        <v>#N/A N/A</v>
        <stp/>
        <stp>BDP|14717326585218683378</stp>
        <tr r="G1040" s="2"/>
      </tp>
      <tp t="s">
        <v>#N/A N/A</v>
        <stp/>
        <stp>BDP|18411063350168248113</stp>
        <tr r="N1709" s="2"/>
      </tp>
      <tp t="s">
        <v>#N/A N/A</v>
        <stp/>
        <stp>BDP|16758057642652962486</stp>
        <tr r="N1458" s="2"/>
      </tp>
      <tp t="s">
        <v>#N/A N/A</v>
        <stp/>
        <stp>BDP|16929392607060672103</stp>
        <tr r="G1474" s="2"/>
      </tp>
      <tp t="s">
        <v>#N/A N/A</v>
        <stp/>
        <stp>BDP|12577786579544362266</stp>
        <tr r="E734" s="2"/>
      </tp>
      <tp t="s">
        <v>#N/A N/A</v>
        <stp/>
        <stp>BDP|12649747105597576635</stp>
        <tr r="K922" s="2"/>
      </tp>
      <tp t="s">
        <v>#N/A N/A</v>
        <stp/>
        <stp>BDP|15060866598664762484</stp>
        <tr r="S250" s="2"/>
      </tp>
      <tp t="s">
        <v>#N/A N/A</v>
        <stp/>
        <stp>BDP|15501122534616377517</stp>
        <tr r="R1161" s="2"/>
      </tp>
      <tp t="s">
        <v>#N/A N/A</v>
        <stp/>
        <stp>BDP|11082547478410889748</stp>
        <tr r="S677" s="2"/>
      </tp>
      <tp t="s">
        <v>#N/A N/A</v>
        <stp/>
        <stp>BDP|16974720943967015684</stp>
        <tr r="M1631" s="2"/>
      </tp>
      <tp t="s">
        <v>#N/A N/A</v>
        <stp/>
        <stp>BDP|12535606183920613806</stp>
        <tr r="M174" s="2"/>
      </tp>
      <tp t="s">
        <v>#N/A N/A</v>
        <stp/>
        <stp>BDP|11877124140845321592</stp>
        <tr r="T604" s="2"/>
      </tp>
      <tp t="s">
        <v>#N/A N/A</v>
        <stp/>
        <stp>BDP|11364829102474068937</stp>
        <tr r="H163" s="2"/>
      </tp>
      <tp t="s">
        <v>#N/A N/A</v>
        <stp/>
        <stp>BDP|10746068537443546436</stp>
        <tr r="C1310" s="2"/>
      </tp>
      <tp t="s">
        <v>#N/A N/A</v>
        <stp/>
        <stp>BDP|16774027274582182704</stp>
        <tr r="C1322" s="2"/>
      </tp>
      <tp t="s">
        <v>#N/A N/A</v>
        <stp/>
        <stp>BDP|16008056763377153379</stp>
        <tr r="T15" s="2"/>
      </tp>
      <tp t="s">
        <v>#N/A N/A</v>
        <stp/>
        <stp>BDP|13143453514305043709</stp>
        <tr r="P1494" s="2"/>
      </tp>
      <tp t="s">
        <v>#N/A N/A</v>
        <stp/>
        <stp>BDP|18012508182344741557</stp>
        <tr r="A749" s="2"/>
      </tp>
      <tp t="s">
        <v>#N/A N/A</v>
        <stp/>
        <stp>BDP|13275859951289335356</stp>
        <tr r="F252" s="2"/>
      </tp>
      <tp t="s">
        <v>#N/A N/A</v>
        <stp/>
        <stp>BDP|17851793600667892390</stp>
        <tr r="A1506" s="2"/>
      </tp>
      <tp t="s">
        <v>#N/A N/A</v>
        <stp/>
        <stp>BDP|10809864597731123489</stp>
        <tr r="E1418" s="2"/>
      </tp>
      <tp t="s">
        <v>#N/A N/A</v>
        <stp/>
        <stp>BDP|15268874526878326300</stp>
        <tr r="O370" s="2"/>
      </tp>
      <tp t="s">
        <v>#N/A N/A</v>
        <stp/>
        <stp>BDP|11299374518136964142</stp>
        <tr r="P61" s="2"/>
      </tp>
      <tp t="s">
        <v>#N/A N/A</v>
        <stp/>
        <stp>BDP|16675198507651111290</stp>
        <tr r="J464" s="2"/>
      </tp>
      <tp t="s">
        <v>#N/A N/A</v>
        <stp/>
        <stp>BDP|14046312654260281674</stp>
        <tr r="G581" s="2"/>
      </tp>
      <tp t="s">
        <v>#N/A N/A</v>
        <stp/>
        <stp>BDP|11387055456846246629</stp>
        <tr r="E562" s="2"/>
      </tp>
      <tp t="s">
        <v>#N/A N/A</v>
        <stp/>
        <stp>BDP|11829869738598616607</stp>
        <tr r="A660" s="2"/>
      </tp>
      <tp t="s">
        <v>#N/A N/A</v>
        <stp/>
        <stp>BDP|14616870874877755823</stp>
        <tr r="N1549" s="2"/>
      </tp>
      <tp t="s">
        <v>#N/A N/A</v>
        <stp/>
        <stp>BDP|10871649937311877035</stp>
        <tr r="D1154" s="2"/>
      </tp>
      <tp t="s">
        <v>#N/A N/A</v>
        <stp/>
        <stp>BDP|15365770962524055469</stp>
        <tr r="R1277" s="2"/>
      </tp>
      <tp t="s">
        <v>#N/A N/A</v>
        <stp/>
        <stp>BDP|16272639330235539240</stp>
        <tr r="N653" s="2"/>
      </tp>
      <tp t="s">
        <v>#N/A N/A</v>
        <stp/>
        <stp>BDP|15419398047086975031</stp>
        <tr r="J298" s="2"/>
      </tp>
      <tp t="s">
        <v>#N/A N/A</v>
        <stp/>
        <stp>BDP|12092151103002244543</stp>
        <tr r="N120" s="2"/>
      </tp>
      <tp t="s">
        <v>#N/A N/A</v>
        <stp/>
        <stp>BDP|15637233057076777058</stp>
        <tr r="R1537" s="2"/>
      </tp>
      <tp t="s">
        <v>#N/A N/A</v>
        <stp/>
        <stp>BDP|18263330467119487020</stp>
        <tr r="G924" s="2"/>
      </tp>
      <tp t="s">
        <v>#N/A N/A</v>
        <stp/>
        <stp>BDP|16603832790827725427</stp>
        <tr r="M669" s="2"/>
      </tp>
      <tp t="s">
        <v>#N/A N/A</v>
        <stp/>
        <stp>BDP|13114607231601684367</stp>
        <tr r="F1741" s="2"/>
      </tp>
      <tp t="s">
        <v>#N/A N/A</v>
        <stp/>
        <stp>BDP|15494035486939428059</stp>
        <tr r="O197" s="2"/>
      </tp>
      <tp t="s">
        <v>#N/A N/A</v>
        <stp/>
        <stp>BDP|13275817725535034868</stp>
        <tr r="R720" s="2"/>
      </tp>
      <tp t="s">
        <v>#N/A N/A</v>
        <stp/>
        <stp>BDP|14000622291029192625</stp>
        <tr r="M151" s="2"/>
      </tp>
      <tp t="s">
        <v>#N/A N/A</v>
        <stp/>
        <stp>BDP|12349046169253941379</stp>
        <tr r="K234" s="2"/>
      </tp>
      <tp t="s">
        <v>#N/A N/A</v>
        <stp/>
        <stp>BDP|11712772660654402048</stp>
        <tr r="O997" s="2"/>
      </tp>
      <tp t="s">
        <v>#N/A N/A</v>
        <stp/>
        <stp>BDP|14136401102424636058</stp>
        <tr r="S919" s="2"/>
      </tp>
      <tp t="s">
        <v>#N/A N/A</v>
        <stp/>
        <stp>BDP|13477384758314545518</stp>
        <tr r="M224" s="2"/>
      </tp>
      <tp t="s">
        <v>#N/A N/A</v>
        <stp/>
        <stp>BDP|14305632227024773009</stp>
        <tr r="D1748" s="2"/>
      </tp>
      <tp t="s">
        <v>#N/A N/A</v>
        <stp/>
        <stp>BDP|14100024972823088417</stp>
        <tr r="N450" s="2"/>
      </tp>
      <tp t="s">
        <v>#N/A N/A</v>
        <stp/>
        <stp>BDP|10360828791922527756</stp>
        <tr r="D190" s="2"/>
      </tp>
      <tp t="s">
        <v>#N/A N/A</v>
        <stp/>
        <stp>BDP|11979634008120669347</stp>
        <tr r="R731" s="2"/>
      </tp>
      <tp t="s">
        <v>#N/A N/A</v>
        <stp/>
        <stp>BDP|17465054832450416075</stp>
        <tr r="F829" s="2"/>
      </tp>
      <tp t="s">
        <v>#N/A N/A</v>
        <stp/>
        <stp>BDP|13449034767759252820</stp>
        <tr r="R1037" s="2"/>
      </tp>
      <tp t="s">
        <v>#N/A N/A</v>
        <stp/>
        <stp>BDP|10626347951973082136</stp>
        <tr r="G658" s="2"/>
      </tp>
      <tp t="s">
        <v>#N/A N/A</v>
        <stp/>
        <stp>BDP|18225701347167296879</stp>
        <tr r="D746" s="2"/>
      </tp>
      <tp t="s">
        <v>#N/A N/A</v>
        <stp/>
        <stp>BDP|13722772661211214731</stp>
        <tr r="J947" s="2"/>
      </tp>
      <tp t="s">
        <v>#N/A N/A</v>
        <stp/>
        <stp>BDP|14449095419704457502</stp>
        <tr r="M1499" s="2"/>
      </tp>
      <tp t="s">
        <v>#N/A N/A</v>
        <stp/>
        <stp>BDP|10208575593871589934</stp>
        <tr r="P1227" s="2"/>
      </tp>
      <tp t="s">
        <v>#N/A N/A</v>
        <stp/>
        <stp>BDP|16843191032324633454</stp>
        <tr r="T815" s="2"/>
      </tp>
      <tp t="s">
        <v>#N/A N/A</v>
        <stp/>
        <stp>BDP|13529147046917194565</stp>
        <tr r="F141" s="2"/>
      </tp>
      <tp t="s">
        <v>#N/A N/A</v>
        <stp/>
        <stp>BDP|15845096805120443107</stp>
        <tr r="G1361" s="2"/>
      </tp>
      <tp t="s">
        <v>#N/A N/A</v>
        <stp/>
        <stp>BDP|12928333653514010495</stp>
        <tr r="E1570" s="2"/>
      </tp>
      <tp t="s">
        <v>#N/A N/A</v>
        <stp/>
        <stp>BDP|16248150231023710315</stp>
        <tr r="D114" s="2"/>
      </tp>
      <tp t="s">
        <v>#N/A N/A</v>
        <stp/>
        <stp>BDP|16813201914855815449</stp>
        <tr r="D1659" s="2"/>
      </tp>
      <tp t="s">
        <v>#N/A N/A</v>
        <stp/>
        <stp>BDP|14085419033650366711</stp>
        <tr r="D287" s="2"/>
      </tp>
      <tp t="s">
        <v>#N/A N/A</v>
        <stp/>
        <stp>BDP|16771213973243313460</stp>
        <tr r="J271" s="2"/>
      </tp>
      <tp t="s">
        <v>#N/A N/A</v>
        <stp/>
        <stp>BDP|10854080977244627712</stp>
        <tr r="E1289" s="2"/>
      </tp>
      <tp t="s">
        <v>#N/A N/A</v>
        <stp/>
        <stp>BDP|12937231955752842376</stp>
        <tr r="K63" s="2"/>
      </tp>
      <tp t="s">
        <v>#N/A N/A</v>
        <stp/>
        <stp>BDP|17021718889508988410</stp>
        <tr r="P1048" s="2"/>
      </tp>
      <tp t="s">
        <v>#N/A N/A</v>
        <stp/>
        <stp>BDP|14876540477380908223</stp>
        <tr r="D583" s="2"/>
      </tp>
      <tp t="s">
        <v>#N/A N/A</v>
        <stp/>
        <stp>BDP|16641222997598018134</stp>
        <tr r="E42" s="2"/>
      </tp>
      <tp t="s">
        <v>#N/A N/A</v>
        <stp/>
        <stp>BDP|15231159506463719369</stp>
        <tr r="Q1036" s="2"/>
      </tp>
      <tp t="s">
        <v>#N/A N/A</v>
        <stp/>
        <stp>BDP|11994087961835584658</stp>
        <tr r="H155" s="2"/>
      </tp>
      <tp t="s">
        <v>#N/A N/A</v>
        <stp/>
        <stp>BDP|14743408194019599463</stp>
        <tr r="M1188" s="2"/>
      </tp>
      <tp t="s">
        <v>#N/A N/A</v>
        <stp/>
        <stp>BDP|13432690500930841158</stp>
        <tr r="P1192" s="2"/>
      </tp>
      <tp t="s">
        <v>#N/A N/A</v>
        <stp/>
        <stp>BDP|10338208232972479753</stp>
        <tr r="N648" s="2"/>
      </tp>
      <tp t="s">
        <v>#N/A N/A</v>
        <stp/>
        <stp>BDP|14705206603160055244</stp>
        <tr r="A710" s="2"/>
      </tp>
      <tp t="s">
        <v>#N/A N/A</v>
        <stp/>
        <stp>BDP|15369420328593930406</stp>
        <tr r="C976" s="2"/>
      </tp>
      <tp t="s">
        <v>#N/A N/A</v>
        <stp/>
        <stp>BDP|10358442625361186339</stp>
        <tr r="C1325" s="2"/>
      </tp>
      <tp t="s">
        <v>#N/A N/A</v>
        <stp/>
        <stp>BDS|11495768519895081684</stp>
        <tr r="I1618" s="2"/>
      </tp>
      <tp t="s">
        <v>#N/A N/A</v>
        <stp/>
        <stp>BDP|14698822904490497842</stp>
        <tr r="F477" s="2"/>
      </tp>
      <tp t="s">
        <v>#N/A N/A</v>
        <stp/>
        <stp>BDP|10542784312000671293</stp>
        <tr r="P1607" s="2"/>
      </tp>
      <tp t="s">
        <v>#N/A N/A</v>
        <stp/>
        <stp>BDS|11897356465659894934</stp>
        <tr r="I831" s="2"/>
      </tp>
      <tp t="s">
        <v>#N/A N/A</v>
        <stp/>
        <stp>BDP|14596266123136269613</stp>
        <tr r="H1307" s="2"/>
      </tp>
      <tp t="s">
        <v>#N/A N/A</v>
        <stp/>
        <stp>BDP|17504893698851719301</stp>
        <tr r="H421" s="2"/>
      </tp>
      <tp t="s">
        <v>#N/A N/A</v>
        <stp/>
        <stp>BDP|10217692729869616971</stp>
        <tr r="F1746" s="2"/>
      </tp>
      <tp t="s">
        <v>#N/A N/A</v>
        <stp/>
        <stp>BDP|12316417065870737434</stp>
        <tr r="N218" s="2"/>
      </tp>
      <tp t="s">
        <v>#N/A N/A</v>
        <stp/>
        <stp>BDP|13721049914492251463</stp>
        <tr r="N191" s="2"/>
      </tp>
      <tp t="s">
        <v>#N/A N/A</v>
        <stp/>
        <stp>BDP|16852241529123747118</stp>
        <tr r="C382" s="2"/>
      </tp>
      <tp t="s">
        <v>#N/A N/A</v>
        <stp/>
        <stp>BDP|14335456250392383366</stp>
        <tr r="A1265" s="2"/>
      </tp>
      <tp t="s">
        <v>#N/A N/A</v>
        <stp/>
        <stp>BDP|10165517337992540014</stp>
        <tr r="S578" s="2"/>
      </tp>
      <tp t="s">
        <v>#N/A N/A</v>
        <stp/>
        <stp>BDP|13187359151480597134</stp>
        <tr r="K406" s="2"/>
      </tp>
      <tp t="s">
        <v>#N/A N/A</v>
        <stp/>
        <stp>BDP|13912684883700181902</stp>
        <tr r="Q171" s="2"/>
      </tp>
      <tp t="s">
        <v>#N/A N/A</v>
        <stp/>
        <stp>BDP|18142648694644636741</stp>
        <tr r="P146" s="2"/>
      </tp>
      <tp t="s">
        <v>#N/A N/A</v>
        <stp/>
        <stp>BDS|10943048666713952126</stp>
        <tr r="I328" s="2"/>
      </tp>
      <tp t="s">
        <v>#N/A N/A</v>
        <stp/>
        <stp>BDP|13657404543916461126</stp>
        <tr r="F1398" s="2"/>
      </tp>
      <tp t="s">
        <v>#N/A N/A</v>
        <stp/>
        <stp>BDP|10543696283389466388</stp>
        <tr r="H87" s="2"/>
      </tp>
      <tp t="s">
        <v>#N/A N/A</v>
        <stp/>
        <stp>BDP|14317238526035078551</stp>
        <tr r="T765" s="2"/>
      </tp>
      <tp t="s">
        <v>#N/A N/A</v>
        <stp/>
        <stp>BDP|14378810156994319940</stp>
        <tr r="O1742" s="2"/>
      </tp>
      <tp t="s">
        <v>#N/A N/A</v>
        <stp/>
        <stp>BDP|16873172452454997277</stp>
        <tr r="M1307" s="2"/>
      </tp>
      <tp t="s">
        <v>#N/A N/A</v>
        <stp/>
        <stp>BDP|17184533711512807581</stp>
        <tr r="E64" s="2"/>
      </tp>
      <tp t="s">
        <v>#N/A N/A</v>
        <stp/>
        <stp>BDP|17636654236930011660</stp>
        <tr r="H621" s="2"/>
      </tp>
      <tp t="s">
        <v>#N/A N/A</v>
        <stp/>
        <stp>BDP|11499640540011652652</stp>
        <tr r="A326" s="2"/>
      </tp>
      <tp t="s">
        <v>#N/A N/A</v>
        <stp/>
        <stp>BDP|18178889519155443075</stp>
        <tr r="P1542" s="2"/>
      </tp>
      <tp t="s">
        <v>#N/A N/A</v>
        <stp/>
        <stp>BDP|18381179139988703696</stp>
        <tr r="G1504" s="2"/>
      </tp>
      <tp t="s">
        <v>#N/A N/A</v>
        <stp/>
        <stp>BDP|12377079646906915488</stp>
        <tr r="R1538" s="2"/>
      </tp>
      <tp t="s">
        <v>#N/A N/A</v>
        <stp/>
        <stp>BDP|14242490541110932008</stp>
        <tr r="N62" s="2"/>
      </tp>
      <tp t="s">
        <v>#N/A N/A</v>
        <stp/>
        <stp>BDP|14164340636977822783</stp>
        <tr r="D945" s="2"/>
      </tp>
      <tp t="s">
        <v>#N/A N/A</v>
        <stp/>
        <stp>BDP|17627449836320164463</stp>
        <tr r="M133" s="2"/>
      </tp>
      <tp t="s">
        <v>#N/A N/A</v>
        <stp/>
        <stp>BDP|14201776060810648107</stp>
        <tr r="N1571" s="2"/>
      </tp>
      <tp t="s">
        <v>#N/A N/A</v>
        <stp/>
        <stp>BDP|12246948815258730670</stp>
        <tr r="D916" s="2"/>
      </tp>
      <tp t="s">
        <v>#N/A N/A</v>
        <stp/>
        <stp>BDP|17452270743771565468</stp>
        <tr r="M462" s="2"/>
      </tp>
      <tp t="s">
        <v>#N/A N/A</v>
        <stp/>
        <stp>BDP|13658259355501349161</stp>
        <tr r="F615" s="2"/>
      </tp>
      <tp t="s">
        <v>#N/A N/A</v>
        <stp/>
        <stp>BDP|12045696688149390119</stp>
        <tr r="F1368" s="2"/>
      </tp>
      <tp t="s">
        <v>#N/A N/A</v>
        <stp/>
        <stp>BDP|16849192672832380634</stp>
        <tr r="M1671" s="2"/>
      </tp>
      <tp t="s">
        <v>#N/A N/A</v>
        <stp/>
        <stp>BDP|11146402739923251198</stp>
        <tr r="A210" s="2"/>
      </tp>
      <tp t="s">
        <v>#N/A N/A</v>
        <stp/>
        <stp>BDP|14294685528450609479</stp>
        <tr r="P1023" s="2"/>
      </tp>
      <tp t="s">
        <v>#N/A N/A</v>
        <stp/>
        <stp>BDP|13528672524651064251</stp>
        <tr r="A300" s="2"/>
      </tp>
      <tp t="s">
        <v>#N/A N/A</v>
        <stp/>
        <stp>BDP|15520189893759881055</stp>
        <tr r="D1244" s="2"/>
      </tp>
      <tp t="s">
        <v>#N/A N/A</v>
        <stp/>
        <stp>BDP|10228355473733369347</stp>
        <tr r="T977" s="2"/>
      </tp>
      <tp t="s">
        <v>#N/A N/A</v>
        <stp/>
        <stp>BDP|14987473709143036748</stp>
        <tr r="C1690" s="2"/>
      </tp>
      <tp t="s">
        <v>#N/A N/A</v>
        <stp/>
        <stp>BDP|11699421236304027619</stp>
        <tr r="R372" s="2"/>
      </tp>
      <tp t="s">
        <v>#N/A N/A</v>
        <stp/>
        <stp>BDP|12660926127199634462</stp>
        <tr r="N42" s="2"/>
      </tp>
      <tp t="s">
        <v>#N/A N/A</v>
        <stp/>
        <stp>BDP|10740326897576516846</stp>
        <tr r="C164" s="2"/>
      </tp>
      <tp t="s">
        <v>#N/A N/A</v>
        <stp/>
        <stp>BDP|16579435144392389029</stp>
        <tr r="K276" s="2"/>
      </tp>
      <tp t="s">
        <v>#N/A N/A</v>
        <stp/>
        <stp>BDP|10247964950020716801</stp>
        <tr r="R1123" s="2"/>
      </tp>
      <tp t="s">
        <v>#N/A N/A</v>
        <stp/>
        <stp>BDP|10756224058592638187</stp>
        <tr r="A918" s="2"/>
      </tp>
      <tp t="s">
        <v>#N/A N/A</v>
        <stp/>
        <stp>BDP|10262252451022402114</stp>
        <tr r="D1640" s="2"/>
      </tp>
      <tp t="s">
        <v>#N/A N/A</v>
        <stp/>
        <stp>BDP|11225030793608143400</stp>
        <tr r="D465" s="2"/>
      </tp>
      <tp t="s">
        <v>#N/A N/A</v>
        <stp/>
        <stp>BDP|10986168719784534003</stp>
        <tr r="S112" s="2"/>
      </tp>
      <tp t="s">
        <v>#N/A N/A</v>
        <stp/>
        <stp>BDP|15998103571236395186</stp>
        <tr r="F992" s="2"/>
      </tp>
      <tp t="s">
        <v>#N/A N/A</v>
        <stp/>
        <stp>BDP|12126451166033400754</stp>
        <tr r="A653" s="2"/>
      </tp>
      <tp t="s">
        <v>#N/A N/A</v>
        <stp/>
        <stp>BDP|10972379164281888013</stp>
        <tr r="O153" s="2"/>
      </tp>
      <tp t="s">
        <v>#N/A N/A</v>
        <stp/>
        <stp>BDP|12056923097584453220</stp>
        <tr r="T198" s="2"/>
      </tp>
      <tp t="s">
        <v>#N/A N/A</v>
        <stp/>
        <stp>BDP|11329654662014317141</stp>
        <tr r="A1571" s="2"/>
      </tp>
      <tp t="s">
        <v>#N/A N/A</v>
        <stp/>
        <stp>BDP|12174034159592815101</stp>
        <tr r="S807" s="2"/>
      </tp>
      <tp t="s">
        <v>#N/A N/A</v>
        <stp/>
        <stp>BDP|17418372064287418106</stp>
        <tr r="N513" s="2"/>
      </tp>
      <tp t="s">
        <v>#N/A N/A</v>
        <stp/>
        <stp>BDP|14882719864481732090</stp>
        <tr r="O1584" s="2"/>
      </tp>
      <tp t="s">
        <v>#N/A N/A</v>
        <stp/>
        <stp>BDP|17693751651736139709</stp>
        <tr r="S558" s="2"/>
      </tp>
      <tp t="s">
        <v>#N/A N/A</v>
        <stp/>
        <stp>BDP|16921576819501473703</stp>
        <tr r="K825" s="2"/>
      </tp>
      <tp t="s">
        <v>#N/A N/A</v>
        <stp/>
        <stp>BDP|11870449229326715519</stp>
        <tr r="N577" s="2"/>
      </tp>
      <tp t="s">
        <v>#N/A N/A</v>
        <stp/>
        <stp>BDS|14237271224179933985</stp>
        <tr r="I384" s="2"/>
      </tp>
      <tp t="s">
        <v>#N/A N/A</v>
        <stp/>
        <stp>BDP|13933167279119610831</stp>
        <tr r="N109" s="2"/>
      </tp>
      <tp t="s">
        <v>#N/A N/A</v>
        <stp/>
        <stp>BDP|15160716132237350222</stp>
        <tr r="Q1436" s="2"/>
      </tp>
      <tp t="s">
        <v>#N/A N/A</v>
        <stp/>
        <stp>BDP|11632153847762677214</stp>
        <tr r="H1473" s="2"/>
      </tp>
      <tp t="s">
        <v>#N/A N/A</v>
        <stp/>
        <stp>BDS|15342147021202123077</stp>
        <tr r="I264" s="2"/>
      </tp>
      <tp t="s">
        <v>#N/A N/A</v>
        <stp/>
        <stp>BDP|11902505485821935975</stp>
        <tr r="H207" s="2"/>
      </tp>
      <tp t="s">
        <v>#N/A N/A</v>
        <stp/>
        <stp>BDP|11938793406820352277</stp>
        <tr r="S1263" s="2"/>
      </tp>
      <tp t="s">
        <v>#N/A N/A</v>
        <stp/>
        <stp>BDP|13556198562067442783</stp>
        <tr r="K1300" s="2"/>
      </tp>
      <tp t="s">
        <v>#N/A N/A</v>
        <stp/>
        <stp>BDP|13897882357119304360</stp>
        <tr r="M648" s="2"/>
      </tp>
      <tp t="s">
        <v>#N/A N/A</v>
        <stp/>
        <stp>BDS|15297422294054302861</stp>
        <tr r="I75" s="2"/>
      </tp>
      <tp t="s">
        <v>#N/A N/A</v>
        <stp/>
        <stp>BDP|13843486367591475419</stp>
        <tr r="J36" s="2"/>
      </tp>
      <tp t="s">
        <v>#N/A N/A</v>
        <stp/>
        <stp>BDP|11314695338793590353</stp>
        <tr r="K594" s="2"/>
      </tp>
      <tp t="s">
        <v>#N/A N/A</v>
        <stp/>
        <stp>BDP|11150440299838948070</stp>
        <tr r="E252" s="2"/>
      </tp>
      <tp t="s">
        <v>#N/A N/A</v>
        <stp/>
        <stp>BDP|15381555154667843686</stp>
        <tr r="E1552" s="2"/>
      </tp>
      <tp t="s">
        <v>#N/A N/A</v>
        <stp/>
        <stp>BDP|15679854555188021449</stp>
        <tr r="P474" s="2"/>
      </tp>
      <tp t="s">
        <v>#N/A N/A</v>
        <stp/>
        <stp>BDP|10034257630445582021</stp>
        <tr r="P62" s="2"/>
      </tp>
      <tp t="s">
        <v>#N/A N/A</v>
        <stp/>
        <stp>BDP|11362018121067054012</stp>
        <tr r="C1443" s="2"/>
      </tp>
      <tp t="s">
        <v>#N/A N/A</v>
        <stp/>
        <stp>BDP|15491138876591485674</stp>
        <tr r="E732" s="2"/>
      </tp>
      <tp t="s">
        <v>#N/A N/A</v>
        <stp/>
        <stp>BDP|16503562159827805502</stp>
        <tr r="F983" s="2"/>
      </tp>
      <tp t="s">
        <v>#N/A N/A</v>
        <stp/>
        <stp>BDP|15397245756203526564</stp>
        <tr r="H1566" s="2"/>
      </tp>
      <tp t="s">
        <v>#N/A N/A</v>
        <stp/>
        <stp>BDP|15960409461104306796</stp>
        <tr r="T641" s="2"/>
      </tp>
      <tp t="s">
        <v>#N/A N/A</v>
        <stp/>
        <stp>BDP|16536471938097858208</stp>
        <tr r="M915" s="2"/>
      </tp>
      <tp t="s">
        <v>#N/A N/A</v>
        <stp/>
        <stp>BDP|13112997894562891564</stp>
        <tr r="P1031" s="2"/>
      </tp>
      <tp t="s">
        <v>#N/A N/A</v>
        <stp/>
        <stp>BDP|11328690286329966279</stp>
        <tr r="R978" s="2"/>
      </tp>
      <tp t="s">
        <v>#N/A N/A</v>
        <stp/>
        <stp>BDP|17911936994850847345</stp>
        <tr r="S449" s="2"/>
      </tp>
      <tp t="s">
        <v>#N/A N/A</v>
        <stp/>
        <stp>BDP|15497077330656577441</stp>
        <tr r="R900" s="2"/>
      </tp>
      <tp t="s">
        <v>#N/A N/A</v>
        <stp/>
        <stp>BDP|14752459624005036341</stp>
        <tr r="F1582" s="2"/>
      </tp>
      <tp t="s">
        <v>#N/A N/A</v>
        <stp/>
        <stp>BDP|12860408630404863521</stp>
        <tr r="M944" s="2"/>
      </tp>
      <tp t="s">
        <v>#N/A N/A</v>
        <stp/>
        <stp>BDS|11296270915780448656</stp>
        <tr r="I1455" s="2"/>
      </tp>
      <tp t="s">
        <v>#N/A N/A</v>
        <stp/>
        <stp>BDP|14294624069336223690</stp>
        <tr r="A207" s="2"/>
      </tp>
      <tp t="s">
        <v>#N/A N/A</v>
        <stp/>
        <stp>BDP|11443014236256372029</stp>
        <tr r="T582" s="2"/>
      </tp>
      <tp t="s">
        <v>#N/A N/A</v>
        <stp/>
        <stp>BDS|17224183638580107127</stp>
        <tr r="I422" s="2"/>
      </tp>
      <tp t="s">
        <v>#N/A N/A</v>
        <stp/>
        <stp>BDP|14731639934861681449</stp>
        <tr r="E1178" s="2"/>
      </tp>
      <tp t="s">
        <v>#N/A N/A</v>
        <stp/>
        <stp>BDS|11427567654481417433</stp>
        <tr r="I937" s="2"/>
      </tp>
      <tp t="s">
        <v>#N/A N/A</v>
        <stp/>
        <stp>BDP|14273422720260419665</stp>
        <tr r="G86" s="2"/>
      </tp>
      <tp t="s">
        <v>#N/A N/A</v>
        <stp/>
        <stp>BDP|13017136644462533003</stp>
        <tr r="E297" s="2"/>
      </tp>
      <tp t="s">
        <v>#N/A N/A</v>
        <stp/>
        <stp>BDP|10399134957976747623</stp>
        <tr r="J1357" s="2"/>
      </tp>
      <tp t="s">
        <v>#N/A N/A</v>
        <stp/>
        <stp>BDP|10565324973702371250</stp>
        <tr r="R1745" s="2"/>
      </tp>
      <tp t="s">
        <v>#N/A N/A</v>
        <stp/>
        <stp>BDP|17026363346253069727</stp>
        <tr r="H717" s="2"/>
      </tp>
      <tp t="s">
        <v>#N/A N/A</v>
        <stp/>
        <stp>BDP|12596721791228418009</stp>
        <tr r="N1205" s="2"/>
      </tp>
      <tp t="s">
        <v>#N/A N/A</v>
        <stp/>
        <stp>BDP|17753961515842188976</stp>
        <tr r="N127" s="2"/>
      </tp>
      <tp t="s">
        <v>#N/A N/A</v>
        <stp/>
        <stp>BDP|11631250920101341427</stp>
        <tr r="C1161" s="2"/>
      </tp>
      <tp t="s">
        <v>#N/A N/A</v>
        <stp/>
        <stp>BDP|17678845207172204952</stp>
        <tr r="Q1265" s="2"/>
      </tp>
      <tp t="s">
        <v>#N/A N/A</v>
        <stp/>
        <stp>BDP|15913161332423747081</stp>
        <tr r="R378" s="2"/>
      </tp>
      <tp t="s">
        <v>#N/A N/A</v>
        <stp/>
        <stp>BDP|17332204332577771544</stp>
        <tr r="D1018" s="2"/>
      </tp>
      <tp t="s">
        <v>#N/A N/A</v>
        <stp/>
        <stp>BDP|13472321013213075672</stp>
        <tr r="S474" s="2"/>
      </tp>
      <tp t="s">
        <v>#N/A N/A</v>
        <stp/>
        <stp>BDP|15028647857866144408</stp>
        <tr r="D490" s="2"/>
      </tp>
      <tp t="s">
        <v>#N/A N/A</v>
        <stp/>
        <stp>BDP|15599880367928894709</stp>
        <tr r="F1688" s="2"/>
      </tp>
      <tp t="s">
        <v>#N/A N/A</v>
        <stp/>
        <stp>BDP|15176533363885487774</stp>
        <tr r="R1472" s="2"/>
      </tp>
      <tp t="s">
        <v>#N/A N/A</v>
        <stp/>
        <stp>BDS|16384134503820749350</stp>
        <tr r="I742" s="2"/>
      </tp>
      <tp t="s">
        <v>#N/A N/A</v>
        <stp/>
        <stp>BDP|10010567637906060439</stp>
        <tr r="T207" s="2"/>
      </tp>
      <tp t="s">
        <v>#N/A N/A</v>
        <stp/>
        <stp>BDP|10708007855297408645</stp>
        <tr r="M1485" s="2"/>
      </tp>
      <tp t="s">
        <v>#N/A N/A</v>
        <stp/>
        <stp>BDP|13310389581519099583</stp>
        <tr r="K297" s="2"/>
      </tp>
      <tp t="s">
        <v>#N/A N/A</v>
        <stp/>
        <stp>BDP|13110054068687852661</stp>
        <tr r="F371" s="2"/>
      </tp>
      <tp t="s">
        <v>#N/A N/A</v>
        <stp/>
        <stp>BDS|18255122266493324846</stp>
        <tr r="I951" s="2"/>
      </tp>
      <tp t="s">
        <v>#N/A N/A</v>
        <stp/>
        <stp>BDP|11260460055325430171</stp>
        <tr r="A1572" s="2"/>
      </tp>
      <tp t="s">
        <v>#N/A N/A</v>
        <stp/>
        <stp>BDP|14980237388108611268</stp>
        <tr r="C552" s="2"/>
      </tp>
      <tp t="s">
        <v>#N/A N/A</v>
        <stp/>
        <stp>BDP|13630534807767212527</stp>
        <tr r="T586" s="2"/>
      </tp>
      <tp t="s">
        <v>#N/A N/A</v>
        <stp/>
        <stp>BDP|14760222485698632247</stp>
        <tr r="Q874" s="2"/>
      </tp>
      <tp t="s">
        <v>#N/A N/A</v>
        <stp/>
        <stp>BDP|10387178630024103276</stp>
        <tr r="K12" s="2"/>
      </tp>
      <tp t="s">
        <v>#N/A N/A</v>
        <stp/>
        <stp>BDP|17974280571491704756</stp>
        <tr r="H394" s="2"/>
      </tp>
      <tp t="s">
        <v>#N/A N/A</v>
        <stp/>
        <stp>BDS|15442234560402608701</stp>
        <tr r="I696" s="2"/>
      </tp>
      <tp t="s">
        <v>#N/A N/A</v>
        <stp/>
        <stp>BDP|12531495886119026380</stp>
        <tr r="D212" s="2"/>
      </tp>
      <tp t="s">
        <v>#N/A N/A</v>
        <stp/>
        <stp>BDP|10132002894215101866</stp>
        <tr r="C692" s="2"/>
      </tp>
      <tp t="s">
        <v>#N/A N/A</v>
        <stp/>
        <stp>BDP|16472604470045015667</stp>
        <tr r="Q1234" s="2"/>
      </tp>
      <tp t="s">
        <v>#N/A N/A</v>
        <stp/>
        <stp>BDP|13229642167116748140</stp>
        <tr r="O1496" s="2"/>
      </tp>
      <tp t="s">
        <v>#N/A N/A</v>
        <stp/>
        <stp>BDP|17306928251968121736</stp>
        <tr r="G1233" s="2"/>
      </tp>
      <tp t="s">
        <v>#N/A N/A</v>
        <stp/>
        <stp>BDP|16147504398659840736</stp>
        <tr r="C1291" s="2"/>
      </tp>
      <tp t="s">
        <v>#N/A N/A</v>
        <stp/>
        <stp>BDP|13362065563024107557</stp>
        <tr r="S244" s="2"/>
      </tp>
      <tp t="s">
        <v>#N/A N/A</v>
        <stp/>
        <stp>BDP|16508773651833310351</stp>
        <tr r="T692" s="2"/>
      </tp>
      <tp t="s">
        <v>#N/A N/A</v>
        <stp/>
        <stp>BDP|16241164010867868595</stp>
        <tr r="G70" s="2"/>
      </tp>
      <tp t="s">
        <v>#N/A N/A</v>
        <stp/>
        <stp>BDS|10170361970461501149</stp>
        <tr r="I57" s="2"/>
      </tp>
      <tp t="s">
        <v>#N/A N/A</v>
        <stp/>
        <stp>BDP|13456083349955448640</stp>
        <tr r="Q295" s="2"/>
      </tp>
      <tp t="s">
        <v>#N/A N/A</v>
        <stp/>
        <stp>BDP|13773465835364327428</stp>
        <tr r="K1725" s="2"/>
      </tp>
      <tp t="s">
        <v>#N/A N/A</v>
        <stp/>
        <stp>BDP|17173107555957736061</stp>
        <tr r="N1423" s="2"/>
      </tp>
      <tp t="s">
        <v>#N/A N/A</v>
        <stp/>
        <stp>BDP|17285052735753732305</stp>
        <tr r="T1383" s="2"/>
      </tp>
      <tp t="s">
        <v>#N/A N/A</v>
        <stp/>
        <stp>BDP|15181393618184249775</stp>
        <tr r="E71" s="2"/>
      </tp>
      <tp t="s">
        <v>#N/A N/A</v>
        <stp/>
        <stp>BDP|11507105542406021628</stp>
        <tr r="N1232" s="2"/>
      </tp>
      <tp t="s">
        <v>#N/A N/A</v>
        <stp/>
        <stp>BDP|17846302882509801179</stp>
        <tr r="J1520" s="2"/>
      </tp>
      <tp t="s">
        <v>#N/A N/A</v>
        <stp/>
        <stp>BDP|15617536843286392606</stp>
        <tr r="M1022" s="2"/>
      </tp>
      <tp t="s">
        <v>#N/A N/A</v>
        <stp/>
        <stp>BDP|16645796606876931353</stp>
        <tr r="P395" s="2"/>
      </tp>
      <tp t="s">
        <v>#N/A N/A</v>
        <stp/>
        <stp>BDP|10349322471658088852</stp>
        <tr r="J168" s="2"/>
      </tp>
      <tp t="s">
        <v>#N/A N/A</v>
        <stp/>
        <stp>BDP|12494243955782236324</stp>
        <tr r="Q35" s="2"/>
      </tp>
      <tp t="s">
        <v>#N/A N/A</v>
        <stp/>
        <stp>BDP|11777232586877408834</stp>
        <tr r="E635" s="2"/>
      </tp>
      <tp t="s">
        <v>#N/A N/A</v>
        <stp/>
        <stp>BDP|17074997888911722332</stp>
        <tr r="H37" s="2"/>
      </tp>
      <tp t="s">
        <v>#N/A N/A</v>
        <stp/>
        <stp>BDP|17626126065827453300</stp>
        <tr r="R631" s="2"/>
      </tp>
      <tp t="s">
        <v>#N/A N/A</v>
        <stp/>
        <stp>BDP|12080107448001557283</stp>
        <tr r="K921" s="2"/>
      </tp>
      <tp t="s">
        <v>#N/A N/A</v>
        <stp/>
        <stp>BDP|17567165293099027259</stp>
        <tr r="F987" s="2"/>
      </tp>
      <tp t="s">
        <v>#N/A N/A</v>
        <stp/>
        <stp>BDP|10904328063584976542</stp>
        <tr r="P596" s="2"/>
      </tp>
      <tp t="s">
        <v>#N/A N/A</v>
        <stp/>
        <stp>BDP|14851651361956113684</stp>
        <tr r="M1238" s="2"/>
      </tp>
      <tp t="s">
        <v>#N/A N/A</v>
        <stp/>
        <stp>BDP|15535482958808848885</stp>
        <tr r="S40" s="2"/>
      </tp>
      <tp t="s">
        <v>#N/A N/A</v>
        <stp/>
        <stp>BDP|14483318544875452205</stp>
        <tr r="F996" s="2"/>
      </tp>
      <tp t="s">
        <v>#N/A N/A</v>
        <stp/>
        <stp>BDP|14190234912693320066</stp>
        <tr r="Q425" s="2"/>
      </tp>
      <tp t="s">
        <v>#N/A N/A</v>
        <stp/>
        <stp>BDP|18187333750279437335</stp>
        <tr r="D858" s="2"/>
      </tp>
      <tp t="s">
        <v>#N/A N/A</v>
        <stp/>
        <stp>BDP|16567424904027052169</stp>
        <tr r="G711" s="2"/>
      </tp>
      <tp t="s">
        <v>#N/A N/A</v>
        <stp/>
        <stp>BDP|11738336424156292273</stp>
        <tr r="J1067" s="2"/>
      </tp>
      <tp t="s">
        <v>#N/A N/A</v>
        <stp/>
        <stp>BDP|14648949784669429877</stp>
        <tr r="Q1602" s="2"/>
      </tp>
      <tp t="s">
        <v>#N/A N/A</v>
        <stp/>
        <stp>BDP|16067479222965493141</stp>
        <tr r="O1306" s="2"/>
      </tp>
      <tp t="s">
        <v>#N/A N/A</v>
        <stp/>
        <stp>BDP|17309198015254813726</stp>
        <tr r="Q1551" s="2"/>
      </tp>
      <tp t="s">
        <v>#N/A N/A</v>
        <stp/>
        <stp>BDP|13547930643868823283</stp>
        <tr r="A1030" s="2"/>
      </tp>
      <tp t="s">
        <v>#N/A N/A</v>
        <stp/>
        <stp>BDP|15670410751716452678</stp>
        <tr r="G1627" s="2"/>
      </tp>
      <tp t="s">
        <v>#N/A N/A</v>
        <stp/>
        <stp>BDP|11173189029202454414</stp>
        <tr r="S284" s="2"/>
      </tp>
      <tp t="s">
        <v>#N/A N/A</v>
        <stp/>
        <stp>BDP|10557982651568987007</stp>
        <tr r="M584" s="2"/>
      </tp>
      <tp t="s">
        <v>#N/A N/A</v>
        <stp/>
        <stp>BDP|12396359351848642841</stp>
        <tr r="E362" s="2"/>
      </tp>
      <tp t="s">
        <v>#N/A N/A</v>
        <stp/>
        <stp>BDP|16211328870451221773</stp>
        <tr r="A1751" s="2"/>
      </tp>
      <tp t="s">
        <v>#N/A N/A</v>
        <stp/>
        <stp>BDP|13013679867533206471</stp>
        <tr r="S722" s="2"/>
      </tp>
      <tp t="s">
        <v>#N/A N/A</v>
        <stp/>
        <stp>BDP|11179119133052274545</stp>
        <tr r="M1119" s="2"/>
      </tp>
      <tp t="s">
        <v>#N/A N/A</v>
        <stp/>
        <stp>BDP|15424080727973830064</stp>
        <tr r="G773" s="2"/>
      </tp>
      <tp t="s">
        <v>#N/A N/A</v>
        <stp/>
        <stp>BDP|11108416504501581048</stp>
        <tr r="N949" s="2"/>
      </tp>
      <tp t="s">
        <v>#N/A N/A</v>
        <stp/>
        <stp>BDP|13188213719840945454</stp>
        <tr r="S1237" s="2"/>
      </tp>
      <tp t="s">
        <v>#N/A N/A</v>
        <stp/>
        <stp>BDP|18113133427096770976</stp>
        <tr r="E1488" s="2"/>
      </tp>
      <tp t="s">
        <v>#N/A N/A</v>
        <stp/>
        <stp>BDP|11105014846237615654</stp>
        <tr r="P362" s="2"/>
      </tp>
      <tp t="s">
        <v>#N/A N/A</v>
        <stp/>
        <stp>BDP|16413378560950038760</stp>
        <tr r="M1730" s="2"/>
      </tp>
      <tp t="s">
        <v>#N/A N/A</v>
        <stp/>
        <stp>BDP|14567859366026290815</stp>
        <tr r="F1392" s="2"/>
      </tp>
      <tp t="s">
        <v>#N/A N/A</v>
        <stp/>
        <stp>BDP|17130163269646330286</stp>
        <tr r="G1134" s="2"/>
      </tp>
      <tp t="s">
        <v>#N/A N/A</v>
        <stp/>
        <stp>BDP|15785352558893964466</stp>
        <tr r="G3" s="2"/>
      </tp>
      <tp t="s">
        <v>#N/A N/A</v>
        <stp/>
        <stp>BDP|13587435367986039345</stp>
        <tr r="R459" s="2"/>
      </tp>
      <tp t="s">
        <v>#N/A N/A</v>
        <stp/>
        <stp>BDP|14022855205150534807</stp>
        <tr r="H519" s="2"/>
      </tp>
      <tp t="s">
        <v>#N/A N/A</v>
        <stp/>
        <stp>BDP|15569805053648670453</stp>
        <tr r="K877" s="2"/>
      </tp>
      <tp t="s">
        <v>#N/A N/A</v>
        <stp/>
        <stp>BDP|15168150147124144072</stp>
        <tr r="O1265" s="2"/>
      </tp>
      <tp t="s">
        <v>#N/A N/A</v>
        <stp/>
        <stp>BDP|13531879264810327901</stp>
        <tr r="G885" s="2"/>
      </tp>
      <tp t="s">
        <v>#N/A N/A</v>
        <stp/>
        <stp>BDP|14989249429612429254</stp>
        <tr r="C1518" s="2"/>
      </tp>
      <tp t="s">
        <v>#N/A N/A</v>
        <stp/>
        <stp>BDP|11092792730738981955</stp>
        <tr r="N502" s="2"/>
      </tp>
      <tp t="s">
        <v>#N/A N/A</v>
        <stp/>
        <stp>BDP|12968111940212536187</stp>
        <tr r="T89" s="2"/>
      </tp>
      <tp t="s">
        <v>#N/A N/A</v>
        <stp/>
        <stp>BDP|15372266359317911102</stp>
        <tr r="P1216" s="2"/>
      </tp>
      <tp t="s">
        <v>#N/A N/A</v>
        <stp/>
        <stp>BDS|13662445137302669256</stp>
        <tr r="I757" s="2"/>
      </tp>
      <tp t="s">
        <v>#N/A N/A</v>
        <stp/>
        <stp>BDP|16055886458369122642</stp>
        <tr r="Q794" s="2"/>
      </tp>
      <tp t="s">
        <v>#N/A N/A</v>
        <stp/>
        <stp>BDP|16045665921605168331</stp>
        <tr r="G294" s="2"/>
      </tp>
      <tp t="s">
        <v>#N/A N/A</v>
        <stp/>
        <stp>BDP|17224815976704440843</stp>
        <tr r="H1589" s="2"/>
      </tp>
      <tp t="s">
        <v>#N/A N/A</v>
        <stp/>
        <stp>BDS|11338623552505500302</stp>
        <tr r="I370" s="2"/>
      </tp>
      <tp t="s">
        <v>#N/A N/A</v>
        <stp/>
        <stp>BDP|15077567304016719206</stp>
        <tr r="A757" s="2"/>
      </tp>
      <tp t="s">
        <v>#N/A N/A</v>
        <stp/>
        <stp>BDP|17434411222886087325</stp>
        <tr r="P51" s="2"/>
      </tp>
      <tp t="s">
        <v>#N/A N/A</v>
        <stp/>
        <stp>BDP|14661545259547876766</stp>
        <tr r="R134" s="2"/>
      </tp>
      <tp t="s">
        <v>#N/A N/A</v>
        <stp/>
        <stp>BDP|16230774336060438622</stp>
        <tr r="D1712" s="2"/>
      </tp>
      <tp t="s">
        <v>#N/A N/A</v>
        <stp/>
        <stp>BDP|12923615996268962125</stp>
        <tr r="A641" s="2"/>
      </tp>
      <tp t="s">
        <v>#N/A N/A</v>
        <stp/>
        <stp>BDP|14001381155603955514</stp>
        <tr r="J698" s="2"/>
      </tp>
      <tp t="s">
        <v>#N/A N/A</v>
        <stp/>
        <stp>BDP|11646467069722949555</stp>
        <tr r="Q866" s="2"/>
      </tp>
      <tp t="s">
        <v>#N/A N/A</v>
        <stp/>
        <stp>BDP|18148811673877205449</stp>
        <tr r="N1059" s="2"/>
      </tp>
      <tp t="s">
        <v>#N/A N/A</v>
        <stp/>
        <stp>BDP|16649603367744775633</stp>
        <tr r="N1106" s="2"/>
      </tp>
      <tp t="s">
        <v>#N/A N/A</v>
        <stp/>
        <stp>BDP|10714071131331711636</stp>
        <tr r="P374" s="2"/>
      </tp>
      <tp t="s">
        <v>#N/A N/A</v>
        <stp/>
        <stp>BDP|10636631866340049461</stp>
        <tr r="C760" s="2"/>
      </tp>
      <tp t="s">
        <v>#N/A N/A</v>
        <stp/>
        <stp>BDP|16715481744103750190</stp>
        <tr r="J622" s="2"/>
      </tp>
      <tp t="s">
        <v>#N/A N/A</v>
        <stp/>
        <stp>BDP|10682101324704409324</stp>
        <tr r="O313" s="2"/>
      </tp>
      <tp t="s">
        <v>#N/A N/A</v>
        <stp/>
        <stp>BDP|16278310096211762969</stp>
        <tr r="H141" s="2"/>
      </tp>
      <tp t="s">
        <v>#N/A N/A</v>
        <stp/>
        <stp>BDP|17650298979246646041</stp>
        <tr r="S920" s="2"/>
      </tp>
      <tp t="s">
        <v>#N/A N/A</v>
        <stp/>
        <stp>BDP|10958745628837327620</stp>
        <tr r="J639" s="2"/>
      </tp>
      <tp t="s">
        <v>#N/A N/A</v>
        <stp/>
        <stp>BDP|10676613350267587064</stp>
        <tr r="F806" s="2"/>
      </tp>
      <tp t="s">
        <v>#N/A N/A</v>
        <stp/>
        <stp>BDP|13027459406811383241</stp>
        <tr r="Q1337" s="2"/>
      </tp>
      <tp t="s">
        <v>#N/A N/A</v>
        <stp/>
        <stp>BDP|13532271398884668886</stp>
        <tr r="P1753" s="2"/>
      </tp>
      <tp t="s">
        <v>#N/A N/A</v>
        <stp/>
        <stp>BDP|12205617416858176901</stp>
        <tr r="A780" s="2"/>
      </tp>
      <tp t="s">
        <v>#N/A N/A</v>
        <stp/>
        <stp>BDP|15839198602238514820</stp>
        <tr r="N1723" s="2"/>
      </tp>
      <tp t="s">
        <v>#N/A N/A</v>
        <stp/>
        <stp>BDP|15774949659719726493</stp>
        <tr r="M1459" s="2"/>
      </tp>
      <tp t="s">
        <v>#N/A N/A</v>
        <stp/>
        <stp>BDS|16446550671116485635</stp>
        <tr r="I208" s="2"/>
      </tp>
      <tp t="s">
        <v>#N/A N/A</v>
        <stp/>
        <stp>BDP|14674546968585794695</stp>
        <tr r="Q1645" s="2"/>
      </tp>
      <tp t="s">
        <v>#N/A N/A</v>
        <stp/>
        <stp>BDP|12434145786627681840</stp>
        <tr r="G1243" s="2"/>
      </tp>
      <tp t="s">
        <v>#N/A N/A</v>
        <stp/>
        <stp>BDP|16792776412126244242</stp>
        <tr r="P690" s="2"/>
      </tp>
      <tp t="s">
        <v>#N/A N/A</v>
        <stp/>
        <stp>BDP|16999927145507357891</stp>
        <tr r="D39" s="2"/>
      </tp>
      <tp t="s">
        <v>#N/A N/A</v>
        <stp/>
        <stp>BDP|10132128956260154003</stp>
        <tr r="R1486" s="2"/>
      </tp>
      <tp t="s">
        <v>#N/A N/A</v>
        <stp/>
        <stp>BDP|17672570561639593917</stp>
        <tr r="G1607" s="2"/>
      </tp>
      <tp t="s">
        <v>#N/A N/A</v>
        <stp/>
        <stp>BDP|15510071931582136068</stp>
        <tr r="H963" s="2"/>
      </tp>
      <tp t="s">
        <v>#N/A N/A</v>
        <stp/>
        <stp>BDP|15579635252855029706</stp>
        <tr r="F32" s="2"/>
      </tp>
      <tp t="s">
        <v>#N/A N/A</v>
        <stp/>
        <stp>BDP|14243007290568307158</stp>
        <tr r="P1060" s="2"/>
      </tp>
      <tp t="s">
        <v>#N/A N/A</v>
        <stp/>
        <stp>BDP|11486583858140068502</stp>
        <tr r="F753" s="2"/>
      </tp>
      <tp t="s">
        <v>#N/A N/A</v>
        <stp/>
        <stp>BDP|11592746167761747552</stp>
        <tr r="R171" s="2"/>
      </tp>
      <tp t="s">
        <v>#N/A N/A</v>
        <stp/>
        <stp>BDP|14129851630319290225</stp>
        <tr r="D1224" s="2"/>
      </tp>
      <tp t="s">
        <v>#N/A N/A</v>
        <stp/>
        <stp>BDP|14167064037960004347</stp>
        <tr r="C679" s="2"/>
      </tp>
      <tp t="s">
        <v>#N/A N/A</v>
        <stp/>
        <stp>BDP|11484601855294012256</stp>
        <tr r="E1442" s="2"/>
      </tp>
      <tp t="s">
        <v>#N/A N/A</v>
        <stp/>
        <stp>BDP|16514116531732085214</stp>
        <tr r="Q1415" s="2"/>
      </tp>
      <tp t="s">
        <v>#N/A N/A</v>
        <stp/>
        <stp>BDP|12492646745410002417</stp>
        <tr r="R1503" s="2"/>
      </tp>
      <tp t="s">
        <v>#N/A N/A</v>
        <stp/>
        <stp>BDP|10756449717147215620</stp>
        <tr r="H455" s="2"/>
      </tp>
      <tp t="s">
        <v>#N/A N/A</v>
        <stp/>
        <stp>BDP|15242719402360040656</stp>
        <tr r="J506" s="2"/>
      </tp>
      <tp t="s">
        <v>#N/A N/A</v>
        <stp/>
        <stp>BDP|13452537274094366147</stp>
        <tr r="M1511" s="2"/>
      </tp>
      <tp t="s">
        <v>#N/A N/A</v>
        <stp/>
        <stp>BDP|12088849561548301027</stp>
        <tr r="D621" s="2"/>
      </tp>
      <tp t="s">
        <v>#N/A N/A</v>
        <stp/>
        <stp>BDP|15982671347195880653</stp>
        <tr r="H1298" s="2"/>
      </tp>
      <tp t="s">
        <v>#N/A N/A</v>
        <stp/>
        <stp>BDS|17400847703912790934</stp>
        <tr r="I412" s="2"/>
      </tp>
      <tp t="s">
        <v>#N/A N/A</v>
        <stp/>
        <stp>BDP|17154668236437597103</stp>
        <tr r="G572" s="2"/>
      </tp>
      <tp t="s">
        <v>#N/A N/A</v>
        <stp/>
        <stp>BDP|12244446566473777733</stp>
        <tr r="N996" s="2"/>
      </tp>
      <tp t="s">
        <v>#N/A N/A</v>
        <stp/>
        <stp>BDP|15257391952344857353</stp>
        <tr r="R577" s="2"/>
      </tp>
      <tp t="s">
        <v>#N/A N/A</v>
        <stp/>
        <stp>BDP|18278347159703936925</stp>
        <tr r="Q178" s="2"/>
      </tp>
      <tp t="s">
        <v>#N/A N/A</v>
        <stp/>
        <stp>BDP|11793441146854869197</stp>
        <tr r="G402" s="2"/>
      </tp>
      <tp t="s">
        <v>#N/A N/A</v>
        <stp/>
        <stp>BDP|15305800269767659883</stp>
        <tr r="E885" s="2"/>
      </tp>
      <tp t="s">
        <v>#N/A N/A</v>
        <stp/>
        <stp>BDP|17768202457400567417</stp>
        <tr r="G1540" s="2"/>
      </tp>
      <tp t="s">
        <v>#N/A N/A</v>
        <stp/>
        <stp>BDP|12764953457472832893</stp>
        <tr r="R701" s="2"/>
      </tp>
      <tp t="s">
        <v>#N/A N/A</v>
        <stp/>
        <stp>BDP|10677115251375616541</stp>
        <tr r="A939" s="2"/>
      </tp>
      <tp t="s">
        <v>#N/A N/A</v>
        <stp/>
        <stp>BDP|11089731705482191035</stp>
        <tr r="C1689" s="2"/>
      </tp>
      <tp t="s">
        <v>#N/A N/A</v>
        <stp/>
        <stp>BDP|13308290843827583681</stp>
        <tr r="K1635" s="2"/>
      </tp>
      <tp t="s">
        <v>#N/A N/A</v>
        <stp/>
        <stp>BDP|13854260099568333402</stp>
        <tr r="P345" s="2"/>
      </tp>
      <tp t="s">
        <v>#N/A N/A</v>
        <stp/>
        <stp>BDP|14702380264802890770</stp>
        <tr r="T1748" s="2"/>
      </tp>
      <tp t="s">
        <v>#N/A N/A</v>
        <stp/>
        <stp>BDP|11592189470793033094</stp>
        <tr r="M598" s="2"/>
      </tp>
      <tp t="s">
        <v>#N/A N/A</v>
        <stp/>
        <stp>BDP|15230183523596572482</stp>
        <tr r="G251" s="2"/>
      </tp>
      <tp t="s">
        <v>#N/A N/A</v>
        <stp/>
        <stp>BDP|14053911566078169722</stp>
        <tr r="J846" s="2"/>
      </tp>
      <tp t="s">
        <v>#N/A N/A</v>
        <stp/>
        <stp>BDP|12586034935012195765</stp>
        <tr r="O480" s="2"/>
      </tp>
      <tp t="s">
        <v>#N/A N/A</v>
        <stp/>
        <stp>BDP|15882626062199870848</stp>
        <tr r="F449" s="2"/>
      </tp>
      <tp t="s">
        <v>#N/A N/A</v>
        <stp/>
        <stp>BDP|13965271227657438092</stp>
        <tr r="T829" s="2"/>
      </tp>
      <tp t="s">
        <v>#N/A N/A</v>
        <stp/>
        <stp>BDP|12930724901529869864</stp>
        <tr r="S144" s="2"/>
      </tp>
      <tp t="s">
        <v>#N/A N/A</v>
        <stp/>
        <stp>BDS|13112267002291127431</stp>
        <tr r="I583" s="2"/>
      </tp>
      <tp t="s">
        <v>#N/A N/A</v>
        <stp/>
        <stp>BDP|12833393950654234472</stp>
        <tr r="A823" s="2"/>
      </tp>
      <tp t="s">
        <v>#N/A N/A</v>
        <stp/>
        <stp>BDP|16787292627417596580</stp>
        <tr r="G898" s="2"/>
      </tp>
      <tp t="s">
        <v>#N/A N/A</v>
        <stp/>
        <stp>BDP|12225764507433372242</stp>
        <tr r="C403" s="2"/>
      </tp>
      <tp t="s">
        <v>#N/A N/A</v>
        <stp/>
        <stp>BDP|13649312618663919626</stp>
        <tr r="R1396" s="2"/>
      </tp>
      <tp t="s">
        <v>#N/A N/A</v>
        <stp/>
        <stp>BDP|18429400509019166182</stp>
        <tr r="S1097" s="2"/>
      </tp>
      <tp t="s">
        <v>#N/A N/A</v>
        <stp/>
        <stp>BDP|10524673538847760699</stp>
        <tr r="E400" s="2"/>
      </tp>
      <tp t="s">
        <v>#N/A N/A</v>
        <stp/>
        <stp>BDP|14791793403713984403</stp>
        <tr r="N1112" s="2"/>
      </tp>
      <tp t="s">
        <v>#N/A N/A</v>
        <stp/>
        <stp>BDP|15554105504530512002</stp>
        <tr r="T701" s="2"/>
      </tp>
      <tp t="s">
        <v>#N/A N/A</v>
        <stp/>
        <stp>BDP|13613131725417308371</stp>
        <tr r="G1146" s="2"/>
      </tp>
      <tp t="s">
        <v>#N/A N/A</v>
        <stp/>
        <stp>BDP|16966079276757984255</stp>
        <tr r="O1255" s="2"/>
      </tp>
      <tp t="s">
        <v>#N/A N/A</v>
        <stp/>
        <stp>BDP|14597556474557080507</stp>
        <tr r="T996" s="2"/>
      </tp>
      <tp t="s">
        <v>#N/A N/A</v>
        <stp/>
        <stp>BDP|11176697498443297968</stp>
        <tr r="H1587" s="2"/>
      </tp>
      <tp t="s">
        <v>#N/A N/A</v>
        <stp/>
        <stp>BDP|17269642361184552765</stp>
        <tr r="T689" s="2"/>
      </tp>
      <tp t="s">
        <v>#N/A N/A</v>
        <stp/>
        <stp>BDP|17842284708652919353</stp>
        <tr r="A497" s="2"/>
      </tp>
      <tp t="s">
        <v>#N/A N/A</v>
        <stp/>
        <stp>BDP|16611557234920599462</stp>
        <tr r="J436" s="2"/>
      </tp>
      <tp t="s">
        <v>#N/A N/A</v>
        <stp/>
        <stp>BDP|15367534216664268106</stp>
        <tr r="E1313" s="2"/>
      </tp>
      <tp t="s">
        <v>#N/A N/A</v>
        <stp/>
        <stp>BDP|10745601185573709914</stp>
        <tr r="D1352" s="2"/>
      </tp>
      <tp t="s">
        <v>#N/A N/A</v>
        <stp/>
        <stp>BDP|13798138865829681935</stp>
        <tr r="K1326" s="2"/>
      </tp>
      <tp t="s">
        <v>#N/A N/A</v>
        <stp/>
        <stp>BDP|10211635455863401448</stp>
        <tr r="T1532" s="2"/>
      </tp>
      <tp t="s">
        <v>#N/A N/A</v>
        <stp/>
        <stp>BDP|15129259200424415775</stp>
        <tr r="G250" s="2"/>
      </tp>
      <tp t="s">
        <v>#N/A N/A</v>
        <stp/>
        <stp>BDP|13618588247644601284</stp>
        <tr r="G940" s="2"/>
      </tp>
      <tp t="s">
        <v>#N/A N/A</v>
        <stp/>
        <stp>BDP|14439683324430963469</stp>
        <tr r="G779" s="2"/>
      </tp>
      <tp t="s">
        <v>#N/A N/A</v>
        <stp/>
        <stp>BDP|17055083112971439397</stp>
        <tr r="E44" s="2"/>
      </tp>
      <tp t="s">
        <v>#N/A N/A</v>
        <stp/>
        <stp>BDP|12121116654612601059</stp>
        <tr r="Q656" s="2"/>
      </tp>
      <tp t="s">
        <v>#N/A N/A</v>
        <stp/>
        <stp>BDP|13279473415931129364</stp>
        <tr r="F1736" s="2"/>
      </tp>
      <tp t="s">
        <v>#N/A N/A</v>
        <stp/>
        <stp>BDP|11067678640994555358</stp>
        <tr r="O161" s="2"/>
      </tp>
      <tp t="s">
        <v>#N/A N/A</v>
        <stp/>
        <stp>BDP|12542525660680783575</stp>
        <tr r="A750" s="2"/>
      </tp>
      <tp t="s">
        <v>#N/A N/A</v>
        <stp/>
        <stp>BDP|15935098416726744662</stp>
        <tr r="R1319" s="2"/>
      </tp>
      <tp t="s">
        <v>#N/A N/A</v>
        <stp/>
        <stp>BDP|15234781389738482607</stp>
        <tr r="M643" s="2"/>
      </tp>
      <tp t="s">
        <v>#N/A N/A</v>
        <stp/>
        <stp>BDP|17132493518402048479</stp>
        <tr r="M1608" s="2"/>
      </tp>
      <tp t="s">
        <v>#N/A N/A</v>
        <stp/>
        <stp>BDP|16082476426756405220</stp>
        <tr r="M1000" s="2"/>
      </tp>
      <tp t="s">
        <v>#N/A N/A</v>
        <stp/>
        <stp>BDP|14925245240762383491</stp>
        <tr r="G1450" s="2"/>
      </tp>
      <tp t="s">
        <v>#N/A N/A</v>
        <stp/>
        <stp>BDP|10565092249934265403</stp>
        <tr r="S1571" s="2"/>
      </tp>
      <tp t="s">
        <v>#N/A N/A</v>
        <stp/>
        <stp>BDP|15686182279295244223</stp>
        <tr r="E472" s="2"/>
      </tp>
      <tp t="s">
        <v>#N/A N/A</v>
        <stp/>
        <stp>BDP|12338024031416291355</stp>
        <tr r="D1627" s="2"/>
      </tp>
      <tp t="s">
        <v>#N/A N/A</v>
        <stp/>
        <stp>BDP|11890693014496482469</stp>
        <tr r="D108" s="2"/>
      </tp>
      <tp t="s">
        <v>#N/A N/A</v>
        <stp/>
        <stp>BDP|10962067444863852343</stp>
        <tr r="D540" s="2"/>
      </tp>
      <tp t="s">
        <v>#N/A N/A</v>
        <stp/>
        <stp>BDP|13240953891762877599</stp>
        <tr r="K865" s="2"/>
      </tp>
      <tp t="s">
        <v>#N/A N/A</v>
        <stp/>
        <stp>BDP|12169786664127965039</stp>
        <tr r="J1514" s="2"/>
      </tp>
      <tp t="s">
        <v>#N/A N/A</v>
        <stp/>
        <stp>BDP|12427778391529555104</stp>
        <tr r="J1195" s="2"/>
      </tp>
      <tp t="s">
        <v>#N/A N/A</v>
        <stp/>
        <stp>BDP|12586874537798619544</stp>
        <tr r="G1027" s="2"/>
      </tp>
      <tp t="s">
        <v>#N/A N/A</v>
        <stp/>
        <stp>BDP|15570080028914153735</stp>
        <tr r="R272" s="2"/>
      </tp>
      <tp t="s">
        <v>#N/A N/A</v>
        <stp/>
        <stp>BDP|14576460864926637460</stp>
        <tr r="E1610" s="2"/>
      </tp>
      <tp t="s">
        <v>#N/A N/A</v>
        <stp/>
        <stp>BDP|15204328720852493234</stp>
        <tr r="D241" s="2"/>
      </tp>
      <tp t="s">
        <v>#N/A N/A</v>
        <stp/>
        <stp>BDP|16725793734146892054</stp>
        <tr r="M306" s="2"/>
      </tp>
      <tp t="s">
        <v>#N/A N/A</v>
        <stp/>
        <stp>BDP|14925040045316685294</stp>
        <tr r="J1087" s="2"/>
      </tp>
      <tp t="s">
        <v>#N/A N/A</v>
        <stp/>
        <stp>BDP|10486966836669478772</stp>
        <tr r="P122" s="2"/>
      </tp>
      <tp t="s">
        <v>#N/A N/A</v>
        <stp/>
        <stp>BDP|14474012510846078726</stp>
        <tr r="N598" s="2"/>
      </tp>
      <tp t="s">
        <v>#N/A N/A</v>
        <stp/>
        <stp>BDP|16730187758994046205</stp>
        <tr r="P881" s="2"/>
      </tp>
      <tp t="s">
        <v>#N/A N/A</v>
        <stp/>
        <stp>BDP|15384978497383492206</stp>
        <tr r="D1448" s="2"/>
      </tp>
      <tp t="s">
        <v>#N/A N/A</v>
        <stp/>
        <stp>BDP|13565246222652618524</stp>
        <tr r="D1535" s="2"/>
      </tp>
      <tp t="s">
        <v>#N/A N/A</v>
        <stp/>
        <stp>BDP|15731143827455319706</stp>
        <tr r="G1449" s="2"/>
      </tp>
      <tp t="s">
        <v>#N/A N/A</v>
        <stp/>
        <stp>BDP|10284120749629646889</stp>
        <tr r="T1297" s="2"/>
      </tp>
      <tp t="s">
        <v>#N/A N/A</v>
        <stp/>
        <stp>BDP|15274129441154549039</stp>
        <tr r="Q1193" s="2"/>
      </tp>
      <tp t="s">
        <v>#N/A N/A</v>
        <stp/>
        <stp>BDP|14101527847829050838</stp>
        <tr r="Q862" s="2"/>
      </tp>
      <tp t="s">
        <v>#N/A N/A</v>
        <stp/>
        <stp>BDP|11476461572210715607</stp>
        <tr r="R124" s="2"/>
      </tp>
      <tp t="s">
        <v>#N/A N/A</v>
        <stp/>
        <stp>BDP|17927059143425195294</stp>
        <tr r="A770" s="2"/>
      </tp>
      <tp t="s">
        <v>#N/A N/A</v>
        <stp/>
        <stp>BDP|15380027305453285211</stp>
        <tr r="J674" s="2"/>
      </tp>
      <tp t="s">
        <v>#N/A N/A</v>
        <stp/>
        <stp>BDP|13739335630797528062</stp>
        <tr r="G1645" s="2"/>
      </tp>
      <tp t="s">
        <v>#N/A N/A</v>
        <stp/>
        <stp>BDP|12650004180179102701</stp>
        <tr r="G886" s="2"/>
      </tp>
      <tp t="s">
        <v>#N/A N/A</v>
        <stp/>
        <stp>BDP|15402516592338703574</stp>
        <tr r="N400" s="2"/>
      </tp>
      <tp t="s">
        <v>#N/A N/A</v>
        <stp/>
        <stp>BDP|14717160104512455360</stp>
        <tr r="C707" s="2"/>
      </tp>
      <tp t="s">
        <v>#N/A N/A</v>
        <stp/>
        <stp>BDP|15275338210307585435</stp>
        <tr r="A870" s="2"/>
      </tp>
      <tp t="s">
        <v>#N/A N/A</v>
        <stp/>
        <stp>BDP|10874603146623918503</stp>
        <tr r="C761" s="2"/>
      </tp>
      <tp t="s">
        <v>#N/A N/A</v>
        <stp/>
        <stp>BDP|15835543137680466780</stp>
        <tr r="M1158" s="2"/>
      </tp>
      <tp t="s">
        <v>#N/A N/A</v>
        <stp/>
        <stp>BDP|12791028150254372714</stp>
        <tr r="G1090" s="2"/>
      </tp>
      <tp t="s">
        <v>#N/A N/A</v>
        <stp/>
        <stp>BDP|18365229765068682057</stp>
        <tr r="T193" s="2"/>
      </tp>
      <tp t="s">
        <v>#N/A N/A</v>
        <stp/>
        <stp>BDS|15897685208071544698</stp>
        <tr r="I816" s="2"/>
      </tp>
      <tp t="s">
        <v>#N/A N/A</v>
        <stp/>
        <stp>BDP|14444675056377613443</stp>
        <tr r="A1033" s="2"/>
      </tp>
      <tp t="s">
        <v>#N/A N/A</v>
        <stp/>
        <stp>BDP|15127170439365965617</stp>
        <tr r="O1127" s="2"/>
      </tp>
      <tp t="s">
        <v>#N/A N/A</v>
        <stp/>
        <stp>BDP|16074306497270947897</stp>
        <tr r="Q640" s="2"/>
      </tp>
      <tp t="s">
        <v>#N/A N/A</v>
        <stp/>
        <stp>BDP|13048574433485207414</stp>
        <tr r="P776" s="2"/>
      </tp>
      <tp t="s">
        <v>#N/A N/A</v>
        <stp/>
        <stp>BDP|10728278584826212814</stp>
        <tr r="O1111" s="2"/>
      </tp>
      <tp t="s">
        <v>#N/A N/A</v>
        <stp/>
        <stp>BDP|11612100963327615544</stp>
        <tr r="M1135" s="2"/>
      </tp>
      <tp t="s">
        <v>#N/A N/A</v>
        <stp/>
        <stp>BDP|10189035242853320340</stp>
        <tr r="R74" s="2"/>
      </tp>
      <tp t="s">
        <v>#N/A N/A</v>
        <stp/>
        <stp>BDP|12292105962139596823</stp>
        <tr r="R275" s="2"/>
      </tp>
      <tp t="s">
        <v>#N/A N/A</v>
        <stp/>
        <stp>BDP|11804777241002923402</stp>
        <tr r="C1163" s="2"/>
      </tp>
      <tp t="s">
        <v>#N/A N/A</v>
        <stp/>
        <stp>BDP|13370368521754095236</stp>
        <tr r="H602" s="2"/>
      </tp>
      <tp t="s">
        <v>#N/A N/A</v>
        <stp/>
        <stp>BDP|12224291429062252471</stp>
        <tr r="E617" s="2"/>
      </tp>
      <tp t="s">
        <v>#N/A N/A</v>
        <stp/>
        <stp>BDP|14561858045075101939</stp>
        <tr r="Q1466" s="2"/>
      </tp>
      <tp t="s">
        <v>#N/A N/A</v>
        <stp/>
        <stp>BDP|11855218045335817638</stp>
        <tr r="D1678" s="2"/>
      </tp>
      <tp t="s">
        <v>#N/A N/A</v>
        <stp/>
        <stp>BDP|13847557233467992609</stp>
        <tr r="F1440" s="2"/>
      </tp>
      <tp t="s">
        <v>#N/A N/A</v>
        <stp/>
        <stp>BDP|17678108087589051368</stp>
        <tr r="O1187" s="2"/>
      </tp>
      <tp t="s">
        <v>#N/A N/A</v>
        <stp/>
        <stp>BDP|11349695937873967338</stp>
        <tr r="S872" s="2"/>
      </tp>
      <tp t="s">
        <v>#N/A N/A</v>
        <stp/>
        <stp>BDP|18425724332749401176</stp>
        <tr r="R707" s="2"/>
      </tp>
      <tp t="s">
        <v>#N/A N/A</v>
        <stp/>
        <stp>BDP|14333582967280220396</stp>
        <tr r="E807" s="2"/>
      </tp>
      <tp t="s">
        <v>#N/A N/A</v>
        <stp/>
        <stp>BDP|10962108341792684397</stp>
        <tr r="T433" s="2"/>
      </tp>
      <tp t="s">
        <v>#N/A N/A</v>
        <stp/>
        <stp>BDP|15317686874850885001</stp>
        <tr r="S608" s="2"/>
      </tp>
      <tp t="s">
        <v>#N/A N/A</v>
        <stp/>
        <stp>BDP|12587578861811185456</stp>
        <tr r="K1426" s="2"/>
      </tp>
      <tp t="s">
        <v>#N/A N/A</v>
        <stp/>
        <stp>BDS|16569015936625728411</stp>
        <tr r="I1745" s="2"/>
      </tp>
      <tp t="s">
        <v>#N/A N/A</v>
        <stp/>
        <stp>BDP|13689099898307477943</stp>
        <tr r="T401" s="2"/>
      </tp>
      <tp t="s">
        <v>#N/A N/A</v>
        <stp/>
        <stp>BDP|16315291637615850625</stp>
        <tr r="M1352" s="2"/>
      </tp>
      <tp t="s">
        <v>#N/A N/A</v>
        <stp/>
        <stp>BDS|15650513494669074472</stp>
        <tr r="I155" s="2"/>
      </tp>
      <tp t="s">
        <v>#N/A N/A</v>
        <stp/>
        <stp>BDS|10547862734068547767</stp>
        <tr r="I350" s="2"/>
      </tp>
      <tp t="s">
        <v>#N/A N/A</v>
        <stp/>
        <stp>BDP|10857798144292080523</stp>
        <tr r="O901" s="2"/>
      </tp>
      <tp t="s">
        <v>#N/A N/A</v>
        <stp/>
        <stp>BDP|10892626470423483697</stp>
        <tr r="P1413" s="2"/>
      </tp>
      <tp t="s">
        <v>#N/A N/A</v>
        <stp/>
        <stp>BDP|12254072316133753437</stp>
        <tr r="N267" s="2"/>
      </tp>
      <tp t="s">
        <v>#N/A N/A</v>
        <stp/>
        <stp>BDP|14322676100051714741</stp>
        <tr r="N1539" s="2"/>
      </tp>
      <tp t="s">
        <v>#N/A N/A</v>
        <stp/>
        <stp>BDP|14774408923151246701</stp>
        <tr r="T922" s="2"/>
      </tp>
      <tp t="s">
        <v>#N/A N/A</v>
        <stp/>
        <stp>BDP|14744374727634680575</stp>
        <tr r="P891" s="2"/>
      </tp>
      <tp t="s">
        <v>#N/A N/A</v>
        <stp/>
        <stp>BDP|11717692663941237492</stp>
        <tr r="M308" s="2"/>
      </tp>
      <tp t="s">
        <v>#N/A N/A</v>
        <stp/>
        <stp>BDP|17242503860801468102</stp>
        <tr r="C933" s="2"/>
      </tp>
      <tp t="s">
        <v>#N/A N/A</v>
        <stp/>
        <stp>BDP|17459502884249577739</stp>
        <tr r="Q138" s="2"/>
      </tp>
      <tp t="s">
        <v>#N/A N/A</v>
        <stp/>
        <stp>BDP|12609062321192498630</stp>
        <tr r="A1597" s="2"/>
      </tp>
      <tp t="s">
        <v>#N/A N/A</v>
        <stp/>
        <stp>BDP|15259770072234581545</stp>
        <tr r="Q15" s="2"/>
      </tp>
      <tp t="s">
        <v>#N/A N/A</v>
        <stp/>
        <stp>BDP|16521007607023390176</stp>
        <tr r="N1490" s="2"/>
      </tp>
      <tp t="s">
        <v>#N/A N/A</v>
        <stp/>
        <stp>BDP|14398192988311114853</stp>
        <tr r="O172" s="2"/>
      </tp>
      <tp t="s">
        <v>#N/A N/A</v>
        <stp/>
        <stp>BDP|16301146334956013654</stp>
        <tr r="R1011" s="2"/>
      </tp>
      <tp t="s">
        <v>#N/A N/A</v>
        <stp/>
        <stp>BDP|12701297743934964422</stp>
        <tr r="J581" s="2"/>
      </tp>
      <tp t="s">
        <v>#N/A N/A</v>
        <stp/>
        <stp>BDP|12401098427323577796</stp>
        <tr r="S1420" s="2"/>
      </tp>
      <tp t="s">
        <v>#N/A N/A</v>
        <stp/>
        <stp>BDS|13897020454612911024</stp>
        <tr r="I1522" s="2"/>
      </tp>
      <tp t="s">
        <v>#N/A N/A</v>
        <stp/>
        <stp>BDP|14728268110785233654</stp>
        <tr r="N326" s="2"/>
      </tp>
      <tp t="s">
        <v>#N/A N/A</v>
        <stp/>
        <stp>BDP|10902164298845029917</stp>
        <tr r="C1280" s="2"/>
      </tp>
      <tp t="s">
        <v>#N/A N/A</v>
        <stp/>
        <stp>BDP|13193316643296265672</stp>
        <tr r="O306" s="2"/>
      </tp>
      <tp t="s">
        <v>#N/A N/A</v>
        <stp/>
        <stp>BDP|17155123180899644333</stp>
        <tr r="R395" s="2"/>
      </tp>
      <tp t="s">
        <v>#N/A N/A</v>
        <stp/>
        <stp>BDP|17962643263580190390</stp>
        <tr r="Q606" s="2"/>
      </tp>
      <tp t="s">
        <v>#N/A N/A</v>
        <stp/>
        <stp>BDP|10596657174763575677</stp>
        <tr r="N1509" s="2"/>
      </tp>
      <tp t="s">
        <v>#N/A N/A</v>
        <stp/>
        <stp>BDP|15353277483053986883</stp>
        <tr r="A1583" s="2"/>
      </tp>
      <tp t="s">
        <v>#N/A N/A</v>
        <stp/>
        <stp>BDP|16306148543543313415</stp>
        <tr r="M293" s="2"/>
      </tp>
      <tp t="s">
        <v>#N/A N/A</v>
        <stp/>
        <stp>BDP|11937413473446996044</stp>
        <tr r="A517" s="2"/>
      </tp>
      <tp t="s">
        <v>#N/A N/A</v>
        <stp/>
        <stp>BDP|15358139080750100873</stp>
        <tr r="J873" s="2"/>
      </tp>
      <tp t="s">
        <v>#N/A N/A</v>
        <stp/>
        <stp>BDP|14572909385287010665</stp>
        <tr r="K964" s="2"/>
      </tp>
      <tp t="s">
        <v>#N/A N/A</v>
        <stp/>
        <stp>BDP|13626393395798567598</stp>
        <tr r="N461" s="2"/>
      </tp>
      <tp t="s">
        <v>#N/A N/A</v>
        <stp/>
        <stp>BDP|12528765166991615657</stp>
        <tr r="F575" s="2"/>
      </tp>
      <tp t="s">
        <v>#N/A N/A</v>
        <stp/>
        <stp>BDP|12917579709214924780</stp>
        <tr r="Q361" s="2"/>
      </tp>
      <tp t="s">
        <v>#N/A N/A</v>
        <stp/>
        <stp>BDP|10395372235230254454</stp>
        <tr r="P1486" s="2"/>
      </tp>
      <tp t="s">
        <v>#N/A N/A</v>
        <stp/>
        <stp>BDP|17103868716163328944</stp>
        <tr r="T1380" s="2"/>
      </tp>
      <tp t="s">
        <v>#N/A N/A</v>
        <stp/>
        <stp>BDP|12416535299532183896</stp>
        <tr r="O960" s="2"/>
      </tp>
      <tp t="s">
        <v>#N/A N/A</v>
        <stp/>
        <stp>BDP|16193382650001952561</stp>
        <tr r="O1696" s="2"/>
      </tp>
      <tp t="s">
        <v>#N/A N/A</v>
        <stp/>
        <stp>BDP|16249402618822854545</stp>
        <tr r="N616" s="2"/>
      </tp>
      <tp t="s">
        <v>#N/A N/A</v>
        <stp/>
        <stp>BDP|10432254511752199577</stp>
        <tr r="G817" s="2"/>
      </tp>
      <tp t="s">
        <v>#N/A N/A</v>
        <stp/>
        <stp>BDP|11167721007296006428</stp>
        <tr r="S541" s="2"/>
      </tp>
      <tp t="s">
        <v>#N/A N/A</v>
        <stp/>
        <stp>BDP|16806856983753850109</stp>
        <tr r="E154" s="2"/>
      </tp>
      <tp t="s">
        <v>#N/A N/A</v>
        <stp/>
        <stp>BDP|15244197427700817228</stp>
        <tr r="R672" s="2"/>
      </tp>
      <tp t="s">
        <v>#N/A N/A</v>
        <stp/>
        <stp>BDP|16697339741372467768</stp>
        <tr r="P822" s="2"/>
      </tp>
      <tp t="s">
        <v>#N/A N/A</v>
        <stp/>
        <stp>BDP|11823387044895143735</stp>
        <tr r="M499" s="2"/>
      </tp>
      <tp t="s">
        <v>#N/A N/A</v>
        <stp/>
        <stp>BDP|15791639153403815199</stp>
        <tr r="D1196" s="2"/>
      </tp>
      <tp t="s">
        <v>#N/A N/A</v>
        <stp/>
        <stp>BDP|16925675222932811423</stp>
        <tr r="O755" s="2"/>
      </tp>
      <tp t="s">
        <v>#N/A N/A</v>
        <stp/>
        <stp>BDP|17738209894679326162</stp>
        <tr r="T1656" s="2"/>
      </tp>
      <tp t="s">
        <v>#N/A N/A</v>
        <stp/>
        <stp>BDP|17075320201385640533</stp>
        <tr r="H1094" s="2"/>
      </tp>
      <tp t="s">
        <v>#N/A N/A</v>
        <stp/>
        <stp>BDP|13217458132910539060</stp>
        <tr r="A986" s="2"/>
      </tp>
      <tp t="s">
        <v>#N/A N/A</v>
        <stp/>
        <stp>BDP|11768015878810895201</stp>
        <tr r="D51" s="2"/>
      </tp>
      <tp t="s">
        <v>#N/A N/A</v>
        <stp/>
        <stp>BDP|18425803223234240234</stp>
        <tr r="F1276" s="2"/>
      </tp>
      <tp t="s">
        <v>#N/A N/A</v>
        <stp/>
        <stp>BDP|15484848098305905570</stp>
        <tr r="N839" s="2"/>
      </tp>
      <tp t="s">
        <v>#N/A N/A</v>
        <stp/>
        <stp>BDS|11056252434754107053</stp>
        <tr r="I1641" s="2"/>
      </tp>
      <tp t="s">
        <v>#N/A N/A</v>
        <stp/>
        <stp>BDP|17584270218121429189</stp>
        <tr r="P734" s="2"/>
      </tp>
      <tp t="s">
        <v>#N/A N/A</v>
        <stp/>
        <stp>BDP|11056461521665509640</stp>
        <tr r="F1602" s="2"/>
      </tp>
      <tp t="s">
        <v>#N/A N/A</v>
        <stp/>
        <stp>BDP|18028828074007191411</stp>
        <tr r="S799" s="2"/>
      </tp>
      <tp t="s">
        <v>#N/A N/A</v>
        <stp/>
        <stp>BDP|11586632450630679669</stp>
        <tr r="E970" s="2"/>
      </tp>
      <tp t="s">
        <v>#N/A N/A</v>
        <stp/>
        <stp>BDP|15208986221872985844</stp>
        <tr r="M974" s="2"/>
      </tp>
      <tp t="s">
        <v>#N/A N/A</v>
        <stp/>
        <stp>BDP|15320865616848459018</stp>
        <tr r="Q703" s="2"/>
      </tp>
      <tp t="s">
        <v>#N/A N/A</v>
        <stp/>
        <stp>BDP|12418147852406595419</stp>
        <tr r="T434" s="2"/>
      </tp>
      <tp t="s">
        <v>#N/A N/A</v>
        <stp/>
        <stp>BDP|17254619426935066231</stp>
        <tr r="N49" s="2"/>
      </tp>
      <tp t="s">
        <v>#N/A N/A</v>
        <stp/>
        <stp>BDP|12372940714197421915</stp>
        <tr r="H1113" s="2"/>
      </tp>
      <tp t="s">
        <v>#N/A N/A</v>
        <stp/>
        <stp>BDS|10483923310415198927</stp>
        <tr r="I390" s="2"/>
      </tp>
      <tp t="s">
        <v>#N/A N/A</v>
        <stp/>
        <stp>BDP|14007670780277064915</stp>
        <tr r="D915" s="2"/>
      </tp>
      <tp t="s">
        <v>#N/A N/A</v>
        <stp/>
        <stp>BDP|17401340617710639174</stp>
        <tr r="M1183" s="2"/>
      </tp>
      <tp t="s">
        <v>#N/A N/A</v>
        <stp/>
        <stp>BDP|15945909593693937258</stp>
        <tr r="K718" s="2"/>
      </tp>
      <tp t="s">
        <v>#N/A N/A</v>
        <stp/>
        <stp>BDP|17527423820656743363</stp>
        <tr r="H1474" s="2"/>
      </tp>
      <tp t="s">
        <v>#N/A N/A</v>
        <stp/>
        <stp>BDP|16046332860032049552</stp>
        <tr r="C561" s="2"/>
      </tp>
      <tp t="s">
        <v>#N/A N/A</v>
        <stp/>
        <stp>BDS|10485103102707140228</stp>
        <tr r="I1741" s="2"/>
      </tp>
      <tp t="s">
        <v>#N/A N/A</v>
        <stp/>
        <stp>BDP|14194445553879537857</stp>
        <tr r="M381" s="2"/>
      </tp>
      <tp t="s">
        <v>#N/A N/A</v>
        <stp/>
        <stp>BDP|17427075112105147762</stp>
        <tr r="J1615" s="2"/>
      </tp>
      <tp t="s">
        <v>#N/A N/A</v>
        <stp/>
        <stp>BDP|12883256252960007197</stp>
        <tr r="E1170" s="2"/>
      </tp>
      <tp t="s">
        <v>#N/A N/A</v>
        <stp/>
        <stp>BDP|13170898918008515639</stp>
        <tr r="F1494" s="2"/>
      </tp>
      <tp t="s">
        <v>#N/A N/A</v>
        <stp/>
        <stp>BDP|13386739708341749191</stp>
        <tr r="Q569" s="2"/>
      </tp>
      <tp t="s">
        <v>#N/A N/A</v>
        <stp/>
        <stp>BDP|12631289294094954958</stp>
        <tr r="M603" s="2"/>
      </tp>
      <tp t="s">
        <v>#N/A N/A</v>
        <stp/>
        <stp>BDP|14305218825028566849</stp>
        <tr r="T724" s="2"/>
      </tp>
      <tp t="s">
        <v>#N/A N/A</v>
        <stp/>
        <stp>BDP|14693889199353836297</stp>
        <tr r="M1035" s="2"/>
      </tp>
      <tp t="s">
        <v>#N/A N/A</v>
        <stp/>
        <stp>BDP|12708770455455139120</stp>
        <tr r="P1153" s="2"/>
      </tp>
      <tp t="s">
        <v>#N/A N/A</v>
        <stp/>
        <stp>BDP|17593093538529099920</stp>
        <tr r="J467" s="2"/>
      </tp>
      <tp t="s">
        <v>#N/A N/A</v>
        <stp/>
        <stp>BDP|16246340432465438765</stp>
        <tr r="J427" s="2"/>
      </tp>
      <tp t="s">
        <v>#N/A N/A</v>
        <stp/>
        <stp>BDP|13565650907140807191</stp>
        <tr r="K589" s="2"/>
      </tp>
      <tp t="s">
        <v>#N/A N/A</v>
        <stp/>
        <stp>BDP|10977183934890192623</stp>
        <tr r="E473" s="2"/>
      </tp>
      <tp t="s">
        <v>#N/A N/A</v>
        <stp/>
        <stp>BDP|13149021245697327437</stp>
        <tr r="S590" s="2"/>
      </tp>
      <tp t="s">
        <v>#N/A N/A</v>
        <stp/>
        <stp>BDP|17610236516185758525</stp>
        <tr r="S1343" s="2"/>
      </tp>
      <tp t="s">
        <v>#N/A N/A</v>
        <stp/>
        <stp>BDP|16665584089529124603</stp>
        <tr r="P164" s="2"/>
      </tp>
      <tp t="s">
        <v>#N/A N/A</v>
        <stp/>
        <stp>BDP|17585080539238590875</stp>
        <tr r="K918" s="2"/>
      </tp>
      <tp t="s">
        <v>#N/A N/A</v>
        <stp/>
        <stp>BDP|18228817040123038351</stp>
        <tr r="G1568" s="2"/>
      </tp>
      <tp t="s">
        <v>#N/A N/A</v>
        <stp/>
        <stp>BDP|10480041327746299032</stp>
        <tr r="R1324" s="2"/>
      </tp>
      <tp t="s">
        <v>#N/A N/A</v>
        <stp/>
        <stp>BDP|12268616974391171601</stp>
        <tr r="M1055" s="2"/>
      </tp>
      <tp t="s">
        <v>#N/A N/A</v>
        <stp/>
        <stp>BDP|13554611925627656412</stp>
        <tr r="N1688" s="2"/>
      </tp>
      <tp t="s">
        <v>#N/A N/A</v>
        <stp/>
        <stp>BDP|12601404657436664113</stp>
        <tr r="Q1480" s="2"/>
      </tp>
      <tp t="s">
        <v>#N/A N/A</v>
        <stp/>
        <stp>BDP|17266176314021447231</stp>
        <tr r="M502" s="2"/>
      </tp>
      <tp t="s">
        <v>#N/A N/A</v>
        <stp/>
        <stp>BDS|14529473182238327465</stp>
        <tr r="I79" s="2"/>
      </tp>
      <tp t="s">
        <v>#N/A N/A</v>
        <stp/>
        <stp>BDP|14761861897614340531</stp>
        <tr r="P1254" s="2"/>
      </tp>
      <tp t="s">
        <v>#N/A N/A</v>
        <stp/>
        <stp>BDP|14142624432407075277</stp>
        <tr r="M1263" s="2"/>
      </tp>
      <tp t="s">
        <v>#N/A N/A</v>
        <stp/>
        <stp>BDP|12113598000055318723</stp>
        <tr r="P1448" s="2"/>
      </tp>
      <tp t="s">
        <v>#N/A N/A</v>
        <stp/>
        <stp>BDP|13849914383870278714</stp>
        <tr r="A821" s="2"/>
      </tp>
      <tp t="s">
        <v>#N/A N/A</v>
        <stp/>
        <stp>BDP|15922513541873131211</stp>
        <tr r="D723" s="2"/>
      </tp>
      <tp t="s">
        <v>#N/A N/A</v>
        <stp/>
        <stp>BDP|14324658568161769007</stp>
        <tr r="T264" s="2"/>
      </tp>
      <tp t="s">
        <v>#N/A N/A</v>
        <stp/>
        <stp>BDP|16550223209953260253</stp>
        <tr r="M866" s="2"/>
      </tp>
      <tp t="s">
        <v>#N/A N/A</v>
        <stp/>
        <stp>BDP|14424464217406497281</stp>
        <tr r="F1567" s="2"/>
      </tp>
      <tp t="s">
        <v>#N/A N/A</v>
        <stp/>
        <stp>BDP|15073695103034100228</stp>
        <tr r="H1326" s="2"/>
      </tp>
      <tp t="s">
        <v>#N/A N/A</v>
        <stp/>
        <stp>BDP|16804552433990448535</stp>
        <tr r="K304" s="2"/>
      </tp>
      <tp t="s">
        <v>#N/A N/A</v>
        <stp/>
        <stp>BDP|15202787372951238134</stp>
        <tr r="A1235" s="2"/>
      </tp>
      <tp t="s">
        <v>#N/A N/A</v>
        <stp/>
        <stp>BDP|10293055854298829825</stp>
        <tr r="G632" s="2"/>
      </tp>
      <tp t="s">
        <v>#N/A N/A</v>
        <stp/>
        <stp>BDP|16980428552911632363</stp>
        <tr r="K215" s="2"/>
      </tp>
      <tp t="s">
        <v>#N/A N/A</v>
        <stp/>
        <stp>BDP|17396583761776256711</stp>
        <tr r="N1529" s="2"/>
      </tp>
      <tp t="s">
        <v>#N/A N/A</v>
        <stp/>
        <stp>BDP|18389411420153228893</stp>
        <tr r="A1530" s="2"/>
      </tp>
      <tp t="s">
        <v>#N/A N/A</v>
        <stp/>
        <stp>BDP|11915444254184353139</stp>
        <tr r="Q668" s="2"/>
      </tp>
      <tp t="s">
        <v>#N/A N/A</v>
        <stp/>
        <stp>BDP|14003887812499235118</stp>
        <tr r="Q19" s="2"/>
      </tp>
      <tp t="s">
        <v>#N/A N/A</v>
        <stp/>
        <stp>BDP|15923243175815994088</stp>
        <tr r="R1390" s="2"/>
      </tp>
      <tp t="s">
        <v>#N/A N/A</v>
        <stp/>
        <stp>BDP|13724760640320110598</stp>
        <tr r="F1375" s="2"/>
      </tp>
      <tp t="s">
        <v>#N/A N/A</v>
        <stp/>
        <stp>BDP|12835106874925731420</stp>
        <tr r="C1330" s="2"/>
      </tp>
      <tp t="s">
        <v>#N/A N/A</v>
        <stp/>
        <stp>BDP|17815595968342491341</stp>
        <tr r="S1248" s="2"/>
      </tp>
      <tp t="s">
        <v>#N/A N/A</v>
        <stp/>
        <stp>BDP|12493056474783537394</stp>
        <tr r="N1226" s="2"/>
      </tp>
      <tp t="s">
        <v>#N/A N/A</v>
        <stp/>
        <stp>BDP|12691957414218777794</stp>
        <tr r="H371" s="2"/>
      </tp>
      <tp t="s">
        <v>#N/A N/A</v>
        <stp/>
        <stp>BDP|16730654174810973267</stp>
        <tr r="D517" s="2"/>
      </tp>
      <tp t="s">
        <v>#N/A N/A</v>
        <stp/>
        <stp>BDP|12550130807333809509</stp>
        <tr r="M703" s="2"/>
      </tp>
      <tp t="s">
        <v>#N/A N/A</v>
        <stp/>
        <stp>BDP|11739372494177495997</stp>
        <tr r="Q1206" s="2"/>
      </tp>
      <tp t="s">
        <v>#N/A N/A</v>
        <stp/>
        <stp>BDP|17946687407452816678</stp>
        <tr r="R1448" s="2"/>
      </tp>
      <tp t="s">
        <v>#N/A N/A</v>
        <stp/>
        <stp>BDS|17205958282234704784</stp>
        <tr r="I1326" s="2"/>
      </tp>
      <tp t="s">
        <v>#N/A N/A</v>
        <stp/>
        <stp>BDP|17101251139191046249</stp>
        <tr r="N1142" s="2"/>
      </tp>
      <tp t="s">
        <v>#N/A N/A</v>
        <stp/>
        <stp>BDP|12672918005117839930</stp>
        <tr r="Q985" s="2"/>
      </tp>
      <tp t="s">
        <v>#N/A N/A</v>
        <stp/>
        <stp>BDP|10149789936242427320</stp>
        <tr r="O1736" s="2"/>
      </tp>
      <tp t="s">
        <v>#N/A N/A</v>
        <stp/>
        <stp>BDS|17466591763123286262</stp>
        <tr r="I1172" s="2"/>
      </tp>
      <tp t="s">
        <v>#N/A N/A</v>
        <stp/>
        <stp>BDP|10860014786624605908</stp>
        <tr r="R1582" s="2"/>
      </tp>
      <tp t="s">
        <v>#N/A N/A</v>
        <stp/>
        <stp>BDP|12590684230026284466</stp>
        <tr r="P1724" s="2"/>
      </tp>
      <tp t="s">
        <v>#N/A N/A</v>
        <stp/>
        <stp>BDP|14386169401705806555</stp>
        <tr r="M1020" s="2"/>
      </tp>
      <tp t="s">
        <v>#N/A N/A</v>
        <stp/>
        <stp>BDP|14190869403470414996</stp>
        <tr r="H573" s="2"/>
      </tp>
      <tp t="s">
        <v>#N/A N/A</v>
        <stp/>
        <stp>BDP|15956658095028783776</stp>
        <tr r="Q697" s="2"/>
      </tp>
      <tp t="s">
        <v>#N/A N/A</v>
        <stp/>
        <stp>BDP|12505261552156833600</stp>
        <tr r="M909" s="2"/>
      </tp>
      <tp t="s">
        <v>#N/A N/A</v>
        <stp/>
        <stp>BDP|18104757787600843226</stp>
        <tr r="G1664" s="2"/>
      </tp>
      <tp t="s">
        <v>#N/A N/A</v>
        <stp/>
        <stp>BDS|14012744972101966050</stp>
        <tr r="I598" s="2"/>
      </tp>
      <tp t="s">
        <v>#N/A N/A</v>
        <stp/>
        <stp>BDP|10975358261658528819</stp>
        <tr r="T303" s="2"/>
      </tp>
      <tp t="s">
        <v>#N/A N/A</v>
        <stp/>
        <stp>BDP|13104101794637815944</stp>
        <tr r="D56" s="2"/>
      </tp>
      <tp t="s">
        <v>#N/A N/A</v>
        <stp/>
        <stp>BDP|12353834189274724373</stp>
        <tr r="F1622" s="2"/>
      </tp>
      <tp t="s">
        <v>#N/A N/A</v>
        <stp/>
        <stp>BDP|14881889415160850847</stp>
        <tr r="S1173" s="2"/>
      </tp>
      <tp t="s">
        <v>#N/A N/A</v>
        <stp/>
        <stp>BDP|15309181855444639017</stp>
        <tr r="N1274" s="2"/>
      </tp>
      <tp t="s">
        <v>#N/A N/A</v>
        <stp/>
        <stp>BDP|14457592601096156243</stp>
        <tr r="M1332" s="2"/>
      </tp>
      <tp t="s">
        <v>#N/A N/A</v>
        <stp/>
        <stp>BDP|11926964144189746052</stp>
        <tr r="E629" s="2"/>
      </tp>
      <tp t="s">
        <v>#N/A N/A</v>
        <stp/>
        <stp>BDP|10017183671317545454</stp>
        <tr r="N697" s="2"/>
      </tp>
      <tp t="s">
        <v>#N/A N/A</v>
        <stp/>
        <stp>BDP|13892654433114742709</stp>
        <tr r="C1451" s="2"/>
      </tp>
      <tp t="s">
        <v>#N/A N/A</v>
        <stp/>
        <stp>BDP|10486051458637681766</stp>
        <tr r="T1714" s="2"/>
      </tp>
      <tp t="s">
        <v>#N/A N/A</v>
        <stp/>
        <stp>BDP|10688512965665394384</stp>
        <tr r="Q1124" s="2"/>
      </tp>
      <tp t="s">
        <v>#N/A N/A</v>
        <stp/>
        <stp>BDP|14832970372217172857</stp>
        <tr r="K86" s="2"/>
      </tp>
      <tp t="s">
        <v>#N/A N/A</v>
        <stp/>
        <stp>BDP|15875411764377573512</stp>
        <tr r="H1104" s="2"/>
      </tp>
      <tp t="s">
        <v>#N/A N/A</v>
        <stp/>
        <stp>BDP|15150570818204268051</stp>
        <tr r="H589" s="2"/>
      </tp>
      <tp t="s">
        <v>#N/A N/A</v>
        <stp/>
        <stp>BDP|15507992303850393953</stp>
        <tr r="S306" s="2"/>
      </tp>
      <tp t="s">
        <v>#N/A N/A</v>
        <stp/>
        <stp>BDP|17662432311574468390</stp>
        <tr r="E886" s="2"/>
      </tp>
      <tp t="s">
        <v>#N/A N/A</v>
        <stp/>
        <stp>BDP|11935119472812539066</stp>
        <tr r="C1061" s="2"/>
      </tp>
      <tp t="s">
        <v>#N/A N/A</v>
        <stp/>
        <stp>BDP|11986713943617236009</stp>
        <tr r="T1269" s="2"/>
      </tp>
      <tp t="s">
        <v>#N/A N/A</v>
        <stp/>
        <stp>BDP|15972080278015099209</stp>
        <tr r="E197" s="2"/>
      </tp>
      <tp t="s">
        <v>#N/A N/A</v>
        <stp/>
        <stp>BDP|13960370572315364764</stp>
        <tr r="G1724" s="2"/>
      </tp>
      <tp t="s">
        <v>#N/A N/A</v>
        <stp/>
        <stp>BDP|15637853441108220494</stp>
        <tr r="D1014" s="2"/>
      </tp>
      <tp t="s">
        <v>#N/A N/A</v>
        <stp/>
        <stp>BDP|15636784710700241652</stp>
        <tr r="C616" s="2"/>
      </tp>
      <tp t="s">
        <v>#N/A N/A</v>
        <stp/>
        <stp>BDP|11915552555630960495</stp>
        <tr r="R1239" s="2"/>
      </tp>
      <tp t="s">
        <v>#N/A N/A</v>
        <stp/>
        <stp>BDP|13549153612115303383</stp>
        <tr r="K771" s="2"/>
      </tp>
      <tp t="s">
        <v>#N/A N/A</v>
        <stp/>
        <stp>BDP|12393323262732315099</stp>
        <tr r="H1223" s="2"/>
      </tp>
      <tp t="s">
        <v>#N/A N/A</v>
        <stp/>
        <stp>BDP|15952294659537511050</stp>
        <tr r="R1053" s="2"/>
      </tp>
      <tp t="s">
        <v>#N/A N/A</v>
        <stp/>
        <stp>BDP|16951171730649324845</stp>
        <tr r="D685" s="2"/>
      </tp>
      <tp t="s">
        <v>#N/A N/A</v>
        <stp/>
        <stp>BDP|15732183768054605384</stp>
        <tr r="E23" s="2"/>
      </tp>
      <tp t="s">
        <v>#N/A N/A</v>
        <stp/>
        <stp>BDP|17865774717715056114</stp>
        <tr r="E1406" s="2"/>
      </tp>
      <tp t="s">
        <v>#N/A N/A</v>
        <stp/>
        <stp>BDP|13151012436143927660</stp>
        <tr r="M110" s="2"/>
      </tp>
      <tp t="s">
        <v>#N/A N/A</v>
        <stp/>
        <stp>BDP|17989077062400291469</stp>
        <tr r="D1222" s="2"/>
      </tp>
      <tp t="s">
        <v>#N/A N/A</v>
        <stp/>
        <stp>BDP|12036052269868775935</stp>
        <tr r="A1633" s="2"/>
      </tp>
      <tp t="s">
        <v>#N/A N/A</v>
        <stp/>
        <stp>BDP|10811468020304091768</stp>
        <tr r="S1229" s="2"/>
      </tp>
      <tp t="s">
        <v>#N/A N/A</v>
        <stp/>
        <stp>BDP|14917359377443762641</stp>
        <tr r="P1509" s="2"/>
      </tp>
      <tp t="s">
        <v>#N/A N/A</v>
        <stp/>
        <stp>BDP|15823170982670681936</stp>
        <tr r="O43" s="2"/>
      </tp>
      <tp t="s">
        <v>#N/A N/A</v>
        <stp/>
        <stp>BDP|18077822709754686150</stp>
        <tr r="M684" s="2"/>
      </tp>
      <tp t="s">
        <v>#N/A N/A</v>
        <stp/>
        <stp>BDP|14802927997156662739</stp>
        <tr r="A561" s="2"/>
      </tp>
      <tp t="s">
        <v>#N/A N/A</v>
        <stp/>
        <stp>BDP|10171795331656552748</stp>
        <tr r="D1022" s="2"/>
      </tp>
      <tp t="s">
        <v>#N/A N/A</v>
        <stp/>
        <stp>BDP|10955398453346800537</stp>
        <tr r="D1090" s="2"/>
      </tp>
      <tp t="s">
        <v>#N/A N/A</v>
        <stp/>
        <stp>BDP|11916768762247750227</stp>
        <tr r="P1616" s="2"/>
      </tp>
      <tp t="s">
        <v>#N/A N/A</v>
        <stp/>
        <stp>BDP|14065439531230320696</stp>
        <tr r="T805" s="2"/>
      </tp>
      <tp t="s">
        <v>#N/A N/A</v>
        <stp/>
        <stp>BDP|11839757755950812684</stp>
        <tr r="O1330" s="2"/>
      </tp>
      <tp t="s">
        <v>#N/A N/A</v>
        <stp/>
        <stp>BDP|17014669487388810412</stp>
        <tr r="K1611" s="2"/>
      </tp>
      <tp t="s">
        <v>#N/A N/A</v>
        <stp/>
        <stp>BDP|17464488490629059645</stp>
        <tr r="N693" s="2"/>
      </tp>
      <tp t="s">
        <v>#N/A N/A</v>
        <stp/>
        <stp>BDP|13734453460823367796</stp>
        <tr r="P192" s="2"/>
      </tp>
      <tp t="s">
        <v>#N/A N/A</v>
        <stp/>
        <stp>BDP|10685483673755456311</stp>
        <tr r="H373" s="2"/>
      </tp>
      <tp t="s">
        <v>#N/A N/A</v>
        <stp/>
        <stp>BDP|13590982383000141777</stp>
        <tr r="M332" s="2"/>
      </tp>
      <tp t="s">
        <v>#N/A N/A</v>
        <stp/>
        <stp>BDS|17788524968944487525</stp>
        <tr r="I921" s="2"/>
      </tp>
      <tp t="s">
        <v>#N/A N/A</v>
        <stp/>
        <stp>BDS|14687431800564816162</stp>
        <tr r="I1322" s="2"/>
      </tp>
      <tp t="s">
        <v>#N/A N/A</v>
        <stp/>
        <stp>BDP|16884413374591777126</stp>
        <tr r="C623" s="2"/>
      </tp>
      <tp t="s">
        <v>#N/A N/A</v>
        <stp/>
        <stp>BDP|17839665996884751974</stp>
        <tr r="C734" s="2"/>
      </tp>
      <tp t="s">
        <v>#N/A N/A</v>
        <stp/>
        <stp>BDS|11479909107688008587</stp>
        <tr r="I776" s="2"/>
      </tp>
      <tp t="s">
        <v>#N/A N/A</v>
        <stp/>
        <stp>BDS|14561460408294484143</stp>
        <tr r="I1552" s="2"/>
      </tp>
      <tp t="s">
        <v>#N/A N/A</v>
        <stp/>
        <stp>BDP|17092597027391620400</stp>
        <tr r="P706" s="2"/>
      </tp>
      <tp t="s">
        <v>#N/A N/A</v>
        <stp/>
        <stp>BDP|15945816896133444228</stp>
        <tr r="P129" s="2"/>
      </tp>
      <tp t="s">
        <v>#N/A N/A</v>
        <stp/>
        <stp>BDP|16092578145355290784</stp>
        <tr r="H1732" s="2"/>
      </tp>
      <tp t="s">
        <v>#N/A N/A</v>
        <stp/>
        <stp>BDP|10848616221406984790</stp>
        <tr r="H964" s="2"/>
      </tp>
      <tp t="s">
        <v>#N/A N/A</v>
        <stp/>
        <stp>BDP|17304267129207623529</stp>
        <tr r="D972" s="2"/>
      </tp>
      <tp t="s">
        <v>#N/A N/A</v>
        <stp/>
        <stp>BDP|12085377058336625710</stp>
        <tr r="C29" s="2"/>
      </tp>
      <tp t="s">
        <v>#N/A N/A</v>
        <stp/>
        <stp>BDP|13734676088040882883</stp>
        <tr r="F1291" s="2"/>
      </tp>
      <tp t="s">
        <v>#N/A N/A</v>
        <stp/>
        <stp>BDP|15902324319854226680</stp>
        <tr r="O980" s="2"/>
      </tp>
      <tp t="s">
        <v>#N/A N/A</v>
        <stp/>
        <stp>BDP|13338992453309385327</stp>
        <tr r="J503" s="2"/>
      </tp>
      <tp t="s">
        <v>#N/A N/A</v>
        <stp/>
        <stp>BDP|12206548976886146399</stp>
        <tr r="O1601" s="2"/>
      </tp>
      <tp t="s">
        <v>#N/A N/A</v>
        <stp/>
        <stp>BDP|15694493271595317652</stp>
        <tr r="F716" s="2"/>
      </tp>
      <tp t="s">
        <v>#N/A N/A</v>
        <stp/>
        <stp>BDP|11980608202862011035</stp>
        <tr r="E308" s="2"/>
      </tp>
      <tp t="s">
        <v>#N/A N/A</v>
        <stp/>
        <stp>BDP|11667319078379714901</stp>
        <tr r="P77" s="2"/>
      </tp>
      <tp t="s">
        <v>#N/A N/A</v>
        <stp/>
        <stp>BDP|10129944285891932511</stp>
        <tr r="R945" s="2"/>
      </tp>
      <tp t="s">
        <v>#N/A N/A</v>
        <stp/>
        <stp>BDP|16563098543082442539</stp>
        <tr r="P1121" s="2"/>
      </tp>
      <tp t="s">
        <v>#N/A N/A</v>
        <stp/>
        <stp>BDP|14796485489684690980</stp>
        <tr r="J92" s="2"/>
      </tp>
      <tp t="s">
        <v>#N/A N/A</v>
        <stp/>
        <stp>BDP|15978642974128627975</stp>
        <tr r="E626" s="2"/>
      </tp>
      <tp t="s">
        <v>#N/A N/A</v>
        <stp/>
        <stp>BDP|14861004632073166137</stp>
        <tr r="M13" s="2"/>
      </tp>
      <tp t="s">
        <v>#N/A N/A</v>
        <stp/>
        <stp>BDP|11872947795215656174</stp>
        <tr r="P1598" s="2"/>
      </tp>
      <tp t="s">
        <v>#N/A N/A</v>
        <stp/>
        <stp>BDP|17322842940117877974</stp>
        <tr r="S1660" s="2"/>
      </tp>
      <tp t="s">
        <v>#N/A N/A</v>
        <stp/>
        <stp>BDP|12041422628560140135</stp>
        <tr r="G58" s="2"/>
      </tp>
      <tp t="s">
        <v>#N/A N/A</v>
        <stp/>
        <stp>BDP|15075308249375190207</stp>
        <tr r="J795" s="2"/>
      </tp>
      <tp t="s">
        <v>#N/A N/A</v>
        <stp/>
        <stp>BDP|13279413138310601156</stp>
        <tr r="D718" s="2"/>
      </tp>
      <tp t="s">
        <v>#N/A N/A</v>
        <stp/>
        <stp>BDP|11401791729141878046</stp>
        <tr r="P1132" s="2"/>
      </tp>
      <tp t="s">
        <v>#N/A N/A</v>
        <stp/>
        <stp>BDP|14539730832023857647</stp>
        <tr r="G1559" s="2"/>
      </tp>
      <tp t="s">
        <v>#N/A N/A</v>
        <stp/>
        <stp>BDP|13032471586838129288</stp>
        <tr r="F1078" s="2"/>
      </tp>
      <tp t="s">
        <v>#N/A N/A</v>
        <stp/>
        <stp>BDP|13439499929384481481</stp>
        <tr r="Q296" s="2"/>
      </tp>
      <tp t="s">
        <v>#N/A N/A</v>
        <stp/>
        <stp>BDP|10194661293869454385</stp>
        <tr r="A1209" s="2"/>
      </tp>
      <tp t="s">
        <v>#N/A N/A</v>
        <stp/>
        <stp>BDP|16675792456727314623</stp>
        <tr r="G321" s="2"/>
      </tp>
      <tp t="s">
        <v>#N/A N/A</v>
        <stp/>
        <stp>BDP|13241939399404611268</stp>
        <tr r="R960" s="2"/>
      </tp>
      <tp t="s">
        <v>#N/A N/A</v>
        <stp/>
        <stp>BDP|11141036076561892249</stp>
        <tr r="D1057" s="2"/>
      </tp>
      <tp t="s">
        <v>#N/A N/A</v>
        <stp/>
        <stp>BDP|10229595417081101050</stp>
        <tr r="N778" s="2"/>
      </tp>
      <tp t="s">
        <v>#N/A N/A</v>
        <stp/>
        <stp>BDP|11697571451140879408</stp>
        <tr r="D798" s="2"/>
      </tp>
      <tp t="s">
        <v>#N/A N/A</v>
        <stp/>
        <stp>BDS|17094017870956262387</stp>
        <tr r="I271" s="2"/>
      </tp>
      <tp t="s">
        <v>#N/A N/A</v>
        <stp/>
        <stp>BDP|15389591655590402039</stp>
        <tr r="C1097" s="2"/>
      </tp>
      <tp t="s">
        <v>#N/A N/A</v>
        <stp/>
        <stp>BDP|16848790379791822284</stp>
        <tr r="O1132" s="2"/>
      </tp>
      <tp t="s">
        <v>#N/A N/A</v>
        <stp/>
        <stp>BDP|16932991600239944311</stp>
        <tr r="H1683" s="2"/>
      </tp>
      <tp t="s">
        <v>#N/A N/A</v>
        <stp/>
        <stp>BDP|14244351859252105573</stp>
        <tr r="H1630" s="2"/>
      </tp>
      <tp t="s">
        <v>#N/A N/A</v>
        <stp/>
        <stp>BDP|13536709229321292264</stp>
        <tr r="M1043" s="2"/>
      </tp>
      <tp t="s">
        <v>#N/A N/A</v>
        <stp/>
        <stp>BDP|12096338743923848337</stp>
        <tr r="M527" s="2"/>
      </tp>
      <tp t="s">
        <v>#N/A N/A</v>
        <stp/>
        <stp>BDP|17714836066205992907</stp>
        <tr r="J1741" s="2"/>
      </tp>
      <tp t="s">
        <v>#N/A N/A</v>
        <stp/>
        <stp>BDP|15163158543665500093</stp>
        <tr r="S997" s="2"/>
      </tp>
      <tp t="s">
        <v>#N/A N/A</v>
        <stp/>
        <stp>BDP|16364072857023173599</stp>
        <tr r="H561" s="2"/>
      </tp>
      <tp t="s">
        <v>#N/A N/A</v>
        <stp/>
        <stp>BDP|12899027897886552839</stp>
        <tr r="P83" s="2"/>
      </tp>
      <tp t="s">
        <v>#N/A N/A</v>
        <stp/>
        <stp>BDP|17275918387194605794</stp>
        <tr r="F1428" s="2"/>
      </tp>
      <tp t="s">
        <v>#N/A N/A</v>
        <stp/>
        <stp>BDP|12372088116750632601</stp>
        <tr r="S775" s="2"/>
      </tp>
      <tp t="s">
        <v>#N/A N/A</v>
        <stp/>
        <stp>BDP|10070254109214031378</stp>
        <tr r="A86" s="2"/>
      </tp>
      <tp t="s">
        <v>#N/A N/A</v>
        <stp/>
        <stp>BDP|16276155448270509619</stp>
        <tr r="M457" s="2"/>
      </tp>
      <tp t="s">
        <v>#N/A N/A</v>
        <stp/>
        <stp>BDP|11329636525240993076</stp>
        <tr r="Q809" s="2"/>
      </tp>
      <tp t="s">
        <v>#N/A N/A</v>
        <stp/>
        <stp>BDS|16309777999814404916</stp>
        <tr r="I1385" s="2"/>
      </tp>
      <tp t="s">
        <v>#N/A N/A</v>
        <stp/>
        <stp>BDP|14063589142643182308</stp>
        <tr r="E304" s="2"/>
      </tp>
      <tp t="s">
        <v>#N/A N/A</v>
        <stp/>
        <stp>BDP|12500381078604799796</stp>
        <tr r="C462" s="2"/>
      </tp>
      <tp t="s">
        <v>#N/A N/A</v>
        <stp/>
        <stp>BDP|12168796354605670019</stp>
        <tr r="J212" s="2"/>
      </tp>
      <tp t="s">
        <v>#N/A N/A</v>
        <stp/>
        <stp>BDP|13580281400195699109</stp>
        <tr r="J1005" s="2"/>
      </tp>
      <tp t="s">
        <v>#N/A N/A</v>
        <stp/>
        <stp>BDP|10721072414774664099</stp>
        <tr r="P1596" s="2"/>
      </tp>
      <tp t="s">
        <v>#N/A N/A</v>
        <stp/>
        <stp>BDP|12591705588819285144</stp>
        <tr r="D487" s="2"/>
      </tp>
      <tp t="s">
        <v>#N/A N/A</v>
        <stp/>
        <stp>BDP|10103057737390891602</stp>
        <tr r="G613" s="2"/>
      </tp>
      <tp t="s">
        <v>#N/A N/A</v>
        <stp/>
        <stp>BDP|15531439995385975811</stp>
        <tr r="R398" s="2"/>
      </tp>
      <tp t="s">
        <v>#N/A N/A</v>
        <stp/>
        <stp>BDP|11236369479957041768</stp>
        <tr r="K1364" s="2"/>
      </tp>
      <tp t="s">
        <v>#N/A N/A</v>
        <stp/>
        <stp>BDP|17976225025407590500</stp>
        <tr r="J315" s="2"/>
      </tp>
      <tp t="s">
        <v>#N/A N/A</v>
        <stp/>
        <stp>BDP|10632261752795884713</stp>
        <tr r="S296" s="2"/>
      </tp>
      <tp t="s">
        <v>#N/A N/A</v>
        <stp/>
        <stp>BDP|15275295771801062412</stp>
        <tr r="K726" s="2"/>
      </tp>
      <tp t="s">
        <v>#N/A N/A</v>
        <stp/>
        <stp>BDP|15419018065000806634</stp>
        <tr r="F259" s="2"/>
      </tp>
      <tp t="s">
        <v>#N/A N/A</v>
        <stp/>
        <stp>BDP|12358341448497550718</stp>
        <tr r="M1478" s="2"/>
      </tp>
      <tp t="s">
        <v>#N/A N/A</v>
        <stp/>
        <stp>BDP|13492540913440819200</stp>
        <tr r="D1536" s="2"/>
      </tp>
      <tp t="s">
        <v>#N/A N/A</v>
        <stp/>
        <stp>BDP|14566564635660497791</stp>
        <tr r="M1696" s="2"/>
      </tp>
      <tp t="s">
        <v>#N/A N/A</v>
        <stp/>
        <stp>BDP|10872091536831874745</stp>
        <tr r="G707" s="2"/>
      </tp>
      <tp t="s">
        <v>#N/A N/A</v>
        <stp/>
        <stp>BDP|12280320459911322010</stp>
        <tr r="N1217" s="2"/>
      </tp>
      <tp t="s">
        <v>#N/A N/A</v>
        <stp/>
        <stp>BDP|15062004318111596069</stp>
        <tr r="R1348" s="2"/>
      </tp>
      <tp t="s">
        <v>#N/A N/A</v>
        <stp/>
        <stp>BDP|15016993331668742243</stp>
        <tr r="J1105" s="2"/>
      </tp>
      <tp t="s">
        <v>#N/A N/A</v>
        <stp/>
        <stp>BDS|12760553507167900547</stp>
        <tr r="I718" s="2"/>
      </tp>
      <tp t="s">
        <v>#N/A N/A</v>
        <stp/>
        <stp>BDP|12572205621271959667</stp>
        <tr r="N471" s="2"/>
      </tp>
      <tp t="s">
        <v>#N/A N/A</v>
        <stp/>
        <stp>BDP|12812967392442032573</stp>
        <tr r="P512" s="2"/>
      </tp>
      <tp t="s">
        <v>#N/A N/A</v>
        <stp/>
        <stp>BDP|13232038507591472798</stp>
        <tr r="C1329" s="2"/>
      </tp>
      <tp t="s">
        <v>#N/A N/A</v>
        <stp/>
        <stp>BDP|13827635137001609216</stp>
        <tr r="K1620" s="2"/>
      </tp>
      <tp t="s">
        <v>#N/A N/A</v>
        <stp/>
        <stp>BDP|14444416961077864474</stp>
        <tr r="R932" s="2"/>
      </tp>
      <tp t="s">
        <v>#N/A N/A</v>
        <stp/>
        <stp>BDP|12110910683167938113</stp>
        <tr r="E1117" s="2"/>
      </tp>
      <tp t="s">
        <v>#N/A N/A</v>
        <stp/>
        <stp>BDP|15410260915711863240</stp>
        <tr r="C1033" s="2"/>
      </tp>
      <tp t="s">
        <v>#N/A N/A</v>
        <stp/>
        <stp>BDP|13245354501004800150</stp>
        <tr r="G1669" s="2"/>
      </tp>
      <tp t="s">
        <v>#N/A N/A</v>
        <stp/>
        <stp>BDP|17820801580613316104</stp>
        <tr r="F1256" s="2"/>
      </tp>
      <tp t="s">
        <v>#N/A N/A</v>
        <stp/>
        <stp>BDP|15386615715192586593</stp>
        <tr r="F48" s="2"/>
      </tp>
      <tp t="s">
        <v>#N/A N/A</v>
        <stp/>
        <stp>BDP|16534968998930526357</stp>
        <tr r="P956" s="2"/>
      </tp>
      <tp t="s">
        <v>#N/A N/A</v>
        <stp/>
        <stp>BDP|17604681757019469860</stp>
        <tr r="H1738" s="2"/>
      </tp>
      <tp t="s">
        <v>#N/A N/A</v>
        <stp/>
        <stp>BDP|13632697773167669014</stp>
        <tr r="S1181" s="2"/>
      </tp>
      <tp t="s">
        <v>#N/A N/A</v>
        <stp/>
        <stp>BDP|17822040371232404727</stp>
        <tr r="H1585" s="2"/>
      </tp>
      <tp t="s">
        <v>#N/A N/A</v>
        <stp/>
        <stp>BDP|10949400395221767906</stp>
        <tr r="M1556" s="2"/>
      </tp>
      <tp t="s">
        <v>#N/A N/A</v>
        <stp/>
        <stp>BDS|17869304924097127456</stp>
        <tr r="I1402" s="2"/>
      </tp>
      <tp t="s">
        <v>#N/A N/A</v>
        <stp/>
        <stp>BDP|10030197831527563061</stp>
        <tr r="Q514" s="2"/>
      </tp>
      <tp t="s">
        <v>#N/A N/A</v>
        <stp/>
        <stp>BDS|18359222371280802803</stp>
        <tr r="I496" s="2"/>
      </tp>
      <tp t="s">
        <v>#N/A N/A</v>
        <stp/>
        <stp>BDP|17344177840261965662</stp>
        <tr r="D1635" s="2"/>
      </tp>
      <tp t="s">
        <v>#N/A N/A</v>
        <stp/>
        <stp>BDP|13035194779795970522</stp>
        <tr r="T621" s="2"/>
      </tp>
      <tp t="s">
        <v>#N/A N/A</v>
        <stp/>
        <stp>BDP|14141414723504887308</stp>
        <tr r="S666" s="2"/>
      </tp>
      <tp t="s">
        <v>#N/A N/A</v>
        <stp/>
        <stp>BDP|16075867129641149849</stp>
        <tr r="H1381" s="2"/>
      </tp>
      <tp t="s">
        <v>#N/A N/A</v>
        <stp/>
        <stp>BDP|10998718523555580547</stp>
        <tr r="T468" s="2"/>
      </tp>
      <tp t="s">
        <v>#N/A N/A</v>
        <stp/>
        <stp>BDP|11901103354498281854</stp>
        <tr r="R1441" s="2"/>
      </tp>
      <tp t="s">
        <v>#N/A N/A</v>
        <stp/>
        <stp>BDP|10535492764995765254</stp>
        <tr r="K786" s="2"/>
      </tp>
      <tp t="s">
        <v>#N/A N/A</v>
        <stp/>
        <stp>BDP|14394905946208658491</stp>
        <tr r="P556" s="2"/>
      </tp>
      <tp t="s">
        <v>#N/A N/A</v>
        <stp/>
        <stp>BDP|14132883180050619158</stp>
        <tr r="N1358" s="2"/>
      </tp>
      <tp t="s">
        <v>#N/A N/A</v>
        <stp/>
        <stp>BDS|11935535051780082420</stp>
        <tr r="I746" s="2"/>
      </tp>
      <tp t="s">
        <v>#N/A N/A</v>
        <stp/>
        <stp>BDP|16457537069812118252</stp>
        <tr r="K759" s="2"/>
      </tp>
      <tp t="s">
        <v>#N/A N/A</v>
        <stp/>
        <stp>BDP|18315410681749162889</stp>
        <tr r="K95" s="2"/>
      </tp>
      <tp t="s">
        <v>#N/A N/A</v>
        <stp/>
        <stp>BDP|17507743206383511689</stp>
        <tr r="T501" s="2"/>
      </tp>
      <tp t="s">
        <v>#N/A N/A</v>
        <stp/>
        <stp>BDP|14323029536781904344</stp>
        <tr r="J1343" s="2"/>
      </tp>
      <tp t="s">
        <v>#N/A N/A</v>
        <stp/>
        <stp>BDP|12838102627913432714</stp>
        <tr r="Q1003" s="2"/>
      </tp>
      <tp t="s">
        <v>#N/A N/A</v>
        <stp/>
        <stp>BDP|17526859190014341790</stp>
        <tr r="G942" s="2"/>
      </tp>
      <tp t="s">
        <v>#N/A N/A</v>
        <stp/>
        <stp>BDP|10945788920225948525</stp>
        <tr r="T1689" s="2"/>
      </tp>
      <tp t="s">
        <v>#N/A N/A</v>
        <stp/>
        <stp>BDP|12823188228524551075</stp>
        <tr r="J180" s="2"/>
      </tp>
      <tp t="s">
        <v>#N/A N/A</v>
        <stp/>
        <stp>BDP|10362779278084097168</stp>
        <tr r="C1244" s="2"/>
      </tp>
      <tp t="s">
        <v>#N/A N/A</v>
        <stp/>
        <stp>BDP|13705237678891222243</stp>
        <tr r="Q1322" s="2"/>
      </tp>
      <tp t="s">
        <v>#N/A N/A</v>
        <stp/>
        <stp>BDP|17349645700864800057</stp>
        <tr r="O705" s="2"/>
      </tp>
      <tp t="s">
        <v>#N/A N/A</v>
        <stp/>
        <stp>BDP|15691787033513344741</stp>
        <tr r="F1552" s="2"/>
      </tp>
      <tp t="s">
        <v>#N/A N/A</v>
        <stp/>
        <stp>BDP|16771876429841175820</stp>
        <tr r="N688" s="2"/>
      </tp>
      <tp t="s">
        <v>#N/A N/A</v>
        <stp/>
        <stp>BDP|12858909722299356535</stp>
        <tr r="T18" s="2"/>
      </tp>
      <tp t="s">
        <v>#N/A N/A</v>
        <stp/>
        <stp>BDP|15482310463463432681</stp>
        <tr r="N457" s="2"/>
      </tp>
      <tp t="s">
        <v>#N/A N/A</v>
        <stp/>
        <stp>BDP|14493607590467848963</stp>
        <tr r="H1208" s="2"/>
      </tp>
      <tp t="s">
        <v>#N/A N/A</v>
        <stp/>
        <stp>BDP|13839298733180940713</stp>
        <tr r="K766" s="2"/>
      </tp>
      <tp t="s">
        <v>#N/A N/A</v>
        <stp/>
        <stp>BDP|12599481305096730556</stp>
        <tr r="S1589" s="2"/>
      </tp>
      <tp t="s">
        <v>#N/A N/A</v>
        <stp/>
        <stp>BDP|10329488320766661577</stp>
        <tr r="C1308" s="2"/>
      </tp>
      <tp t="s">
        <v>#N/A N/A</v>
        <stp/>
        <stp>BDP|10756793735413458254</stp>
        <tr r="D961" s="2"/>
      </tp>
      <tp t="s">
        <v>#N/A N/A</v>
        <stp/>
        <stp>BDS|15346275588038215273</stp>
        <tr r="I642" s="2"/>
      </tp>
      <tp t="s">
        <v>#N/A N/A</v>
        <stp/>
        <stp>BDP|17166398697559088151</stp>
        <tr r="R1620" s="2"/>
      </tp>
      <tp t="s">
        <v>#N/A N/A</v>
        <stp/>
        <stp>BDP|14552197039630777381</stp>
        <tr r="A537" s="2"/>
      </tp>
      <tp t="s">
        <v>#N/A N/A</v>
        <stp/>
        <stp>BDP|13827738461140786771</stp>
        <tr r="A680" s="2"/>
      </tp>
      <tp t="s">
        <v>#N/A N/A</v>
        <stp/>
        <stp>BDP|16910566112930393745</stp>
        <tr r="R7" s="2"/>
      </tp>
      <tp t="s">
        <v>#N/A N/A</v>
        <stp/>
        <stp>BDP|15925967325262662963</stp>
        <tr r="S659" s="2"/>
      </tp>
      <tp t="s">
        <v>#N/A N/A</v>
        <stp/>
        <stp>BDP|10636835409698045565</stp>
        <tr r="G125" s="2"/>
      </tp>
      <tp t="s">
        <v>#N/A N/A</v>
        <stp/>
        <stp>BDP|14301361238584133566</stp>
        <tr r="J646" s="2"/>
      </tp>
      <tp t="s">
        <v>#N/A N/A</v>
        <stp/>
        <stp>BDP|17370382070402758465</stp>
        <tr r="A494" s="2"/>
      </tp>
      <tp t="s">
        <v>#N/A N/A</v>
        <stp/>
        <stp>BDP|11506126938271763723</stp>
        <tr r="N1131" s="2"/>
      </tp>
      <tp t="s">
        <v>#N/A N/A</v>
        <stp/>
        <stp>BDP|14563440012605800111</stp>
        <tr r="E1662" s="2"/>
      </tp>
      <tp t="s">
        <v>#N/A N/A</v>
        <stp/>
        <stp>BDP|14188608209794121334</stp>
        <tr r="M885" s="2"/>
      </tp>
      <tp t="s">
        <v>#N/A N/A</v>
        <stp/>
        <stp>BDP|15663300979754793028</stp>
        <tr r="Q184" s="2"/>
      </tp>
      <tp t="s">
        <v>#N/A N/A</v>
        <stp/>
        <stp>BDP|16590111827721974108</stp>
        <tr r="R1642" s="2"/>
      </tp>
      <tp t="s">
        <v>#N/A N/A</v>
        <stp/>
        <stp>BDP|10616518543836871266</stp>
        <tr r="F465" s="2"/>
      </tp>
      <tp t="s">
        <v>#N/A N/A</v>
        <stp/>
        <stp>BDP|10980168650335254476</stp>
        <tr r="F1262" s="2"/>
      </tp>
      <tp t="s">
        <v>#N/A N/A</v>
        <stp/>
        <stp>BDP|12102756053051556483</stp>
        <tr r="S1224" s="2"/>
      </tp>
      <tp t="s">
        <v>#N/A N/A</v>
        <stp/>
        <stp>BDP|15979191102789881809</stp>
        <tr r="R718" s="2"/>
      </tp>
      <tp t="s">
        <v>#N/A N/A</v>
        <stp/>
        <stp>BDP|16719775966397408587</stp>
        <tr r="T972" s="2"/>
      </tp>
      <tp t="s">
        <v>#N/A N/A</v>
        <stp/>
        <stp>BDP|10001379477502355399</stp>
        <tr r="O1645" s="2"/>
      </tp>
      <tp t="s">
        <v>#N/A N/A</v>
        <stp/>
        <stp>BDP|18170700396061537284</stp>
        <tr r="C812" s="2"/>
      </tp>
      <tp t="s">
        <v>#N/A N/A</v>
        <stp/>
        <stp>BDP|16372789981745693967</stp>
        <tr r="O232" s="2"/>
      </tp>
      <tp t="s">
        <v>#N/A N/A</v>
        <stp/>
        <stp>BDP|12743911990911490682</stp>
        <tr r="M1295" s="2"/>
      </tp>
      <tp t="s">
        <v>#N/A N/A</v>
        <stp/>
        <stp>BDP|16299176951711974678</stp>
        <tr r="Q1247" s="2"/>
      </tp>
      <tp t="s">
        <v>#N/A N/A</v>
        <stp/>
        <stp>BDP|11931580436164537686</stp>
        <tr r="E894" s="2"/>
      </tp>
      <tp t="s">
        <v>#N/A N/A</v>
        <stp/>
        <stp>BDP|12171256590329717594</stp>
        <tr r="M1252" s="2"/>
      </tp>
      <tp t="s">
        <v>#N/A N/A</v>
        <stp/>
        <stp>BDP|12799711110079588896</stp>
        <tr r="T970" s="2"/>
      </tp>
      <tp t="s">
        <v>#N/A N/A</v>
        <stp/>
        <stp>BDP|10237291290859946788</stp>
        <tr r="S1544" s="2"/>
      </tp>
      <tp t="s">
        <v>#N/A N/A</v>
        <stp/>
        <stp>BDP|16346581380297733961</stp>
        <tr r="G1029" s="2"/>
      </tp>
      <tp t="s">
        <v>#N/A N/A</v>
        <stp/>
        <stp>BDP|12162930559509119207</stp>
        <tr r="P671" s="2"/>
      </tp>
      <tp t="s">
        <v>#N/A N/A</v>
        <stp/>
        <stp>BDP|14430617543181494289</stp>
        <tr r="T1534" s="2"/>
      </tp>
      <tp t="s">
        <v>#N/A N/A</v>
        <stp/>
        <stp>BDP|16809018927416495700</stp>
        <tr r="G181" s="2"/>
      </tp>
      <tp t="s">
        <v>#N/A N/A</v>
        <stp/>
        <stp>BDP|13877046075201524064</stp>
        <tr r="A420" s="2"/>
      </tp>
      <tp t="s">
        <v>#N/A N/A</v>
        <stp/>
        <stp>BDP|14458147618196334715</stp>
        <tr r="M992" s="2"/>
      </tp>
      <tp t="s">
        <v>#N/A N/A</v>
        <stp/>
        <stp>BDP|16997234116673183376</stp>
        <tr r="T467" s="2"/>
      </tp>
      <tp t="s">
        <v>#N/A N/A</v>
        <stp/>
        <stp>BDP|15944667546571406372</stp>
        <tr r="H1024" s="2"/>
      </tp>
      <tp t="s">
        <v>#N/A N/A</v>
        <stp/>
        <stp>BDP|12208286778835631796</stp>
        <tr r="C628" s="2"/>
      </tp>
      <tp t="s">
        <v>#N/A N/A</v>
        <stp/>
        <stp>BDP|17738246936244188794</stp>
        <tr r="E1113" s="2"/>
      </tp>
      <tp t="s">
        <v>#N/A N/A</v>
        <stp/>
        <stp>BDP|17286029878425364068</stp>
        <tr r="D1416" s="2"/>
      </tp>
      <tp t="s">
        <v>#N/A N/A</v>
        <stp/>
        <stp>BDS|15850659857172157153</stp>
        <tr r="I1555" s="2"/>
      </tp>
      <tp t="s">
        <v>#N/A N/A</v>
        <stp/>
        <stp>BDP|13388598265690347519</stp>
        <tr r="Q1617" s="2"/>
      </tp>
      <tp t="s">
        <v>#N/A N/A</v>
        <stp/>
        <stp>BDP|16699291054770568432</stp>
        <tr r="T12" s="2"/>
      </tp>
      <tp t="s">
        <v>#N/A N/A</v>
        <stp/>
        <stp>BDP|13100649925341815351</stp>
        <tr r="A1476" s="2"/>
      </tp>
      <tp t="s">
        <v>#N/A N/A</v>
        <stp/>
        <stp>BDP|10782831699591719574</stp>
        <tr r="O782" s="2"/>
      </tp>
      <tp t="s">
        <v>#N/A N/A</v>
        <stp/>
        <stp>BDS|11136513058757570339</stp>
        <tr r="I1464" s="2"/>
      </tp>
      <tp t="s">
        <v>#N/A N/A</v>
        <stp/>
        <stp>BDP|17043571577137547789</stp>
        <tr r="D1601" s="2"/>
      </tp>
      <tp t="s">
        <v>#N/A N/A</v>
        <stp/>
        <stp>BDP|12743210905035955079</stp>
        <tr r="R1207" s="2"/>
      </tp>
      <tp t="s">
        <v>#N/A N/A</v>
        <stp/>
        <stp>BDP|17597802418732874983</stp>
        <tr r="C1483" s="2"/>
      </tp>
      <tp t="s">
        <v>#N/A N/A</v>
        <stp/>
        <stp>BDS|15610872054854254996</stp>
        <tr r="I591" s="2"/>
      </tp>
      <tp t="s">
        <v>#N/A N/A</v>
        <stp/>
        <stp>BDP|11468127543902820305</stp>
        <tr r="R1603" s="2"/>
      </tp>
      <tp t="s">
        <v>#N/A N/A</v>
        <stp/>
        <stp>BDP|13385686961466237056</stp>
        <tr r="H295" s="2"/>
      </tp>
      <tp t="s">
        <v>#N/A N/A</v>
        <stp/>
        <stp>BDP|18167620509892605911</stp>
        <tr r="Q892" s="2"/>
      </tp>
      <tp t="s">
        <v>#N/A N/A</v>
        <stp/>
        <stp>BDP|14831208516495177727</stp>
        <tr r="M1493" s="2"/>
      </tp>
      <tp t="s">
        <v>#N/A N/A</v>
        <stp/>
        <stp>BDP|15875720106996158104</stp>
        <tr r="A1255" s="2"/>
      </tp>
      <tp t="s">
        <v>#N/A N/A</v>
        <stp/>
        <stp>BDP|15805234043920766624</stp>
        <tr r="E704" s="2"/>
      </tp>
      <tp t="s">
        <v>#N/A N/A</v>
        <stp/>
        <stp>BDP|15156888985287217731</stp>
        <tr r="O1291" s="2"/>
      </tp>
      <tp t="s">
        <v>#N/A N/A</v>
        <stp/>
        <stp>BDP|15449594948885855403</stp>
        <tr r="T1419" s="2"/>
      </tp>
      <tp t="s">
        <v>#N/A N/A</v>
        <stp/>
        <stp>BDP|10196182167582323002</stp>
        <tr r="Q406" s="2"/>
      </tp>
      <tp t="s">
        <v>#N/A N/A</v>
        <stp/>
        <stp>BDP|11368086914773088621</stp>
        <tr r="Q374" s="2"/>
      </tp>
      <tp t="s">
        <v>#N/A N/A</v>
        <stp/>
        <stp>BDP|15861878972056644964</stp>
        <tr r="E1580" s="2"/>
      </tp>
      <tp t="s">
        <v>#N/A N/A</v>
        <stp/>
        <stp>BDP|16584247242307866264</stp>
        <tr r="A1360" s="2"/>
      </tp>
      <tp t="s">
        <v>#N/A N/A</v>
        <stp/>
        <stp>BDP|15945053531843131011</stp>
        <tr r="Q1368" s="2"/>
      </tp>
      <tp t="s">
        <v>#N/A N/A</v>
        <stp/>
        <stp>BDP|14395646536056515293</stp>
        <tr r="M71" s="2"/>
      </tp>
      <tp t="s">
        <v>#N/A N/A</v>
        <stp/>
        <stp>BDP|14190262076461554597</stp>
        <tr r="P169" s="2"/>
      </tp>
      <tp t="s">
        <v>#N/A N/A</v>
        <stp/>
        <stp>BDP|11563153120072912548</stp>
        <tr r="R1701" s="2"/>
      </tp>
      <tp t="s">
        <v>#N/A N/A</v>
        <stp/>
        <stp>BDP|17270011472906815342</stp>
        <tr r="A553" s="2"/>
      </tp>
      <tp t="s">
        <v>#N/A N/A</v>
        <stp/>
        <stp>BDP|10142234166754196582</stp>
        <tr r="C509" s="2"/>
      </tp>
      <tp t="s">
        <v>#N/A N/A</v>
        <stp/>
        <stp>BDP|10234326373348621988</stp>
        <tr r="O1362" s="2"/>
      </tp>
      <tp t="s">
        <v>#N/A N/A</v>
        <stp/>
        <stp>BDP|17762014328568308804</stp>
        <tr r="D1376" s="2"/>
      </tp>
      <tp t="s">
        <v>#N/A N/A</v>
        <stp/>
        <stp>BDP|17440709212965810136</stp>
        <tr r="N597" s="2"/>
      </tp>
      <tp t="s">
        <v>#N/A N/A</v>
        <stp/>
        <stp>BDP|12062645746106853374</stp>
        <tr r="N179" s="2"/>
      </tp>
      <tp t="s">
        <v>#N/A N/A</v>
        <stp/>
        <stp>BDP|13630879996891303691</stp>
        <tr r="H690" s="2"/>
      </tp>
      <tp t="s">
        <v>#N/A N/A</v>
        <stp/>
        <stp>BDP|13121573769717225207</stp>
        <tr r="J1702" s="2"/>
      </tp>
      <tp t="s">
        <v>#N/A N/A</v>
        <stp/>
        <stp>BDP|17129576156515507780</stp>
        <tr r="O741" s="2"/>
      </tp>
      <tp t="s">
        <v>#N/A N/A</v>
        <stp/>
        <stp>BDP|14320601490159629781</stp>
        <tr r="G1406" s="2"/>
      </tp>
      <tp t="s">
        <v>#N/A N/A</v>
        <stp/>
        <stp>BDP|16917256220074373721</stp>
        <tr r="T1480" s="2"/>
      </tp>
      <tp t="s">
        <v>#N/A N/A</v>
        <stp/>
        <stp>BDP|14193618650076582488</stp>
        <tr r="C510" s="2"/>
      </tp>
      <tp t="s">
        <v>#N/A N/A</v>
        <stp/>
        <stp>BDP|13743778839444703638</stp>
        <tr r="P1701" s="2"/>
      </tp>
      <tp t="s">
        <v>#N/A N/A</v>
        <stp/>
        <stp>BDP|16843044165753172650</stp>
        <tr r="S1412" s="2"/>
      </tp>
      <tp t="s">
        <v>#N/A N/A</v>
        <stp/>
        <stp>BDP|16908300803732602217</stp>
        <tr r="E165" s="2"/>
      </tp>
      <tp t="s">
        <v>#N/A N/A</v>
        <stp/>
        <stp>BDP|16946165673662519741</stp>
        <tr r="C1437" s="2"/>
      </tp>
      <tp t="s">
        <v>#N/A N/A</v>
        <stp/>
        <stp>BDP|13817628986361441959</stp>
        <tr r="R781" s="2"/>
      </tp>
      <tp t="s">
        <v>#N/A N/A</v>
        <stp/>
        <stp>BDP|17781493630890515565</stp>
        <tr r="F1134" s="2"/>
      </tp>
      <tp t="s">
        <v>#N/A N/A</v>
        <stp/>
        <stp>BDP|16617591339450967525</stp>
        <tr r="N636" s="2"/>
      </tp>
      <tp t="s">
        <v>#N/A N/A</v>
        <stp/>
        <stp>BDP|12221202079236170472</stp>
        <tr r="R1578" s="2"/>
      </tp>
      <tp t="s">
        <v>#N/A N/A</v>
        <stp/>
        <stp>BDP|17278725726353266491</stp>
        <tr r="H639" s="2"/>
      </tp>
      <tp t="s">
        <v>#N/A N/A</v>
        <stp/>
        <stp>BDP|17783274812940863175</stp>
        <tr r="P815" s="2"/>
      </tp>
      <tp t="s">
        <v>#N/A N/A</v>
        <stp/>
        <stp>BDP|14798963793916901765</stp>
        <tr r="R758" s="2"/>
      </tp>
      <tp t="s">
        <v>#N/A N/A</v>
        <stp/>
        <stp>BDP|11147539128083080073</stp>
        <tr r="K1094" s="2"/>
      </tp>
      <tp t="s">
        <v>#N/A N/A</v>
        <stp/>
        <stp>BDP|15501399820731784060</stp>
        <tr r="G768" s="2"/>
      </tp>
      <tp t="s">
        <v>#N/A N/A</v>
        <stp/>
        <stp>BDP|15337685987577021917</stp>
        <tr r="Q1570" s="2"/>
      </tp>
      <tp t="s">
        <v>#N/A N/A</v>
        <stp/>
        <stp>BDP|12838478133814422457</stp>
        <tr r="N55" s="2"/>
      </tp>
      <tp t="s">
        <v>#N/A N/A</v>
        <stp/>
        <stp>BDS|11369402235086849506</stp>
        <tr r="I15" s="2"/>
      </tp>
      <tp t="s">
        <v>#N/A N/A</v>
        <stp/>
        <stp>BDP|15183753073218286887</stp>
        <tr r="K1416" s="2"/>
      </tp>
      <tp t="s">
        <v>#N/A N/A</v>
        <stp/>
        <stp>BDP|17595528063262934306</stp>
        <tr r="K74" s="2"/>
      </tp>
      <tp t="s">
        <v>#N/A N/A</v>
        <stp/>
        <stp>BDP|10706875019349482508</stp>
        <tr r="S1024" s="2"/>
      </tp>
      <tp t="s">
        <v>#N/A N/A</v>
        <stp/>
        <stp>BDP|16090023686338176388</stp>
        <tr r="C1057" s="2"/>
      </tp>
      <tp t="s">
        <v>#N/A N/A</v>
        <stp/>
        <stp>BDP|17046780774793146102</stp>
        <tr r="K1202" s="2"/>
      </tp>
      <tp t="s">
        <v>#N/A N/A</v>
        <stp/>
        <stp>BDP|11424433218199076822</stp>
        <tr r="N1292" s="2"/>
      </tp>
      <tp t="s">
        <v>#N/A N/A</v>
        <stp/>
        <stp>BDP|18309825041508813954</stp>
        <tr r="C272" s="2"/>
      </tp>
      <tp t="s">
        <v>#N/A N/A</v>
        <stp/>
        <stp>BDP|13328459944662811479</stp>
        <tr r="N1307" s="2"/>
      </tp>
      <tp t="s">
        <v>#N/A N/A</v>
        <stp/>
        <stp>BDS|17184488503401127753</stp>
        <tr r="I282" s="2"/>
      </tp>
      <tp t="s">
        <v>#N/A N/A</v>
        <stp/>
        <stp>BDP|15844010073544673313</stp>
        <tr r="E224" s="2"/>
      </tp>
      <tp t="s">
        <v>#N/A N/A</v>
        <stp/>
        <stp>BDP|14875534966162517057</stp>
        <tr r="T1225" s="2"/>
      </tp>
      <tp t="s">
        <v>#N/A N/A</v>
        <stp/>
        <stp>BDP|14834913832022535937</stp>
        <tr r="Q355" s="2"/>
      </tp>
      <tp t="s">
        <v>#N/A N/A</v>
        <stp/>
        <stp>BDP|18013363385897799197</stp>
        <tr r="N99" s="2"/>
      </tp>
      <tp t="s">
        <v>#N/A N/A</v>
        <stp/>
        <stp>BDP|15956162880090715952</stp>
        <tr r="A346" s="2"/>
      </tp>
      <tp t="s">
        <v>#N/A N/A</v>
        <stp/>
        <stp>BDP|10326068112971317589</stp>
        <tr r="A344" s="2"/>
      </tp>
      <tp t="s">
        <v>#N/A N/A</v>
        <stp/>
        <stp>BDP|14850369118356929537</stp>
        <tr r="O937" s="2"/>
      </tp>
      <tp t="s">
        <v>#N/A N/A</v>
        <stp/>
        <stp>BDP|13883611838780565382</stp>
        <tr r="S1474" s="2"/>
      </tp>
      <tp t="s">
        <v>#N/A N/A</v>
        <stp/>
        <stp>BDP|14217359556715549282</stp>
        <tr r="N654" s="2"/>
      </tp>
      <tp t="s">
        <v>#N/A N/A</v>
        <stp/>
        <stp>BDP|12380663885241559895</stp>
        <tr r="S207" s="2"/>
      </tp>
      <tp t="s">
        <v>#N/A N/A</v>
        <stp/>
        <stp>BDP|11930539166054069304</stp>
        <tr r="C1464" s="2"/>
      </tp>
      <tp t="s">
        <v>#N/A N/A</v>
        <stp/>
        <stp>BDP|10873852451561707978</stp>
        <tr r="R441" s="2"/>
      </tp>
      <tp t="s">
        <v>#N/A N/A</v>
        <stp/>
        <stp>BDS|12171686674577351119</stp>
        <tr r="I558" s="2"/>
      </tp>
      <tp t="s">
        <v>#N/A N/A</v>
        <stp/>
        <stp>BDP|17880405974190563152</stp>
        <tr r="M620" s="2"/>
      </tp>
      <tp t="s">
        <v>#N/A N/A</v>
        <stp/>
        <stp>BDP|10363439105831085090</stp>
        <tr r="E385" s="2"/>
      </tp>
      <tp t="s">
        <v>#N/A N/A</v>
        <stp/>
        <stp>BDP|13023592263486132379</stp>
        <tr r="K678" s="2"/>
      </tp>
      <tp t="s">
        <v>#N/A N/A</v>
        <stp/>
        <stp>BDP|14999244161604923197</stp>
        <tr r="A711" s="2"/>
      </tp>
      <tp t="s">
        <v>#N/A N/A</v>
        <stp/>
        <stp>BDP|16120471027487892250</stp>
        <tr r="O380" s="2"/>
      </tp>
      <tp t="s">
        <v>#N/A N/A</v>
        <stp/>
        <stp>BDP|18212819849458739911</stp>
        <tr r="M1655" s="2"/>
      </tp>
      <tp t="s">
        <v>#N/A N/A</v>
        <stp/>
        <stp>BDP|12412203568190562358</stp>
        <tr r="T628" s="2"/>
      </tp>
      <tp t="s">
        <v>#N/A N/A</v>
        <stp/>
        <stp>BDP|15208351045247990077</stp>
        <tr r="H1261" s="2"/>
      </tp>
      <tp t="s">
        <v>#N/A N/A</v>
        <stp/>
        <stp>BDP|16120659958216666662</stp>
        <tr r="Q954" s="2"/>
      </tp>
      <tp t="s">
        <v>#N/A N/A</v>
        <stp/>
        <stp>BDP|14830846103598041139</stp>
        <tr r="Q723" s="2"/>
      </tp>
      <tp t="s">
        <v>#N/A N/A</v>
        <stp/>
        <stp>BDP|14571434492554090882</stp>
        <tr r="P878" s="2"/>
      </tp>
      <tp t="s">
        <v>#N/A N/A</v>
        <stp/>
        <stp>BDP|17362224649237587315</stp>
        <tr r="A1003" s="2"/>
      </tp>
      <tp t="s">
        <v>#N/A N/A</v>
        <stp/>
        <stp>BDP|17528028317107468480</stp>
        <tr r="P383" s="2"/>
      </tp>
      <tp t="s">
        <v>#N/A N/A</v>
        <stp/>
        <stp>BDP|12486359127471829724</stp>
        <tr r="J700" s="2"/>
      </tp>
      <tp t="s">
        <v>#N/A N/A</v>
        <stp/>
        <stp>BDP|16209687203114173142</stp>
        <tr r="M54" s="2"/>
      </tp>
      <tp t="s">
        <v>#N/A N/A</v>
        <stp/>
        <stp>BDP|11667676289743249960</stp>
        <tr r="O1420" s="2"/>
      </tp>
      <tp t="s">
        <v>#N/A N/A</v>
        <stp/>
        <stp>BDP|18225658987443884044</stp>
        <tr r="P1754" s="2"/>
      </tp>
      <tp t="s">
        <v>#N/A N/A</v>
        <stp/>
        <stp>BDP|14968402627754135332</stp>
        <tr r="F1236" s="2"/>
      </tp>
      <tp t="s">
        <v>#N/A N/A</v>
        <stp/>
        <stp>BDP|16414256621455522693</stp>
        <tr r="O1318" s="2"/>
      </tp>
      <tp t="s">
        <v>#N/A N/A</v>
        <stp/>
        <stp>BDP|13852442844334605225</stp>
        <tr r="O854" s="2"/>
      </tp>
      <tp t="s">
        <v>#N/A N/A</v>
        <stp/>
        <stp>BDP|15787523857990658086</stp>
        <tr r="A976" s="2"/>
      </tp>
      <tp t="s">
        <v>#N/A N/A</v>
        <stp/>
        <stp>BDP|13859397640110424190</stp>
        <tr r="E1363" s="2"/>
      </tp>
      <tp t="s">
        <v>#N/A N/A</v>
        <stp/>
        <stp>BDP|17339679894808535590</stp>
        <tr r="O979" s="2"/>
      </tp>
      <tp t="s">
        <v>#N/A N/A</v>
        <stp/>
        <stp>BDP|17830655394458452516</stp>
        <tr r="S1272" s="2"/>
      </tp>
      <tp t="s">
        <v>#N/A N/A</v>
        <stp/>
        <stp>BDP|13842715848422838757</stp>
        <tr r="A952" s="2"/>
      </tp>
      <tp t="s">
        <v>#N/A N/A</v>
        <stp/>
        <stp>BDP|10643787604530045263</stp>
        <tr r="E360" s="2"/>
      </tp>
      <tp t="s">
        <v>#N/A N/A</v>
        <stp/>
        <stp>BDS|17476071788428321271</stp>
        <tr r="I1472" s="2"/>
      </tp>
      <tp t="s">
        <v>#N/A N/A</v>
        <stp/>
        <stp>BDP|10507005558409349925</stp>
        <tr r="K1045" s="2"/>
      </tp>
      <tp t="s">
        <v>#N/A N/A</v>
        <stp/>
        <stp>BDP|10150371444052656081</stp>
        <tr r="Q466" s="2"/>
      </tp>
      <tp t="s">
        <v>#N/A N/A</v>
        <stp/>
        <stp>BDP|15015113374216120082</stp>
        <tr r="P1524" s="2"/>
      </tp>
      <tp t="s">
        <v>#N/A N/A</v>
        <stp/>
        <stp>BDP|18208939767095906739</stp>
        <tr r="T1011" s="2"/>
      </tp>
      <tp t="s">
        <v>#N/A N/A</v>
        <stp/>
        <stp>BDP|15236421611542416796</stp>
        <tr r="P649" s="2"/>
      </tp>
      <tp t="s">
        <v>#N/A N/A</v>
        <stp/>
        <stp>BDP|16703014386163534896</stp>
        <tr r="H838" s="2"/>
      </tp>
      <tp t="s">
        <v>#N/A N/A</v>
        <stp/>
        <stp>BDP|17063519646901992228</stp>
        <tr r="N1203" s="2"/>
      </tp>
      <tp t="s">
        <v>#N/A N/A</v>
        <stp/>
        <stp>BDP|14812982807299912127</stp>
        <tr r="Q464" s="2"/>
      </tp>
      <tp t="s">
        <v>#N/A N/A</v>
        <stp/>
        <stp>BDP|11250625665670833412</stp>
        <tr r="S917" s="2"/>
      </tp>
      <tp t="s">
        <v>#N/A N/A</v>
        <stp/>
        <stp>BDP|15876077404517560725</stp>
        <tr r="K981" s="2"/>
      </tp>
      <tp t="s">
        <v>#N/A N/A</v>
        <stp/>
        <stp>BDS|16661035524136634787</stp>
        <tr r="I1545" s="2"/>
      </tp>
      <tp t="s">
        <v>#N/A N/A</v>
        <stp/>
        <stp>BDP|10524673679086137267</stp>
        <tr r="E990" s="2"/>
      </tp>
      <tp t="s">
        <v>#N/A N/A</v>
        <stp/>
        <stp>BDP|13211290240982797204</stp>
        <tr r="H527" s="2"/>
      </tp>
      <tp t="s">
        <v>#N/A N/A</v>
        <stp/>
        <stp>BDP|11439937615088721493</stp>
        <tr r="O958" s="2"/>
      </tp>
      <tp t="s">
        <v>#N/A N/A</v>
        <stp/>
        <stp>BDP|18167361939334602940</stp>
        <tr r="T1361" s="2"/>
      </tp>
      <tp t="s">
        <v>#N/A N/A</v>
        <stp/>
        <stp>BDP|13597446843480992676</stp>
        <tr r="O1505" s="2"/>
      </tp>
      <tp t="s">
        <v>#N/A N/A</v>
        <stp/>
        <stp>BDP|15839598319777509318</stp>
        <tr r="T290" s="2"/>
      </tp>
      <tp t="s">
        <v>#N/A N/A</v>
        <stp/>
        <stp>BDP|10399180551303223273</stp>
        <tr r="T1045" s="2"/>
      </tp>
      <tp t="s">
        <v>#N/A N/A</v>
        <stp/>
        <stp>BDP|18278944480545982905</stp>
        <tr r="D1411" s="2"/>
      </tp>
      <tp t="s">
        <v>#N/A N/A</v>
        <stp/>
        <stp>BDP|13467185992936868897</stp>
        <tr r="T959" s="2"/>
      </tp>
      <tp t="s">
        <v>#N/A N/A</v>
        <stp/>
        <stp>BDP|14894431144272456344</stp>
        <tr r="O572" s="2"/>
      </tp>
      <tp t="s">
        <v>#N/A N/A</v>
        <stp/>
        <stp>BDP|13573721579671290732</stp>
        <tr r="H367" s="2"/>
      </tp>
      <tp t="s">
        <v>#N/A N/A</v>
        <stp/>
        <stp>BDP|13154166032447990335</stp>
        <tr r="H1596" s="2"/>
      </tp>
      <tp t="s">
        <v>#N/A N/A</v>
        <stp/>
        <stp>BDP|12289282122426603114</stp>
        <tr r="Q268" s="2"/>
      </tp>
      <tp t="s">
        <v>#N/A N/A</v>
        <stp/>
        <stp>BDP|14974152712171672079</stp>
        <tr r="S1711" s="2"/>
      </tp>
      <tp t="s">
        <v>#N/A N/A</v>
        <stp/>
        <stp>BDP|12728574116090191385</stp>
        <tr r="O390" s="2"/>
      </tp>
      <tp t="s">
        <v>#N/A N/A</v>
        <stp/>
        <stp>BDP|15440018779535445277</stp>
        <tr r="M1679" s="2"/>
      </tp>
      <tp t="s">
        <v>#N/A N/A</v>
        <stp/>
        <stp>BDP|11213525229201782214</stp>
        <tr r="K622" s="2"/>
      </tp>
      <tp t="s">
        <v>#N/A N/A</v>
        <stp/>
        <stp>BDP|11838907415845501975</stp>
        <tr r="A1742" s="2"/>
      </tp>
      <tp t="s">
        <v>#N/A N/A</v>
        <stp/>
        <stp>BDP|11321566148256174338</stp>
        <tr r="D160" s="2"/>
      </tp>
      <tp t="s">
        <v>#N/A N/A</v>
        <stp/>
        <stp>BDP|13648366557710941019</stp>
        <tr r="J386" s="2"/>
      </tp>
      <tp t="s">
        <v>#N/A N/A</v>
        <stp/>
        <stp>BDP|11112989795740539464</stp>
        <tr r="M694" s="2"/>
      </tp>
      <tp t="s">
        <v>#N/A N/A</v>
        <stp/>
        <stp>BDS|14355548959632609343</stp>
        <tr r="I190" s="2"/>
      </tp>
      <tp t="s">
        <v>#N/A N/A</v>
        <stp/>
        <stp>BDP|12467329663222378095</stp>
        <tr r="M617" s="2"/>
      </tp>
      <tp t="s">
        <v>#N/A N/A</v>
        <stp/>
        <stp>BDP|15440582252897639772</stp>
        <tr r="G896" s="2"/>
      </tp>
      <tp t="s">
        <v>#N/A N/A</v>
        <stp/>
        <stp>BDP|17563859331041976877</stp>
        <tr r="E1200" s="2"/>
      </tp>
      <tp t="s">
        <v>#N/A N/A</v>
        <stp/>
        <stp>BDP|17860767041604102518</stp>
        <tr r="K592" s="2"/>
      </tp>
      <tp t="s">
        <v>#N/A N/A</v>
        <stp/>
        <stp>BDP|14289136675633927424</stp>
        <tr r="T616" s="2"/>
      </tp>
      <tp t="s">
        <v>#N/A N/A</v>
        <stp/>
        <stp>BDP|11641125327946948151</stp>
        <tr r="D1518" s="2"/>
      </tp>
      <tp t="s">
        <v>#N/A N/A</v>
        <stp/>
        <stp>BDP|12676614858851730575</stp>
        <tr r="R1147" s="2"/>
      </tp>
      <tp t="s">
        <v>#N/A N/A</v>
        <stp/>
        <stp>BDP|15821660020402191602</stp>
        <tr r="P417" s="2"/>
      </tp>
      <tp t="s">
        <v>#N/A N/A</v>
        <stp/>
        <stp>BDP|12507703719904607556</stp>
        <tr r="T482" s="2"/>
      </tp>
      <tp t="s">
        <v>#N/A N/A</v>
        <stp/>
        <stp>BDP|18426094347880041959</stp>
        <tr r="Q343" s="2"/>
      </tp>
      <tp t="s">
        <v>#N/A N/A</v>
        <stp/>
        <stp>BDP|16491959354049234680</stp>
        <tr r="S1111" s="2"/>
      </tp>
      <tp t="s">
        <v>#N/A N/A</v>
        <stp/>
        <stp>BDP|15757810582302279293</stp>
        <tr r="C198" s="2"/>
      </tp>
      <tp t="s">
        <v>#N/A N/A</v>
        <stp/>
        <stp>BDP|10807063152924281410</stp>
        <tr r="O1320" s="2"/>
      </tp>
      <tp t="s">
        <v>#N/A N/A</v>
        <stp/>
        <stp>BDP|13176383834783603541</stp>
        <tr r="F126" s="2"/>
      </tp>
      <tp t="s">
        <v>#N/A N/A</v>
        <stp/>
        <stp>BDP|10315588743223416738</stp>
        <tr r="D1604" s="2"/>
      </tp>
      <tp t="s">
        <v>#N/A N/A</v>
        <stp/>
        <stp>BDP|14464529538994569342</stp>
        <tr r="C1679" s="2"/>
      </tp>
      <tp t="s">
        <v>#N/A N/A</v>
        <stp/>
        <stp>BDP|17152790355336563672</stp>
        <tr r="T1403" s="2"/>
      </tp>
      <tp t="s">
        <v>#N/A N/A</v>
        <stp/>
        <stp>BDP|13592586303437411458</stp>
        <tr r="H820" s="2"/>
      </tp>
      <tp t="s">
        <v>#N/A N/A</v>
        <stp/>
        <stp>BDP|15817371441495623277</stp>
        <tr r="E589" s="2"/>
      </tp>
      <tp t="s">
        <v>#N/A N/A</v>
        <stp/>
        <stp>BDP|13471594365492554722</stp>
        <tr r="A851" s="2"/>
      </tp>
      <tp t="s">
        <v>#N/A N/A</v>
        <stp/>
        <stp>BDP|11664332492536018880</stp>
        <tr r="H1421" s="2"/>
      </tp>
      <tp t="s">
        <v>#N/A N/A</v>
        <stp/>
        <stp>BDP|12815140424431279552</stp>
        <tr r="G951" s="2"/>
      </tp>
      <tp t="s">
        <v>#N/A N/A</v>
        <stp/>
        <stp>BDP|12144528155481008698</stp>
        <tr r="M746" s="2"/>
      </tp>
      <tp t="s">
        <v>#N/A N/A</v>
        <stp/>
        <stp>BDP|15444480513301074400</stp>
        <tr r="F386" s="2"/>
      </tp>
      <tp t="s">
        <v>#N/A N/A</v>
        <stp/>
        <stp>BDP|15273625623524946053</stp>
        <tr r="R1353" s="2"/>
      </tp>
      <tp t="s">
        <v>#N/A N/A</v>
        <stp/>
        <stp>BDP|15354152813700810026</stp>
        <tr r="H960" s="2"/>
      </tp>
      <tp t="s">
        <v>#N/A N/A</v>
        <stp/>
        <stp>BDP|16290132728481697101</stp>
        <tr r="R1518" s="2"/>
      </tp>
      <tp t="s">
        <v>#N/A N/A</v>
        <stp/>
        <stp>BDP|11056127879834646629</stp>
        <tr r="C1574" s="2"/>
      </tp>
      <tp t="s">
        <v>#N/A N/A</v>
        <stp/>
        <stp>BDP|12020684105547103634</stp>
        <tr r="H1267" s="2"/>
      </tp>
      <tp t="s">
        <v>#N/A N/A</v>
        <stp/>
        <stp>BDP|11519588913635191501</stp>
        <tr r="D145" s="2"/>
      </tp>
      <tp t="s">
        <v>#N/A N/A</v>
        <stp/>
        <stp>BDP|15218403427281809726</stp>
        <tr r="T1659" s="2"/>
      </tp>
      <tp t="s">
        <v>#N/A N/A</v>
        <stp/>
        <stp>BDP|15833319917805325726</stp>
        <tr r="O1214" s="2"/>
      </tp>
      <tp t="s">
        <v>#N/A N/A</v>
        <stp/>
        <stp>BDP|11576247749743423133</stp>
        <tr r="O1182" s="2"/>
      </tp>
      <tp t="s">
        <v>#N/A N/A</v>
        <stp/>
        <stp>BDP|15116198185538209108</stp>
        <tr r="N1105" s="2"/>
      </tp>
      <tp t="s">
        <v>#N/A N/A</v>
        <stp/>
        <stp>BDP|16303275952552973603</stp>
        <tr r="C399" s="2"/>
      </tp>
      <tp t="s">
        <v>#N/A N/A</v>
        <stp/>
        <stp>BDP|12379562072177140294</stp>
        <tr r="G1127" s="2"/>
      </tp>
      <tp t="s">
        <v>#N/A N/A</v>
        <stp/>
        <stp>BDP|14435304500231287399</stp>
        <tr r="P1056" s="2"/>
      </tp>
      <tp t="s">
        <v>#N/A N/A</v>
        <stp/>
        <stp>BDP|15872174230314317635</stp>
        <tr r="G1073" s="2"/>
      </tp>
      <tp t="s">
        <v>#N/A N/A</v>
        <stp/>
        <stp>BDP|16256848337471694984</stp>
        <tr r="D764" s="2"/>
      </tp>
      <tp t="s">
        <v>#N/A N/A</v>
        <stp/>
        <stp>BDP|15015200433901550099</stp>
        <tr r="Q887" s="2"/>
      </tp>
      <tp t="s">
        <v>#N/A N/A</v>
        <stp/>
        <stp>BDP|14546043403266834752</stp>
        <tr r="Q1222" s="2"/>
      </tp>
      <tp t="s">
        <v>#N/A N/A</v>
        <stp/>
        <stp>BDP|17832792329602231550</stp>
        <tr r="K422" s="2"/>
      </tp>
      <tp t="s">
        <v>#N/A N/A</v>
        <stp/>
        <stp>BDP|14924536454912402359</stp>
        <tr r="E1127" s="2"/>
      </tp>
      <tp t="s">
        <v>#N/A N/A</v>
        <stp/>
        <stp>BDP|10166098918334765090</stp>
        <tr r="E1344" s="2"/>
      </tp>
      <tp t="s">
        <v>#N/A N/A</v>
        <stp/>
        <stp>BDP|16080756901122333697</stp>
        <tr r="K413" s="2"/>
      </tp>
      <tp t="s">
        <v>#N/A N/A</v>
        <stp/>
        <stp>BDP|12396165360256921626</stp>
        <tr r="Q1620" s="2"/>
      </tp>
      <tp t="s">
        <v>#N/A N/A</v>
        <stp/>
        <stp>BDP|14666791655834252760</stp>
        <tr r="E1229" s="2"/>
      </tp>
      <tp t="s">
        <v>#N/A N/A</v>
        <stp/>
        <stp>BDP|15895236312845652618</stp>
        <tr r="Q3" s="2"/>
      </tp>
      <tp t="s">
        <v>#N/A N/A</v>
        <stp/>
        <stp>BDP|11637086537484015379</stp>
        <tr r="F544" s="2"/>
      </tp>
      <tp t="s">
        <v>#N/A N/A</v>
        <stp/>
        <stp>BDP|11873429483108658013</stp>
        <tr r="M46" s="2"/>
      </tp>
      <tp t="s">
        <v>#N/A N/A</v>
        <stp/>
        <stp>BDP|12160686131906736413</stp>
        <tr r="F270" s="2"/>
      </tp>
      <tp t="s">
        <v>#N/A N/A</v>
        <stp/>
        <stp>BDP|15373707688578052759</stp>
        <tr r="F1169" s="2"/>
      </tp>
      <tp t="s">
        <v>#N/A N/A</v>
        <stp/>
        <stp>BDP|11655106180355989810</stp>
        <tr r="M1569" s="2"/>
      </tp>
      <tp t="s">
        <v>#N/A N/A</v>
        <stp/>
        <stp>BDP|10023177451854815504</stp>
        <tr r="P64" s="2"/>
      </tp>
      <tp t="s">
        <v>#N/A N/A</v>
        <stp/>
        <stp>BDP|11303659149704765260</stp>
        <tr r="F518" s="2"/>
      </tp>
      <tp t="s">
        <v>#N/A N/A</v>
        <stp/>
        <stp>BDP|14864970433603181830</stp>
        <tr r="S1663" s="2"/>
      </tp>
      <tp t="s">
        <v>#N/A N/A</v>
        <stp/>
        <stp>BDP|15705569358410235056</stp>
        <tr r="G447" s="2"/>
      </tp>
      <tp t="s">
        <v>#N/A N/A</v>
        <stp/>
        <stp>BDP|10786322887206931854</stp>
        <tr r="D860" s="2"/>
      </tp>
      <tp t="s">
        <v>#N/A N/A</v>
        <stp/>
        <stp>BDP|14885914889553967370</stp>
        <tr r="F1461" s="2"/>
      </tp>
      <tp t="s">
        <v>#N/A N/A</v>
        <stp/>
        <stp>BDP|12950261847674191574</stp>
        <tr r="N1118" s="2"/>
      </tp>
      <tp t="s">
        <v>#N/A N/A</v>
        <stp/>
        <stp>BDP|17733788506784436130</stp>
        <tr r="C1093" s="2"/>
      </tp>
      <tp t="s">
        <v>#N/A N/A</v>
        <stp/>
        <stp>BDP|11696164056274074486</stp>
        <tr r="H227" s="2"/>
      </tp>
      <tp t="s">
        <v>#N/A N/A</v>
        <stp/>
        <stp>BDP|13971561997198128278</stp>
        <tr r="N976" s="2"/>
      </tp>
      <tp t="s">
        <v>#N/A N/A</v>
        <stp/>
        <stp>BDP|17733193559266089097</stp>
        <tr r="J1723" s="2"/>
      </tp>
      <tp t="s">
        <v>#N/A N/A</v>
        <stp/>
        <stp>BDP|16169452957857946545</stp>
        <tr r="N1257" s="2"/>
      </tp>
      <tp t="s">
        <v>#N/A N/A</v>
        <stp/>
        <stp>BDS|11629694500895729750</stp>
        <tr r="I1400" s="2"/>
      </tp>
      <tp t="s">
        <v>#N/A N/A</v>
        <stp/>
        <stp>BDP|10215451226987876472</stp>
        <tr r="Q411" s="2"/>
      </tp>
      <tp t="s">
        <v>#N/A N/A</v>
        <stp/>
        <stp>BDP|18015858052250858012</stp>
        <tr r="M485" s="2"/>
      </tp>
      <tp t="s">
        <v>#N/A N/A</v>
        <stp/>
        <stp>BDP|16009508258691016263</stp>
        <tr r="C1170" s="2"/>
      </tp>
      <tp t="s">
        <v>#N/A N/A</v>
        <stp/>
        <stp>BDP|13236907697121380781</stp>
        <tr r="K1681" s="2"/>
      </tp>
      <tp t="s">
        <v>#N/A N/A</v>
        <stp/>
        <stp>BDP|16134256224626609580</stp>
        <tr r="O293" s="2"/>
      </tp>
      <tp t="s">
        <v>#N/A N/A</v>
        <stp/>
        <stp>BDP|10647051845526060784</stp>
        <tr r="O1290" s="2"/>
      </tp>
      <tp t="s">
        <v>#N/A N/A</v>
        <stp/>
        <stp>BDP|18397405765566889903</stp>
        <tr r="M1126" s="2"/>
      </tp>
      <tp t="s">
        <v>#N/A N/A</v>
        <stp/>
        <stp>BDP|11809025985168548442</stp>
        <tr r="J1385" s="2"/>
      </tp>
      <tp t="s">
        <v>#N/A N/A</v>
        <stp/>
        <stp>BDP|14369206642311850674</stp>
        <tr r="T1144" s="2"/>
      </tp>
      <tp t="s">
        <v>#N/A N/A</v>
        <stp/>
        <stp>BDP|17616491826573237754</stp>
        <tr r="D158" s="2"/>
      </tp>
      <tp t="s">
        <v>#N/A N/A</v>
        <stp/>
        <stp>BDP|10823147042529745976</stp>
        <tr r="Q134" s="2"/>
      </tp>
      <tp t="s">
        <v>#N/A N/A</v>
        <stp/>
        <stp>BDP|17621502810072859407</stp>
        <tr r="H61" s="2"/>
      </tp>
      <tp t="s">
        <v>#N/A N/A</v>
        <stp/>
        <stp>BDP|11498257238590292550</stp>
        <tr r="K1450" s="2"/>
      </tp>
      <tp t="s">
        <v>#N/A N/A</v>
        <stp/>
        <stp>BDP|13730497342213262502</stp>
        <tr r="E1375" s="2"/>
      </tp>
      <tp t="s">
        <v>#N/A N/A</v>
        <stp/>
        <stp>BDP|15141193553776120240</stp>
        <tr r="Q574" s="2"/>
      </tp>
      <tp t="s">
        <v>#N/A N/A</v>
        <stp/>
        <stp>BDP|12439021116181645786</stp>
        <tr r="H129" s="2"/>
      </tp>
      <tp t="s">
        <v>#N/A N/A</v>
        <stp/>
        <stp>BDP|15235999566656051938</stp>
        <tr r="N397" s="2"/>
      </tp>
      <tp t="s">
        <v>#N/A N/A</v>
        <stp/>
        <stp>BDP|17772185641740872783</stp>
        <tr r="M1542" s="2"/>
      </tp>
      <tp t="s">
        <v>#N/A N/A</v>
        <stp/>
        <stp>BDP|16969194611040906362</stp>
        <tr r="O449" s="2"/>
      </tp>
      <tp t="s">
        <v>#N/A N/A</v>
        <stp/>
        <stp>BDS|15447016008164214422</stp>
        <tr r="I627" s="2"/>
      </tp>
      <tp t="s">
        <v>#N/A N/A</v>
        <stp/>
        <stp>BDP|12673610307535644486</stp>
        <tr r="S1257" s="2"/>
      </tp>
      <tp t="s">
        <v>#N/A N/A</v>
        <stp/>
        <stp>BDS|16255922292101611297</stp>
        <tr r="I438" s="2"/>
      </tp>
      <tp t="s">
        <v>#N/A N/A</v>
        <stp/>
        <stp>BDP|14809884836218050283</stp>
        <tr r="H1177" s="2"/>
      </tp>
      <tp t="s">
        <v>#N/A N/A</v>
        <stp/>
        <stp>BDP|17988653449801835137</stp>
        <tr r="D84" s="2"/>
      </tp>
      <tp t="s">
        <v>#N/A N/A</v>
        <stp/>
        <stp>BDP|17968743040089148826</stp>
        <tr r="F37" s="2"/>
      </tp>
      <tp t="s">
        <v>#N/A N/A</v>
        <stp/>
        <stp>BDP|18429796354518612716</stp>
        <tr r="M1161" s="2"/>
      </tp>
      <tp t="s">
        <v>#N/A N/A</v>
        <stp/>
        <stp>BDP|17675071478222536721</stp>
        <tr r="O947" s="2"/>
      </tp>
      <tp t="s">
        <v>#N/A N/A</v>
        <stp/>
        <stp>BDP|12502840783154874340</stp>
        <tr r="K430" s="2"/>
      </tp>
      <tp t="s">
        <v>#N/A N/A</v>
        <stp/>
        <stp>BDP|11740483139262811102</stp>
        <tr r="H1279" s="2"/>
      </tp>
      <tp t="s">
        <v>#N/A N/A</v>
        <stp/>
        <stp>BDP|17011021431432537381</stp>
        <tr r="F230" s="2"/>
      </tp>
      <tp t="s">
        <v>#N/A N/A</v>
        <stp/>
        <stp>BDS|15260329679620586417</stp>
        <tr r="I1141" s="2"/>
      </tp>
      <tp t="s">
        <v>#N/A N/A</v>
        <stp/>
        <stp>BDP|17639973788464160767</stp>
        <tr r="E1724" s="2"/>
      </tp>
      <tp t="s">
        <v>#N/A N/A</v>
        <stp/>
        <stp>BDP|14564170338543414007</stp>
        <tr r="P1229" s="2"/>
      </tp>
      <tp t="s">
        <v>#N/A N/A</v>
        <stp/>
        <stp>BDS|17038598282026574938</stp>
        <tr r="I1371" s="2"/>
      </tp>
      <tp t="s">
        <v>#N/A N/A</v>
        <stp/>
        <stp>BDP|10051891792560234476</stp>
        <tr r="E232" s="2"/>
      </tp>
      <tp t="s">
        <v>#N/A N/A</v>
        <stp/>
        <stp>BDP|16932437256542124037</stp>
        <tr r="F1220" s="2"/>
      </tp>
      <tp t="s">
        <v>#N/A N/A</v>
        <stp/>
        <stp>BDP|13996156145165808605</stp>
        <tr r="S1707" s="2"/>
      </tp>
      <tp t="s">
        <v>#N/A N/A</v>
        <stp/>
        <stp>BDP|12266245377856615461</stp>
        <tr r="N1034" s="2"/>
      </tp>
      <tp t="s">
        <v>#N/A N/A</v>
        <stp/>
        <stp>BDP|13247088779409532870</stp>
        <tr r="H1463" s="2"/>
      </tp>
      <tp t="s">
        <v>#N/A N/A</v>
        <stp/>
        <stp>BDP|11665501008889661893</stp>
        <tr r="H1528" s="2"/>
      </tp>
      <tp t="s">
        <v>#N/A N/A</v>
        <stp/>
        <stp>BDP|14519552207855225143</stp>
        <tr r="G459" s="2"/>
      </tp>
      <tp t="s">
        <v>#N/A N/A</v>
        <stp/>
        <stp>BDP|15869117189070024919</stp>
        <tr r="D103" s="2"/>
      </tp>
      <tp t="s">
        <v>#N/A N/A</v>
        <stp/>
        <stp>BDP|13453046410003291430</stp>
        <tr r="M957" s="2"/>
      </tp>
      <tp t="s">
        <v>#N/A N/A</v>
        <stp/>
        <stp>BDS|10157332251821356220</stp>
        <tr r="I96" s="2"/>
      </tp>
      <tp t="s">
        <v>#N/A N/A</v>
        <stp/>
        <stp>BDP|10194679107571791276</stp>
        <tr r="T1709" s="2"/>
      </tp>
      <tp t="s">
        <v>#N/A N/A</v>
        <stp/>
        <stp>BDP|14009004646483491630</stp>
        <tr r="S308" s="2"/>
      </tp>
      <tp t="s">
        <v>#N/A N/A</v>
        <stp/>
        <stp>BDP|11537207314487380030</stp>
        <tr r="N1093" s="2"/>
      </tp>
      <tp t="s">
        <v>#N/A N/A</v>
        <stp/>
        <stp>BDP|14392323677527049273</stp>
        <tr r="F1629" s="2"/>
      </tp>
      <tp t="s">
        <v>#N/A N/A</v>
        <stp/>
        <stp>BDP|16563027058383924578</stp>
        <tr r="H1623" s="2"/>
      </tp>
      <tp t="s">
        <v>#N/A N/A</v>
        <stp/>
        <stp>BDP|17693762150922638279</stp>
        <tr r="M1579" s="2"/>
      </tp>
      <tp t="s">
        <v>#N/A N/A</v>
        <stp/>
        <stp>BDP|10003233556442567019</stp>
        <tr r="F522" s="2"/>
      </tp>
      <tp t="s">
        <v>#N/A N/A</v>
        <stp/>
        <stp>BDP|12294789141760982437</stp>
        <tr r="J1665" s="2"/>
      </tp>
      <tp t="s">
        <v>#N/A N/A</v>
        <stp/>
        <stp>BDP|16262091428920275101</stp>
        <tr r="P1054" s="2"/>
      </tp>
      <tp t="s">
        <v>#N/A N/A</v>
        <stp/>
        <stp>BDP|13045352556304453468</stp>
        <tr r="S1295" s="2"/>
      </tp>
      <tp t="s">
        <v>#N/A N/A</v>
        <stp/>
        <stp>BDP|11686927887963405669</stp>
        <tr r="E682" s="2"/>
      </tp>
      <tp t="s">
        <v>#N/A N/A</v>
        <stp/>
        <stp>BDP|17438737232280108659</stp>
        <tr r="H64" s="2"/>
      </tp>
      <tp t="s">
        <v>#N/A N/A</v>
        <stp/>
        <stp>BDP|14077198200002900210</stp>
        <tr r="K1578" s="2"/>
      </tp>
      <tp t="s">
        <v>#N/A N/A</v>
        <stp/>
        <stp>BDS|10317438373374424257</stp>
        <tr r="I870" s="2"/>
      </tp>
      <tp t="s">
        <v>#N/A N/A</v>
        <stp/>
        <stp>BDP|11029208121630159416</stp>
        <tr r="S540" s="2"/>
      </tp>
      <tp t="s">
        <v>#N/A N/A</v>
        <stp/>
        <stp>BDP|13735646876875630220</stp>
        <tr r="E1557" s="2"/>
      </tp>
      <tp t="s">
        <v>#N/A N/A</v>
        <stp/>
        <stp>BDP|12736663104628191951</stp>
        <tr r="A1738" s="2"/>
      </tp>
      <tp t="s">
        <v>#N/A N/A</v>
        <stp/>
        <stp>BDP|11169761465823158624</stp>
        <tr r="R1529" s="2"/>
      </tp>
      <tp t="s">
        <v>#N/A N/A</v>
        <stp/>
        <stp>BDP|17497505452034427630</stp>
        <tr r="N719" s="2"/>
      </tp>
      <tp t="s">
        <v>#N/A N/A</v>
        <stp/>
        <stp>BDP|10710432845345693064</stp>
        <tr r="G7" s="2"/>
      </tp>
      <tp t="s">
        <v>#N/A N/A</v>
        <stp/>
        <stp>BDP|17969012709496399434</stp>
        <tr r="S206" s="2"/>
      </tp>
      <tp t="s">
        <v>#N/A N/A</v>
        <stp/>
        <stp>BDP|14199145531752671131</stp>
        <tr r="R1178" s="2"/>
      </tp>
      <tp t="s">
        <v>#N/A N/A</v>
        <stp/>
        <stp>BDP|15407085367171312798</stp>
        <tr r="J155" s="2"/>
      </tp>
      <tp t="s">
        <v>#N/A N/A</v>
        <stp/>
        <stp>BDS|12792762762711356725</stp>
        <tr r="I859" s="2"/>
      </tp>
      <tp t="s">
        <v>#N/A N/A</v>
        <stp/>
        <stp>BDP|11753677566054416030</stp>
        <tr r="E927" s="2"/>
      </tp>
      <tp t="s">
        <v>#N/A N/A</v>
        <stp/>
        <stp>BDP|10416931312609711434</stp>
        <tr r="O1120" s="2"/>
      </tp>
      <tp t="s">
        <v>#N/A N/A</v>
        <stp/>
        <stp>BDP|14661582756035142483</stp>
        <tr r="S362" s="2"/>
      </tp>
      <tp t="s">
        <v>#N/A N/A</v>
        <stp/>
        <stp>BDP|15386866374776835989</stp>
        <tr r="N580" s="2"/>
      </tp>
      <tp t="s">
        <v>#N/A N/A</v>
        <stp/>
        <stp>BDP|16976702533542971524</stp>
        <tr r="P233" s="2"/>
      </tp>
      <tp t="s">
        <v>#N/A N/A</v>
        <stp/>
        <stp>BDS|12766029245935562672</stp>
        <tr r="I1338" s="2"/>
      </tp>
      <tp t="s">
        <v>#N/A N/A</v>
        <stp/>
        <stp>BDP|15696951997485566508</stp>
        <tr r="E1118" s="2"/>
      </tp>
      <tp t="s">
        <v>#N/A N/A</v>
        <stp/>
        <stp>BDP|17512101368722440781</stp>
        <tr r="R349" s="2"/>
      </tp>
      <tp t="s">
        <v>#N/A N/A</v>
        <stp/>
        <stp>BDP|12322336160335739765</stp>
        <tr r="R351" s="2"/>
      </tp>
      <tp t="s">
        <v>#N/A N/A</v>
        <stp/>
        <stp>BDP|17659796258694619405</stp>
        <tr r="R1440" s="2"/>
      </tp>
      <tp t="s">
        <v>#N/A N/A</v>
        <stp/>
        <stp>BDP|13503513135532722275</stp>
        <tr r="O136" s="2"/>
      </tp>
      <tp t="s">
        <v>#N/A N/A</v>
        <stp/>
        <stp>BDP|15057356844451951692</stp>
        <tr r="K727" s="2"/>
      </tp>
      <tp t="s">
        <v>#N/A N/A</v>
        <stp/>
        <stp>BDP|11861626111011875227</stp>
        <tr r="J1279" s="2"/>
      </tp>
      <tp t="s">
        <v>#N/A N/A</v>
        <stp/>
        <stp>BDS|12726718365846445056</stp>
        <tr r="I1477" s="2"/>
      </tp>
      <tp t="s">
        <v>#N/A N/A</v>
        <stp/>
        <stp>BDP|16727385157994188186</stp>
        <tr r="D192" s="2"/>
      </tp>
      <tp t="s">
        <v>#N/A N/A</v>
        <stp/>
        <stp>BDP|12219635948402102790</stp>
        <tr r="E546" s="2"/>
      </tp>
      <tp t="s">
        <v>#N/A N/A</v>
        <stp/>
        <stp>BDP|18169691764294959947</stp>
        <tr r="T98" s="2"/>
      </tp>
      <tp t="s">
        <v>#N/A N/A</v>
        <stp/>
        <stp>BDP|10657074791334367823</stp>
        <tr r="D1663" s="2"/>
      </tp>
      <tp t="s">
        <v>#N/A N/A</v>
        <stp/>
        <stp>BDP|17396975355636950898</stp>
        <tr r="P774" s="2"/>
      </tp>
      <tp t="s">
        <v>#N/A N/A</v>
        <stp/>
        <stp>BDP|15626292616040078381</stp>
        <tr r="T314" s="2"/>
      </tp>
      <tp t="s">
        <v>#N/A N/A</v>
        <stp/>
        <stp>BDP|15096719941016031515</stp>
        <tr r="C174" s="2"/>
      </tp>
      <tp t="s">
        <v>#N/A N/A</v>
        <stp/>
        <stp>BDP|14502867982742401346</stp>
        <tr r="A643" s="2"/>
      </tp>
      <tp t="s">
        <v>#N/A N/A</v>
        <stp/>
        <stp>BDP|15897355919024032659</stp>
        <tr r="P1103" s="2"/>
      </tp>
      <tp t="s">
        <v>#N/A N/A</v>
        <stp/>
        <stp>BDP|15535830892629427811</stp>
        <tr r="F958" s="2"/>
      </tp>
      <tp t="s">
        <v>#N/A N/A</v>
        <stp/>
        <stp>BDP|11269126356633523322</stp>
        <tr r="J922" s="2"/>
      </tp>
      <tp t="s">
        <v>#N/A N/A</v>
        <stp/>
        <stp>BDP|14629111385340248812</stp>
        <tr r="M750" s="2"/>
      </tp>
      <tp t="s">
        <v>#N/A N/A</v>
        <stp/>
        <stp>BDP|15441041505426150652</stp>
        <tr r="D310" s="2"/>
      </tp>
      <tp t="s">
        <v>#N/A N/A</v>
        <stp/>
        <stp>BDP|11534496638427231474</stp>
        <tr r="R288" s="2"/>
      </tp>
      <tp t="s">
        <v>#N/A N/A</v>
        <stp/>
        <stp>BDP|18122287145328943344</stp>
        <tr r="H1360" s="2"/>
      </tp>
      <tp t="s">
        <v>#N/A N/A</v>
        <stp/>
        <stp>BDP|18408677252236774877</stp>
        <tr r="R1671" s="2"/>
      </tp>
      <tp t="s">
        <v>#N/A N/A</v>
        <stp/>
        <stp>BDP|12460226654083710344</stp>
        <tr r="Q360" s="2"/>
      </tp>
      <tp t="s">
        <v>#N/A N/A</v>
        <stp/>
        <stp>BDP|13745338337910622642</stp>
        <tr r="N1431" s="2"/>
      </tp>
      <tp t="s">
        <v>#N/A N/A</v>
        <stp/>
        <stp>BDP|13049526037277239766</stp>
        <tr r="F886" s="2"/>
      </tp>
      <tp t="s">
        <v>#N/A N/A</v>
        <stp/>
        <stp>BDP|13127754056255503161</stp>
        <tr r="A984" s="2"/>
      </tp>
      <tp t="s">
        <v>#N/A N/A</v>
        <stp/>
        <stp>BDP|15647941723002861986</stp>
        <tr r="R728" s="2"/>
      </tp>
      <tp t="s">
        <v>#N/A N/A</v>
        <stp/>
        <stp>BDP|11470465160434242217</stp>
        <tr r="A274" s="2"/>
      </tp>
      <tp t="s">
        <v>#N/A N/A</v>
        <stp/>
        <stp>BDP|13118900483195376202</stp>
        <tr r="Q646" s="2"/>
      </tp>
      <tp t="s">
        <v>#N/A N/A</v>
        <stp/>
        <stp>BDS|14907606729347677247</stp>
        <tr r="I1289" s="2"/>
      </tp>
      <tp t="s">
        <v>#N/A N/A</v>
        <stp/>
        <stp>BDP|10527715293538744313</stp>
        <tr r="H1434" s="2"/>
      </tp>
      <tp t="s">
        <v>#N/A N/A</v>
        <stp/>
        <stp>BDP|13004174327435676072</stp>
        <tr r="Q1408" s="2"/>
      </tp>
      <tp t="s">
        <v>#N/A N/A</v>
        <stp/>
        <stp>BDP|13672795666374941310</stp>
        <tr r="P1500" s="2"/>
      </tp>
      <tp t="s">
        <v>#N/A N/A</v>
        <stp/>
        <stp>BDP|10216316951742344100</stp>
        <tr r="A7" s="2"/>
      </tp>
      <tp t="s">
        <v>#N/A N/A</v>
        <stp/>
        <stp>BDP|10676209416946146007</stp>
        <tr r="A297" s="2"/>
      </tp>
      <tp t="s">
        <v>#N/A N/A</v>
        <stp/>
        <stp>BDP|11428053139754981315</stp>
        <tr r="M1275" s="2"/>
      </tp>
      <tp t="s">
        <v>#N/A N/A</v>
        <stp/>
        <stp>BDP|11748735433401071179</stp>
        <tr r="M1360" s="2"/>
      </tp>
      <tp t="s">
        <v>#N/A N/A</v>
        <stp/>
        <stp>BDP|15266384860964836123</stp>
        <tr r="K402" s="2"/>
      </tp>
      <tp t="s">
        <v>#N/A N/A</v>
        <stp/>
        <stp>BDP|16139403572599580966</stp>
        <tr r="D599" s="2"/>
      </tp>
      <tp t="s">
        <v>#N/A N/A</v>
        <stp/>
        <stp>BDP|11740621297503288802</stp>
        <tr r="O1702" s="2"/>
      </tp>
      <tp t="s">
        <v>#N/A N/A</v>
        <stp/>
        <stp>BDP|15139428544868082872</stp>
        <tr r="T342" s="2"/>
      </tp>
      <tp t="s">
        <v>#N/A N/A</v>
        <stp/>
        <stp>BDP|10117422263861968694</stp>
        <tr r="J1305" s="2"/>
      </tp>
      <tp t="s">
        <v>#N/A N/A</v>
        <stp/>
        <stp>BDP|15486797058746323463</stp>
        <tr r="A1616" s="2"/>
      </tp>
      <tp t="s">
        <v>#N/A N/A</v>
        <stp/>
        <stp>BDP|12189131804295355356</stp>
        <tr r="N1321" s="2"/>
      </tp>
      <tp t="s">
        <v>#N/A N/A</v>
        <stp/>
        <stp>BDP|10943894587834639113</stp>
        <tr r="Q1486" s="2"/>
      </tp>
      <tp t="s">
        <v>#N/A N/A</v>
        <stp/>
        <stp>BDP|11100553708687453688</stp>
        <tr r="T251" s="2"/>
      </tp>
      <tp t="s">
        <v>#N/A N/A</v>
        <stp/>
        <stp>BDP|17785781658060375046</stp>
        <tr r="F1016" s="2"/>
      </tp>
      <tp t="s">
        <v>#N/A N/A</v>
        <stp/>
        <stp>BDP|14096725948896295485</stp>
        <tr r="K1221" s="2"/>
      </tp>
      <tp t="s">
        <v>#N/A N/A</v>
        <stp/>
        <stp>BDP|16625591950304890776</stp>
        <tr r="Q25" s="2"/>
      </tp>
      <tp t="s">
        <v>#N/A N/A</v>
        <stp/>
        <stp>BDP|14782481314052357683</stp>
        <tr r="C1068" s="2"/>
      </tp>
      <tp t="s">
        <v>#N/A N/A</v>
        <stp/>
        <stp>BDP|17738818035999088034</stp>
        <tr r="F918" s="2"/>
      </tp>
      <tp t="s">
        <v>#N/A N/A</v>
        <stp/>
        <stp>BDP|10709277572393690343</stp>
        <tr r="S1617" s="2"/>
      </tp>
      <tp t="s">
        <v>#N/A N/A</v>
        <stp/>
        <stp>BDP|17150245747242145638</stp>
        <tr r="C223" s="2"/>
      </tp>
      <tp t="s">
        <v>#N/A N/A</v>
        <stp/>
        <stp>BDP|17072262223442289074</stp>
        <tr r="G1518" s="2"/>
      </tp>
      <tp t="s">
        <v>#N/A N/A</v>
        <stp/>
        <stp>BDP|10634416844675074039</stp>
        <tr r="P542" s="2"/>
      </tp>
      <tp t="s">
        <v>#N/A N/A</v>
        <stp/>
        <stp>BDP|15402095579612799537</stp>
        <tr r="Q682" s="2"/>
      </tp>
      <tp t="s">
        <v>#N/A N/A</v>
        <stp/>
        <stp>BDP|15480400264011656360</stp>
        <tr r="R199" s="2"/>
      </tp>
      <tp t="s">
        <v>#N/A N/A</v>
        <stp/>
        <stp>BDP|10496174243213645366</stp>
        <tr r="R165" s="2"/>
      </tp>
      <tp t="s">
        <v>#N/A N/A</v>
        <stp/>
        <stp>BDP|14603465387918172566</stp>
        <tr r="F1731" s="2"/>
      </tp>
      <tp t="s">
        <v>#N/A N/A</v>
        <stp/>
        <stp>BDP|13769452041994642254</stp>
        <tr r="P902" s="2"/>
      </tp>
      <tp t="s">
        <v>#N/A N/A</v>
        <stp/>
        <stp>BDP|17989490557661528221</stp>
        <tr r="M216" s="2"/>
      </tp>
      <tp t="s">
        <v>#N/A N/A</v>
        <stp/>
        <stp>BDP|10659606566651007409</stp>
        <tr r="G1436" s="2"/>
      </tp>
      <tp t="s">
        <v>#N/A N/A</v>
        <stp/>
        <stp>BDP|12686081995856953828</stp>
        <tr r="K782" s="2"/>
      </tp>
      <tp t="s">
        <v>#N/A N/A</v>
        <stp/>
        <stp>BDP|16151678686135102810</stp>
        <tr r="C1316" s="2"/>
      </tp>
      <tp t="s">
        <v>#N/A N/A</v>
        <stp/>
        <stp>BDS|12385170637046217325</stp>
        <tr r="I528" s="2"/>
      </tp>
      <tp t="s">
        <v>#N/A N/A</v>
        <stp/>
        <stp>BDP|16307158152635326270</stp>
        <tr r="E766" s="2"/>
      </tp>
      <tp t="s">
        <v>#N/A N/A</v>
        <stp/>
        <stp>BDP|12943663016989084995</stp>
        <tr r="H183" s="2"/>
      </tp>
      <tp t="s">
        <v>#N/A N/A</v>
        <stp/>
        <stp>BDP|16445666118151978537</stp>
        <tr r="N540" s="2"/>
      </tp>
      <tp t="s">
        <v>#N/A N/A</v>
        <stp/>
        <stp>BDP|16069147549060440696</stp>
        <tr r="S1278" s="2"/>
      </tp>
      <tp t="s">
        <v>#N/A N/A</v>
        <stp/>
        <stp>BDP|13425539466742470758</stp>
        <tr r="R420" s="2"/>
      </tp>
      <tp t="s">
        <v>#N/A N/A</v>
        <stp/>
        <stp>BDP|13607380078222140075</stp>
        <tr r="C1225" s="2"/>
      </tp>
      <tp t="s">
        <v>#N/A N/A</v>
        <stp/>
        <stp>BDP|14112484584755865857</stp>
        <tr r="T660" s="2"/>
      </tp>
      <tp t="s">
        <v>#N/A N/A</v>
        <stp/>
        <stp>BDP|16969816398794742670</stp>
        <tr r="E250" s="2"/>
      </tp>
      <tp t="s">
        <v>#N/A N/A</v>
        <stp/>
        <stp>BDP|16078446373301553125</stp>
        <tr r="J182" s="2"/>
      </tp>
      <tp t="s">
        <v>#N/A N/A</v>
        <stp/>
        <stp>BDP|10527530861110274656</stp>
        <tr r="E1419" s="2"/>
      </tp>
      <tp t="s">
        <v>#N/A N/A</v>
        <stp/>
        <stp>BDP|11637432878986592183</stp>
        <tr r="Q1285" s="2"/>
      </tp>
      <tp t="s">
        <v>#N/A N/A</v>
        <stp/>
        <stp>BDP|12795460443951112633</stp>
        <tr r="S1092" s="2"/>
      </tp>
      <tp t="s">
        <v>#N/A N/A</v>
        <stp/>
        <stp>BDP|17132830974545719815</stp>
        <tr r="N38" s="2"/>
      </tp>
      <tp t="s">
        <v>#N/A N/A</v>
        <stp/>
        <stp>BDP|16435793347406335695</stp>
        <tr r="H1353" s="2"/>
      </tp>
      <tp t="s">
        <v>#N/A N/A</v>
        <stp/>
        <stp>BDP|17633576833216568273</stp>
        <tr r="P1374" s="2"/>
      </tp>
      <tp t="s">
        <v>#N/A N/A</v>
        <stp/>
        <stp>BDP|15343055595178178126</stp>
        <tr r="K352" s="2"/>
      </tp>
      <tp t="s">
        <v>#N/A N/A</v>
        <stp/>
        <stp>BDP|10464226760058602901</stp>
        <tr r="A373" s="2"/>
      </tp>
      <tp t="s">
        <v>#N/A N/A</v>
        <stp/>
        <stp>BDP|13776704246125106003</stp>
        <tr r="F1186" s="2"/>
      </tp>
      <tp t="s">
        <v>#N/A N/A</v>
        <stp/>
        <stp>BDP|16703541776363041257</stp>
        <tr r="N1698" s="2"/>
      </tp>
      <tp t="s">
        <v>#N/A N/A</v>
        <stp/>
        <stp>BDP|10701347263224808485</stp>
        <tr r="K951" s="2"/>
      </tp>
      <tp t="s">
        <v>#N/A N/A</v>
        <stp/>
        <stp>BDP|14197991802741871928</stp>
        <tr r="G653" s="2"/>
      </tp>
      <tp t="s">
        <v>#N/A N/A</v>
        <stp/>
        <stp>BDP|13113700746175784008</stp>
        <tr r="K1728" s="2"/>
      </tp>
      <tp t="s">
        <v>#N/A N/A</v>
        <stp/>
        <stp>BDP|15375814417060211972</stp>
        <tr r="H962" s="2"/>
      </tp>
      <tp t="s">
        <v>#N/A N/A</v>
        <stp/>
        <stp>BDP|14876908843395994925</stp>
        <tr r="D1710" s="2"/>
      </tp>
      <tp t="s">
        <v>#N/A N/A</v>
        <stp/>
        <stp>BDP|10871380327031153562</stp>
        <tr r="E1525" s="2"/>
      </tp>
      <tp t="s">
        <v>#N/A N/A</v>
        <stp/>
        <stp>BDP|13443670371725160235</stp>
        <tr r="N116" s="2"/>
      </tp>
      <tp t="s">
        <v>#N/A N/A</v>
        <stp/>
        <stp>BDP|16774467268386850711</stp>
        <tr r="J1601" s="2"/>
      </tp>
      <tp t="s">
        <v>#N/A N/A</v>
        <stp/>
        <stp>BDP|17177497319655790268</stp>
        <tr r="E1602" s="2"/>
      </tp>
      <tp t="s">
        <v>#N/A N/A</v>
        <stp/>
        <stp>BDS|12348856251633178954</stp>
        <tr r="I1150" s="2"/>
      </tp>
      <tp t="s">
        <v>#N/A N/A</v>
        <stp/>
        <stp>BDP|11370616158105361291</stp>
        <tr r="A24" s="2"/>
      </tp>
      <tp t="s">
        <v>#N/A N/A</v>
        <stp/>
        <stp>BDP|16418308465094356229</stp>
        <tr r="E1236" s="2"/>
      </tp>
      <tp t="s">
        <v>#N/A N/A</v>
        <stp/>
        <stp>BDP|17328454254277692449</stp>
        <tr r="O696" s="2"/>
      </tp>
      <tp t="s">
        <v>#N/A N/A</v>
        <stp/>
        <stp>BDP|11827074862304566687</stp>
        <tr r="H1547" s="2"/>
      </tp>
      <tp t="s">
        <v>#N/A N/A</v>
        <stp/>
        <stp>BDP|16534287884118827113</stp>
        <tr r="K779" s="2"/>
      </tp>
      <tp t="s">
        <v>#N/A N/A</v>
        <stp/>
        <stp>BDP|11414231711327467021</stp>
        <tr r="R1176" s="2"/>
      </tp>
      <tp t="s">
        <v>#N/A N/A</v>
        <stp/>
        <stp>BDP|14014698976708411884</stp>
        <tr r="N317" s="2"/>
      </tp>
      <tp t="s">
        <v>#N/A N/A</v>
        <stp/>
        <stp>BDP|12208082608011417658</stp>
        <tr r="R1515" s="2"/>
      </tp>
      <tp t="s">
        <v>#N/A N/A</v>
        <stp/>
        <stp>BDP|10049868631196433805</stp>
        <tr r="C94" s="2"/>
      </tp>
      <tp t="s">
        <v>#N/A N/A</v>
        <stp/>
        <stp>BDP|16435849196016166447</stp>
        <tr r="J1582" s="2"/>
      </tp>
      <tp t="s">
        <v>#N/A N/A</v>
        <stp/>
        <stp>BDP|15194467954463189219</stp>
        <tr r="A915" s="2"/>
      </tp>
      <tp t="s">
        <v>#N/A N/A</v>
        <stp/>
        <stp>BDP|16185175570781646434</stp>
        <tr r="O105" s="2"/>
      </tp>
      <tp t="s">
        <v>#N/A N/A</v>
        <stp/>
        <stp>BDP|13319288133224271396</stp>
        <tr r="F1048" s="2"/>
      </tp>
      <tp t="s">
        <v>#N/A N/A</v>
        <stp/>
        <stp>BDP|17652086006225931728</stp>
        <tr r="J1146" s="2"/>
      </tp>
      <tp t="s">
        <v>#N/A N/A</v>
        <stp/>
        <stp>BDP|11291811382324702051</stp>
        <tr r="F1148" s="2"/>
      </tp>
      <tp t="s">
        <v>#N/A N/A</v>
        <stp/>
        <stp>BDP|14374611631877847380</stp>
        <tr r="M676" s="2"/>
      </tp>
      <tp t="s">
        <v>#N/A N/A</v>
        <stp/>
        <stp>BDP|14767773058165284695</stp>
        <tr r="M999" s="2"/>
      </tp>
      <tp t="s">
        <v>#N/A N/A</v>
        <stp/>
        <stp>BDP|13473477875803380668</stp>
        <tr r="K235" s="2"/>
      </tp>
      <tp t="s">
        <v>#N/A N/A</v>
        <stp/>
        <stp>BDP|10754099265702130190</stp>
        <tr r="P1081" s="2"/>
      </tp>
      <tp t="s">
        <v>#N/A N/A</v>
        <stp/>
        <stp>BDP|12599030467278133937</stp>
        <tr r="D1166" s="2"/>
      </tp>
      <tp t="s">
        <v>#N/A N/A</v>
        <stp/>
        <stp>BDP|17497170514023458103</stp>
        <tr r="E1335" s="2"/>
      </tp>
      <tp t="s">
        <v>#N/A N/A</v>
        <stp/>
        <stp>BDP|13447900452883147946</stp>
        <tr r="P1106" s="2"/>
      </tp>
      <tp t="s">
        <v>#N/A N/A</v>
        <stp/>
        <stp>BDP|13205728764551378644</stp>
        <tr r="A1741" s="2"/>
      </tp>
      <tp t="s">
        <v>#N/A N/A</v>
        <stp/>
        <stp>BDP|10243363111222799512</stp>
        <tr r="E1084" s="2"/>
      </tp>
      <tp t="s">
        <v>#N/A N/A</v>
        <stp/>
        <stp>BDP|11790891760718991248</stp>
        <tr r="S1251" s="2"/>
      </tp>
      <tp t="s">
        <v>#N/A N/A</v>
        <stp/>
        <stp>BDP|17706826887064009618</stp>
        <tr r="P1588" s="2"/>
      </tp>
      <tp t="s">
        <v>#N/A N/A</v>
        <stp/>
        <stp>BDP|16074193861651386587</stp>
        <tr r="M273" s="2"/>
      </tp>
      <tp t="s">
        <v>#N/A N/A</v>
        <stp/>
        <stp>BDP|16878212590169985131</stp>
        <tr r="R397" s="2"/>
      </tp>
      <tp t="s">
        <v>#N/A N/A</v>
        <stp/>
        <stp>BDP|15325712440310467358</stp>
        <tr r="D1624" s="2"/>
      </tp>
      <tp t="s">
        <v>#N/A N/A</v>
        <stp/>
        <stp>BDP|12711251546575205458</stp>
        <tr r="O1348" s="2"/>
      </tp>
      <tp t="s">
        <v>#N/A N/A</v>
        <stp/>
        <stp>BDP|12848422623567989636</stp>
        <tr r="M1118" s="2"/>
      </tp>
      <tp t="s">
        <v>#N/A N/A</v>
        <stp/>
        <stp>BDS|14965143628876318460</stp>
        <tr r="I1284" s="2"/>
      </tp>
      <tp t="s">
        <v>#N/A N/A</v>
        <stp/>
        <stp>BDP|15856449048686400636</stp>
        <tr r="J1208" s="2"/>
      </tp>
      <tp t="s">
        <v>#N/A N/A</v>
        <stp/>
        <stp>BDP|17718406703897238150</stp>
        <tr r="C1365" s="2"/>
      </tp>
      <tp t="s">
        <v>#N/A N/A</v>
        <stp/>
        <stp>BDP|17688661791159252401</stp>
        <tr r="D892" s="2"/>
      </tp>
      <tp t="s">
        <v>#N/A N/A</v>
        <stp/>
        <stp>BDP|13495747372213340524</stp>
        <tr r="J686" s="2"/>
      </tp>
      <tp t="s">
        <v>#N/A N/A</v>
        <stp/>
        <stp>BDP|10402498087319102087</stp>
        <tr r="P1597" s="2"/>
      </tp>
      <tp t="s">
        <v>#N/A N/A</v>
        <stp/>
        <stp>BDP|13519549941443137423</stp>
        <tr r="G170" s="2"/>
      </tp>
      <tp t="s">
        <v>#N/A N/A</v>
        <stp/>
        <stp>BDP|14591995784646901626</stp>
        <tr r="T1318" s="2"/>
      </tp>
      <tp t="s">
        <v>#N/A N/A</v>
        <stp/>
        <stp>BDP|13622459812961697248</stp>
        <tr r="P172" s="2"/>
      </tp>
      <tp t="s">
        <v>#N/A N/A</v>
        <stp/>
        <stp>BDP|17254238947923168741</stp>
        <tr r="H1106" s="2"/>
      </tp>
      <tp t="s">
        <v>#N/A N/A</v>
        <stp/>
        <stp>BDP|13695547276957212355</stp>
        <tr r="S436" s="2"/>
      </tp>
      <tp t="s">
        <v>#N/A N/A</v>
        <stp/>
        <stp>BDP|13769432352255435217</stp>
        <tr r="F142" s="2"/>
      </tp>
      <tp t="s">
        <v>#N/A N/A</v>
        <stp/>
        <stp>BDP|11532755233654271426</stp>
        <tr r="E401" s="2"/>
      </tp>
      <tp t="s">
        <v>#N/A N/A</v>
        <stp/>
        <stp>BDP|14405155027616052457</stp>
        <tr r="A1661" s="2"/>
      </tp>
      <tp t="s">
        <v>#N/A N/A</v>
        <stp/>
        <stp>BDS|10584005161707782432</stp>
        <tr r="I397" s="2"/>
      </tp>
      <tp t="s">
        <v>#N/A N/A</v>
        <stp/>
        <stp>BDP|14514543505032464634</stp>
        <tr r="H319" s="2"/>
      </tp>
      <tp t="s">
        <v>#N/A N/A</v>
        <stp/>
        <stp>BDP|15603619221802510600</stp>
        <tr r="J1478" s="2"/>
      </tp>
      <tp t="s">
        <v>#N/A N/A</v>
        <stp/>
        <stp>BDP|11203606936984172568</stp>
        <tr r="F410" s="2"/>
      </tp>
      <tp t="s">
        <v>#N/A N/A</v>
        <stp/>
        <stp>BDP|12540614773797362176</stp>
        <tr r="T1304" s="2"/>
      </tp>
      <tp t="s">
        <v>#N/A N/A</v>
        <stp/>
        <stp>BDP|12784468232900469048</stp>
        <tr r="R685" s="2"/>
      </tp>
      <tp t="s">
        <v>#N/A N/A</v>
        <stp/>
        <stp>BDP|14664357221189621975</stp>
        <tr r="M1383" s="2"/>
      </tp>
      <tp t="s">
        <v>#N/A N/A</v>
        <stp/>
        <stp>BDP|11047367203116701115</stp>
        <tr r="R610" s="2"/>
      </tp>
      <tp t="s">
        <v>#N/A N/A</v>
        <stp/>
        <stp>BDP|17476476430001745472</stp>
        <tr r="Q1478" s="2"/>
      </tp>
      <tp t="s">
        <v>#N/A N/A</v>
        <stp/>
        <stp>BDP|11188229303484647257</stp>
        <tr r="J1712" s="2"/>
      </tp>
      <tp t="s">
        <v>#N/A N/A</v>
        <stp/>
        <stp>BDP|14162205267453472616</stp>
        <tr r="T1000" s="2"/>
      </tp>
      <tp t="s">
        <v>#N/A N/A</v>
        <stp/>
        <stp>BDP|16430858432678993092</stp>
        <tr r="G1660" s="2"/>
      </tp>
      <tp t="s">
        <v>#N/A N/A</v>
        <stp/>
        <stp>BDP|15679631103323461516</stp>
        <tr r="T707" s="2"/>
      </tp>
      <tp t="s">
        <v>#N/A N/A</v>
        <stp/>
        <stp>BDP|15352654827196759250</stp>
        <tr r="T93" s="2"/>
      </tp>
      <tp t="s">
        <v>#N/A N/A</v>
        <stp/>
        <stp>BDP|10422407175027544174</stp>
        <tr r="K651" s="2"/>
      </tp>
      <tp t="s">
        <v>#N/A N/A</v>
        <stp/>
        <stp>BDP|10675247504777530001</stp>
        <tr r="O254" s="2"/>
      </tp>
      <tp t="s">
        <v>#N/A N/A</v>
        <stp/>
        <stp>BDP|15841922189337395639</stp>
        <tr r="E1098" s="2"/>
      </tp>
      <tp t="s">
        <v>#N/A N/A</v>
        <stp/>
        <stp>BDP|16548046804054025765</stp>
        <tr r="N721" s="2"/>
      </tp>
      <tp t="s">
        <v>#N/A N/A</v>
        <stp/>
        <stp>BDP|14086717227626645238</stp>
        <tr r="K291" s="2"/>
      </tp>
      <tp t="s">
        <v>#N/A N/A</v>
        <stp/>
        <stp>BDP|16846196546367728137</stp>
        <tr r="S615" s="2"/>
      </tp>
      <tp t="s">
        <v>#N/A N/A</v>
        <stp/>
        <stp>BDP|18328762863684434811</stp>
        <tr r="T1040" s="2"/>
      </tp>
      <tp t="s">
        <v>#N/A N/A</v>
        <stp/>
        <stp>BDP|15240398321860982108</stp>
        <tr r="F71" s="2"/>
      </tp>
      <tp t="s">
        <v>#N/A N/A</v>
        <stp/>
        <stp>BDP|14335435332147442157</stp>
        <tr r="C1137" s="2"/>
      </tp>
      <tp t="s">
        <v>#N/A N/A</v>
        <stp/>
        <stp>BDP|16751180239037763627</stp>
        <tr r="G1478" s="2"/>
      </tp>
      <tp t="s">
        <v>#N/A N/A</v>
        <stp/>
        <stp>BDP|17470522173566354651</stp>
        <tr r="D1316" s="2"/>
      </tp>
      <tp t="s">
        <v>#N/A N/A</v>
        <stp/>
        <stp>BDP|10201173944028428865</stp>
        <tr r="S907" s="2"/>
      </tp>
      <tp t="s">
        <v>#N/A N/A</v>
        <stp/>
        <stp>BDP|15164082909923301316</stp>
        <tr r="O826" s="2"/>
      </tp>
      <tp t="s">
        <v>#N/A N/A</v>
        <stp/>
        <stp>BDP|14554436261994158744</stp>
        <tr r="C1236" s="2"/>
      </tp>
      <tp t="s">
        <v>#N/A N/A</v>
        <stp/>
        <stp>BDP|17982947288210100366</stp>
        <tr r="K275" s="2"/>
      </tp>
      <tp t="s">
        <v>#N/A N/A</v>
        <stp/>
        <stp>BDP|15292358444056421158</stp>
        <tr r="A1178" s="2"/>
      </tp>
      <tp t="s">
        <v>#N/A N/A</v>
        <stp/>
        <stp>BDP|15752038878671742695</stp>
        <tr r="N790" s="2"/>
      </tp>
      <tp t="s">
        <v>#N/A N/A</v>
        <stp/>
        <stp>BDP|14233489514296466284</stp>
        <tr r="F1611" s="2"/>
      </tp>
      <tp t="s">
        <v>#N/A N/A</v>
        <stp/>
        <stp>BDP|11251060834953369410</stp>
        <tr r="M1023" s="2"/>
      </tp>
      <tp t="s">
        <v>#N/A N/A</v>
        <stp/>
        <stp>BDP|15830498213434876182</stp>
        <tr r="A182" s="2"/>
      </tp>
      <tp t="s">
        <v>#N/A N/A</v>
        <stp/>
        <stp>BDP|11033128167262457136</stp>
        <tr r="D1506" s="2"/>
      </tp>
      <tp t="s">
        <v>#N/A N/A</v>
        <stp/>
        <stp>BDP|10953828528838688774</stp>
        <tr r="C1741" s="2"/>
      </tp>
      <tp t="s">
        <v>#N/A N/A</v>
        <stp/>
        <stp>BDP|17256925792987337533</stp>
        <tr r="D1021" s="2"/>
      </tp>
      <tp t="s">
        <v>#N/A N/A</v>
        <stp/>
        <stp>BDP|17754252779744009399</stp>
        <tr r="S28" s="2"/>
      </tp>
      <tp t="s">
        <v>#N/A N/A</v>
        <stp/>
        <stp>BDP|11102638179033095698</stp>
        <tr r="K242" s="2"/>
      </tp>
      <tp t="s">
        <v>#N/A N/A</v>
        <stp/>
        <stp>BDP|11539095409922329644</stp>
        <tr r="D472" s="2"/>
      </tp>
      <tp t="s">
        <v>#N/A N/A</v>
        <stp/>
        <stp>BDP|13583633253402400736</stp>
        <tr r="F579" s="2"/>
      </tp>
      <tp t="s">
        <v>#N/A N/A</v>
        <stp/>
        <stp>BDP|13123355850813436324</stp>
        <tr r="A1165" s="2"/>
      </tp>
      <tp t="s">
        <v>#N/A N/A</v>
        <stp/>
        <stp>BDP|15544371913853309105</stp>
        <tr r="J420" s="2"/>
      </tp>
      <tp t="s">
        <v>#N/A N/A</v>
        <stp/>
        <stp>BDP|15514658323472850690</stp>
        <tr r="G1212" s="2"/>
      </tp>
      <tp t="s">
        <v>#N/A N/A</v>
        <stp/>
        <stp>BDP|15174093655386685390</stp>
        <tr r="S204" s="2"/>
      </tp>
      <tp t="s">
        <v>#N/A N/A</v>
        <stp/>
        <stp>BDP|14001233102936470572</stp>
        <tr r="E872" s="2"/>
      </tp>
      <tp t="s">
        <v>#N/A N/A</v>
        <stp/>
        <stp>BDP|13391763813363066342</stp>
        <tr r="T337" s="2"/>
      </tp>
      <tp t="s">
        <v>#N/A N/A</v>
        <stp/>
        <stp>BDP|11413231231032388775</stp>
        <tr r="D370" s="2"/>
      </tp>
      <tp t="s">
        <v>#N/A N/A</v>
        <stp/>
        <stp>BDP|12999586924162431230</stp>
        <tr r="J823" s="2"/>
      </tp>
      <tp t="s">
        <v>#N/A N/A</v>
        <stp/>
        <stp>BDP|13244635908245269598</stp>
        <tr r="T1470" s="2"/>
      </tp>
      <tp t="s">
        <v>#N/A N/A</v>
        <stp/>
        <stp>BDP|18228738885896583436</stp>
        <tr r="F324" s="2"/>
      </tp>
      <tp t="s">
        <v>#N/A N/A</v>
        <stp/>
        <stp>BDP|11354505127330360359</stp>
        <tr r="C577" s="2"/>
      </tp>
      <tp t="s">
        <v>#N/A N/A</v>
        <stp/>
        <stp>BDP|12961276739807670133</stp>
        <tr r="G1592" s="2"/>
      </tp>
      <tp t="s">
        <v>#N/A N/A</v>
        <stp/>
        <stp>BDP|11103414535947673416</stp>
        <tr r="D661" s="2"/>
      </tp>
      <tp t="s">
        <v>#N/A N/A</v>
        <stp/>
        <stp>BDP|18390036498297370399</stp>
        <tr r="S884" s="2"/>
      </tp>
      <tp t="s">
        <v>#N/A N/A</v>
        <stp/>
        <stp>BDP|13771435657194115301</stp>
        <tr r="N233" s="2"/>
      </tp>
      <tp t="s">
        <v>#N/A N/A</v>
        <stp/>
        <stp>BDP|14240242522601144077</stp>
        <tr r="R1704" s="2"/>
      </tp>
      <tp t="s">
        <v>#N/A N/A</v>
        <stp/>
        <stp>BDP|14060723785979563709</stp>
        <tr r="E1693" s="2"/>
      </tp>
      <tp t="s">
        <v>#N/A N/A</v>
        <stp/>
        <stp>BDP|17941266538320245376</stp>
        <tr r="E811" s="2"/>
      </tp>
      <tp t="s">
        <v>#N/A N/A</v>
        <stp/>
        <stp>BDP|10238391666454826476</stp>
        <tr r="T331" s="2"/>
      </tp>
      <tp t="s">
        <v>#N/A N/A</v>
        <stp/>
        <stp>BDP|18395001952329303109</stp>
        <tr r="A717" s="2"/>
      </tp>
      <tp t="s">
        <v>#N/A N/A</v>
        <stp/>
        <stp>BDP|11745774994503700917</stp>
        <tr r="C1685" s="2"/>
      </tp>
      <tp t="s">
        <v>#N/A N/A</v>
        <stp/>
        <stp>BDS|14968349600522980050</stp>
        <tr r="I617" s="2"/>
      </tp>
      <tp t="s">
        <v>#N/A N/A</v>
        <stp/>
        <stp>BDP|17522221162092723403</stp>
        <tr r="M1110" s="2"/>
      </tp>
      <tp t="s">
        <v>#N/A N/A</v>
        <stp/>
        <stp>BDP|14293229845144344347</stp>
        <tr r="G213" s="2"/>
      </tp>
      <tp t="s">
        <v>#N/A N/A</v>
        <stp/>
        <stp>BDP|10352796639594309524</stp>
        <tr r="M1213" s="2"/>
      </tp>
      <tp t="s">
        <v>#N/A N/A</v>
        <stp/>
        <stp>BDP|12346292036171761793</stp>
        <tr r="M1589" s="2"/>
      </tp>
      <tp t="s">
        <v>#N/A N/A</v>
        <stp/>
        <stp>BDP|15930334716626727491</stp>
        <tr r="T1467" s="2"/>
      </tp>
      <tp t="s">
        <v>#N/A N/A</v>
        <stp/>
        <stp>BDP|14263165910036234741</stp>
        <tr r="R1539" s="2"/>
      </tp>
      <tp t="s">
        <v>#N/A N/A</v>
        <stp/>
        <stp>BDP|12469755159283369696</stp>
        <tr r="D1567" s="2"/>
      </tp>
      <tp t="s">
        <v>#N/A N/A</v>
        <stp/>
        <stp>BDP|10560060946486455736</stp>
        <tr r="M756" s="2"/>
      </tp>
      <tp t="s">
        <v>#N/A N/A</v>
        <stp/>
        <stp>BDP|12847909058948064323</stp>
        <tr r="D1106" s="2"/>
      </tp>
      <tp t="s">
        <v>#N/A N/A</v>
        <stp/>
        <stp>BDP|16544988781665792792</stp>
        <tr r="P1198" s="2"/>
      </tp>
      <tp t="s">
        <v>#N/A N/A</v>
        <stp/>
        <stp>BDP|10269047974886915498</stp>
        <tr r="A1271" s="2"/>
      </tp>
      <tp t="s">
        <v>#N/A N/A</v>
        <stp/>
        <stp>BDP|10666703078072934756</stp>
        <tr r="T583" s="2"/>
      </tp>
      <tp t="s">
        <v>#N/A N/A</v>
        <stp/>
        <stp>BDP|17950408371067283685</stp>
        <tr r="E87" s="2"/>
      </tp>
      <tp t="s">
        <v>#N/A N/A</v>
        <stp/>
        <stp>BDP|14060743553871093254</stp>
        <tr r="K230" s="2"/>
      </tp>
      <tp t="s">
        <v>#N/A N/A</v>
        <stp/>
        <stp>BDP|11125604563615918196</stp>
        <tr r="S262" s="2"/>
      </tp>
      <tp t="s">
        <v>#N/A N/A</v>
        <stp/>
        <stp>BDP|13286064980057623909</stp>
        <tr r="T1355" s="2"/>
      </tp>
      <tp t="s">
        <v>#N/A N/A</v>
        <stp/>
        <stp>BDP|13264181283586366983</stp>
        <tr r="S1246" s="2"/>
      </tp>
      <tp t="s">
        <v>#N/A N/A</v>
        <stp/>
        <stp>BDP|17310833946206711836</stp>
        <tr r="F1448" s="2"/>
      </tp>
      <tp t="s">
        <v>#N/A N/A</v>
        <stp/>
        <stp>BDP|11466558153510852489</stp>
        <tr r="A477" s="2"/>
      </tp>
      <tp t="s">
        <v>#N/A N/A</v>
        <stp/>
        <stp>BDP|10674450060170644775</stp>
        <tr r="G42" s="2"/>
      </tp>
      <tp t="s">
        <v>#N/A N/A</v>
        <stp/>
        <stp>BDP|11061468821682590006</stp>
        <tr r="P207" s="2"/>
      </tp>
      <tp t="s">
        <v>#N/A N/A</v>
        <stp/>
        <stp>BDP|11457288362555893546</stp>
        <tr r="M1497" s="2"/>
      </tp>
      <tp t="s">
        <v>#N/A N/A</v>
        <stp/>
        <stp>BDP|18367442613048357056</stp>
        <tr r="G681" s="2"/>
      </tp>
      <tp t="s">
        <v>#N/A N/A</v>
        <stp/>
        <stp>BDP|13228459205233576158</stp>
        <tr r="N920" s="2"/>
      </tp>
      <tp t="s">
        <v>#N/A N/A</v>
        <stp/>
        <stp>BDP|13755346961315908696</stp>
        <tr r="G47" s="2"/>
      </tp>
      <tp t="s">
        <v>#N/A N/A</v>
        <stp/>
        <stp>BDP|16826613732155920304</stp>
        <tr r="E1388" s="2"/>
      </tp>
      <tp t="s">
        <v>#N/A N/A</v>
        <stp/>
        <stp>BDP|16149554613142109547</stp>
        <tr r="D1387" s="2"/>
      </tp>
      <tp t="s">
        <v>#N/A N/A</v>
        <stp/>
        <stp>BDP|10838532358594187109</stp>
        <tr r="F718" s="2"/>
      </tp>
      <tp t="s">
        <v>#N/A N/A</v>
        <stp/>
        <stp>BDP|13655534631836442628</stp>
        <tr r="T1072" s="2"/>
      </tp>
      <tp t="s">
        <v>#N/A N/A</v>
        <stp/>
        <stp>BDP|11512176601647069213</stp>
        <tr r="M565" s="2"/>
      </tp>
      <tp t="s">
        <v>#N/A N/A</v>
        <stp/>
        <stp>BDP|12586317716844088174</stp>
        <tr r="J640" s="2"/>
      </tp>
      <tp t="s">
        <v>#N/A N/A</v>
        <stp/>
        <stp>BDP|16875593605885035314</stp>
        <tr r="T1643" s="2"/>
      </tp>
      <tp t="s">
        <v>#N/A N/A</v>
        <stp/>
        <stp>BDS|13730581036886611690</stp>
        <tr r="I1098" s="2"/>
      </tp>
      <tp t="s">
        <v>#N/A N/A</v>
        <stp/>
        <stp>BDP|16511902114443150859</stp>
        <tr r="S681" s="2"/>
      </tp>
      <tp t="s">
        <v>#N/A N/A</v>
        <stp/>
        <stp>BDP|11962198757633547377</stp>
        <tr r="E1370" s="2"/>
      </tp>
      <tp t="s">
        <v>#N/A N/A</v>
        <stp/>
        <stp>BDP|14124424659236674699</stp>
        <tr r="C71" s="2"/>
      </tp>
      <tp t="s">
        <v>#N/A N/A</v>
        <stp/>
        <stp>BDP|12782971781123766534</stp>
        <tr r="Q83" s="2"/>
      </tp>
      <tp t="s">
        <v>#N/A N/A</v>
        <stp/>
        <stp>BDP|12173900076171356819</stp>
        <tr r="S464" s="2"/>
      </tp>
      <tp t="s">
        <v>#N/A N/A</v>
        <stp/>
        <stp>BDP|17657013772291788475</stp>
        <tr r="O1363" s="2"/>
      </tp>
      <tp t="s">
        <v>#N/A N/A</v>
        <stp/>
        <stp>BDP|13080637567717594148</stp>
        <tr r="J1511" s="2"/>
      </tp>
      <tp t="s">
        <v>#N/A N/A</v>
        <stp/>
        <stp>BDP|10447759238604871544</stp>
        <tr r="R1677" s="2"/>
      </tp>
      <tp t="s">
        <v>#N/A N/A</v>
        <stp/>
        <stp>BDP|14526338003550612266</stp>
        <tr r="K383" s="2"/>
      </tp>
      <tp t="s">
        <v>#N/A N/A</v>
        <stp/>
        <stp>BDP|15396266274704606120</stp>
        <tr r="F954" s="2"/>
      </tp>
      <tp t="s">
        <v>#N/A N/A</v>
        <stp/>
        <stp>BDP|13585761796481234920</stp>
        <tr r="S740" s="2"/>
      </tp>
      <tp t="s">
        <v>#N/A N/A</v>
        <stp/>
        <stp>BDP|17310385016562898206</stp>
        <tr r="G1082" s="2"/>
      </tp>
      <tp t="s">
        <v>#N/A N/A</v>
        <stp/>
        <stp>BDP|10778520740676180217</stp>
        <tr r="Q1233" s="2"/>
      </tp>
      <tp t="s">
        <v>#N/A N/A</v>
        <stp/>
        <stp>BDP|11221143410033590766</stp>
        <tr r="D775" s="2"/>
      </tp>
      <tp t="s">
        <v>#N/A N/A</v>
        <stp/>
        <stp>BDP|14540949494811433048</stp>
        <tr r="E1241" s="2"/>
      </tp>
      <tp t="s">
        <v>#N/A N/A</v>
        <stp/>
        <stp>BDP|15083386711757956551</stp>
        <tr r="J1353" s="2"/>
      </tp>
      <tp t="s">
        <v>#N/A N/A</v>
        <stp/>
        <stp>BDP|18355318506439314725</stp>
        <tr r="Q1255" s="2"/>
      </tp>
      <tp t="s">
        <v>#N/A N/A</v>
        <stp/>
        <stp>BDS|18047805606982608765</stp>
        <tr r="I1576" s="2"/>
      </tp>
      <tp t="s">
        <v>#N/A N/A</v>
        <stp/>
        <stp>BDP|14484415879957909509</stp>
        <tr r="O635" s="2"/>
      </tp>
      <tp t="s">
        <v>#N/A N/A</v>
        <stp/>
        <stp>BDP|14035818184185223424</stp>
        <tr r="R438" s="2"/>
      </tp>
      <tp t="s">
        <v>#N/A N/A</v>
        <stp/>
        <stp>BDP|14090070278280963631</stp>
        <tr r="G1681" s="2"/>
      </tp>
      <tp t="s">
        <v>#N/A N/A</v>
        <stp/>
        <stp>BDP|16302133922975234555</stp>
        <tr r="J1330" s="2"/>
      </tp>
      <tp t="s">
        <v>#N/A N/A</v>
        <stp/>
        <stp>BDP|17202075469841008591</stp>
        <tr r="F376" s="2"/>
      </tp>
      <tp t="s">
        <v>#N/A N/A</v>
        <stp/>
        <stp>BDP|16643882255557661989</stp>
        <tr r="P391" s="2"/>
      </tp>
      <tp t="s">
        <v>#N/A N/A</v>
        <stp/>
        <stp>BDP|12166643791148049013</stp>
        <tr r="S1160" s="2"/>
      </tp>
      <tp t="s">
        <v>#N/A N/A</v>
        <stp/>
        <stp>BDP|18219204917118604667</stp>
        <tr r="F789" s="2"/>
      </tp>
      <tp t="s">
        <v>#N/A N/A</v>
        <stp/>
        <stp>BDP|11113219013367002068</stp>
        <tr r="C637" s="2"/>
      </tp>
      <tp t="s">
        <v>#N/A N/A</v>
        <stp/>
        <stp>BDP|16294885328330083974</stp>
        <tr r="Q1685" s="2"/>
      </tp>
      <tp t="s">
        <v>#N/A N/A</v>
        <stp/>
        <stp>BDP|17576597119724123216</stp>
        <tr r="R1078" s="2"/>
      </tp>
      <tp t="s">
        <v>#N/A N/A</v>
        <stp/>
        <stp>BDP|12013661125444437724</stp>
        <tr r="O1073" s="2"/>
      </tp>
      <tp t="s">
        <v>#N/A N/A</v>
        <stp/>
        <stp>BDP|16084305828977557583</stp>
        <tr r="K898" s="2"/>
      </tp>
      <tp t="s">
        <v>#N/A N/A</v>
        <stp/>
        <stp>BDP|12959835451848721298</stp>
        <tr r="K1736" s="2"/>
      </tp>
      <tp t="s">
        <v>#N/A N/A</v>
        <stp/>
        <stp>BDP|11528317764088772920</stp>
        <tr r="J703" s="2"/>
      </tp>
      <tp t="s">
        <v>#N/A N/A</v>
        <stp/>
        <stp>BDP|14656404295308047464</stp>
        <tr r="R129" s="2"/>
      </tp>
      <tp t="s">
        <v>#N/A N/A</v>
        <stp/>
        <stp>BDP|14720904283461936183</stp>
        <tr r="H369" s="2"/>
      </tp>
      <tp t="s">
        <v>#N/A N/A</v>
        <stp/>
        <stp>BDP|11670211447704088658</stp>
        <tr r="R1739" s="2"/>
      </tp>
      <tp t="s">
        <v>#N/A N/A</v>
        <stp/>
        <stp>BDP|10863884767032068925</stp>
        <tr r="S97" s="2"/>
      </tp>
      <tp t="s">
        <v>#N/A N/A</v>
        <stp/>
        <stp>BDP|17070841463395055921</stp>
        <tr r="T987" s="2"/>
      </tp>
      <tp t="s">
        <v>#N/A N/A</v>
        <stp/>
        <stp>BDP|13350313442537472615</stp>
        <tr r="R783" s="2"/>
      </tp>
      <tp t="s">
        <v>#N/A N/A</v>
        <stp/>
        <stp>BDP|15392538142362470334</stp>
        <tr r="H597" s="2"/>
      </tp>
      <tp t="s">
        <v>#N/A N/A</v>
        <stp/>
        <stp>BDP|15147057666637615115</stp>
        <tr r="H118" s="2"/>
      </tp>
      <tp t="s">
        <v>#N/A N/A</v>
        <stp/>
        <stp>BDP|10670713303585150704</stp>
        <tr r="R1397" s="2"/>
      </tp>
      <tp t="s">
        <v>#N/A N/A</v>
        <stp/>
        <stp>BDP|11630209092118980783</stp>
        <tr r="M793" s="2"/>
      </tp>
      <tp t="s">
        <v>#N/A N/A</v>
        <stp/>
        <stp>BDP|15753304833773395328</stp>
        <tr r="M443" s="2"/>
      </tp>
      <tp t="s">
        <v>#N/A N/A</v>
        <stp/>
        <stp>BDP|10328392176141177081</stp>
        <tr r="T1477" s="2"/>
      </tp>
      <tp t="s">
        <v>#N/A N/A</v>
        <stp/>
        <stp>BDP|11062166648784299599</stp>
        <tr r="H1169" s="2"/>
      </tp>
      <tp t="s">
        <v>#N/A N/A</v>
        <stp/>
        <stp>BDP|14988191804679706968</stp>
        <tr r="T34" s="2"/>
      </tp>
      <tp t="s">
        <v>#N/A N/A</v>
        <stp/>
        <stp>BDP|17071691419705006056</stp>
        <tr r="Q1199" s="2"/>
      </tp>
      <tp t="s">
        <v>#N/A N/A</v>
        <stp/>
        <stp>BDP|13113868482452285423</stp>
        <tr r="J1010" s="2"/>
      </tp>
      <tp t="s">
        <v>#N/A N/A</v>
        <stp/>
        <stp>BDP|17253704491125452923</stp>
        <tr r="A473" s="2"/>
      </tp>
      <tp t="s">
        <v>#N/A N/A</v>
        <stp/>
        <stp>BDP|15323279969691981513</stp>
        <tr r="T863" s="2"/>
      </tp>
      <tp t="s">
        <v>#N/A N/A</v>
        <stp/>
        <stp>BDP|15913640962364800427</stp>
        <tr r="A1313" s="2"/>
      </tp>
      <tp t="s">
        <v>#N/A N/A</v>
        <stp/>
        <stp>BDP|17386413918977946063</stp>
        <tr r="S1431" s="2"/>
      </tp>
      <tp t="s">
        <v>#N/A N/A</v>
        <stp/>
        <stp>BDP|15937699137040799556</stp>
        <tr r="D747" s="2"/>
      </tp>
      <tp t="s">
        <v>#N/A N/A</v>
        <stp/>
        <stp>BDP|17616833460375374933</stp>
        <tr r="K870" s="2"/>
      </tp>
      <tp t="s">
        <v>#N/A N/A</v>
        <stp/>
        <stp>BDP|11968839785141886522</stp>
        <tr r="E189" s="2"/>
      </tp>
      <tp t="s">
        <v>#N/A N/A</v>
        <stp/>
        <stp>BDP|14281401895525603948</stp>
        <tr r="O304" s="2"/>
      </tp>
      <tp t="s">
        <v>#N/A N/A</v>
        <stp/>
        <stp>BDP|11133288016872936534</stp>
        <tr r="F17" s="2"/>
      </tp>
      <tp t="s">
        <v>#N/A N/A</v>
        <stp/>
        <stp>BDP|10541113345194746429</stp>
        <tr r="P504" s="2"/>
      </tp>
      <tp t="s">
        <v>#N/A N/A</v>
        <stp/>
        <stp>BDP|16787520965718533817</stp>
        <tr r="M1286" s="2"/>
      </tp>
      <tp t="s">
        <v>#N/A N/A</v>
        <stp/>
        <stp>BDP|12001388172302849164</stp>
        <tr r="F1615" s="2"/>
      </tp>
      <tp t="s">
        <v>#N/A N/A</v>
        <stp/>
        <stp>BDS|13664579859033679593</stp>
        <tr r="I301" s="2"/>
      </tp>
      <tp t="s">
        <v>#N/A N/A</v>
        <stp/>
        <stp>BDS|12009349672154129701</stp>
        <tr r="I1060" s="2"/>
      </tp>
      <tp t="s">
        <v>#N/A N/A</v>
        <stp/>
        <stp>BDP|18183027197805187115</stp>
        <tr r="O296" s="2"/>
      </tp>
      <tp t="s">
        <v>#N/A N/A</v>
        <stp/>
        <stp>BDP|10757412124176150579</stp>
        <tr r="J1457" s="2"/>
      </tp>
      <tp t="s">
        <v>#N/A N/A</v>
        <stp/>
        <stp>BDP|13486773552321460514</stp>
        <tr r="S476" s="2"/>
      </tp>
      <tp t="s">
        <v>#N/A N/A</v>
        <stp/>
        <stp>BDP|15476352517645116738</stp>
        <tr r="J1088" s="2"/>
      </tp>
      <tp t="s">
        <v>#N/A N/A</v>
        <stp/>
        <stp>BDP|17119178696743349970</stp>
        <tr r="O1177" s="2"/>
      </tp>
      <tp t="s">
        <v>#N/A N/A</v>
        <stp/>
        <stp>BDP|17997561965712733395</stp>
        <tr r="F1363" s="2"/>
      </tp>
      <tp t="s">
        <v>#N/A N/A</v>
        <stp/>
        <stp>BDP|10808660692642061889</stp>
        <tr r="C64" s="2"/>
      </tp>
      <tp t="s">
        <v>#N/A N/A</v>
        <stp/>
        <stp>BDP|14070552778024880714</stp>
        <tr r="J735" s="2"/>
      </tp>
      <tp t="s">
        <v>#N/A N/A</v>
        <stp/>
        <stp>BDP|12436656798800444891</stp>
        <tr r="G168" s="2"/>
      </tp>
      <tp t="s">
        <v>#N/A N/A</v>
        <stp/>
        <stp>BDP|11230721383829216253</stp>
        <tr r="A1455" s="2"/>
      </tp>
      <tp t="s">
        <v>#N/A N/A</v>
        <stp/>
        <stp>BDP|17290322665384810396</stp>
        <tr r="A1113" s="2"/>
      </tp>
      <tp t="s">
        <v>#N/A N/A</v>
        <stp/>
        <stp>BDP|11745071945612287234</stp>
        <tr r="K696" s="2"/>
      </tp>
      <tp t="s">
        <v>#N/A N/A</v>
        <stp/>
        <stp>BDP|16410876512833390969</stp>
        <tr r="Q841" s="2"/>
      </tp>
      <tp t="s">
        <v>#N/A N/A</v>
        <stp/>
        <stp>BDP|14279933584868215833</stp>
        <tr r="K1355" s="2"/>
      </tp>
      <tp t="s">
        <v>#N/A N/A</v>
        <stp/>
        <stp>BDS|18298376582175165316</stp>
        <tr r="I601" s="2"/>
      </tp>
      <tp t="s">
        <v>#N/A N/A</v>
        <stp/>
        <stp>BDP|12170202933293399550</stp>
        <tr r="A630" s="2"/>
      </tp>
      <tp t="s">
        <v>#N/A N/A</v>
        <stp/>
        <stp>BDP|10361311510953523432</stp>
        <tr r="G1163" s="2"/>
      </tp>
      <tp t="s">
        <v>#N/A N/A</v>
        <stp/>
        <stp>BDP|13144629355655613047</stp>
        <tr r="S1648" s="2"/>
      </tp>
      <tp t="s">
        <v>#N/A N/A</v>
        <stp/>
        <stp>BDP|10127889799972467609</stp>
        <tr r="S1044" s="2"/>
      </tp>
      <tp t="s">
        <v>#N/A N/A</v>
        <stp/>
        <stp>BDP|14071115489808445083</stp>
        <tr r="T806" s="2"/>
      </tp>
      <tp t="s">
        <v>#N/A N/A</v>
        <stp/>
        <stp>BDP|11087328501291662618</stp>
        <tr r="S1723" s="2"/>
      </tp>
      <tp t="s">
        <v>#N/A N/A</v>
        <stp/>
        <stp>BDP|11720069259613946255</stp>
        <tr r="K1547" s="2"/>
      </tp>
      <tp t="s">
        <v>#N/A N/A</v>
        <stp/>
        <stp>BDP|10149277813454083213</stp>
        <tr r="F201" s="2"/>
      </tp>
      <tp t="s">
        <v>#N/A N/A</v>
        <stp/>
        <stp>BDP|12604494669417651249</stp>
        <tr r="G1491" s="2"/>
      </tp>
      <tp t="s">
        <v>#N/A N/A</v>
        <stp/>
        <stp>BDP|18157983550495823453</stp>
        <tr r="T1571" s="2"/>
      </tp>
      <tp t="s">
        <v>#N/A N/A</v>
        <stp/>
        <stp>BDS|10651053356390710057</stp>
        <tr r="I1081" s="2"/>
      </tp>
      <tp t="s">
        <v>#N/A N/A</v>
        <stp/>
        <stp>BDP|12139556401933669179</stp>
        <tr r="P1259" s="2"/>
      </tp>
      <tp t="s">
        <v>#N/A N/A</v>
        <stp/>
        <stp>BDP|14607806242575535853</stp>
        <tr r="S1381" s="2"/>
      </tp>
      <tp t="s">
        <v>#N/A N/A</v>
        <stp/>
        <stp>BDP|11410243902212619402</stp>
        <tr r="S126" s="2"/>
      </tp>
      <tp t="s">
        <v>#N/A N/A</v>
        <stp/>
        <stp>BDP|14518755733266118364</stp>
        <tr r="J1585" s="2"/>
      </tp>
      <tp t="s">
        <v>#N/A N/A</v>
        <stp/>
        <stp>BDP|18336605884571385209</stp>
        <tr r="M1487" s="2"/>
      </tp>
      <tp t="s">
        <v>#N/A N/A</v>
        <stp/>
        <stp>BDP|17691267295958818194</stp>
        <tr r="P230" s="2"/>
      </tp>
      <tp t="s">
        <v>#N/A N/A</v>
        <stp/>
        <stp>BDP|14676326452313159435</stp>
        <tr r="P366" s="2"/>
      </tp>
      <tp t="s">
        <v>#N/A N/A</v>
        <stp/>
        <stp>BDP|12589174448691988373</stp>
        <tr r="F754" s="2"/>
      </tp>
      <tp t="s">
        <v>#N/A N/A</v>
        <stp/>
        <stp>BDP|11197761042991747664</stp>
        <tr r="A137" s="2"/>
      </tp>
      <tp t="s">
        <v>#N/A N/A</v>
        <stp/>
        <stp>BDP|15287103984809454067</stp>
        <tr r="C1688" s="2"/>
      </tp>
      <tp t="s">
        <v>#N/A N/A</v>
        <stp/>
        <stp>BDP|13910460301412243080</stp>
        <tr r="S61" s="2"/>
      </tp>
      <tp t="s">
        <v>#N/A N/A</v>
        <stp/>
        <stp>BDP|15241134575541971793</stp>
        <tr r="J38" s="2"/>
      </tp>
      <tp t="s">
        <v>#N/A N/A</v>
        <stp/>
        <stp>BDP|13079426968202770695</stp>
        <tr r="G927" s="2"/>
      </tp>
      <tp t="s">
        <v>#N/A N/A</v>
        <stp/>
        <stp>BDP|14449863745484346906</stp>
        <tr r="G969" s="2"/>
      </tp>
      <tp t="s">
        <v>#N/A N/A</v>
        <stp/>
        <stp>BDP|12067706965042638472</stp>
        <tr r="H1057" s="2"/>
      </tp>
      <tp t="s">
        <v>#N/A N/A</v>
        <stp/>
        <stp>BDP|14705044891741556936</stp>
        <tr r="K407" s="2"/>
      </tp>
      <tp t="s">
        <v>#N/A N/A</v>
        <stp/>
        <stp>BDP|14096059052293116723</stp>
        <tr r="T396" s="2"/>
      </tp>
      <tp t="s">
        <v>#N/A N/A</v>
        <stp/>
        <stp>BDP|12322655671320262612</stp>
        <tr r="S304" s="2"/>
      </tp>
      <tp t="s">
        <v>#N/A N/A</v>
        <stp/>
        <stp>BDP|10058640521628569945</stp>
        <tr r="F706" s="2"/>
      </tp>
      <tp t="s">
        <v>#N/A N/A</v>
        <stp/>
        <stp>BDP|13892761138920642245</stp>
        <tr r="A17" s="2"/>
      </tp>
      <tp t="s">
        <v>#N/A N/A</v>
        <stp/>
        <stp>BDP|10510692869335061011</stp>
        <tr r="M616" s="2"/>
      </tp>
      <tp t="s">
        <v>#N/A N/A</v>
        <stp/>
        <stp>BDP|12551564830687125662</stp>
        <tr r="K581" s="2"/>
      </tp>
      <tp t="s">
        <v>#N/A N/A</v>
        <stp/>
        <stp>BDP|11125439875420509768</stp>
        <tr r="J30" s="2"/>
      </tp>
      <tp t="s">
        <v>#N/A N/A</v>
        <stp/>
        <stp>BDP|15526275242387125150</stp>
        <tr r="K438" s="2"/>
      </tp>
      <tp t="s">
        <v>#N/A N/A</v>
        <stp/>
        <stp>BDP|10280808100625039863</stp>
        <tr r="F1575" s="2"/>
      </tp>
      <tp t="s">
        <v>#N/A N/A</v>
        <stp/>
        <stp>BDP|15934267129530112036</stp>
        <tr r="J814" s="2"/>
      </tp>
      <tp t="s">
        <v>#N/A N/A</v>
        <stp/>
        <stp>BDP|15672457536551870694</stp>
        <tr r="N36" s="2"/>
      </tp>
      <tp t="s">
        <v>#N/A N/A</v>
        <stp/>
        <stp>BDP|18238340741629470377</stp>
        <tr r="E1177" s="2"/>
      </tp>
      <tp t="s">
        <v>#N/A N/A</v>
        <stp/>
        <stp>BDP|16406860749586885978</stp>
        <tr r="Q1521" s="2"/>
      </tp>
      <tp t="s">
        <v>#N/A N/A</v>
        <stp/>
        <stp>BDP|12039002226755531070</stp>
        <tr r="F1100" s="2"/>
      </tp>
      <tp t="s">
        <v>#N/A N/A</v>
        <stp/>
        <stp>BDP|13502491025190415094</stp>
        <tr r="R1477" s="2"/>
      </tp>
      <tp t="s">
        <v>#N/A N/A</v>
        <stp/>
        <stp>BDP|10947951194017894249</stp>
        <tr r="N200" s="2"/>
      </tp>
      <tp t="s">
        <v>#N/A N/A</v>
        <stp/>
        <stp>BDP|11591465632045400619</stp>
        <tr r="G1333" s="2"/>
      </tp>
      <tp t="s">
        <v>#N/A N/A</v>
        <stp/>
        <stp>BDP|11656513556670019455</stp>
        <tr r="P69" s="2"/>
      </tp>
      <tp t="s">
        <v>#N/A N/A</v>
        <stp/>
        <stp>BDP|18009903001132306666</stp>
        <tr r="C922" s="2"/>
      </tp>
      <tp t="s">
        <v>#N/A N/A</v>
        <stp/>
        <stp>BDP|14400096788781746861</stp>
        <tr r="N1230" s="2"/>
      </tp>
      <tp t="s">
        <v>#N/A N/A</v>
        <stp/>
        <stp>BDP|10136737661836115269</stp>
        <tr r="R479" s="2"/>
      </tp>
      <tp t="s">
        <v>#N/A N/A</v>
        <stp/>
        <stp>BDP|11121307355147056505</stp>
        <tr r="F422" s="2"/>
      </tp>
      <tp t="s">
        <v>#N/A N/A</v>
        <stp/>
        <stp>BDS|15713589518503216728</stp>
        <tr r="I513" s="2"/>
      </tp>
      <tp t="s">
        <v>#N/A N/A</v>
        <stp/>
        <stp>BDS|12872925722679971567</stp>
        <tr r="I186" s="2"/>
      </tp>
      <tp t="s">
        <v>#N/A N/A</v>
        <stp/>
        <stp>BDP|13819775009915763460</stp>
        <tr r="F1043" s="2"/>
      </tp>
      <tp t="s">
        <v>#N/A N/A</v>
        <stp/>
        <stp>BDP|17290372372573230527</stp>
        <tr r="G428" s="2"/>
      </tp>
      <tp t="s">
        <v>#N/A N/A</v>
        <stp/>
        <stp>BDP|11384861185770002474</stp>
        <tr r="R1180" s="2"/>
      </tp>
      <tp t="s">
        <v>#N/A N/A</v>
        <stp/>
        <stp>BDP|14498076504440769177</stp>
        <tr r="T849" s="2"/>
      </tp>
      <tp t="s">
        <v>#N/A N/A</v>
        <stp/>
        <stp>BDP|12881509947927918113</stp>
        <tr r="R1007" s="2"/>
      </tp>
      <tp t="s">
        <v>#N/A N/A</v>
        <stp/>
        <stp>BDP|14909013340310629598</stp>
        <tr r="K883" s="2"/>
      </tp>
      <tp t="s">
        <v>#N/A N/A</v>
        <stp/>
        <stp>BDP|16135472505844776334</stp>
        <tr r="M1470" s="2"/>
      </tp>
      <tp t="s">
        <v>#N/A N/A</v>
        <stp/>
        <stp>BDP|16611371424983121132</stp>
        <tr r="H42" s="2"/>
      </tp>
      <tp t="s">
        <v>#N/A N/A</v>
        <stp/>
        <stp>BDS|13483085758270358333</stp>
        <tr r="I1298" s="2"/>
      </tp>
      <tp t="s">
        <v>#N/A N/A</v>
        <stp/>
        <stp>BDP|13420566850975769322</stp>
        <tr r="O790" s="2"/>
      </tp>
      <tp t="s">
        <v>#N/A N/A</v>
        <stp/>
        <stp>BDS|13690333782295118820</stp>
        <tr r="I957" s="2"/>
      </tp>
      <tp t="s">
        <v>#N/A N/A</v>
        <stp/>
        <stp>BDP|12667492889499814298</stp>
        <tr r="C645" s="2"/>
      </tp>
      <tp t="s">
        <v>#N/A N/A</v>
        <stp/>
        <stp>BDP|14297003834922620079</stp>
        <tr r="J920" s="2"/>
      </tp>
      <tp t="s">
        <v>#N/A N/A</v>
        <stp/>
        <stp>BDP|17380382166545262281</stp>
        <tr r="O834" s="2"/>
      </tp>
      <tp t="s">
        <v>#N/A N/A</v>
        <stp/>
        <stp>BDP|15964363601677949408</stp>
        <tr r="O1733" s="2"/>
      </tp>
      <tp t="s">
        <v>#N/A N/A</v>
        <stp/>
        <stp>BDP|17618540380648508708</stp>
        <tr r="C479" s="2"/>
      </tp>
      <tp t="s">
        <v>#N/A N/A</v>
        <stp/>
        <stp>BDP|13897055854091734290</stp>
        <tr r="H54" s="2"/>
      </tp>
      <tp t="s">
        <v>#N/A N/A</v>
        <stp/>
        <stp>BDP|14586206850066311011</stp>
        <tr r="M1663" s="2"/>
      </tp>
      <tp t="s">
        <v>#N/A N/A</v>
        <stp/>
        <stp>BDP|14452408431696161030</stp>
        <tr r="H287" s="2"/>
      </tp>
      <tp t="s">
        <v>#N/A N/A</v>
        <stp/>
        <stp>BDP|11969111034482974429</stp>
        <tr r="J297" s="2"/>
      </tp>
      <tp t="s">
        <v>#N/A N/A</v>
        <stp/>
        <stp>BDP|16081431422396429325</stp>
        <tr r="F1285" s="2"/>
      </tp>
      <tp t="s">
        <v>#N/A N/A</v>
        <stp/>
        <stp>BDP|10908000343942869352</stp>
        <tr r="O181" s="2"/>
      </tp>
      <tp t="s">
        <v>#N/A N/A</v>
        <stp/>
        <stp>BDP|13307585888308020348</stp>
        <tr r="A554" s="2"/>
      </tp>
      <tp t="s">
        <v>#N/A N/A</v>
        <stp/>
        <stp>BDP|13020122818876825056</stp>
        <tr r="T1452" s="2"/>
      </tp>
      <tp t="s">
        <v>#N/A N/A</v>
        <stp/>
        <stp>BDP|13222059700445436340</stp>
        <tr r="R1271" s="2"/>
      </tp>
      <tp t="s">
        <v>#N/A N/A</v>
        <stp/>
        <stp>BDP|15199824275656413959</stp>
        <tr r="G1558" s="2"/>
      </tp>
      <tp t="s">
        <v>#N/A N/A</v>
        <stp/>
        <stp>BDP|14463108707897471702</stp>
        <tr r="K693" s="2"/>
      </tp>
      <tp t="s">
        <v>#N/A N/A</v>
        <stp/>
        <stp>BDP|11527727603034603756</stp>
        <tr r="O1624" s="2"/>
      </tp>
      <tp t="s">
        <v>#N/A N/A</v>
        <stp/>
        <stp>BDP|11684829465052104872</stp>
        <tr r="N946" s="2"/>
      </tp>
      <tp t="s">
        <v>#N/A N/A</v>
        <stp/>
        <stp>BDP|15567166724305501650</stp>
        <tr r="J186" s="2"/>
      </tp>
      <tp t="s">
        <v>#N/A N/A</v>
        <stp/>
        <stp>BDP|10542435030966236438</stp>
        <tr r="T601" s="2"/>
      </tp>
      <tp t="s">
        <v>#N/A N/A</v>
        <stp/>
        <stp>BDP|10500989928907447966</stp>
        <tr r="P530" s="2"/>
      </tp>
      <tp t="s">
        <v>#N/A N/A</v>
        <stp/>
        <stp>BDP|13154717046560344521</stp>
        <tr r="S1670" s="2"/>
      </tp>
      <tp t="s">
        <v>#N/A N/A</v>
        <stp/>
        <stp>BDP|14673734213823800499</stp>
        <tr r="D1292" s="2"/>
      </tp>
      <tp t="s">
        <v>#N/A N/A</v>
        <stp/>
        <stp>BDP|15350502246192166331</stp>
        <tr r="C1658" s="2"/>
      </tp>
      <tp t="s">
        <v>#N/A N/A</v>
        <stp/>
        <stp>BDP|11737676472194113144</stp>
        <tr r="K515" s="2"/>
      </tp>
      <tp t="s">
        <v>#N/A N/A</v>
        <stp/>
        <stp>BDP|15009380115221930330</stp>
        <tr r="J1604" s="2"/>
      </tp>
      <tp t="s">
        <v>#N/A N/A</v>
        <stp/>
        <stp>BDP|12127013923041791438</stp>
        <tr r="K1232" s="2"/>
      </tp>
      <tp t="s">
        <v>#N/A N/A</v>
        <stp/>
        <stp>BDS|10464042762693631001</stp>
        <tr r="I1612" s="2"/>
      </tp>
      <tp t="s">
        <v>#N/A N/A</v>
        <stp/>
        <stp>BDP|12622697869343792468</stp>
        <tr r="E719" s="2"/>
      </tp>
      <tp t="s">
        <v>#N/A N/A</v>
        <stp/>
        <stp>BDP|17913105544087311092</stp>
        <tr r="M1488" s="2"/>
      </tp>
      <tp t="s">
        <v>#N/A N/A</v>
        <stp/>
        <stp>BDP|14250165566623719520</stp>
        <tr r="D1078" s="2"/>
      </tp>
      <tp t="s">
        <v>#N/A N/A</v>
        <stp/>
        <stp>BDP|16509113729771871124</stp>
        <tr r="R1619" s="2"/>
      </tp>
      <tp t="s">
        <v>#N/A N/A</v>
        <stp/>
        <stp>BDP|11808415185670834836</stp>
        <tr r="Q1747" s="2"/>
      </tp>
      <tp t="s">
        <v>#N/A N/A</v>
        <stp/>
        <stp>BDP|14438239406282761118</stp>
        <tr r="H1697" s="2"/>
      </tp>
      <tp t="s">
        <v>#N/A N/A</v>
        <stp/>
        <stp>BDP|13526487066510821444</stp>
        <tr r="D960" s="2"/>
      </tp>
      <tp t="s">
        <v>#N/A N/A</v>
        <stp/>
        <stp>BDP|10792051366224043738</stp>
        <tr r="J1452" s="2"/>
      </tp>
      <tp t="s">
        <v>#N/A N/A</v>
        <stp/>
        <stp>BDP|11000124808763961640</stp>
        <tr r="D983" s="2"/>
      </tp>
      <tp t="s">
        <v>#N/A N/A</v>
        <stp/>
        <stp>BDP|16427600875275661703</stp>
        <tr r="T1662" s="2"/>
      </tp>
      <tp t="s">
        <v>#N/A N/A</v>
        <stp/>
        <stp>BDS|12169804170110262870</stp>
        <tr r="I320" s="2"/>
      </tp>
      <tp t="s">
        <v>#N/A N/A</v>
        <stp/>
        <stp>BDP|11359096950404564584</stp>
        <tr r="K441" s="2"/>
      </tp>
      <tp t="s">
        <v>#N/A N/A</v>
        <stp/>
        <stp>BDS|14680747556820053307</stp>
        <tr r="I1269" s="2"/>
      </tp>
      <tp t="s">
        <v>#N/A N/A</v>
        <stp/>
        <stp>BDP|17659900382192055134</stp>
        <tr r="T154" s="2"/>
      </tp>
      <tp t="s">
        <v>#N/A N/A</v>
        <stp/>
        <stp>BDP|18323875716317174346</stp>
        <tr r="C1420" s="2"/>
      </tp>
      <tp t="s">
        <v>#N/A N/A</v>
        <stp/>
        <stp>BDP|17695299256587912270</stp>
        <tr r="F1685" s="2"/>
      </tp>
      <tp t="s">
        <v>#N/A N/A</v>
        <stp/>
        <stp>BDP|10174875720579203633</stp>
        <tr r="S508" s="2"/>
      </tp>
      <tp t="s">
        <v>#N/A N/A</v>
        <stp/>
        <stp>BDP|13102170479201056183</stp>
        <tr r="M1615" s="2"/>
      </tp>
      <tp t="s">
        <v>#N/A N/A</v>
        <stp/>
        <stp>BDP|15816285445073565576</stp>
        <tr r="P41" s="2"/>
      </tp>
      <tp t="s">
        <v>#N/A N/A</v>
        <stp/>
        <stp>BDP|12766147518760936751</stp>
        <tr r="K1137" s="2"/>
      </tp>
      <tp t="s">
        <v>#N/A N/A</v>
        <stp/>
        <stp>BDP|14578114764154608216</stp>
        <tr r="M406" s="2"/>
      </tp>
      <tp t="s">
        <v>#N/A N/A</v>
        <stp/>
        <stp>BDP|11424269157215724640</stp>
        <tr r="J963" s="2"/>
      </tp>
      <tp t="s">
        <v>#N/A N/A</v>
        <stp/>
        <stp>BDP|10395846114468301460</stp>
        <tr r="D336" s="2"/>
      </tp>
      <tp t="s">
        <v>#N/A N/A</v>
        <stp/>
        <stp>BDP|10381483564553023497</stp>
        <tr r="G651" s="2"/>
      </tp>
      <tp t="s">
        <v>#N/A N/A</v>
        <stp/>
        <stp>BDP|10638592173812943537</stp>
        <tr r="D596" s="2"/>
      </tp>
      <tp t="s">
        <v>#N/A N/A</v>
        <stp/>
        <stp>BDP|12804910268351317948</stp>
        <tr r="N85" s="2"/>
      </tp>
      <tp t="s">
        <v>#N/A N/A</v>
        <stp/>
        <stp>BDP|13931530589629292276</stp>
        <tr r="N249" s="2"/>
      </tp>
      <tp t="s">
        <v>#N/A N/A</v>
        <stp/>
        <stp>BDP|18165679267908253559</stp>
        <tr r="Q830" s="2"/>
      </tp>
      <tp t="s">
        <v>#N/A N/A</v>
        <stp/>
        <stp>BDP|15685458915732949799</stp>
        <tr r="N462" s="2"/>
      </tp>
      <tp t="s">
        <v>#N/A N/A</v>
        <stp/>
        <stp>BDP|13166274445294387461</stp>
        <tr r="K119" s="2"/>
      </tp>
      <tp t="s">
        <v>#N/A N/A</v>
        <stp/>
        <stp>BDP|16406823694947476504</stp>
        <tr r="G90" s="2"/>
      </tp>
      <tp t="s">
        <v>#N/A N/A</v>
        <stp/>
        <stp>BDP|17428219551037523271</stp>
        <tr r="Q1214" s="2"/>
      </tp>
      <tp t="s">
        <v>#N/A N/A</v>
        <stp/>
        <stp>BDP|11338806598376975349</stp>
        <tr r="Q1246" s="2"/>
      </tp>
      <tp t="s">
        <v>#N/A N/A</v>
        <stp/>
        <stp>BDP|13624789213711229196</stp>
        <tr r="K1225" s="2"/>
      </tp>
      <tp t="s">
        <v>#N/A N/A</v>
        <stp/>
        <stp>BDP|11509562086849716043</stp>
        <tr r="O1737" s="2"/>
      </tp>
      <tp t="s">
        <v>#N/A N/A</v>
        <stp/>
        <stp>BDP|17075306103590288174</stp>
        <tr r="P1729" s="2"/>
      </tp>
      <tp t="s">
        <v>#N/A N/A</v>
        <stp/>
        <stp>BDP|10885763785842931848</stp>
        <tr r="D744" s="2"/>
      </tp>
      <tp t="s">
        <v>#N/A N/A</v>
        <stp/>
        <stp>BDP|14650954770697116849</stp>
        <tr r="T227" s="2"/>
      </tp>
      <tp t="s">
        <v>#N/A N/A</v>
        <stp/>
        <stp>BDP|17599946735441420966</stp>
        <tr r="R1219" s="2"/>
      </tp>
      <tp t="s">
        <v>#N/A N/A</v>
        <stp/>
        <stp>BDP|13000877125578342479</stp>
        <tr r="F1088" s="2"/>
      </tp>
      <tp t="s">
        <v>#N/A N/A</v>
        <stp/>
        <stp>BDP|13015947619307820938</stp>
        <tr r="C1484" s="2"/>
      </tp>
      <tp t="s">
        <v>#N/A N/A</v>
        <stp/>
        <stp>BDP|15359066350574316109</stp>
        <tr r="T1567" s="2"/>
      </tp>
      <tp t="s">
        <v>#N/A N/A</v>
        <stp/>
        <stp>BDP|13323736055940433470</stp>
        <tr r="J306" s="2"/>
      </tp>
      <tp t="s">
        <v>#N/A N/A</v>
        <stp/>
        <stp>BDP|11503340082839010657</stp>
        <tr r="C1107" s="2"/>
      </tp>
      <tp t="s">
        <v>#N/A N/A</v>
        <stp/>
        <stp>BDP|18280320607406976885</stp>
        <tr r="M776" s="2"/>
      </tp>
      <tp t="s">
        <v>#N/A N/A</v>
        <stp/>
        <stp>BDP|15833556457843931350</stp>
        <tr r="P1069" s="2"/>
      </tp>
      <tp t="s">
        <v>#N/A N/A</v>
        <stp/>
        <stp>BDP|17843080915093098030</stp>
        <tr r="E438" s="2"/>
      </tp>
      <tp t="s">
        <v>#N/A N/A</v>
        <stp/>
        <stp>BDP|17697824817632616937</stp>
        <tr r="R1163" s="2"/>
      </tp>
      <tp t="s">
        <v>#N/A N/A</v>
        <stp/>
        <stp>BDS|16226978291201860293</stp>
        <tr r="I133" s="2"/>
      </tp>
      <tp t="s">
        <v>#N/A N/A</v>
        <stp/>
        <stp>BDS|12396002024352464763</stp>
        <tr r="I158" s="2"/>
      </tp>
      <tp t="s">
        <v>#N/A N/A</v>
        <stp/>
        <stp>BDP|17807404229910512421</stp>
        <tr r="E1708" s="2"/>
      </tp>
      <tp t="s">
        <v>#N/A N/A</v>
        <stp/>
        <stp>BDP|10019870794066098255</stp>
        <tr r="T1684" s="2"/>
      </tp>
      <tp t="s">
        <v>#N/A N/A</v>
        <stp/>
        <stp>BDP|16456818985255339651</stp>
        <tr r="K754" s="2"/>
      </tp>
      <tp t="s">
        <v>#N/A N/A</v>
        <stp/>
        <stp>BDP|11381427961786322057</stp>
        <tr r="G1469" s="2"/>
      </tp>
      <tp t="s">
        <v>#N/A N/A</v>
        <stp/>
        <stp>BDP|13037859632875681876</stp>
        <tr r="D27" s="2"/>
      </tp>
      <tp t="s">
        <v>#N/A N/A</v>
        <stp/>
        <stp>BDP|16824445693369803718</stp>
        <tr r="D319" s="2"/>
      </tp>
      <tp t="s">
        <v>#N/A N/A</v>
        <stp/>
        <stp>BDP|17739558556694153634</stp>
        <tr r="J1306" s="2"/>
      </tp>
      <tp t="s">
        <v>#N/A N/A</v>
        <stp/>
        <stp>BDP|15260276646320707620</stp>
        <tr r="T1111" s="2"/>
      </tp>
      <tp t="s">
        <v>#N/A N/A</v>
        <stp/>
        <stp>BDP|10549684639843483362</stp>
        <tr r="S622" s="2"/>
      </tp>
      <tp t="s">
        <v>#N/A N/A</v>
        <stp/>
        <stp>BDP|12358062971452504271</stp>
        <tr r="M1132" s="2"/>
      </tp>
      <tp t="s">
        <v>#N/A N/A</v>
        <stp/>
        <stp>BDS|13320961170679619165</stp>
        <tr r="I1211" s="2"/>
      </tp>
      <tp t="s">
        <v>#N/A N/A</v>
        <stp/>
        <stp>BDP|11118335017693615552</stp>
        <tr r="S1356" s="2"/>
      </tp>
      <tp t="s">
        <v>#N/A N/A</v>
        <stp/>
        <stp>BDP|10140031035103346520</stp>
        <tr r="O120" s="2"/>
      </tp>
      <tp t="s">
        <v>#N/A N/A</v>
        <stp/>
        <stp>BDP|16471698338912445472</stp>
        <tr r="C190" s="2"/>
      </tp>
      <tp t="s">
        <v>#N/A N/A</v>
        <stp/>
        <stp>BDP|10762560308523832370</stp>
        <tr r="N1639" s="2"/>
      </tp>
      <tp t="s">
        <v>#N/A N/A</v>
        <stp/>
        <stp>BDP|16038458753970228220</stp>
        <tr r="D520" s="2"/>
      </tp>
      <tp t="s">
        <v>#N/A N/A</v>
        <stp/>
        <stp>BDP|15285506519714576089</stp>
        <tr r="R619" s="2"/>
      </tp>
      <tp t="s">
        <v>#N/A N/A</v>
        <stp/>
        <stp>BDP|15616732477644745436</stp>
        <tr r="A556" s="2"/>
      </tp>
      <tp t="s">
        <v>#N/A N/A</v>
        <stp/>
        <stp>BDP|12475223505350091558</stp>
        <tr r="C263" s="2"/>
      </tp>
      <tp t="s">
        <v>#N/A N/A</v>
        <stp/>
        <stp>BDP|12573426433096259602</stp>
        <tr r="P1011" s="2"/>
      </tp>
      <tp t="s">
        <v>#N/A N/A</v>
        <stp/>
        <stp>BDP|15086691693069596696</stp>
        <tr r="F1752" s="2"/>
      </tp>
      <tp t="s">
        <v>#N/A N/A</v>
        <stp/>
        <stp>BDP|10943449895908609082</stp>
        <tr r="T1138" s="2"/>
      </tp>
      <tp t="s">
        <v>#N/A N/A</v>
        <stp/>
        <stp>BDP|15587979154074663861</stp>
        <tr r="P224" s="2"/>
      </tp>
      <tp t="s">
        <v>#N/A N/A</v>
        <stp/>
        <stp>BDP|11858360074066562696</stp>
        <tr r="E1349" s="2"/>
      </tp>
      <tp t="s">
        <v>#N/A N/A</v>
        <stp/>
        <stp>BDP|14537710916126052142</stp>
        <tr r="F397" s="2"/>
      </tp>
      <tp t="s">
        <v>#N/A N/A</v>
        <stp/>
        <stp>BDP|11036745499023858936</stp>
        <tr r="M837" s="2"/>
      </tp>
      <tp t="s">
        <v>#N/A N/A</v>
        <stp/>
        <stp>BDP|15901954544688660580</stp>
        <tr r="F669" s="2"/>
      </tp>
      <tp t="s">
        <v>#N/A N/A</v>
        <stp/>
        <stp>BDP|12203476126575631434</stp>
        <tr r="N71" s="2"/>
      </tp>
      <tp t="s">
        <v>#N/A N/A</v>
        <stp/>
        <stp>BDP|17210786197564333885</stp>
        <tr r="C1454" s="2"/>
      </tp>
    </main>
    <main first="bofaddin.rtdserver">
      <tp t="s">
        <v>#N/A N/A</v>
        <stp/>
        <stp>BDP|8245396610443380</stp>
        <tr r="C991" s="2"/>
      </tp>
      <tp t="s">
        <v>#N/A N/A</v>
        <stp/>
        <stp>BDP|9944966506695797</stp>
        <tr r="H1016" s="2"/>
      </tp>
      <tp t="s">
        <v>#N/A N/A</v>
        <stp/>
        <stp>BDP|8763072156926991</stp>
        <tr r="F20" s="2"/>
      </tp>
      <tp t="s">
        <v>#N/A N/A</v>
        <stp/>
        <stp>BDP|6076314245596985</stp>
        <tr r="K535" s="2"/>
      </tp>
      <tp t="s">
        <v>#N/A N/A</v>
        <stp/>
        <stp>BDP|4182815294954933</stp>
        <tr r="H32" s="2"/>
      </tp>
      <tp t="s">
        <v>#N/A N/A</v>
        <stp/>
        <stp>BDP|1604972941131210</stp>
        <tr r="S218" s="2"/>
      </tp>
      <tp t="s">
        <v>#N/A N/A</v>
        <stp/>
        <stp>BDS|4847123160926886</stp>
        <tr r="I1729" s="2"/>
      </tp>
      <tp t="s">
        <v>#N/A N/A</v>
        <stp/>
        <stp>BDP|6657645632683360</stp>
        <tr r="A458" s="2"/>
      </tp>
      <tp t="s">
        <v>#N/A N/A</v>
        <stp/>
        <stp>BDP|5089935481328248</stp>
        <tr r="J94" s="2"/>
      </tp>
      <tp t="s">
        <v>#N/A N/A</v>
        <stp/>
        <stp>BDP|7440878984880781</stp>
        <tr r="O15" s="2"/>
      </tp>
      <tp t="s">
        <v>#N/A N/A</v>
        <stp/>
        <stp>BDP|4260975062979635</stp>
        <tr r="T1340" s="2"/>
      </tp>
      <tp t="s">
        <v>#N/A N/A</v>
        <stp/>
        <stp>BDP|3157167089832837</stp>
        <tr r="F256" s="2"/>
      </tp>
      <tp t="s">
        <v>#N/A N/A</v>
        <stp/>
        <stp>BDP|6278052146690721</stp>
        <tr r="G200" s="2"/>
      </tp>
      <tp t="s">
        <v>#N/A N/A</v>
        <stp/>
        <stp>BDP|8123780146207941</stp>
        <tr r="H849" s="2"/>
      </tp>
      <tp t="s">
        <v>#N/A N/A</v>
        <stp/>
        <stp>BDP|7942995673669430</stp>
        <tr r="K855" s="2"/>
      </tp>
      <tp t="s">
        <v>#N/A N/A</v>
        <stp/>
        <stp>BDP|9057257880113141</stp>
        <tr r="G1223" s="2"/>
      </tp>
      <tp t="s">
        <v>#N/A N/A</v>
        <stp/>
        <stp>BDP|3481275189264105116</stp>
        <tr r="A1270" s="2"/>
      </tp>
      <tp t="s">
        <v>#N/A N/A</v>
        <stp/>
        <stp>BDS|9342214411334813219</stp>
        <tr r="I211" s="2"/>
      </tp>
      <tp t="s">
        <v>#N/A N/A</v>
        <stp/>
        <stp>BDP|4312652598843401403</stp>
        <tr r="H1078" s="2"/>
      </tp>
      <tp t="s">
        <v>#N/A N/A</v>
        <stp/>
        <stp>BDP|8317719989389253235</stp>
        <tr r="H370" s="2"/>
      </tp>
      <tp t="s">
        <v>#N/A N/A</v>
        <stp/>
        <stp>BDP|5879738730808559549</stp>
        <tr r="O1411" s="2"/>
      </tp>
      <tp t="s">
        <v>#N/A N/A</v>
        <stp/>
        <stp>BDP|7332347615468083183</stp>
        <tr r="J992" s="2"/>
      </tp>
      <tp t="s">
        <v>#N/A N/A</v>
        <stp/>
        <stp>BDS|3829391935826743997</stp>
        <tr r="I782" s="2"/>
      </tp>
      <tp t="s">
        <v>#N/A N/A</v>
        <stp/>
        <stp>BDP|2705985949997519496</stp>
        <tr r="F403" s="2"/>
      </tp>
      <tp t="s">
        <v>#N/A N/A</v>
        <stp/>
        <stp>BDP|9919667309494509799</stp>
        <tr r="K1040" s="2"/>
      </tp>
      <tp t="s">
        <v>#N/A N/A</v>
        <stp/>
        <stp>BDP|9575189458434609591</stp>
        <tr r="M22" s="2"/>
      </tp>
      <tp t="s">
        <v>#N/A N/A</v>
        <stp/>
        <stp>BDP|9093679125245896401</stp>
        <tr r="T734" s="2"/>
      </tp>
      <tp t="s">
        <v>#N/A N/A</v>
        <stp/>
        <stp>BDP|6183320857579860561</stp>
        <tr r="A1505" s="2"/>
      </tp>
      <tp t="s">
        <v>#N/A N/A</v>
        <stp/>
        <stp>BDP|7911825367304381152</stp>
        <tr r="H1747" s="2"/>
      </tp>
      <tp t="s">
        <v>#N/A N/A</v>
        <stp/>
        <stp>BDP|7269961996549868209</stp>
        <tr r="P1649" s="2"/>
      </tp>
      <tp t="s">
        <v>#N/A N/A</v>
        <stp/>
        <stp>BDP|3331975711824849377</stp>
        <tr r="S805" s="2"/>
      </tp>
      <tp t="s">
        <v>#N/A N/A</v>
        <stp/>
        <stp>BDP|2371028180131964724</stp>
        <tr r="F1655" s="2"/>
      </tp>
      <tp t="s">
        <v>#N/A N/A</v>
        <stp/>
        <stp>BDP|6016282689103280396</stp>
        <tr r="K996" s="2"/>
      </tp>
      <tp t="s">
        <v>#N/A N/A</v>
        <stp/>
        <stp>BDP|4940542232787753928</stp>
        <tr r="O61" s="2"/>
      </tp>
      <tp t="s">
        <v>#N/A N/A</v>
        <stp/>
        <stp>BDP|2559447090656907528</stp>
        <tr r="F327" s="2"/>
      </tp>
      <tp t="s">
        <v>#N/A N/A</v>
        <stp/>
        <stp>BDP|9510405255293204789</stp>
        <tr r="A498" s="2"/>
      </tp>
      <tp t="s">
        <v>#N/A N/A</v>
        <stp/>
        <stp>BDP|6588856066057807341</stp>
        <tr r="M1423" s="2"/>
      </tp>
      <tp t="s">
        <v>#N/A N/A</v>
        <stp/>
        <stp>BDP|5199939143827935325</stp>
        <tr r="P66" s="2"/>
      </tp>
      <tp t="s">
        <v>#N/A N/A</v>
        <stp/>
        <stp>BDP|4715754615456483898</stp>
        <tr r="R702" s="2"/>
      </tp>
      <tp t="s">
        <v>#N/A N/A</v>
        <stp/>
        <stp>BDP|8994626102352096034</stp>
        <tr r="R561" s="2"/>
      </tp>
      <tp t="s">
        <v>#N/A N/A</v>
        <stp/>
        <stp>BDP|7112490801448569762</stp>
        <tr r="M760" s="2"/>
      </tp>
      <tp t="s">
        <v>#N/A N/A</v>
        <stp/>
        <stp>BDP|8690083468220991250</stp>
        <tr r="A104" s="2"/>
      </tp>
      <tp t="s">
        <v>#N/A N/A</v>
        <stp/>
        <stp>BDS|9348498242831437465</stp>
        <tr r="I363" s="2"/>
      </tp>
      <tp t="s">
        <v>#N/A N/A</v>
        <stp/>
        <stp>BDP|1957157682045760134</stp>
        <tr r="P1013" s="2"/>
      </tp>
      <tp t="s">
        <v>#N/A N/A</v>
        <stp/>
        <stp>BDP|9994037532366652048</stp>
        <tr r="S1721" s="2"/>
      </tp>
      <tp t="s">
        <v>#N/A N/A</v>
        <stp/>
        <stp>BDP|9757386171941783032</stp>
        <tr r="A1283" s="2"/>
      </tp>
      <tp t="s">
        <v>#N/A N/A</v>
        <stp/>
        <stp>BDP|2691751918769163109</stp>
        <tr r="N1057" s="2"/>
      </tp>
      <tp t="s">
        <v>#N/A N/A</v>
        <stp/>
        <stp>BDP|7825441392204058244</stp>
        <tr r="K277" s="2"/>
      </tp>
      <tp t="s">
        <v>#N/A N/A</v>
        <stp/>
        <stp>BDP|2988051196430053708</stp>
        <tr r="M1518" s="2"/>
      </tp>
      <tp t="s">
        <v>#N/A N/A</v>
        <stp/>
        <stp>BDP|1341935248262441264</stp>
        <tr r="R1335" s="2"/>
      </tp>
      <tp t="s">
        <v>#N/A N/A</v>
        <stp/>
        <stp>BDP|8303107585475855845</stp>
        <tr r="K1452" s="2"/>
      </tp>
      <tp t="s">
        <v>#N/A N/A</v>
        <stp/>
        <stp>BDP|8052692233951346039</stp>
        <tr r="G1305" s="2"/>
      </tp>
      <tp t="s">
        <v>#N/A N/A</v>
        <stp/>
        <stp>BDP|9457332700914497295</stp>
        <tr r="P1725" s="2"/>
      </tp>
      <tp t="s">
        <v>#N/A N/A</v>
        <stp/>
        <stp>BDS|4319672830128963575</stp>
        <tr r="I549" s="2"/>
      </tp>
      <tp t="s">
        <v>#N/A N/A</v>
        <stp/>
        <stp>BDP|2304316986566678381</stp>
        <tr r="T741" s="2"/>
      </tp>
      <tp t="s">
        <v>#N/A N/A</v>
        <stp/>
        <stp>BDP|6378994202723774056</stp>
        <tr r="E424" s="2"/>
      </tp>
      <tp t="s">
        <v>#N/A N/A</v>
        <stp/>
        <stp>BDP|9013278891629986752</stp>
        <tr r="H1584" s="2"/>
      </tp>
      <tp t="s">
        <v>#N/A N/A</v>
        <stp/>
        <stp>BDP|8527208277205092485</stp>
        <tr r="M737" s="2"/>
      </tp>
      <tp t="s">
        <v>#N/A N/A</v>
        <stp/>
        <stp>BDP|8614712458250718624</stp>
        <tr r="A1166" s="2"/>
      </tp>
      <tp t="s">
        <v>#N/A N/A</v>
        <stp/>
        <stp>BDP|3922422215953671929</stp>
        <tr r="P239" s="2"/>
      </tp>
      <tp t="s">
        <v>#N/A N/A</v>
        <stp/>
        <stp>BDP|1287984045629793924</stp>
        <tr r="K562" s="2"/>
      </tp>
      <tp t="s">
        <v>#N/A N/A</v>
        <stp/>
        <stp>BDP|7662948928580946099</stp>
        <tr r="H1530" s="2"/>
      </tp>
      <tp t="s">
        <v>#N/A N/A</v>
        <stp/>
        <stp>BDP|1006280671249567162</stp>
        <tr r="O436" s="2"/>
      </tp>
      <tp t="s">
        <v>#N/A N/A</v>
        <stp/>
        <stp>BDP|2033543904188861321</stp>
        <tr r="Q953" s="2"/>
      </tp>
      <tp t="s">
        <v>#N/A N/A</v>
        <stp/>
        <stp>BDP|5168437317689690598</stp>
        <tr r="G405" s="2"/>
      </tp>
      <tp t="s">
        <v>#N/A N/A</v>
        <stp/>
        <stp>BDP|8308148263927944473</stp>
        <tr r="G1435" s="2"/>
      </tp>
      <tp t="s">
        <v>#N/A N/A</v>
        <stp/>
        <stp>BDP|4065886645185072170</stp>
        <tr r="H1724" s="2"/>
      </tp>
      <tp t="s">
        <v>#N/A N/A</v>
        <stp/>
        <stp>BDP|1552916489778691404</stp>
        <tr r="J968" s="2"/>
      </tp>
      <tp t="s">
        <v>#N/A N/A</v>
        <stp/>
        <stp>BDP|3997127859593978805</stp>
        <tr r="M212" s="2"/>
      </tp>
      <tp t="s">
        <v>#N/A N/A</v>
        <stp/>
        <stp>BDP|3532064829825237835</stp>
        <tr r="T898" s="2"/>
      </tp>
      <tp t="s">
        <v>#N/A N/A</v>
        <stp/>
        <stp>BDP|4451509850771806972</stp>
        <tr r="O352" s="2"/>
      </tp>
      <tp t="s">
        <v>#N/A N/A</v>
        <stp/>
        <stp>BDP|9266063598185490934</stp>
        <tr r="R370" s="2"/>
      </tp>
      <tp t="s">
        <v>#N/A N/A</v>
        <stp/>
        <stp>BDP|8251872283936462290</stp>
        <tr r="R1109" s="2"/>
      </tp>
      <tp t="s">
        <v>#N/A N/A</v>
        <stp/>
        <stp>BDP|6291062966299089599</stp>
        <tr r="R856" s="2"/>
      </tp>
      <tp t="s">
        <v>#N/A N/A</v>
        <stp/>
        <stp>BDP|6222406398387392026</stp>
        <tr r="C1334" s="2"/>
      </tp>
      <tp t="s">
        <v>#N/A N/A</v>
        <stp/>
        <stp>BDP|9607568919356237703</stp>
        <tr r="K1124" s="2"/>
      </tp>
      <tp t="s">
        <v>#N/A N/A</v>
        <stp/>
        <stp>BDP|1945872556924648450</stp>
        <tr r="J267" s="2"/>
      </tp>
      <tp t="s">
        <v>#N/A N/A</v>
        <stp/>
        <stp>BDP|9717059738342470456</stp>
        <tr r="E1010" s="2"/>
      </tp>
      <tp t="s">
        <v>#N/A N/A</v>
        <stp/>
        <stp>BDP|5989760066271708950</stp>
        <tr r="D1676" s="2"/>
      </tp>
      <tp t="s">
        <v>#N/A N/A</v>
        <stp/>
        <stp>BDP|6197582722539835487</stp>
        <tr r="O1679" s="2"/>
      </tp>
      <tp t="s">
        <v>#N/A N/A</v>
        <stp/>
        <stp>BDP|8772089104414608060</stp>
        <tr r="M1333" s="2"/>
      </tp>
      <tp t="s">
        <v>#N/A N/A</v>
        <stp/>
        <stp>BDP|6452976039554033418</stp>
        <tr r="K857" s="2"/>
      </tp>
      <tp t="s">
        <v>#N/A N/A</v>
        <stp/>
        <stp>BDP|8594502342873473689</stp>
        <tr r="D452" s="2"/>
      </tp>
      <tp t="s">
        <v>#N/A N/A</v>
        <stp/>
        <stp>BDP|2444736883875662491</stp>
        <tr r="C864" s="2"/>
      </tp>
      <tp t="s">
        <v>#N/A N/A</v>
        <stp/>
        <stp>BDP|5852218135739657113</stp>
        <tr r="K1241" s="2"/>
      </tp>
      <tp t="s">
        <v>#N/A N/A</v>
        <stp/>
        <stp>BDS|3150225548800022905</stp>
        <tr r="I531" s="2"/>
      </tp>
      <tp t="s">
        <v>#N/A N/A</v>
        <stp/>
        <stp>BDP|5067703212518198785</stp>
        <tr r="J899" s="2"/>
      </tp>
      <tp t="s">
        <v>#N/A N/A</v>
        <stp/>
        <stp>BDP|8365919728427839894</stp>
        <tr r="K334" s="2"/>
      </tp>
      <tp t="s">
        <v>#N/A N/A</v>
        <stp/>
        <stp>BDP|9978348902907100159</stp>
        <tr r="N1574" s="2"/>
      </tp>
      <tp t="s">
        <v>#N/A N/A</v>
        <stp/>
        <stp>BDP|2913824926843330751</stp>
        <tr r="Q1251" s="2"/>
      </tp>
      <tp t="s">
        <v>#N/A N/A</v>
        <stp/>
        <stp>BDP|5539025983192997360</stp>
        <tr r="D440" s="2"/>
      </tp>
      <tp t="s">
        <v>#N/A N/A</v>
        <stp/>
        <stp>BDP|3437855432490091485</stp>
        <tr r="O612" s="2"/>
      </tp>
      <tp t="s">
        <v>#N/A N/A</v>
        <stp/>
        <stp>BDP|9491173689259996581</stp>
        <tr r="G1026" s="2"/>
      </tp>
      <tp t="s">
        <v>#N/A N/A</v>
        <stp/>
        <stp>BDP|8316491027201750317</stp>
        <tr r="K1349" s="2"/>
      </tp>
      <tp t="s">
        <v>#N/A N/A</v>
        <stp/>
        <stp>BDP|1353234391177331190</stp>
        <tr r="C841" s="2"/>
      </tp>
      <tp t="s">
        <v>#N/A N/A</v>
        <stp/>
        <stp>BDP|9602119175654153788</stp>
        <tr r="G1322" s="2"/>
      </tp>
      <tp t="s">
        <v>#N/A N/A</v>
        <stp/>
        <stp>BDP|9511985685695028132</stp>
        <tr r="E100" s="2"/>
      </tp>
      <tp t="s">
        <v>#N/A N/A</v>
        <stp/>
        <stp>BDP|5021194571308424775</stp>
        <tr r="P1574" s="2"/>
      </tp>
      <tp t="s">
        <v>#N/A N/A</v>
        <stp/>
        <stp>BDS|3893665384975345420</stp>
        <tr r="I285" s="2"/>
      </tp>
      <tp t="s">
        <v>#N/A N/A</v>
        <stp/>
        <stp>BDP|1827755936519612061</stp>
        <tr r="R797" s="2"/>
      </tp>
      <tp t="s">
        <v>#N/A N/A</v>
        <stp/>
        <stp>BDP|5143426736199816760</stp>
        <tr r="C1404" s="2"/>
      </tp>
      <tp t="s">
        <v>#N/A N/A</v>
        <stp/>
        <stp>BDP|4457371767964711989</stp>
        <tr r="S303" s="2"/>
      </tp>
      <tp t="s">
        <v>#N/A N/A</v>
        <stp/>
        <stp>BDP|1675565998347659651</stp>
        <tr r="C1750" s="2"/>
      </tp>
      <tp t="s">
        <v>#N/A N/A</v>
        <stp/>
        <stp>BDP|2749652425399417381</stp>
        <tr r="T1706" s="2"/>
      </tp>
      <tp t="s">
        <v>#N/A N/A</v>
        <stp/>
        <stp>BDP|2262346735796103892</stp>
        <tr r="O1680" s="2"/>
      </tp>
      <tp t="s">
        <v>#N/A N/A</v>
        <stp/>
        <stp>BDS|3496849526620948544</stp>
        <tr r="I665" s="2"/>
      </tp>
      <tp t="s">
        <v>#N/A N/A</v>
        <stp/>
        <stp>BDP|3027517999121327203</stp>
        <tr r="S108" s="2"/>
      </tp>
      <tp t="s">
        <v>#N/A N/A</v>
        <stp/>
        <stp>BDP|7885376560966612822</stp>
        <tr r="C37" s="2"/>
      </tp>
      <tp t="s">
        <v>#N/A N/A</v>
        <stp/>
        <stp>BDP|1200872351953883377</stp>
        <tr r="C75" s="2"/>
      </tp>
      <tp t="s">
        <v>#N/A N/A</v>
        <stp/>
        <stp>BDP|5571099236823551947</stp>
        <tr r="O112" s="2"/>
      </tp>
      <tp t="s">
        <v>#N/A N/A</v>
        <stp/>
        <stp>BDP|8007453977964994307</stp>
        <tr r="G283" s="2"/>
      </tp>
      <tp t="s">
        <v>#N/A N/A</v>
        <stp/>
        <stp>BDP|7730600227026975923</stp>
        <tr r="N1538" s="2"/>
      </tp>
      <tp t="s">
        <v>#N/A N/A</v>
        <stp/>
        <stp>BDP|2594278333319260683</stp>
        <tr r="K1041" s="2"/>
      </tp>
      <tp t="s">
        <v>#N/A N/A</v>
        <stp/>
        <stp>BDP|8032531208614561555</stp>
        <tr r="C129" s="2"/>
      </tp>
      <tp t="s">
        <v>#N/A N/A</v>
        <stp/>
        <stp>BDP|9607796416186427562</stp>
        <tr r="S1226" s="2"/>
      </tp>
      <tp t="s">
        <v>#N/A N/A</v>
        <stp/>
        <stp>BDP|3913908910757181031</stp>
        <tr r="J1584" s="2"/>
      </tp>
      <tp t="s">
        <v>#N/A N/A</v>
        <stp/>
        <stp>BDP|8604291415813037422</stp>
        <tr r="C1003" s="2"/>
      </tp>
      <tp t="s">
        <v>#N/A N/A</v>
        <stp/>
        <stp>BDP|3614841308740496765</stp>
        <tr r="E1159" s="2"/>
      </tp>
      <tp t="s">
        <v>#N/A N/A</v>
        <stp/>
        <stp>BDP|6895948814846779475</stp>
        <tr r="D770" s="2"/>
      </tp>
      <tp t="s">
        <v>#N/A N/A</v>
        <stp/>
        <stp>BDP|3715594251847351843</stp>
        <tr r="T1123" s="2"/>
      </tp>
      <tp t="s">
        <v>#N/A N/A</v>
        <stp/>
        <stp>BDP|9056328957664837753</stp>
        <tr r="A1032" s="2"/>
      </tp>
      <tp t="s">
        <v>#N/A N/A</v>
        <stp/>
        <stp>BDP|9582005605274164193</stp>
        <tr r="T718" s="2"/>
      </tp>
      <tp t="s">
        <v>#N/A N/A</v>
        <stp/>
        <stp>BDP|9004783130885117410</stp>
        <tr r="G93" s="2"/>
      </tp>
      <tp t="s">
        <v>#N/A N/A</v>
        <stp/>
        <stp>BDP|4643272799830863385</stp>
        <tr r="O1636" s="2"/>
      </tp>
      <tp t="s">
        <v>#N/A N/A</v>
        <stp/>
        <stp>BDP|3620069703469224690</stp>
        <tr r="A1524" s="2"/>
      </tp>
      <tp t="s">
        <v>#N/A N/A</v>
        <stp/>
        <stp>BDP|3799820978473545304</stp>
        <tr r="A875" s="2"/>
      </tp>
      <tp t="s">
        <v>#N/A N/A</v>
        <stp/>
        <stp>BDP|8949065002543091750</stp>
        <tr r="N1341" s="2"/>
      </tp>
      <tp t="s">
        <v>#N/A N/A</v>
        <stp/>
        <stp>BDP|5074250592503981166</stp>
        <tr r="H1580" s="2"/>
      </tp>
      <tp t="s">
        <v>#N/A N/A</v>
        <stp/>
        <stp>BDP|3798381948340769881</stp>
        <tr r="C202" s="2"/>
      </tp>
      <tp t="s">
        <v>#N/A N/A</v>
        <stp/>
        <stp>BDP|2270160382454978378</stp>
        <tr r="C691" s="2"/>
      </tp>
      <tp t="s">
        <v>#N/A N/A</v>
        <stp/>
        <stp>BDP|8124134441031985021</stp>
        <tr r="F228" s="2"/>
      </tp>
      <tp t="s">
        <v>#N/A N/A</v>
        <stp/>
        <stp>BDP|7502484602996776904</stp>
        <tr r="G395" s="2"/>
      </tp>
      <tp t="s">
        <v>#N/A N/A</v>
        <stp/>
        <stp>BDP|8562697060501555510</stp>
        <tr r="P694" s="2"/>
      </tp>
      <tp t="s">
        <v>#N/A N/A</v>
        <stp/>
        <stp>BDS|4724484196644233131</stp>
        <tr r="I664" s="2"/>
      </tp>
      <tp t="s">
        <v>#N/A N/A</v>
        <stp/>
        <stp>BDP|2731864158483070015</stp>
        <tr r="S1480" s="2"/>
      </tp>
      <tp t="s">
        <v>#N/A N/A</v>
        <stp/>
        <stp>BDP|9144114991198883519</stp>
        <tr r="Q1472" s="2"/>
      </tp>
      <tp t="s">
        <v>#N/A N/A</v>
        <stp/>
        <stp>BDP|8465941496455629181</stp>
        <tr r="S834" s="2"/>
      </tp>
      <tp t="s">
        <v>#N/A N/A</v>
        <stp/>
        <stp>BDP|3738283579533860963</stp>
        <tr r="E1215" s="2"/>
      </tp>
      <tp t="s">
        <v>#N/A N/A</v>
        <stp/>
        <stp>BDP|4814488312878928533</stp>
        <tr r="T909" s="2"/>
      </tp>
      <tp t="s">
        <v>#N/A N/A</v>
        <stp/>
        <stp>BDP|1223771081152942055</stp>
        <tr r="Q1231" s="2"/>
      </tp>
      <tp t="s">
        <v>#N/A N/A</v>
        <stp/>
        <stp>BDP|7010264191408665894</stp>
        <tr r="F1195" s="2"/>
      </tp>
      <tp t="s">
        <v>#N/A N/A</v>
        <stp/>
        <stp>BDP|4273923495778857055</stp>
        <tr r="O1143" s="2"/>
      </tp>
      <tp t="s">
        <v>#N/A N/A</v>
        <stp/>
        <stp>BDP|3459007832224723891</stp>
        <tr r="P1297" s="2"/>
      </tp>
      <tp t="s">
        <v>#N/A N/A</v>
        <stp/>
        <stp>BDP|4206076789005230567</stp>
        <tr r="F1492" s="2"/>
      </tp>
      <tp t="s">
        <v>#N/A N/A</v>
        <stp/>
        <stp>BDP|4828407381027258332</stp>
        <tr r="D184" s="2"/>
      </tp>
      <tp t="s">
        <v>#N/A N/A</v>
        <stp/>
        <stp>BDP|3791948069398255805</stp>
        <tr r="H419" s="2"/>
      </tp>
      <tp t="s">
        <v>#N/A N/A</v>
        <stp/>
        <stp>BDP|4819177236863843998</stp>
        <tr r="J405" s="2"/>
      </tp>
      <tp t="s">
        <v>#N/A N/A</v>
        <stp/>
        <stp>BDP|5998652169838534182</stp>
        <tr r="G175" s="2"/>
      </tp>
      <tp t="s">
        <v>#N/A N/A</v>
        <stp/>
        <stp>BDP|1657593892242353363</stp>
        <tr r="N319" s="2"/>
      </tp>
      <tp t="s">
        <v>#N/A N/A</v>
        <stp/>
        <stp>BDP|2272814837537833247</stp>
        <tr r="P214" s="2"/>
      </tp>
      <tp t="s">
        <v>#N/A N/A</v>
        <stp/>
        <stp>BDP|1660980179305775687</stp>
        <tr r="H857" s="2"/>
      </tp>
      <tp t="s">
        <v>#N/A N/A</v>
        <stp/>
        <stp>BDP|6296191385154756719</stp>
        <tr r="A793" s="2"/>
      </tp>
      <tp t="s">
        <v>#N/A N/A</v>
        <stp/>
        <stp>BDP|1911583884792498299</stp>
        <tr r="D1132" s="2"/>
      </tp>
      <tp t="s">
        <v>#N/A N/A</v>
        <stp/>
        <stp>BDP|9869782528946511659</stp>
        <tr r="Q846" s="2"/>
      </tp>
      <tp t="s">
        <v>#N/A N/A</v>
        <stp/>
        <stp>BDP|5584597775028685373</stp>
        <tr r="E954" s="2"/>
      </tp>
      <tp t="s">
        <v>#N/A N/A</v>
        <stp/>
        <stp>BDP|2462006160568423083</stp>
        <tr r="N1448" s="2"/>
      </tp>
      <tp t="s">
        <v>#N/A N/A</v>
        <stp/>
        <stp>BDP|6093289106168776012</stp>
        <tr r="Q363" s="2"/>
      </tp>
      <tp t="s">
        <v>#N/A N/A</v>
        <stp/>
        <stp>BDP|9759533141162441697</stp>
        <tr r="G1202" s="2"/>
      </tp>
      <tp t="s">
        <v>#N/A N/A</v>
        <stp/>
        <stp>BDP|1370694782367054402</stp>
        <tr r="P559" s="2"/>
      </tp>
      <tp t="s">
        <v>#N/A N/A</v>
        <stp/>
        <stp>BDP|3691725508130122858</stp>
        <tr r="F595" s="2"/>
      </tp>
      <tp t="s">
        <v>#N/A N/A</v>
        <stp/>
        <stp>BDP|4863028181203233318</stp>
        <tr r="T1489" s="2"/>
      </tp>
      <tp t="s">
        <v>#N/A N/A</v>
        <stp/>
        <stp>BDP|7450672209345264805</stp>
        <tr r="N1403" s="2"/>
      </tp>
      <tp t="s">
        <v>#N/A N/A</v>
        <stp/>
        <stp>BDP|9755667615415481789</stp>
        <tr r="F634" s="2"/>
      </tp>
      <tp t="s">
        <v>#N/A N/A</v>
        <stp/>
        <stp>BDP|7806319071896331935</stp>
        <tr r="S837" s="2"/>
      </tp>
      <tp t="s">
        <v>#N/A N/A</v>
        <stp/>
        <stp>BDP|1916843980159231477</stp>
        <tr r="Q829" s="2"/>
      </tp>
      <tp t="s">
        <v>#N/A N/A</v>
        <stp/>
        <stp>BDP|3775950229633112726</stp>
        <tr r="H654" s="2"/>
      </tp>
      <tp t="s">
        <v>#N/A N/A</v>
        <stp/>
        <stp>BDP|3266474972278878471</stp>
        <tr r="Q331" s="2"/>
      </tp>
      <tp t="s">
        <v>#N/A N/A</v>
        <stp/>
        <stp>BDP|9429230970752815272</stp>
        <tr r="K1660" s="2"/>
      </tp>
      <tp t="s">
        <v>#N/A N/A</v>
        <stp/>
        <stp>BDP|4582246381296039489</stp>
        <tr r="P171" s="2"/>
      </tp>
      <tp t="s">
        <v>#N/A N/A</v>
        <stp/>
        <stp>BDP|8616190325516305112</stp>
        <tr r="P969" s="2"/>
      </tp>
      <tp t="s">
        <v>#N/A N/A</v>
        <stp/>
        <stp>BDP|2638407555059332681</stp>
        <tr r="E433" s="2"/>
      </tp>
      <tp t="s">
        <v>#N/A N/A</v>
        <stp/>
        <stp>BDP|8925250860368331874</stp>
        <tr r="D1003" s="2"/>
      </tp>
      <tp t="s">
        <v>#N/A N/A</v>
        <stp/>
        <stp>BDP|5803938471381644649</stp>
        <tr r="J1333" s="2"/>
      </tp>
      <tp t="s">
        <v>#N/A N/A</v>
        <stp/>
        <stp>BDP|4876527688360233599</stp>
        <tr r="J118" s="2"/>
      </tp>
      <tp t="s">
        <v>#N/A N/A</v>
        <stp/>
        <stp>BDP|8937339646815296672</stp>
        <tr r="N1088" s="2"/>
      </tp>
      <tp t="s">
        <v>#N/A N/A</v>
        <stp/>
        <stp>BDP|4997847012457332650</stp>
        <tr r="A248" s="2"/>
      </tp>
      <tp t="s">
        <v>#N/A N/A</v>
        <stp/>
        <stp>BDP|1728486345894158920</stp>
        <tr r="D239" s="2"/>
      </tp>
      <tp t="s">
        <v>#N/A N/A</v>
        <stp/>
        <stp>BDP|4914828341740739444</stp>
        <tr r="K31" s="2"/>
      </tp>
      <tp t="s">
        <v>#N/A N/A</v>
        <stp/>
        <stp>BDP|8284354155471288399</stp>
        <tr r="Q772" s="2"/>
      </tp>
      <tp t="s">
        <v>#N/A N/A</v>
        <stp/>
        <stp>BDP|5221467622028881775</stp>
        <tr r="J1737" s="2"/>
      </tp>
      <tp t="s">
        <v>#N/A N/A</v>
        <stp/>
        <stp>BDP|8697553284431832865</stp>
        <tr r="P1145" s="2"/>
      </tp>
      <tp t="s">
        <v>#N/A N/A</v>
        <stp/>
        <stp>BDP|9087462284339808031</stp>
        <tr r="N458" s="2"/>
      </tp>
      <tp t="s">
        <v>#N/A N/A</v>
        <stp/>
        <stp>BDP|2444588904678226333</stp>
        <tr r="M1300" s="2"/>
      </tp>
      <tp t="s">
        <v>#N/A N/A</v>
        <stp/>
        <stp>BDP|5556254777968679484</stp>
        <tr r="C934" s="2"/>
      </tp>
      <tp t="s">
        <v>#N/A N/A</v>
        <stp/>
        <stp>BDP|8084922007098812540</stp>
        <tr r="K1000" s="2"/>
      </tp>
      <tp t="s">
        <v>#N/A N/A</v>
        <stp/>
        <stp>BDP|1273298054068133276</stp>
        <tr r="D123" s="2"/>
      </tp>
      <tp t="s">
        <v>#N/A N/A</v>
        <stp/>
        <stp>BDP|3408269884021900463</stp>
        <tr r="D1579" s="2"/>
      </tp>
      <tp t="s">
        <v>#N/A N/A</v>
        <stp/>
        <stp>BDP|7563152548978013616</stp>
        <tr r="F1740" s="2"/>
      </tp>
      <tp t="s">
        <v>#N/A N/A</v>
        <stp/>
        <stp>BDP|8215440702349470998</stp>
        <tr r="R864" s="2"/>
      </tp>
      <tp t="s">
        <v>#N/A N/A</v>
        <stp/>
        <stp>BDP|1359826238162762479</stp>
        <tr r="G1267" s="2"/>
      </tp>
      <tp t="s">
        <v>#N/A N/A</v>
        <stp/>
        <stp>BDP|4591727288113557436</stp>
        <tr r="G406" s="2"/>
      </tp>
      <tp t="s">
        <v>#N/A N/A</v>
        <stp/>
        <stp>BDP|3708996356613549048</stp>
        <tr r="N1182" s="2"/>
      </tp>
      <tp t="s">
        <v>#N/A N/A</v>
        <stp/>
        <stp>BDP|9689704569546167270</stp>
        <tr r="T1333" s="2"/>
      </tp>
      <tp t="s">
        <v>#N/A N/A</v>
        <stp/>
        <stp>BDP|1647699496584520655</stp>
        <tr r="J572" s="2"/>
      </tp>
      <tp t="s">
        <v>#N/A N/A</v>
        <stp/>
        <stp>BDP|7013520468590085833</stp>
        <tr r="Q1733" s="2"/>
      </tp>
      <tp t="s">
        <v>#N/A N/A</v>
        <stp/>
        <stp>BDP|9739098995525279906</stp>
        <tr r="H285" s="2"/>
      </tp>
      <tp t="s">
        <v>#N/A N/A</v>
        <stp/>
        <stp>BDP|1895568559965600886</stp>
        <tr r="J375" s="2"/>
      </tp>
      <tp t="s">
        <v>#N/A N/A</v>
        <stp/>
        <stp>BDP|9298125588539919586</stp>
        <tr r="F712" s="2"/>
      </tp>
      <tp t="s">
        <v>#N/A N/A</v>
        <stp/>
        <stp>BDP|2602610500078990077</stp>
        <tr r="T1088" s="2"/>
      </tp>
      <tp t="s">
        <v>#N/A N/A</v>
        <stp/>
        <stp>BDP|5602641985425899262</stp>
        <tr r="K1747" s="2"/>
      </tp>
      <tp t="s">
        <v>#N/A N/A</v>
        <stp/>
        <stp>BDP|7478201869758184757</stp>
        <tr r="P692" s="2"/>
      </tp>
      <tp t="s">
        <v>#N/A N/A</v>
        <stp/>
        <stp>BDP|2690966680029873618</stp>
        <tr r="T1518" s="2"/>
      </tp>
      <tp t="s">
        <v>#N/A N/A</v>
        <stp/>
        <stp>BDP|7836823158722342483</stp>
        <tr r="H448" s="2"/>
      </tp>
      <tp t="s">
        <v>#N/A N/A</v>
        <stp/>
        <stp>BDP|9745268931985065193</stp>
        <tr r="A618" s="2"/>
      </tp>
      <tp t="s">
        <v>#N/A N/A</v>
        <stp/>
        <stp>BDP|2295810337683597686</stp>
        <tr r="M1412" s="2"/>
      </tp>
      <tp t="s">
        <v>#N/A N/A</v>
        <stp/>
        <stp>BDP|4768435791292802743</stp>
        <tr r="F14" s="2"/>
      </tp>
      <tp t="s">
        <v>#N/A N/A</v>
        <stp/>
        <stp>BDP|1701303093824487396</stp>
        <tr r="G1222" s="2"/>
      </tp>
      <tp t="s">
        <v>#N/A N/A</v>
        <stp/>
        <stp>BDP|6012549601066494984</stp>
        <tr r="E508" s="2"/>
      </tp>
      <tp t="s">
        <v>#N/A N/A</v>
        <stp/>
        <stp>BDP|8172485591630004911</stp>
        <tr r="G865" s="2"/>
      </tp>
      <tp t="s">
        <v>#N/A N/A</v>
        <stp/>
        <stp>BDP|1530791739578921150</stp>
        <tr r="P107" s="2"/>
      </tp>
      <tp t="s">
        <v>#N/A N/A</v>
        <stp/>
        <stp>BDP|7952789959921304820</stp>
        <tr r="J439" s="2"/>
      </tp>
      <tp t="s">
        <v>#N/A N/A</v>
        <stp/>
        <stp>BDP|1944531512578858190</stp>
        <tr r="D1410" s="2"/>
      </tp>
      <tp t="s">
        <v>#N/A N/A</v>
        <stp/>
        <stp>BDP|8161304069566070717</stp>
        <tr r="P500" s="2"/>
      </tp>
      <tp t="s">
        <v>#N/A N/A</v>
        <stp/>
        <stp>BDP|7926859303735496622</stp>
        <tr r="M1380" s="2"/>
      </tp>
      <tp t="s">
        <v>#N/A N/A</v>
        <stp/>
        <stp>BDS|7401927863210845445</stp>
        <tr r="I148" s="2"/>
      </tp>
      <tp t="s">
        <v>#N/A N/A</v>
        <stp/>
        <stp>BDP|6707580407488045717</stp>
        <tr r="M786" s="2"/>
      </tp>
      <tp t="s">
        <v>#N/A N/A</v>
        <stp/>
        <stp>BDP|7910552977500417960</stp>
        <tr r="O1657" s="2"/>
      </tp>
      <tp t="s">
        <v>#N/A N/A</v>
        <stp/>
        <stp>BDP|7809825011201311311</stp>
        <tr r="A1637" s="2"/>
      </tp>
      <tp t="s">
        <v>#N/A N/A</v>
        <stp/>
        <stp>BDP|7705289694669612948</stp>
        <tr r="K314" s="2"/>
      </tp>
      <tp t="s">
        <v>#N/A N/A</v>
        <stp/>
        <stp>BDP|9582947505429989545</stp>
        <tr r="P7" s="2"/>
      </tp>
      <tp t="s">
        <v>#N/A N/A</v>
        <stp/>
        <stp>BDP|7536966839420606157</stp>
        <tr r="C1154" s="2"/>
      </tp>
      <tp t="s">
        <v>#N/A N/A</v>
        <stp/>
        <stp>BDP|4557007900310288890</stp>
        <tr r="E1655" s="2"/>
      </tp>
      <tp t="s">
        <v>#N/A N/A</v>
        <stp/>
        <stp>BDP|8333742418991779366</stp>
        <tr r="N270" s="2"/>
      </tp>
      <tp t="s">
        <v>#N/A N/A</v>
        <stp/>
        <stp>BDP|4328818520695438786</stp>
        <tr r="Q696" s="2"/>
      </tp>
      <tp t="s">
        <v>#N/A N/A</v>
        <stp/>
        <stp>BDP|1099658904393894872</stp>
        <tr r="Q294" s="2"/>
      </tp>
      <tp t="s">
        <v>#N/A N/A</v>
        <stp/>
        <stp>BDP|8322650584263981950</stp>
        <tr r="T204" s="2"/>
      </tp>
      <tp t="s">
        <v>#N/A N/A</v>
        <stp/>
        <stp>BDP|4855675418588187785</stp>
        <tr r="N1715" s="2"/>
      </tp>
      <tp t="s">
        <v>#N/A N/A</v>
        <stp/>
        <stp>BDP|8919519442622149750</stp>
        <tr r="S1020" s="2"/>
      </tp>
      <tp t="s">
        <v>#N/A N/A</v>
        <stp/>
        <stp>BDS|9463712273356972319</stp>
        <tr r="I432" s="2"/>
      </tp>
      <tp t="s">
        <v>#N/A N/A</v>
        <stp/>
        <stp>BDP|8320366577062584296</stp>
        <tr r="O1192" s="2"/>
      </tp>
      <tp t="s">
        <v>#N/A N/A</v>
        <stp/>
        <stp>BDP|2881762985284403512</stp>
        <tr r="Q1137" s="2"/>
      </tp>
      <tp t="s">
        <v>#N/A N/A</v>
        <stp/>
        <stp>BDP|5766424488907421273</stp>
        <tr r="D829" s="2"/>
      </tp>
      <tp t="s">
        <v>#N/A N/A</v>
        <stp/>
        <stp>BDP|3678082271541585942</stp>
        <tr r="K777" s="2"/>
      </tp>
      <tp t="s">
        <v>#N/A N/A</v>
        <stp/>
        <stp>BDP|7529382372177749868</stp>
        <tr r="G788" s="2"/>
      </tp>
      <tp t="s">
        <v>#N/A N/A</v>
        <stp/>
        <stp>BDP|9754210243007982420</stp>
        <tr r="Q188" s="2"/>
      </tp>
      <tp t="s">
        <v>#N/A N/A</v>
        <stp/>
        <stp>BDP|8110557252634047089</stp>
        <tr r="R771" s="2"/>
      </tp>
      <tp t="s">
        <v>#N/A N/A</v>
        <stp/>
        <stp>BDP|6967018447568836695</stp>
        <tr r="C698" s="2"/>
      </tp>
      <tp t="s">
        <v>#N/A N/A</v>
        <stp/>
        <stp>BDP|5996823844007116206</stp>
        <tr r="S1421" s="2"/>
      </tp>
      <tp t="s">
        <v>#N/A N/A</v>
        <stp/>
        <stp>BDP|3832468282516656547</stp>
        <tr r="T1665" s="2"/>
      </tp>
      <tp t="s">
        <v>#N/A N/A</v>
        <stp/>
        <stp>BDP|8450466940887822345</stp>
        <tr r="J999" s="2"/>
      </tp>
      <tp t="s">
        <v>#N/A N/A</v>
        <stp/>
        <stp>BDP|1834263848548100399</stp>
        <tr r="C1259" s="2"/>
      </tp>
      <tp t="s">
        <v>#N/A N/A</v>
        <stp/>
        <stp>BDP|9077658973307817301</stp>
        <tr r="A753" s="2"/>
      </tp>
      <tp t="s">
        <v>#N/A N/A</v>
        <stp/>
        <stp>BDP|5225262014783889960</stp>
        <tr r="P569" s="2"/>
      </tp>
      <tp t="s">
        <v>#N/A N/A</v>
        <stp/>
        <stp>BDP|7088214778128318643</stp>
        <tr r="Q488" s="2"/>
      </tp>
      <tp t="s">
        <v>#N/A N/A</v>
        <stp/>
        <stp>BDP|9783329673847057683</stp>
        <tr r="N1593" s="2"/>
      </tp>
      <tp t="s">
        <v>#N/A N/A</v>
        <stp/>
        <stp>BDP|4953791889227584021</stp>
        <tr r="S667" s="2"/>
      </tp>
      <tp t="s">
        <v>#N/A N/A</v>
        <stp/>
        <stp>BDP|6825301167058355728</stp>
        <tr r="S749" s="2"/>
      </tp>
      <tp t="s">
        <v>#N/A N/A</v>
        <stp/>
        <stp>BDP|3977685670959853770</stp>
        <tr r="S526" s="2"/>
      </tp>
      <tp t="s">
        <v>#N/A N/A</v>
        <stp/>
        <stp>BDP|2482696703021017901</stp>
        <tr r="E1066" s="2"/>
      </tp>
      <tp t="s">
        <v>#N/A N/A</v>
        <stp/>
        <stp>BDP|3879887119896111067</stp>
        <tr r="Q74" s="2"/>
      </tp>
      <tp t="s">
        <v>#N/A N/A</v>
        <stp/>
        <stp>BDP|7300407688527001053</stp>
        <tr r="H872" s="2"/>
      </tp>
      <tp t="s">
        <v>#N/A N/A</v>
        <stp/>
        <stp>BDP|1972110947889795167</stp>
        <tr r="N26" s="2"/>
      </tp>
      <tp t="s">
        <v>#N/A N/A</v>
        <stp/>
        <stp>BDP|8027147731301809737</stp>
        <tr r="K1535" s="2"/>
      </tp>
      <tp t="s">
        <v>#N/A N/A</v>
        <stp/>
        <stp>BDP|9375830425689862636</stp>
        <tr r="H1670" s="2"/>
      </tp>
      <tp t="s">
        <v>#N/A N/A</v>
        <stp/>
        <stp>BDP|3934459484065136679</stp>
        <tr r="A69" s="2"/>
      </tp>
      <tp t="s">
        <v>#N/A N/A</v>
        <stp/>
        <stp>BDP|1281608288715573613</stp>
        <tr r="C147" s="2"/>
      </tp>
      <tp t="s">
        <v>#N/A N/A</v>
        <stp/>
        <stp>BDP|3101568845579990757</stp>
        <tr r="E1541" s="2"/>
      </tp>
      <tp t="s">
        <v>#N/A N/A</v>
        <stp/>
        <stp>BDP|3879390002708570484</stp>
        <tr r="J652" s="2"/>
      </tp>
      <tp t="s">
        <v>#N/A N/A</v>
        <stp/>
        <stp>BDP|6338899334254024509</stp>
        <tr r="J757" s="2"/>
      </tp>
      <tp t="s">
        <v>#N/A N/A</v>
        <stp/>
        <stp>BDP|6234991217241454367</stp>
        <tr r="N651" s="2"/>
      </tp>
      <tp t="s">
        <v>#N/A N/A</v>
        <stp/>
        <stp>BDP|5022293133540134855</stp>
        <tr r="J311" s="2"/>
      </tp>
      <tp t="s">
        <v>#N/A N/A</v>
        <stp/>
        <stp>BDP|6690061598805358650</stp>
        <tr r="Q675" s="2"/>
      </tp>
      <tp t="s">
        <v>#N/A N/A</v>
        <stp/>
        <stp>BDP|3511980178799217893</stp>
        <tr r="K1269" s="2"/>
      </tp>
      <tp t="s">
        <v>#N/A N/A</v>
        <stp/>
        <stp>BDP|6016338855834062883</stp>
        <tr r="D106" s="2"/>
      </tp>
      <tp t="s">
        <v>#N/A N/A</v>
        <stp/>
        <stp>BDP|2149562004463917847</stp>
        <tr r="R1113" s="2"/>
      </tp>
      <tp t="s">
        <v>#N/A N/A</v>
        <stp/>
        <stp>BDP|9489810087936930356</stp>
        <tr r="D990" s="2"/>
      </tp>
      <tp t="s">
        <v>#N/A N/A</v>
        <stp/>
        <stp>BDP|9307927777582058980</stp>
        <tr r="E1228" s="2"/>
      </tp>
      <tp t="s">
        <v>#N/A N/A</v>
        <stp/>
        <stp>BDP|2066478299977952494</stp>
        <tr r="A251" s="2"/>
      </tp>
      <tp t="s">
        <v>#N/A N/A</v>
        <stp/>
        <stp>BDP|8559412364783729594</stp>
        <tr r="P275" s="2"/>
      </tp>
      <tp t="s">
        <v>#N/A N/A</v>
        <stp/>
        <stp>BDP|4486415833909049699</stp>
        <tr r="P752" s="2"/>
      </tp>
      <tp t="s">
        <v>#N/A N/A</v>
        <stp/>
        <stp>BDP|3352030139058744418</stp>
        <tr r="F1672" s="2"/>
      </tp>
      <tp t="s">
        <v>#N/A N/A</v>
        <stp/>
        <stp>BDP|9661965545059888122</stp>
        <tr r="H1665" s="2"/>
      </tp>
      <tp t="s">
        <v>#N/A N/A</v>
        <stp/>
        <stp>BDP|4020081662957139940</stp>
        <tr r="A1394" s="2"/>
      </tp>
      <tp t="s">
        <v>#N/A N/A</v>
        <stp/>
        <stp>BDP|9574839667339700295</stp>
        <tr r="F361" s="2"/>
      </tp>
      <tp t="s">
        <v>#N/A N/A</v>
        <stp/>
        <stp>BDP|3121874257621882360</stp>
        <tr r="O1351" s="2"/>
      </tp>
      <tp t="s">
        <v>#N/A N/A</v>
        <stp/>
        <stp>BDP|9927043900914343114</stp>
        <tr r="T794" s="2"/>
      </tp>
      <tp t="s">
        <v>#N/A N/A</v>
        <stp/>
        <stp>BDP|4183882636956638568</stp>
        <tr r="N604" s="2"/>
      </tp>
      <tp t="s">
        <v>#N/A N/A</v>
        <stp/>
        <stp>BDP|4950443557768398160</stp>
        <tr r="G926" s="2"/>
      </tp>
      <tp t="s">
        <v>#N/A N/A</v>
        <stp/>
        <stp>BDP|8387116499039544511</stp>
        <tr r="D1454" s="2"/>
      </tp>
      <tp t="s">
        <v>#N/A N/A</v>
        <stp/>
        <stp>BDP|3606819448026071505</stp>
        <tr r="K985" s="2"/>
      </tp>
      <tp t="s">
        <v>#N/A N/A</v>
        <stp/>
        <stp>BDP|6820231507218438078</stp>
        <tr r="D1309" s="2"/>
      </tp>
      <tp t="s">
        <v>#N/A N/A</v>
        <stp/>
        <stp>BDP|6581917973087144396</stp>
        <tr r="Q1699" s="2"/>
      </tp>
      <tp t="s">
        <v>#N/A N/A</v>
        <stp/>
        <stp>BDP|3132993376724924588</stp>
        <tr r="M1139" s="2"/>
      </tp>
      <tp t="s">
        <v>#N/A N/A</v>
        <stp/>
        <stp>BDP|1160385250568123378</stp>
        <tr r="F1424" s="2"/>
      </tp>
      <tp t="s">
        <v>#N/A N/A</v>
        <stp/>
        <stp>BDP|1166665798757403548</stp>
        <tr r="R1709" s="2"/>
      </tp>
      <tp t="s">
        <v>#N/A N/A</v>
        <stp/>
        <stp>BDP|6649525965390878969</stp>
        <tr r="K1205" s="2"/>
      </tp>
      <tp t="s">
        <v>#N/A N/A</v>
        <stp/>
        <stp>BDP|7507894974674585026</stp>
        <tr r="A355" s="2"/>
      </tp>
      <tp t="s">
        <v>#N/A N/A</v>
        <stp/>
        <stp>BDP|2853234446881752950</stp>
        <tr r="A944" s="2"/>
      </tp>
      <tp t="s">
        <v>#N/A N/A</v>
        <stp/>
        <stp>BDP|2976159534168546424</stp>
        <tr r="O474" s="2"/>
      </tp>
      <tp t="s">
        <v>#N/A N/A</v>
        <stp/>
        <stp>BDP|7834145593731877288</stp>
        <tr r="H873" s="2"/>
      </tp>
      <tp t="s">
        <v>#N/A N/A</v>
        <stp/>
        <stp>BDP|2758928846445477680</stp>
        <tr r="E535" s="2"/>
      </tp>
      <tp t="s">
        <v>#N/A N/A</v>
        <stp/>
        <stp>BDP|8625558244004019185</stp>
        <tr r="F1381" s="2"/>
      </tp>
      <tp t="s">
        <v>#N/A N/A</v>
        <stp/>
        <stp>BDP|5997329753668668711</stp>
        <tr r="H826" s="2"/>
      </tp>
      <tp t="s">
        <v>#N/A N/A</v>
        <stp/>
        <stp>BDP|1937043640281466865</stp>
        <tr r="N926" s="2"/>
      </tp>
      <tp t="s">
        <v>#N/A N/A</v>
        <stp/>
        <stp>BDS|1224355700518197698</stp>
        <tr r="I1258" s="2"/>
      </tp>
      <tp t="s">
        <v>#N/A N/A</v>
        <stp/>
        <stp>BDP|8101681031404701505</stp>
        <tr r="Q807" s="2"/>
      </tp>
      <tp t="s">
        <v>#N/A N/A</v>
        <stp/>
        <stp>BDP|9186495829487805469</stp>
        <tr r="H1039" s="2"/>
      </tp>
      <tp t="s">
        <v>#N/A N/A</v>
        <stp/>
        <stp>BDP|2515877589386214864</stp>
        <tr r="S1372" s="2"/>
      </tp>
      <tp t="s">
        <v>#N/A N/A</v>
        <stp/>
        <stp>BDP|7013982215417138434</stp>
        <tr r="M555" s="2"/>
      </tp>
      <tp t="s">
        <v>#N/A N/A</v>
        <stp/>
        <stp>BDP|4568967369154517301</stp>
        <tr r="G780" s="2"/>
      </tp>
      <tp t="s">
        <v>#N/A N/A</v>
        <stp/>
        <stp>BDP|8536739459474092204</stp>
        <tr r="M413" s="2"/>
      </tp>
      <tp t="s">
        <v>#N/A N/A</v>
        <stp/>
        <stp>BDP|5383489249228840154</stp>
        <tr r="H1704" s="2"/>
      </tp>
      <tp t="s">
        <v>#N/A N/A</v>
        <stp/>
        <stp>BDP|6126589258962735893</stp>
        <tr r="G1359" s="2"/>
      </tp>
      <tp t="s">
        <v>#N/A N/A</v>
        <stp/>
        <stp>BDP|8082906540339974068</stp>
        <tr r="T617" s="2"/>
      </tp>
      <tp t="s">
        <v>#N/A N/A</v>
        <stp/>
        <stp>BDP|1976853488214321986</stp>
        <tr r="N366" s="2"/>
      </tp>
      <tp t="s">
        <v>#N/A N/A</v>
        <stp/>
        <stp>BDP|6270240380395126584</stp>
        <tr r="N1078" s="2"/>
      </tp>
      <tp t="s">
        <v>#N/A N/A</v>
        <stp/>
        <stp>BDS|5310379308663391901</stp>
        <tr r="I500" s="2"/>
      </tp>
      <tp t="s">
        <v>#N/A N/A</v>
        <stp/>
        <stp>BDP|6170625367263220997</stp>
        <tr r="N1583" s="2"/>
      </tp>
      <tp t="s">
        <v>#N/A N/A</v>
        <stp/>
        <stp>BDP|7675663364048307381</stp>
        <tr r="H684" s="2"/>
      </tp>
      <tp t="s">
        <v>#N/A N/A</v>
        <stp/>
        <stp>BDP|2442887761240650041</stp>
        <tr r="A582" s="2"/>
      </tp>
      <tp t="s">
        <v>#N/A N/A</v>
        <stp/>
        <stp>BDP|8114884486580204425</stp>
        <tr r="E722" s="2"/>
      </tp>
      <tp t="s">
        <v>#N/A N/A</v>
        <stp/>
        <stp>BDP|6409213939719778246</stp>
        <tr r="G1688" s="2"/>
      </tp>
      <tp t="s">
        <v>#N/A N/A</v>
        <stp/>
        <stp>BDP|1326227799500334647</stp>
        <tr r="T1731" s="2"/>
      </tp>
      <tp t="s">
        <v>#N/A N/A</v>
        <stp/>
        <stp>BDP|4826380860184671990</stp>
        <tr r="T28" s="2"/>
      </tp>
      <tp t="s">
        <v>#N/A N/A</v>
        <stp/>
        <stp>BDP|9595308443445162787</stp>
        <tr r="S495" s="2"/>
      </tp>
      <tp t="s">
        <v>#N/A N/A</v>
        <stp/>
        <stp>BDP|8058515509046703704</stp>
        <tr r="O280" s="2"/>
      </tp>
      <tp t="s">
        <v>#N/A N/A</v>
        <stp/>
        <stp>BDP|1983959962806391424</stp>
        <tr r="N1512" s="2"/>
      </tp>
      <tp t="s">
        <v>#N/A N/A</v>
        <stp/>
        <stp>BDP|7210641833129254783</stp>
        <tr r="M943" s="2"/>
      </tp>
      <tp t="s">
        <v>#N/A N/A</v>
        <stp/>
        <stp>BDS|2269708215250101899</stp>
        <tr r="I1321" s="2"/>
      </tp>
      <tp t="s">
        <v>#N/A N/A</v>
        <stp/>
        <stp>BDP|5129474658611634975</stp>
        <tr r="F1356" s="2"/>
      </tp>
      <tp t="s">
        <v>#N/A N/A</v>
        <stp/>
        <stp>BDP|4565753496797893122</stp>
        <tr r="H815" s="2"/>
      </tp>
      <tp t="s">
        <v>#N/A N/A</v>
        <stp/>
        <stp>BDP|4356494435908476777</stp>
        <tr r="A176" s="2"/>
      </tp>
      <tp t="s">
        <v>#N/A N/A</v>
        <stp/>
        <stp>BDP|9787046217204065082</stp>
        <tr r="H378" s="2"/>
      </tp>
      <tp t="s">
        <v>#N/A N/A</v>
        <stp/>
        <stp>BDP|4533203660745846918</stp>
        <tr r="A535" s="2"/>
      </tp>
      <tp t="s">
        <v>#N/A N/A</v>
        <stp/>
        <stp>BDP|5211979899388813181</stp>
        <tr r="G1168" s="2"/>
      </tp>
      <tp t="s">
        <v>#N/A N/A</v>
        <stp/>
        <stp>BDP|4433071598768479939</stp>
        <tr r="A301" s="2"/>
      </tp>
      <tp t="s">
        <v>#N/A N/A</v>
        <stp/>
        <stp>BDP|5486193440319855597</stp>
        <tr r="F1453" s="2"/>
      </tp>
      <tp t="s">
        <v>#N/A N/A</v>
        <stp/>
        <stp>BDP|6812976097872307875</stp>
        <tr r="R279" s="2"/>
      </tp>
      <tp t="s">
        <v>#N/A N/A</v>
        <stp/>
        <stp>BDP|9541957597852999728</stp>
        <tr r="D1159" s="2"/>
      </tp>
      <tp t="s">
        <v>#N/A N/A</v>
        <stp/>
        <stp>BDP|1911189901528561491</stp>
        <tr r="T511" s="2"/>
      </tp>
      <tp t="s">
        <v>#N/A N/A</v>
        <stp/>
        <stp>BDP|9856145672315085626</stp>
        <tr r="Q1064" s="2"/>
      </tp>
      <tp t="s">
        <v>#N/A N/A</v>
        <stp/>
        <stp>BDP|8183067229335415360</stp>
        <tr r="H88" s="2"/>
      </tp>
      <tp t="s">
        <v>#N/A N/A</v>
        <stp/>
        <stp>BDP|4124721848023071879</stp>
        <tr r="J514" s="2"/>
      </tp>
      <tp t="s">
        <v>#N/A N/A</v>
        <stp/>
        <stp>BDP|6662166537420300888</stp>
        <tr r="S711" s="2"/>
      </tp>
      <tp t="s">
        <v>#N/A N/A</v>
        <stp/>
        <stp>BDP|4185111003281736884</stp>
        <tr r="A736" s="2"/>
      </tp>
      <tp t="s">
        <v>#N/A N/A</v>
        <stp/>
        <stp>BDP|6518570644073952838</stp>
        <tr r="J21" s="2"/>
      </tp>
      <tp t="s">
        <v>#N/A N/A</v>
        <stp/>
        <stp>BDS|7719057289414191767</stp>
        <tr r="I858" s="2"/>
      </tp>
      <tp t="s">
        <v>#N/A N/A</v>
        <stp/>
        <stp>BDP|2657369201129813452</stp>
        <tr r="D1108" s="2"/>
      </tp>
      <tp t="s">
        <v>#N/A N/A</v>
        <stp/>
        <stp>BDP|6220920097662835839</stp>
        <tr r="J35" s="2"/>
      </tp>
      <tp t="s">
        <v>#N/A N/A</v>
        <stp/>
        <stp>BDP|8962064430402795541</stp>
        <tr r="R1382" s="2"/>
      </tp>
      <tp t="s">
        <v>#N/A N/A</v>
        <stp/>
        <stp>BDP|5021571616399473499</stp>
        <tr r="O1204" s="2"/>
      </tp>
      <tp t="s">
        <v>#N/A N/A</v>
        <stp/>
        <stp>BDS|2510901268180692175</stp>
        <tr r="I409" s="2"/>
      </tp>
      <tp t="s">
        <v>#N/A N/A</v>
        <stp/>
        <stp>BDP|8327493091638771101</stp>
        <tr r="Q1012" s="2"/>
      </tp>
      <tp t="s">
        <v>#N/A N/A</v>
        <stp/>
        <stp>BDP|2610125689260302727</stp>
        <tr r="N1502" s="2"/>
      </tp>
      <tp t="s">
        <v>#N/A N/A</v>
        <stp/>
        <stp>BDP|5354475557779935165</stp>
        <tr r="R362" s="2"/>
      </tp>
      <tp t="s">
        <v>#N/A N/A</v>
        <stp/>
        <stp>BDP|8175619175177970209</stp>
        <tr r="J1203" s="2"/>
      </tp>
      <tp t="s">
        <v>#N/A N/A</v>
        <stp/>
        <stp>BDP|3837054046963366848</stp>
        <tr r="D1456" s="2"/>
      </tp>
      <tp t="s">
        <v>#N/A N/A</v>
        <stp/>
        <stp>BDP|3987105947958747250</stp>
        <tr r="O1502" s="2"/>
      </tp>
      <tp t="s">
        <v>#N/A N/A</v>
        <stp/>
        <stp>BDP|8946472949854295097</stp>
        <tr r="R1249" s="2"/>
      </tp>
      <tp t="s">
        <v>#N/A N/A</v>
        <stp/>
        <stp>BDS|5961851631147734565</stp>
        <tr r="I495" s="2"/>
      </tp>
      <tp t="s">
        <v>#N/A N/A</v>
        <stp/>
        <stp>BDP|1784898246205534412</stp>
        <tr r="S1139" s="2"/>
      </tp>
      <tp t="s">
        <v>#N/A N/A</v>
        <stp/>
        <stp>BDP|2665612037013961850</stp>
        <tr r="R443" s="2"/>
      </tp>
      <tp t="s">
        <v>#N/A N/A</v>
        <stp/>
        <stp>BDP|9637860009855783821</stp>
        <tr r="N948" s="2"/>
      </tp>
      <tp t="s">
        <v>#N/A N/A</v>
        <stp/>
        <stp>BDP|3084988431537177247</stp>
        <tr r="N1117" s="2"/>
      </tp>
      <tp t="s">
        <v>#N/A N/A</v>
        <stp/>
        <stp>BDP|6960376080134602544</stp>
        <tr r="E1076" s="2"/>
      </tp>
      <tp t="s">
        <v>#N/A N/A</v>
        <stp/>
        <stp>BDP|4419305489236053516</stp>
        <tr r="D1565" s="2"/>
      </tp>
      <tp t="s">
        <v>#N/A N/A</v>
        <stp/>
        <stp>BDP|5789898274231409726</stp>
        <tr r="R876" s="2"/>
      </tp>
      <tp t="s">
        <v>#N/A N/A</v>
        <stp/>
        <stp>BDP|1996422785650217108</stp>
        <tr r="G34" s="2"/>
      </tp>
      <tp t="s">
        <v>#N/A N/A</v>
        <stp/>
        <stp>BDP|6051109807962375986</stp>
        <tr r="R1101" s="2"/>
      </tp>
      <tp t="s">
        <v>#N/A N/A</v>
        <stp/>
        <stp>BDP|2369309597646095287</stp>
        <tr r="P710" s="2"/>
      </tp>
      <tp t="s">
        <v>#N/A N/A</v>
        <stp/>
        <stp>BDS|2813730169498894768</stp>
        <tr r="I1607" s="2"/>
      </tp>
      <tp t="s">
        <v>#N/A N/A</v>
        <stp/>
        <stp>BDP|1769397604537344957</stp>
        <tr r="J105" s="2"/>
      </tp>
      <tp t="s">
        <v>#N/A N/A</v>
        <stp/>
        <stp>BDP|1012496780542224369</stp>
        <tr r="P674" s="2"/>
      </tp>
      <tp t="s">
        <v>#N/A N/A</v>
        <stp/>
        <stp>BDP|7896920330023785208</stp>
        <tr r="A302" s="2"/>
      </tp>
      <tp t="s">
        <v>#N/A N/A</v>
        <stp/>
        <stp>BDP|2725020851872067995</stp>
        <tr r="N824" s="2"/>
      </tp>
      <tp t="s">
        <v>#N/A N/A</v>
        <stp/>
        <stp>BDP|3737739647549733597</stp>
        <tr r="H454" s="2"/>
      </tp>
      <tp t="s">
        <v>#N/A N/A</v>
        <stp/>
        <stp>BDP|7595265160269875662</stp>
        <tr r="N781" s="2"/>
      </tp>
      <tp t="s">
        <v>#N/A N/A</v>
        <stp/>
        <stp>BDS|9014794260422696620</stp>
        <tr r="I281" s="2"/>
      </tp>
      <tp t="s">
        <v>#N/A N/A</v>
        <stp/>
        <stp>BDP|2936603087524194426</stp>
        <tr r="C1382" s="2"/>
      </tp>
      <tp t="s">
        <v>#N/A N/A</v>
        <stp/>
        <stp>BDP|7260045098972287018</stp>
        <tr r="F1564" s="2"/>
      </tp>
      <tp t="s">
        <v>#N/A N/A</v>
        <stp/>
        <stp>BDP|4773525498801825582</stp>
        <tr r="J943" s="2"/>
      </tp>
      <tp t="s">
        <v>#N/A N/A</v>
        <stp/>
        <stp>BDP|5692152684381371192</stp>
        <tr r="K1733" s="2"/>
      </tp>
      <tp t="s">
        <v>#N/A N/A</v>
        <stp/>
        <stp>BDP|9949130518211989462</stp>
        <tr r="D1059" s="2"/>
      </tp>
      <tp t="s">
        <v>#N/A N/A</v>
        <stp/>
        <stp>BDP|5880060986201357063</stp>
        <tr r="G289" s="2"/>
      </tp>
      <tp t="s">
        <v>#N/A N/A</v>
        <stp/>
        <stp>BDP|4976884009552215277</stp>
        <tr r="R358" s="2"/>
      </tp>
      <tp t="s">
        <v>#N/A N/A</v>
        <stp/>
        <stp>BDP|6653611308468201400</stp>
        <tr r="T252" s="2"/>
      </tp>
      <tp t="s">
        <v>#N/A N/A</v>
        <stp/>
        <stp>BDP|3617401108693102826</stp>
        <tr r="S171" s="2"/>
      </tp>
      <tp t="s">
        <v>#N/A N/A</v>
        <stp/>
        <stp>BDP|1219134553419656094</stp>
        <tr r="H1651" s="2"/>
      </tp>
      <tp t="s">
        <v>#N/A N/A</v>
        <stp/>
        <stp>BDS|3631201819029036521</stp>
        <tr r="I204" s="2"/>
      </tp>
      <tp t="s">
        <v>#N/A N/A</v>
        <stp/>
        <stp>BDP|1960502814301907894</stp>
        <tr r="S1575" s="2"/>
      </tp>
      <tp t="s">
        <v>#N/A N/A</v>
        <stp/>
        <stp>BDP|6964633815518333511</stp>
        <tr r="A133" s="2"/>
      </tp>
      <tp t="s">
        <v>#N/A N/A</v>
        <stp/>
        <stp>BDP|2071425872608455594</stp>
        <tr r="M893" s="2"/>
      </tp>
      <tp t="s">
        <v>#N/A N/A</v>
        <stp/>
        <stp>BDP|5377837078382204476</stp>
        <tr r="G671" s="2"/>
      </tp>
      <tp t="s">
        <v>#N/A N/A</v>
        <stp/>
        <stp>BDP|8733451323553415182</stp>
        <tr r="F1600" s="2"/>
      </tp>
      <tp t="s">
        <v>#N/A N/A</v>
        <stp/>
        <stp>BDP|7013481944882390925</stp>
        <tr r="P777" s="2"/>
      </tp>
      <tp t="s">
        <v>#N/A N/A</v>
        <stp/>
        <stp>BDS|2960547282093339015</stp>
        <tr r="I64" s="2"/>
      </tp>
      <tp t="s">
        <v>#N/A N/A</v>
        <stp/>
        <stp>BDP|3886795179238438718</stp>
        <tr r="S973" s="2"/>
      </tp>
      <tp t="s">
        <v>#N/A N/A</v>
        <stp/>
        <stp>BDP|2875897473706819772</stp>
        <tr r="E11" s="2"/>
      </tp>
      <tp t="s">
        <v>#N/A N/A</v>
        <stp/>
        <stp>BDP|2825618390255386477</stp>
        <tr r="Q197" s="2"/>
      </tp>
      <tp t="s">
        <v>#N/A N/A</v>
        <stp/>
        <stp>BDP|7945414255413166915</stp>
        <tr r="Q120" s="2"/>
      </tp>
      <tp t="s">
        <v>#N/A N/A</v>
        <stp/>
        <stp>BDP|5818253573348728444</stp>
        <tr r="F163" s="2"/>
      </tp>
      <tp t="s">
        <v>#N/A N/A</v>
        <stp/>
        <stp>BDS|9933419761961713636</stp>
        <tr r="I677" s="2"/>
      </tp>
      <tp t="s">
        <v>#N/A N/A</v>
        <stp/>
        <stp>BDP|5901062591128564862</stp>
        <tr r="K99" s="2"/>
      </tp>
      <tp t="s">
        <v>#N/A N/A</v>
        <stp/>
        <stp>BDP|5973926325031661350</stp>
        <tr r="Q1074" s="2"/>
      </tp>
      <tp t="s">
        <v>#N/A N/A</v>
        <stp/>
        <stp>BDP|8555036139237725054</stp>
        <tr r="G306" s="2"/>
      </tp>
      <tp t="s">
        <v>#N/A N/A</v>
        <stp/>
        <stp>BDP|9093001348505121449</stp>
        <tr r="O1105" s="2"/>
      </tp>
      <tp t="s">
        <v>#N/A N/A</v>
        <stp/>
        <stp>BDP|4049869945783844768</stp>
        <tr r="D1067" s="2"/>
      </tp>
      <tp t="s">
        <v>#N/A N/A</v>
        <stp/>
        <stp>BDP|8686043502306037222</stp>
        <tr r="H192" s="2"/>
      </tp>
      <tp t="s">
        <v>#N/A N/A</v>
        <stp/>
        <stp>BDP|5436774091217594055</stp>
        <tr r="N851" s="2"/>
      </tp>
      <tp t="s">
        <v>#N/A N/A</v>
        <stp/>
        <stp>BDP|8671360667283582204</stp>
        <tr r="T418" s="2"/>
      </tp>
      <tp t="s">
        <v>#N/A N/A</v>
        <stp/>
        <stp>BDP|7312530790227198033</stp>
        <tr r="A273" s="2"/>
      </tp>
      <tp t="s">
        <v>#N/A N/A</v>
        <stp/>
        <stp>BDP|5057373391951345273</stp>
        <tr r="T262" s="2"/>
      </tp>
      <tp t="s">
        <v>#N/A N/A</v>
        <stp/>
        <stp>BDP|8247674672964191148</stp>
        <tr r="A181" s="2"/>
      </tp>
      <tp t="s">
        <v>#N/A N/A</v>
        <stp/>
        <stp>BDP|5582883603645900455</stp>
        <tr r="K1534" s="2"/>
      </tp>
      <tp t="s">
        <v>#N/A N/A</v>
        <stp/>
        <stp>BDP|4487514563873354879</stp>
        <tr r="Q1399" s="2"/>
      </tp>
      <tp t="s">
        <v>#N/A N/A</v>
        <stp/>
        <stp>BDP|9044319370696651756</stp>
        <tr r="N81" s="2"/>
      </tp>
      <tp t="s">
        <v>#N/A N/A</v>
        <stp/>
        <stp>BDP|9594037314795766177</stp>
        <tr r="F1045" s="2"/>
      </tp>
      <tp t="s">
        <v>#N/A N/A</v>
        <stp/>
        <stp>BDP|4783000562586545821</stp>
        <tr r="J1247" s="2"/>
      </tp>
      <tp t="s">
        <v>#N/A N/A</v>
        <stp/>
        <stp>BDP|9621408154660077400</stp>
        <tr r="E854" s="2"/>
      </tp>
      <tp t="s">
        <v>#N/A N/A</v>
        <stp/>
        <stp>BDP|6198027612118311305</stp>
        <tr r="R690" s="2"/>
      </tp>
      <tp t="s">
        <v>#N/A N/A</v>
        <stp/>
        <stp>BDP|5083233161144589958</stp>
        <tr r="C24" s="2"/>
      </tp>
      <tp t="s">
        <v>#N/A N/A</v>
        <stp/>
        <stp>BDP|2384093788454652267</stp>
        <tr r="T1620" s="2"/>
      </tp>
      <tp t="s">
        <v>#N/A N/A</v>
        <stp/>
        <stp>BDP|9450900054709267009</stp>
        <tr r="M1335" s="2"/>
      </tp>
      <tp t="s">
        <v>#N/A N/A</v>
        <stp/>
        <stp>BDP|6871691666743083954</stp>
        <tr r="C1589" s="2"/>
      </tp>
      <tp t="s">
        <v>#N/A N/A</v>
        <stp/>
        <stp>BDP|8294776117756212424</stp>
        <tr r="G1705" s="2"/>
      </tp>
      <tp t="s">
        <v>#N/A N/A</v>
        <stp/>
        <stp>BDP|8643782344680852708</stp>
        <tr r="F873" s="2"/>
      </tp>
      <tp t="s">
        <v>#N/A N/A</v>
        <stp/>
        <stp>BDP|7526245104338115169</stp>
        <tr r="A1472" s="2"/>
      </tp>
      <tp t="s">
        <v>#N/A N/A</v>
        <stp/>
        <stp>BDP|6073419074699579023</stp>
        <tr r="G755" s="2"/>
      </tp>
      <tp t="s">
        <v>#N/A N/A</v>
        <stp/>
        <stp>BDP|4790149830348783267</stp>
        <tr r="O1304" s="2"/>
      </tp>
      <tp t="s">
        <v>#N/A N/A</v>
        <stp/>
        <stp>BDP|6688873772346645373</stp>
        <tr r="F1247" s="2"/>
      </tp>
      <tp t="s">
        <v>#N/A N/A</v>
        <stp/>
        <stp>BDP|5655118685339276927</stp>
        <tr r="R1166" s="2"/>
      </tp>
      <tp t="s">
        <v>#N/A N/A</v>
        <stp/>
        <stp>BDP|9305602849936848101</stp>
        <tr r="O813" s="2"/>
      </tp>
      <tp t="s">
        <v>#N/A N/A</v>
        <stp/>
        <stp>BDP|9627035535975312311</stp>
        <tr r="O532" s="2"/>
      </tp>
      <tp t="s">
        <v>#N/A N/A</v>
        <stp/>
        <stp>BDP|8631458705517267766</stp>
        <tr r="K776" s="2"/>
      </tp>
      <tp t="s">
        <v>#N/A N/A</v>
        <stp/>
        <stp>BDS|3225902442181143338</stp>
        <tr r="I286" s="2"/>
      </tp>
      <tp t="s">
        <v>#N/A N/A</v>
        <stp/>
        <stp>BDP|4506669737874362956</stp>
        <tr r="S72" s="2"/>
      </tp>
      <tp t="s">
        <v>#N/A N/A</v>
        <stp/>
        <stp>BDP|5467905818886981772</stp>
        <tr r="N1647" s="2"/>
      </tp>
      <tp t="s">
        <v>#N/A N/A</v>
        <stp/>
        <stp>BDP|5952501180115223196</stp>
        <tr r="M862" s="2"/>
      </tp>
      <tp t="s">
        <v>#N/A N/A</v>
        <stp/>
        <stp>BDP|6152138774509390571</stp>
        <tr r="G445" s="2"/>
      </tp>
      <tp t="s">
        <v>#N/A N/A</v>
        <stp/>
        <stp>BDP|7671526705568015635</stp>
        <tr r="H248" s="2"/>
      </tp>
      <tp t="s">
        <v>#N/A N/A</v>
        <stp/>
        <stp>BDP|1072244716428820685</stp>
        <tr r="S821" s="2"/>
      </tp>
      <tp t="s">
        <v>#N/A N/A</v>
        <stp/>
        <stp>BDP|2272956425342113713</stp>
        <tr r="C502" s="2"/>
      </tp>
      <tp t="s">
        <v>#N/A N/A</v>
        <stp/>
        <stp>BDP|2635583938670356870</stp>
        <tr r="T664" s="2"/>
      </tp>
      <tp t="s">
        <v>#N/A N/A</v>
        <stp/>
        <stp>BDP|4716994852535737190</stp>
        <tr r="J730" s="2"/>
      </tp>
      <tp t="s">
        <v>#N/A N/A</v>
        <stp/>
        <stp>BDP|7812337648429672577</stp>
        <tr r="T1044" s="2"/>
      </tp>
      <tp t="s">
        <v>#N/A N/A</v>
        <stp/>
        <stp>BDP|2890537172935835936</stp>
        <tr r="K1491" s="2"/>
      </tp>
      <tp t="s">
        <v>#N/A N/A</v>
        <stp/>
        <stp>BDP|8940627125644907457</stp>
        <tr r="H22" s="2"/>
      </tp>
      <tp t="s">
        <v>#N/A N/A</v>
        <stp/>
        <stp>BDP|6828043195682929127</stp>
        <tr r="Q1025" s="2"/>
      </tp>
      <tp t="s">
        <v>#N/A N/A</v>
        <stp/>
        <stp>BDS|9773708452110402738</stp>
        <tr r="I375" s="2"/>
      </tp>
      <tp t="s">
        <v>#N/A N/A</v>
        <stp/>
        <stp>BDP|9915941689174544030</stp>
        <tr r="R1364" s="2"/>
      </tp>
      <tp t="s">
        <v>#N/A N/A</v>
        <stp/>
        <stp>BDP|8856674497708953336</stp>
        <tr r="P760" s="2"/>
      </tp>
      <tp t="s">
        <v>#N/A N/A</v>
        <stp/>
        <stp>BDP|6001902134552327250</stp>
        <tr r="N1429" s="2"/>
      </tp>
      <tp t="s">
        <v>#N/A N/A</v>
        <stp/>
        <stp>BDP|7478447034708404422</stp>
        <tr r="E871" s="2"/>
      </tp>
      <tp t="s">
        <v>#N/A N/A</v>
        <stp/>
        <stp>BDP|4108557449208873177</stp>
        <tr r="K1657" s="2"/>
      </tp>
      <tp t="s">
        <v>#N/A N/A</v>
        <stp/>
        <stp>BDP|9243445385279758063</stp>
        <tr r="A676" s="2"/>
      </tp>
      <tp t="s">
        <v>#N/A N/A</v>
        <stp/>
        <stp>BDP|4765133440228119573</stp>
        <tr r="P659" s="2"/>
      </tp>
      <tp t="s">
        <v>#N/A N/A</v>
        <stp/>
        <stp>BDP|2373320432306872897</stp>
        <tr r="K940" s="2"/>
      </tp>
      <tp t="s">
        <v>#N/A N/A</v>
        <stp/>
        <stp>BDP|2171627487514453424</stp>
        <tr r="R71" s="2"/>
      </tp>
      <tp t="s">
        <v>#N/A N/A</v>
        <stp/>
        <stp>BDP|8816555276560972602</stp>
        <tr r="P59" s="2"/>
      </tp>
      <tp t="s">
        <v>#N/A N/A</v>
        <stp/>
        <stp>BDP|1682239891062019467</stp>
        <tr r="P783" s="2"/>
      </tp>
      <tp t="s">
        <v>#N/A N/A</v>
        <stp/>
        <stp>BDP|5220593039116846983</stp>
        <tr r="M1124" s="2"/>
      </tp>
      <tp t="s">
        <v>#N/A N/A</v>
        <stp/>
        <stp>BDP|9878509880521359999</stp>
        <tr r="D1696" s="2"/>
      </tp>
      <tp t="s">
        <v>#N/A N/A</v>
        <stp/>
        <stp>BDP|7141666693684228040</stp>
        <tr r="Q330" s="2"/>
      </tp>
      <tp t="s">
        <v>#N/A N/A</v>
        <stp/>
        <stp>BDP|3031116741279223303</stp>
        <tr r="S723" s="2"/>
      </tp>
      <tp t="s">
        <v>#N/A N/A</v>
        <stp/>
        <stp>BDS|7868069175935001993</stp>
        <tr r="I22" s="2"/>
      </tp>
      <tp t="s">
        <v>#N/A N/A</v>
        <stp/>
        <stp>BDP|7474013205253381807</stp>
        <tr r="S102" s="2"/>
      </tp>
      <tp t="s">
        <v>#N/A N/A</v>
        <stp/>
        <stp>BDP|9637926314884407974</stp>
        <tr r="C36" s="2"/>
      </tp>
      <tp t="s">
        <v>#N/A N/A</v>
        <stp/>
        <stp>BDP|7677173551736683953</stp>
        <tr r="P1533" s="2"/>
      </tp>
      <tp t="s">
        <v>#N/A N/A</v>
        <stp/>
        <stp>BDP|7109846636832952293</stp>
        <tr r="N418" s="2"/>
      </tp>
      <tp t="s">
        <v>#N/A N/A</v>
        <stp/>
        <stp>BDS|8076143976413580143</stp>
        <tr r="I1099" s="2"/>
      </tp>
      <tp t="s">
        <v>#N/A N/A</v>
        <stp/>
        <stp>BDP|7749993149323581514</stp>
        <tr r="R1618" s="2"/>
      </tp>
      <tp t="s">
        <v>#N/A N/A</v>
        <stp/>
        <stp>BDP|7780982879742757720</stp>
        <tr r="P531" s="2"/>
      </tp>
      <tp t="s">
        <v>#N/A N/A</v>
        <stp/>
        <stp>BDP|3817995472806408747</stp>
        <tr r="M500" s="2"/>
      </tp>
      <tp t="s">
        <v>#N/A N/A</v>
        <stp/>
        <stp>BDP|6674915042224290343</stp>
        <tr r="C196" s="2"/>
      </tp>
      <tp t="s">
        <v>#N/A N/A</v>
        <stp/>
        <stp>BDS|8854772894882105896</stp>
        <tr r="I1727" s="2"/>
      </tp>
      <tp t="s">
        <v>#N/A N/A</v>
        <stp/>
        <stp>BDP|2778975036146702229</stp>
        <tr r="J562" s="2"/>
      </tp>
      <tp t="s">
        <v>#N/A N/A</v>
        <stp/>
        <stp>BDS|5022896779985613355</stp>
        <tr r="I400" s="2"/>
      </tp>
      <tp t="s">
        <v>#N/A N/A</v>
        <stp/>
        <stp>BDP|4054309776135149943</stp>
        <tr r="J1624" s="2"/>
      </tp>
      <tp t="s">
        <v>#N/A N/A</v>
        <stp/>
        <stp>BDP|1356415331973318932</stp>
        <tr r="N562" s="2"/>
      </tp>
      <tp t="s">
        <v>#N/A N/A</v>
        <stp/>
        <stp>BDP|5999097826248386369</stp>
        <tr r="N9" s="2"/>
      </tp>
      <tp t="s">
        <v>#N/A N/A</v>
        <stp/>
        <stp>BDP|8485940283852190715</stp>
        <tr r="S82" s="2"/>
      </tp>
      <tp t="s">
        <v>#N/A N/A</v>
        <stp/>
        <stp>BDP|8540173891405794976</stp>
        <tr r="A1584" s="2"/>
      </tp>
      <tp t="s">
        <v>#N/A N/A</v>
        <stp/>
        <stp>BDP|9588671002064210714</stp>
        <tr r="H467" s="2"/>
      </tp>
      <tp t="s">
        <v>#N/A N/A</v>
        <stp/>
        <stp>BDP|1267962335882104530</stp>
        <tr r="N83" s="2"/>
      </tp>
      <tp t="s">
        <v>#N/A N/A</v>
        <stp/>
        <stp>BDP|4879750781837666095</stp>
        <tr r="K1528" s="2"/>
      </tp>
      <tp t="s">
        <v>#N/A N/A</v>
        <stp/>
        <stp>BDP|1661201330924307861</stp>
        <tr r="G433" s="2"/>
      </tp>
      <tp t="s">
        <v>#N/A N/A</v>
        <stp/>
        <stp>BDP|8588643364322645603</stp>
        <tr r="T171" s="2"/>
      </tp>
      <tp t="s">
        <v>#N/A N/A</v>
        <stp/>
        <stp>BDP|9750242070189987991</stp>
        <tr r="J1221" s="2"/>
      </tp>
      <tp t="s">
        <v>#N/A N/A</v>
        <stp/>
        <stp>BDP|6075568479008905051</stp>
        <tr r="C1180" s="2"/>
      </tp>
      <tp t="s">
        <v>#N/A N/A</v>
        <stp/>
        <stp>BDP|4285924733241228322</stp>
        <tr r="C206" s="2"/>
      </tp>
      <tp t="s">
        <v>#N/A N/A</v>
        <stp/>
        <stp>BDP|6143256840864352841</stp>
        <tr r="Q1455" s="2"/>
      </tp>
      <tp t="s">
        <v>#N/A N/A</v>
        <stp/>
        <stp>BDP|7298403623408404560</stp>
        <tr r="J328" s="2"/>
      </tp>
      <tp t="s">
        <v>#N/A N/A</v>
        <stp/>
        <stp>BDS|6041687469193276908</stp>
        <tr r="I930" s="2"/>
      </tp>
      <tp t="s">
        <v>#N/A N/A</v>
        <stp/>
        <stp>BDP|4602799207707889837</stp>
        <tr r="J837" s="2"/>
      </tp>
      <tp t="s">
        <v>#N/A N/A</v>
        <stp/>
        <stp>BDP|7307053545666910994</stp>
        <tr r="S941" s="2"/>
      </tp>
      <tp t="s">
        <v>#N/A N/A</v>
        <stp/>
        <stp>BDP|1405110497730015516</stp>
        <tr r="J553" s="2"/>
      </tp>
      <tp t="s">
        <v>#N/A N/A</v>
        <stp/>
        <stp>BDP|8263521124802592126</stp>
        <tr r="G1407" s="2"/>
      </tp>
      <tp t="s">
        <v>#N/A N/A</v>
        <stp/>
        <stp>BDP|3319271448761679890</stp>
        <tr r="C1381" s="2"/>
      </tp>
      <tp t="s">
        <v>#N/A N/A</v>
        <stp/>
        <stp>BDP|9705479387461282865</stp>
        <tr r="O976" s="2"/>
      </tp>
      <tp t="s">
        <v>#N/A N/A</v>
        <stp/>
        <stp>BDP|7747423254822664849</stp>
        <tr r="Q1725" s="2"/>
      </tp>
      <tp t="s">
        <v>#N/A N/A</v>
        <stp/>
        <stp>BDP|6713857055986298165</stp>
        <tr r="F1184" s="2"/>
      </tp>
      <tp t="s">
        <v>#N/A N/A</v>
        <stp/>
        <stp>BDP|8418854391761721443</stp>
        <tr r="O150" s="2"/>
      </tp>
      <tp t="s">
        <v>#N/A N/A</v>
        <stp/>
        <stp>BDP|8959410818997480677</stp>
        <tr r="C622" s="2"/>
      </tp>
      <tp t="s">
        <v>#N/A N/A</v>
        <stp/>
        <stp>BDP|7507334881348042840</stp>
        <tr r="O944" s="2"/>
      </tp>
      <tp t="s">
        <v>#N/A N/A</v>
        <stp/>
        <stp>BDS|9724519935961031201</stp>
        <tr r="I806" s="2"/>
      </tp>
      <tp t="s">
        <v>#N/A N/A</v>
        <stp/>
        <stp>BDP|7787275337302086844</stp>
        <tr r="T585" s="2"/>
      </tp>
      <tp t="s">
        <v>#N/A N/A</v>
        <stp/>
        <stp>BDP|6095262775277029809</stp>
        <tr r="Q1040" s="2"/>
      </tp>
      <tp t="s">
        <v>#N/A N/A</v>
        <stp/>
        <stp>BDP|4474903806758597948</stp>
        <tr r="C1506" s="2"/>
      </tp>
      <tp t="s">
        <v>#N/A N/A</v>
        <stp/>
        <stp>BDP|5068047155425775950</stp>
        <tr r="R822" s="2"/>
      </tp>
      <tp t="s">
        <v>#N/A N/A</v>
        <stp/>
        <stp>BDP|8376343851302777022</stp>
        <tr r="Q164" s="2"/>
      </tp>
      <tp t="s">
        <v>#N/A N/A</v>
        <stp/>
        <stp>BDP|4338934825192232147</stp>
        <tr r="C594" s="2"/>
      </tp>
      <tp t="s">
        <v>#N/A N/A</v>
        <stp/>
        <stp>BDP|8064223502476532067</stp>
        <tr r="D1573" s="2"/>
      </tp>
      <tp t="s">
        <v>#N/A N/A</v>
        <stp/>
        <stp>BDP|6165497088631553767</stp>
        <tr r="K1708" s="2"/>
      </tp>
      <tp t="s">
        <v>#N/A N/A</v>
        <stp/>
        <stp>BDP|1298961455987022626</stp>
        <tr r="K355" s="2"/>
      </tp>
      <tp t="s">
        <v>#N/A N/A</v>
        <stp/>
        <stp>BDP|6382410240919422356</stp>
        <tr r="C611" s="2"/>
      </tp>
      <tp t="s">
        <v>#N/A N/A</v>
        <stp/>
        <stp>BDP|9927513736495901640</stp>
        <tr r="D1427" s="2"/>
      </tp>
      <tp t="s">
        <v>#N/A N/A</v>
        <stp/>
        <stp>BDP|7099955067935313121</stp>
        <tr r="Q67" s="2"/>
      </tp>
      <tp t="s">
        <v>#N/A N/A</v>
        <stp/>
        <stp>BDP|7285967715007593472</stp>
        <tr r="J758" s="2"/>
      </tp>
      <tp t="s">
        <v>#N/A N/A</v>
        <stp/>
        <stp>BDP|1348927166896369479</stp>
        <tr r="F225" s="2"/>
      </tp>
      <tp t="s">
        <v>#N/A N/A</v>
        <stp/>
        <stp>BDP|4190127680514550559</stp>
        <tr r="F570" s="2"/>
      </tp>
      <tp t="s">
        <v>#N/A N/A</v>
        <stp/>
        <stp>BDP|6342985076554677084</stp>
        <tr r="O60" s="2"/>
      </tp>
      <tp t="s">
        <v>#N/A N/A</v>
        <stp/>
        <stp>BDP|9162341476032318331</stp>
        <tr r="F766" s="2"/>
      </tp>
      <tp t="s">
        <v>#N/A N/A</v>
        <stp/>
        <stp>BDP|6785343880416003708</stp>
        <tr r="C433" s="2"/>
      </tp>
      <tp t="s">
        <v>#N/A N/A</v>
        <stp/>
        <stp>BDP|6095196924830747994</stp>
        <tr r="H148" s="2"/>
      </tp>
      <tp t="s">
        <v>#N/A N/A</v>
        <stp/>
        <stp>BDP|6092830066927373351</stp>
        <tr r="M173" s="2"/>
      </tp>
      <tp t="s">
        <v>#N/A N/A</v>
        <stp/>
        <stp>BDP|6018060445727661966</stp>
        <tr r="C122" s="2"/>
      </tp>
      <tp t="s">
        <v>#N/A N/A</v>
        <stp/>
        <stp>BDP|7484274873667742948</stp>
        <tr r="M283" s="2"/>
      </tp>
      <tp t="s">
        <v>#N/A N/A</v>
        <stp/>
        <stp>BDP|1242569193048201954</stp>
        <tr r="K761" s="2"/>
      </tp>
      <tp t="s">
        <v>#N/A N/A</v>
        <stp/>
        <stp>BDP|3366079270860571819</stp>
        <tr r="C1603" s="2"/>
      </tp>
      <tp t="s">
        <v>#N/A N/A</v>
        <stp/>
        <stp>BDP|4645379531810642868</stp>
        <tr r="R748" s="2"/>
      </tp>
      <tp t="s">
        <v>#N/A N/A</v>
        <stp/>
        <stp>BDP|7992991019053144085</stp>
        <tr r="G1629" s="2"/>
      </tp>
      <tp t="s">
        <v>#N/A N/A</v>
        <stp/>
        <stp>BDP|8797139496664096826</stp>
        <tr r="C1499" s="2"/>
      </tp>
      <tp t="s">
        <v>#N/A N/A</v>
        <stp/>
        <stp>BDP|6179222184184495435</stp>
        <tr r="Q1642" s="2"/>
      </tp>
      <tp t="s">
        <v>#N/A N/A</v>
        <stp/>
        <stp>BDS|1625719217273065804</stp>
        <tr r="I818" s="2"/>
      </tp>
      <tp t="s">
        <v>#N/A N/A</v>
        <stp/>
        <stp>BDP|1341827771764497645</stp>
        <tr r="R460" s="2"/>
      </tp>
      <tp t="s">
        <v>#N/A N/A</v>
        <stp/>
        <stp>BDP|1367736786296399453</stp>
        <tr r="J1574" s="2"/>
      </tp>
      <tp t="s">
        <v>#N/A N/A</v>
        <stp/>
        <stp>BDP|1249668415268219237</stp>
        <tr r="D1562" s="2"/>
      </tp>
      <tp t="s">
        <v>#N/A N/A</v>
        <stp/>
        <stp>BDP|1301675641967573803</stp>
        <tr r="J112" s="2"/>
      </tp>
      <tp t="s">
        <v>#N/A N/A</v>
        <stp/>
        <stp>BDP|5645824113399680913</stp>
        <tr r="F59" s="2"/>
      </tp>
      <tp t="s">
        <v>#N/A N/A</v>
        <stp/>
        <stp>BDP|2169106691991156717</stp>
        <tr r="G1583" s="2"/>
      </tp>
      <tp t="s">
        <v>#N/A N/A</v>
        <stp/>
        <stp>BDP|2736229177618069321</stp>
        <tr r="N717" s="2"/>
      </tp>
      <tp t="s">
        <v>#N/A N/A</v>
        <stp/>
        <stp>BDP|9487701318885482683</stp>
        <tr r="F1269" s="2"/>
      </tp>
      <tp t="s">
        <v>#N/A N/A</v>
        <stp/>
        <stp>BDP|1406542342348140438</stp>
        <tr r="F16" s="2"/>
      </tp>
      <tp t="s">
        <v>#N/A N/A</v>
        <stp/>
        <stp>BDP|1444479082544972582</stp>
        <tr r="S1306" s="2"/>
      </tp>
      <tp t="s">
        <v>#N/A N/A</v>
        <stp/>
        <stp>BDP|7247078661369763435</stp>
        <tr r="S1641" s="2"/>
      </tp>
      <tp t="s">
        <v>#N/A N/A</v>
        <stp/>
        <stp>BDP|2313773161939100647</stp>
        <tr r="T1663" s="2"/>
      </tp>
      <tp t="s">
        <v>#N/A N/A</v>
        <stp/>
        <stp>BDP|4052825409102895234</stp>
        <tr r="D895" s="2"/>
      </tp>
      <tp t="s">
        <v>#N/A N/A</v>
        <stp/>
        <stp>BDP|9268256609794729399</stp>
        <tr r="R495" s="2"/>
      </tp>
      <tp t="s">
        <v>#N/A N/A</v>
        <stp/>
        <stp>BDP|6219867667226394201</stp>
        <tr r="K1474" s="2"/>
      </tp>
      <tp t="s">
        <v>#N/A N/A</v>
        <stp/>
        <stp>BDP|2707357425916790908</stp>
        <tr r="D1286" s="2"/>
      </tp>
      <tp t="s">
        <v>#N/A N/A</v>
        <stp/>
        <stp>BDP|4616283953548587780</stp>
        <tr r="N646" s="2"/>
      </tp>
      <tp t="s">
        <v>#N/A N/A</v>
        <stp/>
        <stp>BDP|2006654737949207203</stp>
        <tr r="P1417" s="2"/>
      </tp>
      <tp t="s">
        <v>#N/A N/A</v>
        <stp/>
        <stp>BDP|5340828361087729070</stp>
        <tr r="D1602" s="2"/>
      </tp>
      <tp t="s">
        <v>#N/A N/A</v>
        <stp/>
        <stp>BDP|9612335033441375459</stp>
        <tr r="R377" s="2"/>
      </tp>
      <tp t="s">
        <v>#N/A N/A</v>
        <stp/>
        <stp>BDP|5515529245161408967</stp>
        <tr r="N377" s="2"/>
      </tp>
      <tp t="s">
        <v>#N/A N/A</v>
        <stp/>
        <stp>BDP|6554459246549606308</stp>
        <tr r="G373" s="2"/>
      </tp>
      <tp t="s">
        <v>#N/A N/A</v>
        <stp/>
        <stp>BDP|9381433351435483157</stp>
        <tr r="C1333" s="2"/>
      </tp>
      <tp t="s">
        <v>#N/A N/A</v>
        <stp/>
        <stp>BDP|2702100887077571057</stp>
        <tr r="T1274" s="2"/>
      </tp>
      <tp t="s">
        <v>#N/A N/A</v>
        <stp/>
        <stp>BDP|2308383406135400892</stp>
        <tr r="C1687" s="2"/>
      </tp>
      <tp t="s">
        <v>#N/A N/A</v>
        <stp/>
        <stp>BDS|4028575030539790708</stp>
        <tr r="I356" s="2"/>
      </tp>
      <tp t="s">
        <v>#N/A N/A</v>
        <stp/>
        <stp>BDP|9434058340369281833</stp>
        <tr r="J1519" s="2"/>
      </tp>
      <tp t="s">
        <v>#N/A N/A</v>
        <stp/>
        <stp>BDP|1571462010791764947</stp>
        <tr r="S906" s="2"/>
      </tp>
      <tp t="s">
        <v>#N/A N/A</v>
        <stp/>
        <stp>BDS|7495727050119268049</stp>
        <tr r="I454" s="2"/>
      </tp>
      <tp t="s">
        <v>#N/A N/A</v>
        <stp/>
        <stp>BDP|5409453556121433932</stp>
        <tr r="M766" s="2"/>
      </tp>
      <tp t="s">
        <v>#N/A N/A</v>
        <stp/>
        <stp>BDP|5623504416388705576</stp>
        <tr r="P638" s="2"/>
      </tp>
      <tp t="s">
        <v>#N/A N/A</v>
        <stp/>
        <stp>BDP|8980483660993714560</stp>
        <tr r="N1531" s="2"/>
      </tp>
      <tp t="s">
        <v>#N/A N/A</v>
        <stp/>
        <stp>BDP|5775073480602321332</stp>
        <tr r="T1464" s="2"/>
      </tp>
      <tp t="s">
        <v>#N/A N/A</v>
        <stp/>
        <stp>BDS|7484196863899745593</stp>
        <tr r="I836" s="2"/>
      </tp>
      <tp t="s">
        <v>#N/A N/A</v>
        <stp/>
        <stp>BDP|8085793017164801668</stp>
        <tr r="K1637" s="2"/>
      </tp>
      <tp t="s">
        <v>#N/A N/A</v>
        <stp/>
        <stp>BDP|8644941933026263831</stp>
        <tr r="K559" s="2"/>
      </tp>
      <tp t="s">
        <v>#N/A N/A</v>
        <stp/>
        <stp>BDP|1122770216728468341</stp>
        <tr r="N564" s="2"/>
      </tp>
      <tp t="s">
        <v>#N/A N/A</v>
        <stp/>
        <stp>BDP|9379715012541806285</stp>
        <tr r="A218" s="2"/>
      </tp>
      <tp t="s">
        <v>#N/A N/A</v>
        <stp/>
        <stp>BDP|1330271605796589948</stp>
        <tr r="Q614" s="2"/>
      </tp>
      <tp t="s">
        <v>#N/A N/A</v>
        <stp/>
        <stp>BDP|8758560741257809282</stp>
        <tr r="A440" s="2"/>
      </tp>
      <tp t="s">
        <v>#N/A N/A</v>
        <stp/>
        <stp>BDP|3779146093507175016</stp>
        <tr r="G742" s="2"/>
      </tp>
      <tp t="s">
        <v>#N/A N/A</v>
        <stp/>
        <stp>BDP|6326332781075809495</stp>
        <tr r="M1432" s="2"/>
      </tp>
      <tp t="s">
        <v>#N/A N/A</v>
        <stp/>
        <stp>BDP|9249802572638405245</stp>
        <tr r="M846" s="2"/>
      </tp>
      <tp t="s">
        <v>#N/A N/A</v>
        <stp/>
        <stp>BDP|3697122913549794603</stp>
        <tr r="P1518" s="2"/>
      </tp>
      <tp t="s">
        <v>#N/A N/A</v>
        <stp/>
        <stp>BDP|2084932985979661601</stp>
        <tr r="K405" s="2"/>
      </tp>
      <tp t="s">
        <v>#N/A N/A</v>
        <stp/>
        <stp>BDP|9420339667177755778</stp>
        <tr r="E336" s="2"/>
      </tp>
      <tp t="s">
        <v>#N/A N/A</v>
        <stp/>
        <stp>BDP|3843203969423438857</stp>
        <tr r="F244" s="2"/>
      </tp>
      <tp t="s">
        <v>#N/A N/A</v>
        <stp/>
        <stp>BDS|5731930311022674331</stp>
        <tr r="I610" s="2"/>
      </tp>
      <tp t="s">
        <v>#N/A N/A</v>
        <stp/>
        <stp>BDP|9165452438065507792</stp>
        <tr r="D957" s="2"/>
      </tp>
      <tp t="s">
        <v>#N/A N/A</v>
        <stp/>
        <stp>BDP|3964593854046156956</stp>
        <tr r="S196" s="2"/>
      </tp>
      <tp t="s">
        <v>#N/A N/A</v>
        <stp/>
        <stp>BDP|6416388195101920113</stp>
        <tr r="P901" s="2"/>
      </tp>
      <tp t="s">
        <v>#N/A N/A</v>
        <stp/>
        <stp>BDP|3566211610909744522</stp>
        <tr r="M124" s="2"/>
      </tp>
      <tp t="s">
        <v>#N/A N/A</v>
        <stp/>
        <stp>BDP|4396666020164225867</stp>
        <tr r="C1596" s="2"/>
      </tp>
      <tp t="s">
        <v>#N/A N/A</v>
        <stp/>
        <stp>BDP|5155917914548288974</stp>
        <tr r="N339" s="2"/>
      </tp>
      <tp t="s">
        <v>#N/A N/A</v>
        <stp/>
        <stp>BDP|7215827594079744329</stp>
        <tr r="H819" s="2"/>
      </tp>
      <tp t="s">
        <v>#N/A N/A</v>
        <stp/>
        <stp>BDP|9599555171106147112</stp>
        <tr r="D881" s="2"/>
      </tp>
      <tp t="s">
        <v>#N/A N/A</v>
        <stp/>
        <stp>BDP|8648521365571724679</stp>
        <tr r="J1278" s="2"/>
      </tp>
      <tp t="s">
        <v>#N/A N/A</v>
        <stp/>
        <stp>BDP|1702618091513158173</stp>
        <tr r="E1481" s="2"/>
      </tp>
      <tp t="s">
        <v>#N/A N/A</v>
        <stp/>
        <stp>BDP|7703176422471411979</stp>
        <tr r="Q578" s="2"/>
      </tp>
      <tp t="s">
        <v>#N/A N/A</v>
        <stp/>
        <stp>BDP|3233305290081587464</stp>
        <tr r="A1381" s="2"/>
      </tp>
      <tp t="s">
        <v>#N/A N/A</v>
        <stp/>
        <stp>BDP|3359511250227097835</stp>
        <tr r="G897" s="2"/>
      </tp>
      <tp t="s">
        <v>#N/A N/A</v>
        <stp/>
        <stp>BDP|2231711201509648059</stp>
        <tr r="A889" s="2"/>
      </tp>
      <tp t="s">
        <v>#N/A N/A</v>
        <stp/>
        <stp>BDS|9421522700373245359</stp>
        <tr r="I991" s="2"/>
      </tp>
      <tp t="s">
        <v>#N/A N/A</v>
        <stp/>
        <stp>BDP|4052556599800872451</stp>
        <tr r="P1519" s="2"/>
      </tp>
      <tp t="s">
        <v>#N/A N/A</v>
        <stp/>
        <stp>BDP|4397511750250650852</stp>
        <tr r="A1544" s="2"/>
      </tp>
      <tp t="s">
        <v>#N/A N/A</v>
        <stp/>
        <stp>BDP|6340566865799203038</stp>
        <tr r="N786" s="2"/>
      </tp>
      <tp t="s">
        <v>#N/A N/A</v>
        <stp/>
        <stp>BDP|8206058224932352418</stp>
        <tr r="H154" s="2"/>
      </tp>
      <tp t="s">
        <v>#N/A N/A</v>
        <stp/>
        <stp>BDP|1950287359973805917</stp>
        <tr r="F375" s="2"/>
      </tp>
      <tp t="s">
        <v>#N/A N/A</v>
        <stp/>
        <stp>BDP|6813859468747700333</stp>
        <tr r="M926" s="2"/>
      </tp>
      <tp t="s">
        <v>#N/A N/A</v>
        <stp/>
        <stp>BDP|4941993662580363708</stp>
        <tr r="R1289" s="2"/>
      </tp>
      <tp t="s">
        <v>#N/A N/A</v>
        <stp/>
        <stp>BDS|5819079272929587796</stp>
        <tr r="I1386" s="2"/>
      </tp>
      <tp t="s">
        <v>#N/A N/A</v>
        <stp/>
        <stp>BDP|6375803643881871797</stp>
        <tr r="A1049" s="2"/>
      </tp>
      <tp t="s">
        <v>#N/A N/A</v>
        <stp/>
        <stp>BDP|8582229454804618747</stp>
        <tr r="M962" s="2"/>
      </tp>
      <tp t="s">
        <v>#N/A N/A</v>
        <stp/>
        <stp>BDP|6026102151579280723</stp>
        <tr r="D1348" s="2"/>
      </tp>
      <tp t="s">
        <v>#N/A N/A</v>
        <stp/>
        <stp>BDP|7785245690504712457</stp>
        <tr r="M194" s="2"/>
      </tp>
      <tp t="s">
        <v>#N/A N/A</v>
        <stp/>
        <stp>BDP|8876136777492418095</stp>
        <tr r="T737" s="2"/>
      </tp>
      <tp t="s">
        <v>#N/A N/A</v>
        <stp/>
        <stp>BDP|4936661010379890669</stp>
        <tr r="C311" s="2"/>
      </tp>
      <tp t="s">
        <v>#N/A N/A</v>
        <stp/>
        <stp>BDS|8938790600495236636</stp>
        <tr r="I1598" s="2"/>
      </tp>
      <tp t="s">
        <v>#N/A N/A</v>
        <stp/>
        <stp>BDS|9107834419505227980</stp>
        <tr r="I1575" s="2"/>
      </tp>
      <tp t="s">
        <v>#N/A N/A</v>
        <stp/>
        <stp>BDP|2776906026513607664</stp>
        <tr r="R1726" s="2"/>
      </tp>
      <tp t="s">
        <v>#N/A N/A</v>
        <stp/>
        <stp>BDP|5454459323809175623</stp>
        <tr r="A1057" s="2"/>
      </tp>
      <tp t="s">
        <v>#N/A N/A</v>
        <stp/>
        <stp>BDP|6014920731717661740</stp>
        <tr r="M182" s="2"/>
      </tp>
      <tp t="s">
        <v>#N/A N/A</v>
        <stp/>
        <stp>BDP|2846927901557276081</stp>
        <tr r="G991" s="2"/>
      </tp>
      <tp t="s">
        <v>#N/A N/A</v>
        <stp/>
        <stp>BDP|6176625842210610861</stp>
        <tr r="D1119" s="2"/>
      </tp>
      <tp t="s">
        <v>#N/A N/A</v>
        <stp/>
        <stp>BDP|8843764468085455035</stp>
        <tr r="H270" s="2"/>
      </tp>
      <tp t="s">
        <v>#N/A N/A</v>
        <stp/>
        <stp>BDP|1913700395295452696</stp>
        <tr r="J1287" s="2"/>
      </tp>
      <tp t="s">
        <v>#N/A N/A</v>
        <stp/>
        <stp>BDP|2047870165307220716</stp>
        <tr r="O734" s="2"/>
      </tp>
      <tp t="s">
        <v>#N/A N/A</v>
        <stp/>
        <stp>BDP|4111647316137037827</stp>
        <tr r="P396" s="2"/>
      </tp>
      <tp t="s">
        <v>#N/A N/A</v>
        <stp/>
        <stp>BDP|9651753244476702011</stp>
        <tr r="F512" s="2"/>
      </tp>
      <tp t="s">
        <v>#N/A N/A</v>
        <stp/>
        <stp>BDP|9897024552314042499</stp>
        <tr r="S1313" s="2"/>
      </tp>
      <tp t="s">
        <v>#N/A N/A</v>
        <stp/>
        <stp>BDP|5646898694621386990</stp>
        <tr r="C298" s="2"/>
      </tp>
      <tp t="s">
        <v>#N/A N/A</v>
        <stp/>
        <stp>BDP|1130138319325989832</stp>
        <tr r="P65" s="2"/>
      </tp>
      <tp t="s">
        <v>#N/A N/A</v>
        <stp/>
        <stp>BDP|1780429680909283865</stp>
        <tr r="S1156" s="2"/>
      </tp>
      <tp t="s">
        <v>#N/A N/A</v>
        <stp/>
        <stp>BDP|7532854624235101440</stp>
        <tr r="K162" s="2"/>
      </tp>
      <tp t="s">
        <v>#N/A N/A</v>
        <stp/>
        <stp>BDP|2375460165514322825</stp>
        <tr r="E1595" s="2"/>
      </tp>
      <tp t="s">
        <v>#N/A N/A</v>
        <stp/>
        <stp>BDP|5230059257835610976</stp>
        <tr r="Q1145" s="2"/>
      </tp>
      <tp t="s">
        <v>#N/A N/A</v>
        <stp/>
        <stp>BDP|2601804420141528522</stp>
        <tr r="F432" s="2"/>
      </tp>
      <tp t="s">
        <v>#N/A N/A</v>
        <stp/>
        <stp>BDP|6529502615517420953</stp>
        <tr r="T397" s="2"/>
      </tp>
      <tp t="s">
        <v>#N/A N/A</v>
        <stp/>
        <stp>BDP|8618206527504012007</stp>
        <tr r="H1517" s="2"/>
      </tp>
      <tp t="s">
        <v>#N/A N/A</v>
        <stp/>
        <stp>BDP|5634832021410657337</stp>
        <tr r="R1226" s="2"/>
      </tp>
      <tp t="s">
        <v>#N/A N/A</v>
        <stp/>
        <stp>BDP|9773183969331551325</stp>
        <tr r="H629" s="2"/>
      </tp>
      <tp t="s">
        <v>#N/A N/A</v>
        <stp/>
        <stp>BDP|8283522045566005349</stp>
        <tr r="D25" s="2"/>
      </tp>
      <tp t="s">
        <v>#N/A N/A</v>
        <stp/>
        <stp>BDP|9190563269737623199</stp>
        <tr r="R1322" s="2"/>
      </tp>
      <tp t="s">
        <v>#N/A N/A</v>
        <stp/>
        <stp>BDP|2796100832958054443</stp>
        <tr r="Q1034" s="2"/>
      </tp>
      <tp t="s">
        <v>#N/A N/A</v>
        <stp/>
        <stp>BDP|9638415357001932583</stp>
        <tr r="S1352" s="2"/>
      </tp>
      <tp t="s">
        <v>#N/A N/A</v>
        <stp/>
        <stp>BDP|2737857018597224095</stp>
        <tr r="K497" s="2"/>
      </tp>
      <tp t="s">
        <v>#N/A N/A</v>
        <stp/>
        <stp>BDP|3758553182822300028</stp>
        <tr r="Q679" s="2"/>
      </tp>
      <tp t="s">
        <v>#N/A N/A</v>
        <stp/>
        <stp>BDP|7481426210956881886</stp>
        <tr r="O729" s="2"/>
      </tp>
      <tp t="s">
        <v>#N/A N/A</v>
        <stp/>
        <stp>BDP|1680575683123775332</stp>
        <tr r="M1046" s="2"/>
      </tp>
      <tp t="s">
        <v>#N/A N/A</v>
        <stp/>
        <stp>BDP|8255453501231891184</stp>
        <tr r="M415" s="2"/>
      </tp>
      <tp t="s">
        <v>#N/A N/A</v>
        <stp/>
        <stp>BDP|8550792916841443382</stp>
        <tr r="N523" s="2"/>
      </tp>
      <tp t="s">
        <v>#N/A N/A</v>
        <stp/>
        <stp>BDP|7292489748522088944</stp>
        <tr r="O850" s="2"/>
      </tp>
      <tp t="s">
        <v>#N/A N/A</v>
        <stp/>
        <stp>BDP|1046572132033291817</stp>
        <tr r="H1239" s="2"/>
      </tp>
      <tp t="s">
        <v>#N/A N/A</v>
        <stp/>
        <stp>BDP|7434784680561893523</stp>
        <tr r="C416" s="2"/>
      </tp>
      <tp t="s">
        <v>#N/A N/A</v>
        <stp/>
        <stp>BDP|7672836422391621078</stp>
        <tr r="P1214" s="2"/>
      </tp>
      <tp t="s">
        <v>#N/A N/A</v>
        <stp/>
        <stp>BDP|4362810261167090155</stp>
        <tr r="N346" s="2"/>
      </tp>
      <tp t="s">
        <v>#N/A N/A</v>
        <stp/>
        <stp>BDP|5172692419136065879</stp>
        <tr r="J1030" s="2"/>
      </tp>
      <tp t="s">
        <v>#N/A N/A</v>
        <stp/>
        <stp>BDP|2003194534039297596</stp>
        <tr r="F1670" s="2"/>
      </tp>
      <tp t="s">
        <v>#N/A N/A</v>
        <stp/>
        <stp>BDP|9471219962433524243</stp>
        <tr r="H1102" s="2"/>
      </tp>
      <tp t="s">
        <v>#N/A N/A</v>
        <stp/>
        <stp>BDP|2565122297983564530</stp>
        <tr r="N1130" s="2"/>
      </tp>
      <tp t="s">
        <v>#N/A N/A</v>
        <stp/>
        <stp>BDP|8647056646824544464</stp>
        <tr r="M820" s="2"/>
      </tp>
      <tp t="s">
        <v>#N/A N/A</v>
        <stp/>
        <stp>BDP|5192670397066724001</stp>
        <tr r="T1128" s="2"/>
      </tp>
      <tp t="s">
        <v>#N/A N/A</v>
        <stp/>
        <stp>BDP|9727144725563998590</stp>
        <tr r="M102" s="2"/>
      </tp>
      <tp t="s">
        <v>#N/A N/A</v>
        <stp/>
        <stp>BDP|8097262665799207976</stp>
        <tr r="G254" s="2"/>
      </tp>
      <tp t="s">
        <v>#N/A N/A</v>
        <stp/>
        <stp>BDP|5790434538357954936</stp>
        <tr r="J1235" s="2"/>
      </tp>
      <tp t="s">
        <v>#N/A N/A</v>
        <stp/>
        <stp>BDP|4326040351104190917</stp>
        <tr r="D1073" s="2"/>
      </tp>
      <tp t="s">
        <v>#N/A N/A</v>
        <stp/>
        <stp>BDP|5786852065336540140</stp>
        <tr r="R600" s="2"/>
      </tp>
      <tp t="s">
        <v>#N/A N/A</v>
        <stp/>
        <stp>BDP|4336724285873061424</stp>
        <tr r="K1103" s="2"/>
      </tp>
      <tp t="s">
        <v>#N/A N/A</v>
        <stp/>
        <stp>BDP|9380414760414725337</stp>
        <tr r="H221" s="2"/>
      </tp>
      <tp t="s">
        <v>#N/A N/A</v>
        <stp/>
        <stp>BDP|9623704882342503878</stp>
        <tr r="N1322" s="2"/>
      </tp>
      <tp t="s">
        <v>#N/A N/A</v>
        <stp/>
        <stp>BDP|5613236900539062239</stp>
        <tr r="N859" s="2"/>
      </tp>
      <tp t="s">
        <v>#N/A N/A</v>
        <stp/>
        <stp>BDP|4711438025079606715</stp>
        <tr r="G1735" s="2"/>
      </tp>
      <tp t="s">
        <v>#N/A N/A</v>
        <stp/>
        <stp>BDP|6407953037802074200</stp>
        <tr r="S1628" s="2"/>
      </tp>
      <tp t="s">
        <v>#N/A N/A</v>
        <stp/>
        <stp>BDP|8195560604073225274</stp>
        <tr r="H17" s="2"/>
      </tp>
      <tp t="s">
        <v>#N/A N/A</v>
        <stp/>
        <stp>BDP|6691371111248008065</stp>
        <tr r="E1660" s="2"/>
      </tp>
      <tp t="s">
        <v>#N/A N/A</v>
        <stp/>
        <stp>BDP|7648770669708649289</stp>
        <tr r="A1304" s="2"/>
      </tp>
      <tp t="s">
        <v>#N/A N/A</v>
        <stp/>
        <stp>BDP|6165763261418464349</stp>
        <tr r="F495" s="2"/>
      </tp>
      <tp t="s">
        <v>#N/A N/A</v>
        <stp/>
        <stp>BDS|3110647596963351367</stp>
        <tr r="I125" s="2"/>
      </tp>
      <tp t="s">
        <v>#N/A N/A</v>
        <stp/>
        <stp>BDS|9264791838977079654</stp>
        <tr r="I469" s="2"/>
      </tp>
      <tp t="s">
        <v>#N/A N/A</v>
        <stp/>
        <stp>BDP|1127711951146087974</stp>
        <tr r="K1135" s="2"/>
      </tp>
      <tp t="s">
        <v>#N/A N/A</v>
        <stp/>
        <stp>BDP|9418301622374580055</stp>
        <tr r="A730" s="2"/>
      </tp>
      <tp t="s">
        <v>#N/A N/A</v>
        <stp/>
        <stp>BDP|3917485037451416940</stp>
        <tr r="H759" s="2"/>
      </tp>
      <tp t="s">
        <v>#N/A N/A</v>
        <stp/>
        <stp>BDP|6283598606566207994</stp>
        <tr r="R344" s="2"/>
      </tp>
      <tp t="s">
        <v>#N/A N/A</v>
        <stp/>
        <stp>BDS|8715786405145441680</stp>
        <tr r="I862" s="2"/>
      </tp>
      <tp t="s">
        <v>#N/A N/A</v>
        <stp/>
        <stp>BDS|2197779134362605821</stp>
        <tr r="I1588" s="2"/>
      </tp>
      <tp t="s">
        <v>#N/A N/A</v>
        <stp/>
        <stp>BDP|9164902867592274827</stp>
        <tr r="K983" s="2"/>
      </tp>
      <tp t="s">
        <v>#N/A N/A</v>
        <stp/>
        <stp>BDP|5012983178486149173</stp>
        <tr r="F939" s="2"/>
      </tp>
      <tp t="s">
        <v>#N/A N/A</v>
        <stp/>
        <stp>BDP|4078701779060903867</stp>
        <tr r="D1701" s="2"/>
      </tp>
      <tp t="s">
        <v>#N/A N/A</v>
        <stp/>
        <stp>BDP|2930442699056153534</stp>
        <tr r="M1002" s="2"/>
      </tp>
      <tp t="s">
        <v>#N/A N/A</v>
        <stp/>
        <stp>BDS|8568895916695921854</stp>
        <tr r="I623" s="2"/>
      </tp>
      <tp t="s">
        <v>#N/A N/A</v>
        <stp/>
        <stp>BDP|5030788346942898808</stp>
        <tr r="P1165" s="2"/>
      </tp>
      <tp t="s">
        <v>#N/A N/A</v>
        <stp/>
        <stp>BDP|8373264301161753755</stp>
        <tr r="E881" s="2"/>
      </tp>
      <tp t="s">
        <v>#N/A N/A</v>
        <stp/>
        <stp>BDP|9613750929279968957</stp>
        <tr r="K410" s="2"/>
      </tp>
      <tp t="s">
        <v>#N/A N/A</v>
        <stp/>
        <stp>BDP|6196173503989039232</stp>
        <tr r="H1635" s="2"/>
      </tp>
      <tp t="s">
        <v>#N/A N/A</v>
        <stp/>
        <stp>BDP|3746811211463822596</stp>
        <tr r="P1395" s="2"/>
      </tp>
      <tp t="s">
        <v>#N/A N/A</v>
        <stp/>
        <stp>BDP|2440642911348393149</stp>
        <tr r="S1067" s="2"/>
      </tp>
      <tp t="s">
        <v>#N/A N/A</v>
        <stp/>
        <stp>BDP|5879032295733873300</stp>
        <tr r="C535" s="2"/>
      </tp>
      <tp t="s">
        <v>#N/A N/A</v>
        <stp/>
        <stp>BDP|5406190098761446077</stp>
        <tr r="Q72" s="2"/>
      </tp>
      <tp t="s">
        <v>#N/A N/A</v>
        <stp/>
        <stp>BDS|8436513025270311354</stp>
        <tr r="I297" s="2"/>
      </tp>
      <tp t="s">
        <v>#N/A N/A</v>
        <stp/>
        <stp>BDP|3183248703159102415</stp>
        <tr r="T952" s="2"/>
      </tp>
      <tp t="s">
        <v>#N/A N/A</v>
        <stp/>
        <stp>BDP|8870828386534393097</stp>
        <tr r="J544" s="2"/>
      </tp>
      <tp t="s">
        <v>#N/A N/A</v>
        <stp/>
        <stp>BDP|1018380947088001295</stp>
        <tr r="A1405" s="2"/>
      </tp>
      <tp t="s">
        <v>#N/A N/A</v>
        <stp/>
        <stp>BDP|8125623940447460117</stp>
        <tr r="D1682" s="2"/>
      </tp>
      <tp t="s">
        <v>#N/A N/A</v>
        <stp/>
        <stp>BDP|8946335569281240073</stp>
        <tr r="P1734" s="2"/>
      </tp>
      <tp t="s">
        <v>#N/A N/A</v>
        <stp/>
        <stp>BDP|6447898689842200803</stp>
        <tr r="Q542" s="2"/>
      </tp>
      <tp t="s">
        <v>#N/A N/A</v>
        <stp/>
        <stp>BDP|8269690112076729583</stp>
        <tr r="Q1530" s="2"/>
      </tp>
      <tp t="s">
        <v>#N/A N/A</v>
        <stp/>
        <stp>BDP|5121412766583422840</stp>
        <tr r="J1257" s="2"/>
      </tp>
      <tp t="s">
        <v>#N/A N/A</v>
        <stp/>
        <stp>BDP|7514110756597624821</stp>
        <tr r="T657" s="2"/>
      </tp>
      <tp t="s">
        <v>#N/A N/A</v>
        <stp/>
        <stp>BDP|4760785075421813940</stp>
        <tr r="G264" s="2"/>
      </tp>
      <tp t="s">
        <v>#N/A N/A</v>
        <stp/>
        <stp>BDP|1811501837229020296</stp>
        <tr r="J366" s="2"/>
      </tp>
      <tp t="s">
        <v>#N/A N/A</v>
        <stp/>
        <stp>BDP|9686700437224774514</stp>
        <tr r="F977" s="2"/>
      </tp>
      <tp t="s">
        <v>#N/A N/A</v>
        <stp/>
        <stp>BDP|8755427442984208022</stp>
        <tr r="H1539" s="2"/>
      </tp>
      <tp t="s">
        <v>#N/A N/A</v>
        <stp/>
        <stp>BDP|9772137032415147208</stp>
        <tr r="R805" s="2"/>
      </tp>
      <tp t="s">
        <v>#N/A N/A</v>
        <stp/>
        <stp>BDP|7289419868669984057</stp>
        <tr r="M1216" s="2"/>
      </tp>
      <tp t="s">
        <v>#N/A N/A</v>
        <stp/>
        <stp>BDP|9281001950859191940</stp>
        <tr r="C872" s="2"/>
      </tp>
      <tp t="s">
        <v>#N/A N/A</v>
        <stp/>
        <stp>BDP|4077929479131418786</stp>
        <tr r="Q1743" s="2"/>
      </tp>
      <tp t="s">
        <v>#N/A N/A</v>
        <stp/>
        <stp>BDP|6488676442458067067</stp>
        <tr r="J1303" s="2"/>
      </tp>
      <tp t="s">
        <v>#N/A N/A</v>
        <stp/>
        <stp>BDP|5446105694084031579</stp>
        <tr r="T900" s="2"/>
      </tp>
      <tp t="s">
        <v>#N/A N/A</v>
        <stp/>
        <stp>BDP|7153679302514457976</stp>
        <tr r="D701" s="2"/>
      </tp>
      <tp t="s">
        <v>#N/A N/A</v>
        <stp/>
        <stp>BDP|6749265991259294850</stp>
        <tr r="T1139" s="2"/>
      </tp>
      <tp t="s">
        <v>#N/A N/A</v>
        <stp/>
        <stp>BDS|9640952896813748653</stp>
        <tr r="I392" s="2"/>
      </tp>
      <tp t="s">
        <v>#N/A N/A</v>
        <stp/>
        <stp>BDP|8593183157141855154</stp>
        <tr r="G737" s="2"/>
      </tp>
      <tp t="s">
        <v>#N/A N/A</v>
        <stp/>
        <stp>BDP|8459920581973137615</stp>
        <tr r="H1286" s="2"/>
      </tp>
      <tp t="s">
        <v>#N/A N/A</v>
        <stp/>
        <stp>BDP|9301707823742325248</stp>
        <tr r="H841" s="2"/>
      </tp>
      <tp t="s">
        <v>#N/A N/A</v>
        <stp/>
        <stp>BDP|9747310370849219837</stp>
        <tr r="D1252" s="2"/>
      </tp>
      <tp t="s">
        <v>#N/A N/A</v>
        <stp/>
        <stp>BDP|6700924631799584961</stp>
        <tr r="P60" s="2"/>
      </tp>
      <tp t="s">
        <v>#N/A N/A</v>
        <stp/>
        <stp>BDP|1561729050986327939</stp>
        <tr r="Q257" s="2"/>
      </tp>
      <tp t="s">
        <v>#N/A N/A</v>
        <stp/>
        <stp>BDP|2200750124532208968</stp>
        <tr r="C763" s="2"/>
      </tp>
      <tp t="s">
        <v>#N/A N/A</v>
        <stp/>
        <stp>BDP|6210361575786327858</stp>
        <tr r="C91" s="2"/>
      </tp>
      <tp t="s">
        <v>#N/A N/A</v>
        <stp/>
        <stp>BDP|2950337732909763781</stp>
        <tr r="K1358" s="2"/>
      </tp>
      <tp t="s">
        <v>#N/A N/A</v>
        <stp/>
        <stp>BDP|3403911419577906028</stp>
        <tr r="R1057" s="2"/>
      </tp>
      <tp t="s">
        <v>#N/A N/A</v>
        <stp/>
        <stp>BDP|7074318540848393452</stp>
        <tr r="Q926" s="2"/>
      </tp>
      <tp t="s">
        <v>#N/A N/A</v>
        <stp/>
        <stp>BDP|9836385511801714613</stp>
        <tr r="R1267" s="2"/>
      </tp>
      <tp t="s">
        <v>#N/A N/A</v>
        <stp/>
        <stp>BDS|1413801768834236794</stp>
        <tr r="I257" s="2"/>
      </tp>
      <tp t="s">
        <v>#N/A N/A</v>
        <stp/>
        <stp>BDP|1283298376259287186</stp>
        <tr r="D924" s="2"/>
      </tp>
      <tp t="s">
        <v>#N/A N/A</v>
        <stp/>
        <stp>BDP|5283577806384751835</stp>
        <tr r="G1306" s="2"/>
      </tp>
      <tp t="s">
        <v>#N/A N/A</v>
        <stp/>
        <stp>BDP|3138388596642854704</stp>
        <tr r="Q377" s="2"/>
      </tp>
      <tp t="s">
        <v>#N/A N/A</v>
        <stp/>
        <stp>BDP|4041128495189493948</stp>
        <tr r="A833" s="2"/>
      </tp>
      <tp t="s">
        <v>#N/A N/A</v>
        <stp/>
        <stp>BDP|3221932628764989073</stp>
        <tr r="O662" s="2"/>
      </tp>
      <tp t="s">
        <v>#N/A N/A</v>
        <stp/>
        <stp>BDP|8227252671856574740</stp>
        <tr r="P1073" s="2"/>
      </tp>
      <tp t="s">
        <v>#N/A N/A</v>
        <stp/>
        <stp>BDP|8702209477775570426</stp>
        <tr r="N1285" s="2"/>
      </tp>
      <tp t="s">
        <v>#N/A N/A</v>
        <stp/>
        <stp>BDP|1398652597734757616</stp>
        <tr r="E1694" s="2"/>
      </tp>
      <tp t="s">
        <v>#N/A N/A</v>
        <stp/>
        <stp>BDP|8486133557139045970</stp>
        <tr r="J511" s="2"/>
      </tp>
      <tp t="s">
        <v>#N/A N/A</v>
        <stp/>
        <stp>BDP|9661342930950511502</stp>
        <tr r="C1388" s="2"/>
      </tp>
      <tp t="s">
        <v>#N/A N/A</v>
        <stp/>
        <stp>BDP|8237378467224778520</stp>
        <tr r="K227" s="2"/>
      </tp>
      <tp t="s">
        <v>#N/A N/A</v>
        <stp/>
        <stp>BDS|8088002553144223564</stp>
        <tr r="I1323" s="2"/>
      </tp>
      <tp t="s">
        <v>#N/A N/A</v>
        <stp/>
        <stp>BDP|3308410921518144150</stp>
        <tr r="F1234" s="2"/>
      </tp>
      <tp t="s">
        <v>#N/A N/A</v>
        <stp/>
        <stp>BDP|3872941861319837927</stp>
        <tr r="N1143" s="2"/>
      </tp>
      <tp t="s">
        <v>#N/A N/A</v>
        <stp/>
        <stp>BDP|8470558113293444318</stp>
        <tr r="D361" s="2"/>
      </tp>
      <tp t="s">
        <v>#N/A N/A</v>
        <stp/>
        <stp>BDP|6505302593699373922</stp>
        <tr r="K1340" s="2"/>
      </tp>
      <tp t="s">
        <v>#N/A N/A</v>
        <stp/>
        <stp>BDP|9188028986628305516</stp>
        <tr r="S468" s="2"/>
      </tp>
      <tp t="s">
        <v>#N/A N/A</v>
        <stp/>
        <stp>BDP|8450021425233027544</stp>
        <tr r="C327" s="2"/>
      </tp>
      <tp t="s">
        <v>#N/A N/A</v>
        <stp/>
        <stp>BDP|8562963031647577904</stp>
        <tr r="O212" s="2"/>
      </tp>
      <tp t="s">
        <v>#N/A N/A</v>
        <stp/>
        <stp>BDP|6503843451445110266</stp>
        <tr r="H216" s="2"/>
      </tp>
      <tp t="s">
        <v>#N/A N/A</v>
        <stp/>
        <stp>BDP|1889923569913678126</stp>
        <tr r="O1500" s="2"/>
      </tp>
      <tp t="s">
        <v>#N/A N/A</v>
        <stp/>
        <stp>BDP|3553175014446522945</stp>
        <tr r="O251" s="2"/>
      </tp>
      <tp t="s">
        <v>#N/A N/A</v>
        <stp/>
        <stp>BDP|7524905157102430516</stp>
        <tr r="S249" s="2"/>
      </tp>
      <tp t="s">
        <v>#N/A N/A</v>
        <stp/>
        <stp>BDP|8953496656312013712</stp>
        <tr r="T615" s="2"/>
      </tp>
      <tp t="s">
        <v>#N/A N/A</v>
        <stp/>
        <stp>BDP|4365711645578646365</stp>
        <tr r="S695" s="2"/>
      </tp>
      <tp t="s">
        <v>#N/A N/A</v>
        <stp/>
        <stp>BDP|4355152737092518835</stp>
        <tr r="K709" s="2"/>
      </tp>
      <tp t="s">
        <v>#N/A N/A</v>
        <stp/>
        <stp>BDP|9109096476275073790</stp>
        <tr r="N1247" s="2"/>
      </tp>
      <tp t="s">
        <v>#N/A N/A</v>
        <stp/>
        <stp>BDP|3142317393031153454</stp>
        <tr r="A943" s="2"/>
      </tp>
      <tp t="s">
        <v>#N/A N/A</v>
        <stp/>
        <stp>BDP|3370132226635751963</stp>
        <tr r="N550" s="2"/>
      </tp>
      <tp t="s">
        <v>#N/A N/A</v>
        <stp/>
        <stp>BDP|4186701275761320909</stp>
        <tr r="G80" s="2"/>
      </tp>
      <tp t="s">
        <v>#N/A N/A</v>
        <stp/>
        <stp>BDS|2556034895174244362</stp>
        <tr r="I520" s="2"/>
      </tp>
      <tp t="s">
        <v>#N/A N/A</v>
        <stp/>
        <stp>BDP|5780277418719743388</stp>
        <tr r="K962" s="2"/>
      </tp>
      <tp t="s">
        <v>#N/A N/A</v>
        <stp/>
        <stp>BDP|7972341937058478395</stp>
        <tr r="S933" s="2"/>
      </tp>
      <tp t="s">
        <v>#N/A N/A</v>
        <stp/>
        <stp>BDP|2814341081252832725</stp>
        <tr r="Q658" s="2"/>
      </tp>
      <tp t="s">
        <v>#N/A N/A</v>
        <stp/>
        <stp>BDP|5647627749283257880</stp>
        <tr r="H1099" s="2"/>
      </tp>
      <tp t="s">
        <v>#N/A N/A</v>
        <stp/>
        <stp>BDS|7299987333750695187</stp>
        <tr r="I61" s="2"/>
      </tp>
      <tp t="s">
        <v>#N/A N/A</v>
        <stp/>
        <stp>BDP|7927727240139470184</stp>
        <tr r="F1705" s="2"/>
      </tp>
      <tp t="s">
        <v>#N/A N/A</v>
        <stp/>
        <stp>BDP|3103894757057162595</stp>
        <tr r="D1544" s="2"/>
      </tp>
      <tp t="s">
        <v>#N/A N/A</v>
        <stp/>
        <stp>BDP|2574101708478229787</stp>
        <tr r="G1120" s="2"/>
      </tp>
      <tp t="s">
        <v>#N/A N/A</v>
        <stp/>
        <stp>BDP|8619481239064523755</stp>
        <tr r="S259" s="2"/>
      </tp>
      <tp t="s">
        <v>#N/A N/A</v>
        <stp/>
        <stp>BDP|6404020911703456845</stp>
        <tr r="T896" s="2"/>
      </tp>
      <tp t="s">
        <v>#N/A N/A</v>
        <stp/>
        <stp>BDP|9406378676423530279</stp>
        <tr r="C887" s="2"/>
      </tp>
      <tp t="s">
        <v>#N/A N/A</v>
        <stp/>
        <stp>BDP|9313332073152378373</stp>
        <tr r="P985" s="2"/>
      </tp>
      <tp t="s">
        <v>#N/A N/A</v>
        <stp/>
        <stp>BDP|3737843366284527576</stp>
        <tr r="R1325" s="2"/>
      </tp>
      <tp t="s">
        <v>#N/A N/A</v>
        <stp/>
        <stp>BDP|5032210246588513751</stp>
        <tr r="J1740" s="2"/>
      </tp>
      <tp t="s">
        <v>#N/A N/A</v>
        <stp/>
        <stp>BDP|1311134413725033878</stp>
        <tr r="M10" s="2"/>
      </tp>
      <tp t="s">
        <v>#N/A N/A</v>
        <stp/>
        <stp>BDP|7297076430339455150</stp>
        <tr r="Q1067" s="2"/>
      </tp>
      <tp t="s">
        <v>#N/A N/A</v>
        <stp/>
        <stp>BDP|2070844954397082441</stp>
        <tr r="F1495" s="2"/>
      </tp>
      <tp t="s">
        <v>#N/A N/A</v>
        <stp/>
        <stp>BDS|9007979935637321857</stp>
        <tr r="I1016" s="2"/>
      </tp>
      <tp t="s">
        <v>#N/A N/A</v>
        <stp/>
        <stp>BDP|4763434966853372954</stp>
        <tr r="A1385" s="2"/>
      </tp>
      <tp t="s">
        <v>#N/A N/A</v>
        <stp/>
        <stp>BDP|9209518413205568414</stp>
        <tr r="R890" s="2"/>
      </tp>
      <tp t="s">
        <v>#N/A N/A</v>
        <stp/>
        <stp>BDP|5430873465832386518</stp>
        <tr r="R1005" s="2"/>
      </tp>
      <tp t="s">
        <v>#N/A N/A</v>
        <stp/>
        <stp>BDP|8733346856323866198</stp>
        <tr r="N349" s="2"/>
      </tp>
      <tp t="s">
        <v>#N/A N/A</v>
        <stp/>
        <stp>BDP|9095526277163418457</stp>
        <tr r="A559" s="2"/>
      </tp>
      <tp t="s">
        <v>#N/A N/A</v>
        <stp/>
        <stp>BDP|9169617157891328703</stp>
        <tr r="O927" s="2"/>
      </tp>
      <tp t="s">
        <v>#N/A N/A</v>
        <stp/>
        <stp>BDP|8505301424134099151</stp>
        <tr r="R499" s="2"/>
      </tp>
      <tp t="s">
        <v>#N/A N/A</v>
        <stp/>
        <stp>BDP|9529067940504197562</stp>
        <tr r="R1400" s="2"/>
      </tp>
      <tp t="s">
        <v>#N/A N/A</v>
        <stp/>
        <stp>BDP|9473720813137048419</stp>
        <tr r="T230" s="2"/>
      </tp>
      <tp t="s">
        <v>#N/A N/A</v>
        <stp/>
        <stp>BDP|1518882476883739183</stp>
        <tr r="Q572" s="2"/>
      </tp>
      <tp t="s">
        <v>#N/A N/A</v>
        <stp/>
        <stp>BDP|3370987725715242189</stp>
        <tr r="H417" s="2"/>
      </tp>
      <tp t="s">
        <v>#N/A N/A</v>
        <stp/>
        <stp>BDP|6308526271688496003</stp>
        <tr r="G958" s="2"/>
      </tp>
      <tp t="s">
        <v>#N/A N/A</v>
        <stp/>
        <stp>BDP|9076898789163066642</stp>
        <tr r="S74" s="2"/>
      </tp>
      <tp t="s">
        <v>#N/A N/A</v>
        <stp/>
        <stp>BDP|3203774603459751158</stp>
        <tr r="T757" s="2"/>
      </tp>
      <tp t="s">
        <v>#N/A N/A</v>
        <stp/>
        <stp>BDP|6339577038149115599</stp>
        <tr r="J1427" s="2"/>
      </tp>
      <tp t="s">
        <v>#N/A N/A</v>
        <stp/>
        <stp>BDP|8732008966206633437</stp>
        <tr r="H667" s="2"/>
      </tp>
      <tp t="s">
        <v>#N/A N/A</v>
        <stp/>
        <stp>BDP|7394030273698105462</stp>
        <tr r="P1585" s="2"/>
      </tp>
      <tp t="s">
        <v>#N/A N/A</v>
        <stp/>
        <stp>BDP|1082056042848230119</stp>
        <tr r="Q289" s="2"/>
      </tp>
      <tp t="s">
        <v>#N/A N/A</v>
        <stp/>
        <stp>BDP|1082440445115177842</stp>
        <tr r="T1266" s="2"/>
      </tp>
      <tp t="s">
        <v>#N/A N/A</v>
        <stp/>
        <stp>BDP|2085736427172442944</stp>
        <tr r="S273" s="2"/>
      </tp>
      <tp t="s">
        <v>#N/A N/A</v>
        <stp/>
        <stp>BDP|4561013043875572965</stp>
        <tr r="S932" s="2"/>
      </tp>
      <tp t="s">
        <v>#N/A N/A</v>
        <stp/>
        <stp>BDP|8697077573722226144</stp>
        <tr r="K1304" s="2"/>
      </tp>
      <tp t="s">
        <v>#N/A N/A</v>
        <stp/>
        <stp>BDP|9531650606500185331</stp>
        <tr r="G222" s="2"/>
      </tp>
      <tp t="s">
        <v>#N/A N/A</v>
        <stp/>
        <stp>BDP|8265307048415987672</stp>
        <tr r="O900" s="2"/>
      </tp>
      <tp t="s">
        <v>#N/A N/A</v>
        <stp/>
        <stp>BDP|3371823464294286531</stp>
        <tr r="K1460" s="2"/>
      </tp>
      <tp t="s">
        <v>#N/A N/A</v>
        <stp/>
        <stp>BDP|3025108757452042934</stp>
        <tr r="A221" s="2"/>
      </tp>
      <tp t="s">
        <v>#N/A N/A</v>
        <stp/>
        <stp>BDP|1092000945700239933</stp>
        <tr r="T393" s="2"/>
      </tp>
      <tp t="s">
        <v>#N/A N/A</v>
        <stp/>
        <stp>BDP|4528419191946980384</stp>
        <tr r="O1078" s="2"/>
      </tp>
      <tp t="s">
        <v>#N/A N/A</v>
        <stp/>
        <stp>BDP|7526003710982566840</stp>
        <tr r="C682" s="2"/>
      </tp>
      <tp t="s">
        <v>#N/A N/A</v>
        <stp/>
        <stp>BDP|4543335585377271454</stp>
        <tr r="K2" s="2"/>
      </tp>
      <tp t="s">
        <v>#N/A N/A</v>
        <stp/>
        <stp>BDP|4266327841167059854</stp>
        <tr r="G1554" s="2"/>
      </tp>
      <tp t="s">
        <v>#N/A N/A</v>
        <stp/>
        <stp>BDS|3836645772556936832</stp>
        <tr r="I1329" s="2"/>
      </tp>
      <tp t="s">
        <v>#N/A N/A</v>
        <stp/>
        <stp>BDP|7341286306290172986</stp>
        <tr r="K1431" s="2"/>
      </tp>
      <tp t="s">
        <v>#N/A N/A</v>
        <stp/>
        <stp>BDP|8439556151677425300</stp>
        <tr r="M1319" s="2"/>
      </tp>
      <tp t="s">
        <v>#N/A N/A</v>
        <stp/>
        <stp>BDP|8252518710203172368</stp>
        <tr r="S728" s="2"/>
      </tp>
      <tp t="s">
        <v>#N/A N/A</v>
        <stp/>
        <stp>BDP|4096360683857497458</stp>
        <tr r="S427" s="2"/>
      </tp>
      <tp t="s">
        <v>#N/A N/A</v>
        <stp/>
        <stp>BDS|6918795965888374328</stp>
        <tr r="I482" s="2"/>
      </tp>
      <tp t="s">
        <v>#N/A N/A</v>
        <stp/>
        <stp>BDP|8164612424625567557</stp>
        <tr r="O744" s="2"/>
      </tp>
      <tp t="s">
        <v>#N/A N/A</v>
        <stp/>
        <stp>BDS|4304921384850893990</stp>
        <tr r="I1553" s="2"/>
      </tp>
      <tp t="s">
        <v>#N/A N/A</v>
        <stp/>
        <stp>BDP|7799038987334571726</stp>
        <tr r="O139" s="2"/>
      </tp>
      <tp t="s">
        <v>#N/A N/A</v>
        <stp/>
        <stp>BDP|7193853111811956385</stp>
        <tr r="A345" s="2"/>
      </tp>
      <tp t="s">
        <v>#N/A N/A</v>
        <stp/>
        <stp>BDP|1305475770256950890</stp>
        <tr r="K1523" s="2"/>
      </tp>
      <tp t="s">
        <v>#N/A N/A</v>
        <stp/>
        <stp>BDP|1200885456458112892</stp>
        <tr r="G331" s="2"/>
      </tp>
      <tp t="s">
        <v>#N/A N/A</v>
        <stp/>
        <stp>BDP|7497958887689334316</stp>
        <tr r="E178" s="2"/>
      </tp>
      <tp t="s">
        <v>#N/A N/A</v>
        <stp/>
        <stp>BDP|6950791997747596368</stp>
        <tr r="M17" s="2"/>
      </tp>
      <tp t="s">
        <v>#N/A N/A</v>
        <stp/>
        <stp>BDP|7255037716683721943</stp>
        <tr r="H911" s="2"/>
      </tp>
      <tp t="s">
        <v>#N/A N/A</v>
        <stp/>
        <stp>BDP|3545950566726213606</stp>
        <tr r="Q1674" s="2"/>
      </tp>
      <tp t="s">
        <v>#N/A N/A</v>
        <stp/>
        <stp>BDP|8843108738185003349</stp>
        <tr r="R933" s="2"/>
      </tp>
      <tp t="s">
        <v>#N/A N/A</v>
        <stp/>
        <stp>BDP|4691155887803620262</stp>
        <tr r="R293" s="2"/>
      </tp>
      <tp t="s">
        <v>#N/A N/A</v>
        <stp/>
        <stp>BDP|6198915529040983140</stp>
        <tr r="O184" s="2"/>
      </tp>
      <tp t="s">
        <v>#N/A N/A</v>
        <stp/>
        <stp>BDP|1005667716318415202</stp>
        <tr r="K309" s="2"/>
      </tp>
      <tp t="s">
        <v>#N/A N/A</v>
        <stp/>
        <stp>BDP|7132562592105542242</stp>
        <tr r="F42" s="2"/>
      </tp>
      <tp t="s">
        <v>#N/A N/A</v>
        <stp/>
        <stp>BDP|4533434685067683319</stp>
        <tr r="S1742" s="2"/>
      </tp>
      <tp t="s">
        <v>#N/A N/A</v>
        <stp/>
        <stp>BDP|1403962204596594278</stp>
        <tr r="O531" s="2"/>
      </tp>
      <tp t="s">
        <v>#N/A N/A</v>
        <stp/>
        <stp>BDP|6278145305478479329</stp>
        <tr r="A1329" s="2"/>
      </tp>
      <tp t="s">
        <v>#N/A N/A</v>
        <stp/>
        <stp>BDP|2214852450935431661</stp>
        <tr r="F278" s="2"/>
      </tp>
      <tp t="s">
        <v>#N/A N/A</v>
        <stp/>
        <stp>BDP|1866089951601662927</stp>
        <tr r="Q31" s="2"/>
      </tp>
      <tp t="s">
        <v>#N/A N/A</v>
        <stp/>
        <stp>BDS|9934205770897414784</stp>
        <tr r="I697" s="2"/>
      </tp>
      <tp t="s">
        <v>#N/A N/A</v>
        <stp/>
        <stp>BDP|8379452112448683971</stp>
        <tr r="F1652" s="2"/>
      </tp>
      <tp t="s">
        <v>#N/A N/A</v>
        <stp/>
        <stp>BDP|7364169992334058722</stp>
        <tr r="Q1682" s="2"/>
      </tp>
      <tp t="s">
        <v>#N/A N/A</v>
        <stp/>
        <stp>BDS|1727886704163644689</stp>
        <tr r="I769" s="2"/>
      </tp>
      <tp t="s">
        <v>#N/A N/A</v>
        <stp/>
        <stp>BDP|1032665658887965923</stp>
        <tr r="Q735" s="2"/>
      </tp>
      <tp t="s">
        <v>#N/A N/A</v>
        <stp/>
        <stp>BDP|7840749888514862095</stp>
        <tr r="O1523" s="2"/>
      </tp>
      <tp t="s">
        <v>#N/A N/A</v>
        <stp/>
        <stp>BDP|9883254194116970850</stp>
        <tr r="G1432" s="2"/>
      </tp>
      <tp t="s">
        <v>#N/A N/A</v>
        <stp/>
        <stp>BDP|6091160193170268224</stp>
        <tr r="H1204" s="2"/>
      </tp>
      <tp t="s">
        <v>#N/A N/A</v>
        <stp/>
        <stp>BDP|1912371994504780387</stp>
        <tr r="G1693" s="2"/>
      </tp>
      <tp t="s">
        <v>#N/A N/A</v>
        <stp/>
        <stp>BDP|4062427190303561629</stp>
        <tr r="F820" s="2"/>
      </tp>
      <tp t="s">
        <v>#N/A N/A</v>
        <stp/>
        <stp>BDS|4719683811827320886</stp>
        <tr r="I682" s="2"/>
      </tp>
      <tp t="s">
        <v>#N/A N/A</v>
        <stp/>
        <stp>BDP|8885710108134442701</stp>
        <tr r="S1429" s="2"/>
      </tp>
      <tp t="s">
        <v>#N/A N/A</v>
        <stp/>
        <stp>BDP|1164021306809455446</stp>
        <tr r="R896" s="2"/>
      </tp>
      <tp t="s">
        <v>#N/A N/A</v>
        <stp/>
        <stp>BDP|6431130063948366520</stp>
        <tr r="T1354" s="2"/>
      </tp>
      <tp t="s">
        <v>#N/A N/A</v>
        <stp/>
        <stp>BDP|5905674678978079036</stp>
        <tr r="P1015" s="2"/>
      </tp>
      <tp t="s">
        <v>#N/A N/A</v>
        <stp/>
        <stp>BDP|3384010315399051722</stp>
        <tr r="R1046" s="2"/>
      </tp>
      <tp t="s">
        <v>#N/A N/A</v>
        <stp/>
        <stp>BDP|1477609743208234700</stp>
        <tr r="T1247" s="2"/>
      </tp>
      <tp t="s">
        <v>#N/A N/A</v>
        <stp/>
        <stp>BDP|7934108689110703225</stp>
        <tr r="J1655" s="2"/>
      </tp>
      <tp t="s">
        <v>#N/A N/A</v>
        <stp/>
        <stp>BDP|9638448863690117753</stp>
        <tr r="N337" s="2"/>
      </tp>
      <tp t="s">
        <v>#N/A N/A</v>
        <stp/>
        <stp>BDP|3787525482712559070</stp>
        <tr r="A1547" s="2"/>
      </tp>
      <tp t="s">
        <v>#N/A N/A</v>
        <stp/>
        <stp>BDP|6201433913906663913</stp>
        <tr r="F625" s="2"/>
      </tp>
      <tp t="s">
        <v>#N/A N/A</v>
        <stp/>
        <stp>BDP|8457209133800791553</stp>
        <tr r="F207" s="2"/>
      </tp>
      <tp t="s">
        <v>#N/A N/A</v>
        <stp/>
        <stp>BDP|7261885248880459730</stp>
        <tr r="R1687" s="2"/>
      </tp>
      <tp t="s">
        <v>#N/A N/A</v>
        <stp/>
        <stp>BDS|9291120435543268427</stp>
        <tr r="I145" s="2"/>
      </tp>
      <tp t="s">
        <v>#N/A N/A</v>
        <stp/>
        <stp>BDS|2704898139404581176</stp>
        <tr r="I1520" s="2"/>
      </tp>
      <tp t="s">
        <v>#N/A N/A</v>
        <stp/>
        <stp>BDP|6109860890333467864</stp>
        <tr r="E45" s="2"/>
      </tp>
      <tp t="s">
        <v>#N/A N/A</v>
        <stp/>
        <stp>BDP|5261873690361507957</stp>
        <tr r="H1198" s="2"/>
      </tp>
      <tp t="s">
        <v>#N/A N/A</v>
        <stp/>
        <stp>BDP|9018425801152533337</stp>
        <tr r="R1141" s="2"/>
      </tp>
      <tp t="s">
        <v>#N/A N/A</v>
        <stp/>
        <stp>BDP|4118554826288019777</stp>
        <tr r="F838" s="2"/>
      </tp>
      <tp t="s">
        <v>#N/A N/A</v>
        <stp/>
        <stp>BDP|9009443420745810694</stp>
        <tr r="C767" s="2"/>
      </tp>
      <tp t="s">
        <v>#N/A N/A</v>
        <stp/>
        <stp>BDP|7368170894777063457</stp>
        <tr r="P803" s="2"/>
      </tp>
      <tp t="s">
        <v>#N/A N/A</v>
        <stp/>
        <stp>BDP|9882491945480746569</stp>
        <tr r="J638" s="2"/>
      </tp>
      <tp t="s">
        <v>#N/A N/A</v>
        <stp/>
        <stp>BDP|5130616546078542361</stp>
        <tr r="T1089" s="2"/>
      </tp>
      <tp t="s">
        <v>#N/A N/A</v>
        <stp/>
        <stp>BDP|2166904184677651861</stp>
        <tr r="D1174" s="2"/>
      </tp>
      <tp t="s">
        <v>#N/A N/A</v>
        <stp/>
        <stp>BDP|7333492504276853935</stp>
        <tr r="Q100" s="2"/>
      </tp>
      <tp t="s">
        <v>#N/A N/A</v>
        <stp/>
        <stp>BDP|8380394518217348149</stp>
        <tr r="C634" s="2"/>
      </tp>
      <tp t="s">
        <v>#N/A N/A</v>
        <stp/>
        <stp>BDS|8150822973679311260</stp>
        <tr r="I673" s="2"/>
      </tp>
      <tp t="s">
        <v>#N/A N/A</v>
        <stp/>
        <stp>BDP|3521458601793677828</stp>
        <tr r="G1639" s="2"/>
      </tp>
      <tp t="s">
        <v>#N/A N/A</v>
        <stp/>
        <stp>BDS|2715815375604021566</stp>
        <tr r="I117" s="2"/>
      </tp>
      <tp t="s">
        <v>#N/A N/A</v>
        <stp/>
        <stp>BDP|3850296988364844141</stp>
        <tr r="O1471" s="2"/>
      </tp>
      <tp t="s">
        <v>#N/A N/A</v>
        <stp/>
        <stp>BDP|9237002386569426452</stp>
        <tr r="Q1310" s="2"/>
      </tp>
      <tp t="s">
        <v>#N/A N/A</v>
        <stp/>
        <stp>BDP|1723841133732414411</stp>
        <tr r="E464" s="2"/>
      </tp>
      <tp t="s">
        <v>#N/A N/A</v>
        <stp/>
        <stp>BDP|8913418710616894752</stp>
        <tr r="F675" s="2"/>
      </tp>
      <tp t="s">
        <v>#N/A N/A</v>
        <stp/>
        <stp>BDP|6417043524341364923</stp>
        <tr r="T182" s="2"/>
      </tp>
      <tp t="s">
        <v>#N/A N/A</v>
        <stp/>
        <stp>BDS|7151101893215000671</stp>
        <tr r="I266" s="2"/>
      </tp>
      <tp t="s">
        <v>#N/A N/A</v>
        <stp/>
        <stp>BDP|3274875955246060452</stp>
        <tr r="G814" s="2"/>
      </tp>
      <tp t="s">
        <v>#N/A N/A</v>
        <stp/>
        <stp>BDP|9167151230567643071</stp>
        <tr r="C1271" s="2"/>
      </tp>
      <tp t="s">
        <v>#N/A N/A</v>
        <stp/>
        <stp>BDP|3312806766710248123</stp>
        <tr r="Q1549" s="2"/>
      </tp>
      <tp t="s">
        <v>#N/A N/A</v>
        <stp/>
        <stp>BDP|1142627112182226867</stp>
        <tr r="N194" s="2"/>
      </tp>
      <tp t="s">
        <v>#N/A N/A</v>
        <stp/>
        <stp>BDP|1367618429928649184</stp>
        <tr r="G766" s="2"/>
      </tp>
      <tp t="s">
        <v>#N/A N/A</v>
        <stp/>
        <stp>BDP|5546212026388075175</stp>
        <tr r="K1436" s="2"/>
      </tp>
      <tp t="s">
        <v>#N/A N/A</v>
        <stp/>
        <stp>BDP|6530196324699439096</stp>
        <tr r="Q174" s="2"/>
      </tp>
      <tp t="s">
        <v>#N/A N/A</v>
        <stp/>
        <stp>BDP|8024351208021108695</stp>
        <tr r="J377" s="2"/>
      </tp>
      <tp t="s">
        <v>#N/A N/A</v>
        <stp/>
        <stp>BDP|9652036441031449051</stp>
        <tr r="E1459" s="2"/>
      </tp>
      <tp t="s">
        <v>#N/A N/A</v>
        <stp/>
        <stp>BDP|2518049518297499885</stp>
        <tr r="D492" s="2"/>
      </tp>
      <tp t="s">
        <v>#N/A N/A</v>
        <stp/>
        <stp>BDP|4613674285291116700</stp>
        <tr r="M1298" s="2"/>
      </tp>
      <tp t="s">
        <v>#N/A N/A</v>
        <stp/>
        <stp>BDP|2936385275988994280</stp>
        <tr r="M1112" s="2"/>
      </tp>
      <tp t="s">
        <v>#N/A N/A</v>
        <stp/>
        <stp>BDP|7585880811392122170</stp>
        <tr r="T537" s="2"/>
      </tp>
      <tp t="s">
        <v>#N/A N/A</v>
        <stp/>
        <stp>BDP|9370298695636079957</stp>
        <tr r="R766" s="2"/>
      </tp>
      <tp t="s">
        <v>#N/A N/A</v>
        <stp/>
        <stp>BDP|6058583212507634869</stp>
        <tr r="R1708" s="2"/>
      </tp>
      <tp t="s">
        <v>#N/A N/A</v>
        <stp/>
        <stp>BDP|5871903670774587273</stp>
        <tr r="M1288" s="2"/>
      </tp>
      <tp t="s">
        <v>#N/A N/A</v>
        <stp/>
        <stp>BDP|6370709388624981088</stp>
        <tr r="D1662" s="2"/>
      </tp>
      <tp t="s">
        <v>#N/A N/A</v>
        <stp/>
        <stp>BDP|4180727117348714795</stp>
        <tr r="G1054" s="2"/>
      </tp>
      <tp t="s">
        <v>#N/A N/A</v>
        <stp/>
        <stp>BDP|9789306327482263784</stp>
        <tr r="C1419" s="2"/>
      </tp>
      <tp t="s">
        <v>#N/A N/A</v>
        <stp/>
        <stp>BDP|1836715231940764852</stp>
        <tr r="P1617" s="2"/>
      </tp>
      <tp t="s">
        <v>#N/A N/A</v>
        <stp/>
        <stp>BDP|5105633319686290937</stp>
        <tr r="O386" s="2"/>
      </tp>
      <tp t="s">
        <v>#N/A N/A</v>
        <stp/>
        <stp>BDP|7183212885585667593</stp>
        <tr r="R1097" s="2"/>
      </tp>
      <tp t="s">
        <v>#N/A N/A</v>
        <stp/>
        <stp>BDP|4546453928298786757</stp>
        <tr r="M1220" s="2"/>
      </tp>
      <tp t="s">
        <v>#N/A N/A</v>
        <stp/>
        <stp>BDP|6068236689576090706</stp>
        <tr r="G709" s="2"/>
      </tp>
      <tp t="s">
        <v>#N/A N/A</v>
        <stp/>
        <stp>BDP|2308691142229481461</stp>
        <tr r="O464" s="2"/>
      </tp>
      <tp t="s">
        <v>#N/A N/A</v>
        <stp/>
        <stp>BDP|9542503011483779399</stp>
        <tr r="Q1377" s="2"/>
      </tp>
      <tp t="s">
        <v>#N/A N/A</v>
        <stp/>
        <stp>BDP|6890993628630048035</stp>
        <tr r="F774" s="2"/>
      </tp>
      <tp t="s">
        <v>#N/A N/A</v>
        <stp/>
        <stp>BDP|3382330619078407474</stp>
        <tr r="F771" s="2"/>
      </tp>
      <tp t="s">
        <v>#N/A N/A</v>
        <stp/>
        <stp>BDP|9295730867755819043</stp>
        <tr r="A1021" s="2"/>
      </tp>
      <tp t="s">
        <v>#N/A N/A</v>
        <stp/>
        <stp>BDP|1901579308658825141</stp>
        <tr r="H1414" s="2"/>
      </tp>
      <tp t="s">
        <v>#N/A N/A</v>
        <stp/>
        <stp>BDP|7164309291207949735</stp>
        <tr r="R1374" s="2"/>
      </tp>
      <tp t="s">
        <v>#N/A N/A</v>
        <stp/>
        <stp>BDP|4609689195685341324</stp>
        <tr r="J1050" s="2"/>
      </tp>
      <tp t="s">
        <v>#N/A N/A</v>
        <stp/>
        <stp>BDP|5791975008338701950</stp>
        <tr r="S786" s="2"/>
      </tp>
      <tp t="s">
        <v>#N/A N/A</v>
        <stp/>
        <stp>BDP|1774393981410091757</stp>
        <tr r="S187" s="2"/>
      </tp>
      <tp t="s">
        <v>#N/A N/A</v>
        <stp/>
        <stp>BDP|4599598408884918876</stp>
        <tr r="T908" s="2"/>
      </tp>
      <tp t="s">
        <v>#N/A N/A</v>
        <stp/>
        <stp>BDP|8077656466735003097</stp>
        <tr r="E553" s="2"/>
      </tp>
      <tp t="s">
        <v>#N/A N/A</v>
        <stp/>
        <stp>BDP|1275945668623059040</stp>
        <tr r="Q1262" s="2"/>
      </tp>
      <tp t="s">
        <v>#N/A N/A</v>
        <stp/>
        <stp>BDP|1795508367258319793</stp>
        <tr r="M952" s="2"/>
      </tp>
      <tp t="s">
        <v>#N/A N/A</v>
        <stp/>
        <stp>BDP|6463882616970245229</stp>
        <tr r="M1185" s="2"/>
      </tp>
      <tp t="s">
        <v>#N/A N/A</v>
        <stp/>
        <stp>BDP|9707015742698767895</stp>
        <tr r="Q788" s="2"/>
      </tp>
      <tp t="s">
        <v>#N/A N/A</v>
        <stp/>
        <stp>BDP|6544491894401696748</stp>
        <tr r="P1112" s="2"/>
      </tp>
      <tp t="s">
        <v>#N/A N/A</v>
        <stp/>
        <stp>BDP|9145806882653119786</stp>
        <tr r="N543" s="2"/>
      </tp>
      <tp t="s">
        <v>#N/A N/A</v>
        <stp/>
        <stp>BDP|1348929920471284692</stp>
        <tr r="H233" s="2"/>
      </tp>
      <tp t="s">
        <v>#N/A N/A</v>
        <stp/>
        <stp>BDP|9933412218178238980</stp>
        <tr r="E1663" s="2"/>
      </tp>
      <tp t="s">
        <v>#N/A N/A</v>
        <stp/>
        <stp>BDP|7315750496474262081</stp>
        <tr r="D791" s="2"/>
      </tp>
      <tp t="s">
        <v>#N/A N/A</v>
        <stp/>
        <stp>BDP|5548195199294633492</stp>
        <tr r="H1117" s="2"/>
      </tp>
      <tp t="s">
        <v>#N/A N/A</v>
        <stp/>
        <stp>BDP|8507925674719828212</stp>
        <tr r="P926" s="2"/>
      </tp>
      <tp t="s">
        <v>#N/A N/A</v>
        <stp/>
        <stp>BDP|1402321539344627835</stp>
        <tr r="F1155" s="2"/>
      </tp>
      <tp t="s">
        <v>#N/A N/A</v>
        <stp/>
        <stp>BDP|7875724595215354161</stp>
        <tr r="H1096" s="2"/>
      </tp>
      <tp t="s">
        <v>#N/A N/A</v>
        <stp/>
        <stp>BDP|5331877204868917838</stp>
        <tr r="G635" s="2"/>
      </tp>
      <tp t="s">
        <v>#N/A N/A</v>
        <stp/>
        <stp>BDP|9605239499359277648</stp>
        <tr r="O220" s="2"/>
      </tp>
      <tp t="s">
        <v>#N/A N/A</v>
        <stp/>
        <stp>BDP|1450637356186316987</stp>
        <tr r="T1270" s="2"/>
      </tp>
      <tp t="s">
        <v>#N/A N/A</v>
        <stp/>
        <stp>BDP|7595499412279008647</stp>
        <tr r="F1073" s="2"/>
      </tp>
      <tp t="s">
        <v>#N/A N/A</v>
        <stp/>
        <stp>BDP|4401795740499440330</stp>
        <tr r="N1632" s="2"/>
      </tp>
      <tp t="s">
        <v>#N/A N/A</v>
        <stp/>
        <stp>BDP|8614291045934858789</stp>
        <tr r="H732" s="2"/>
      </tp>
      <tp t="s">
        <v>#N/A N/A</v>
        <stp/>
        <stp>BDP|4517272981384060792</stp>
        <tr r="T495" s="2"/>
      </tp>
      <tp t="s">
        <v>#N/A N/A</v>
        <stp/>
        <stp>BDP|9700096482708745411</stp>
        <tr r="Q1638" s="2"/>
      </tp>
      <tp t="s">
        <v>#N/A N/A</v>
        <stp/>
        <stp>BDP|6425227833142983868</stp>
        <tr r="E1515" s="2"/>
      </tp>
      <tp t="s">
        <v>#N/A N/A</v>
        <stp/>
        <stp>BDP|9948613842637633165</stp>
        <tr r="E1753" s="2"/>
      </tp>
      <tp t="s">
        <v>#N/A N/A</v>
        <stp/>
        <stp>BDP|8960085730677338180</stp>
        <tr r="R641" s="2"/>
      </tp>
      <tp t="s">
        <v>#N/A N/A</v>
        <stp/>
        <stp>BDP|7946081638448581171</stp>
        <tr r="T1010" s="2"/>
      </tp>
      <tp t="s">
        <v>#N/A N/A</v>
        <stp/>
        <stp>BDP|4986356452638413711</stp>
        <tr r="J351" s="2"/>
      </tp>
      <tp t="s">
        <v>#N/A N/A</v>
        <stp/>
        <stp>BDP|4643520277978953313</stp>
        <tr r="H1167" s="2"/>
      </tp>
      <tp t="s">
        <v>#N/A N/A</v>
        <stp/>
        <stp>BDP|2497701753665919854</stp>
        <tr r="R1646" s="2"/>
      </tp>
      <tp t="s">
        <v>#N/A N/A</v>
        <stp/>
        <stp>BDP|7391762149209778004</stp>
        <tr r="H1219" s="2"/>
      </tp>
      <tp t="s">
        <v>#N/A N/A</v>
        <stp/>
        <stp>BDP|1372897447101650109</stp>
        <tr r="E1689" s="2"/>
      </tp>
      <tp t="s">
        <v>#N/A N/A</v>
        <stp/>
        <stp>BDP|7723777183476943318</stp>
        <tr r="O680" s="2"/>
      </tp>
      <tp t="s">
        <v>#N/A N/A</v>
        <stp/>
        <stp>BDP|7646749432097969926</stp>
        <tr r="C440" s="2"/>
      </tp>
      <tp t="s">
        <v>#N/A N/A</v>
        <stp/>
        <stp>BDP|8878319203404022215</stp>
        <tr r="G137" s="2"/>
      </tp>
      <tp t="s">
        <v>#N/A N/A</v>
        <stp/>
        <stp>BDP|7031380082175772469</stp>
        <tr r="T1147" s="2"/>
      </tp>
      <tp t="s">
        <v>#N/A N/A</v>
        <stp/>
        <stp>BDP|2864559593477070450</stp>
        <tr r="C1676" s="2"/>
      </tp>
      <tp t="s">
        <v>#N/A N/A</v>
        <stp/>
        <stp>BDP|1468898636280034703</stp>
        <tr r="R1456" s="2"/>
      </tp>
      <tp t="s">
        <v>#N/A N/A</v>
        <stp/>
        <stp>BDP|8669419669942424518</stp>
        <tr r="C173" s="2"/>
      </tp>
      <tp t="s">
        <v>#N/A N/A</v>
        <stp/>
        <stp>BDP|4948891616527545788</stp>
        <tr r="C1519" s="2"/>
      </tp>
      <tp t="s">
        <v>#N/A N/A</v>
        <stp/>
        <stp>BDP|6841868427245557474</stp>
        <tr r="T632" s="2"/>
      </tp>
      <tp t="s">
        <v>#N/A N/A</v>
        <stp/>
        <stp>BDP|9586200259002345143</stp>
        <tr r="E1670" s="2"/>
      </tp>
      <tp t="s">
        <v>#N/A N/A</v>
        <stp/>
        <stp>BDP|8288433139492366007</stp>
        <tr r="N1309" s="2"/>
      </tp>
      <tp t="s">
        <v>#N/A N/A</v>
        <stp/>
        <stp>BDP|4873472092954456027</stp>
        <tr r="J790" s="2"/>
      </tp>
      <tp t="s">
        <v>#N/A N/A</v>
        <stp/>
        <stp>BDP|7998882788473316910</stp>
        <tr r="H306" s="2"/>
      </tp>
      <tp t="s">
        <v>#N/A N/A</v>
        <stp/>
        <stp>BDS|9757495255096443349</stp>
        <tr r="I129" s="2"/>
      </tp>
      <tp t="s">
        <v>#N/A N/A</v>
        <stp/>
        <stp>BDP|9489084510625292052</stp>
        <tr r="G1646" s="2"/>
      </tp>
      <tp t="s">
        <v>#N/A N/A</v>
        <stp/>
        <stp>BDP|9128889489940872434</stp>
        <tr r="A899" s="2"/>
      </tp>
      <tp t="s">
        <v>#N/A N/A</v>
        <stp/>
        <stp>BDP|8157214519444120237</stp>
        <tr r="R667" s="2"/>
      </tp>
      <tp t="s">
        <v>#N/A N/A</v>
        <stp/>
        <stp>BDP|2498080418307691993</stp>
        <tr r="T715" s="2"/>
      </tp>
      <tp t="s">
        <v>#N/A N/A</v>
        <stp/>
        <stp>BDP|7411990355072409472</stp>
        <tr r="A484" s="2"/>
      </tp>
      <tp t="s">
        <v>#N/A N/A</v>
        <stp/>
        <stp>BDP|8948350813730072746</stp>
        <tr r="M188" s="2"/>
      </tp>
      <tp t="s">
        <v>#N/A N/A</v>
        <stp/>
        <stp>BDP|7644289462039781707</stp>
        <tr r="E1079" s="2"/>
      </tp>
      <tp t="s">
        <v>#N/A N/A</v>
        <stp/>
        <stp>BDP|3661829045307382596</stp>
        <tr r="O224" s="2"/>
      </tp>
      <tp t="s">
        <v>#N/A N/A</v>
        <stp/>
        <stp>BDP|9227033502321969516</stp>
        <tr r="A926" s="2"/>
      </tp>
      <tp t="s">
        <v>#N/A N/A</v>
        <stp/>
        <stp>BDP|9917969642848740111</stp>
        <tr r="T1142" s="2"/>
      </tp>
      <tp t="s">
        <v>#N/A N/A</v>
        <stp/>
        <stp>BDP|8944832260038528341</stp>
        <tr r="H1130" s="2"/>
      </tp>
      <tp t="s">
        <v>#N/A N/A</v>
        <stp/>
        <stp>BDP|5241311887252872174</stp>
        <tr r="K1335" s="2"/>
      </tp>
      <tp t="s">
        <v>#N/A N/A</v>
        <stp/>
        <stp>BDP|8903595296380432991</stp>
        <tr r="F962" s="2"/>
      </tp>
      <tp t="s">
        <v>#N/A N/A</v>
        <stp/>
        <stp>BDP|8037369268684399463</stp>
        <tr r="H301" s="2"/>
      </tp>
      <tp t="s">
        <v>#N/A N/A</v>
        <stp/>
        <stp>BDP|4165992033610113315</stp>
        <tr r="H669" s="2"/>
      </tp>
      <tp t="s">
        <v>#N/A N/A</v>
        <stp/>
        <stp>BDP|9961247213172178541</stp>
        <tr r="F1619" s="2"/>
      </tp>
      <tp t="s">
        <v>#N/A N/A</v>
        <stp/>
        <stp>BDP|9568523178463607527</stp>
        <tr r="O1129" s="2"/>
      </tp>
      <tp t="s">
        <v>#N/A N/A</v>
        <stp/>
        <stp>BDP|5845954374945546345</stp>
        <tr r="K1131" s="2"/>
      </tp>
      <tp t="s">
        <v>#N/A N/A</v>
        <stp/>
        <stp>BDP|9296026958824679568</stp>
        <tr r="Q81" s="2"/>
      </tp>
      <tp t="s">
        <v>#N/A N/A</v>
        <stp/>
        <stp>BDP|5864120781534703548</stp>
        <tr r="A815" s="2"/>
      </tp>
      <tp t="s">
        <v>#N/A N/A</v>
        <stp/>
        <stp>BDP|3250830039610708578</stp>
        <tr r="P829" s="2"/>
      </tp>
      <tp t="s">
        <v>#N/A N/A</v>
        <stp/>
        <stp>BDP|1007971525253894420</stp>
        <tr r="T1711" s="2"/>
      </tp>
      <tp t="s">
        <v>#N/A N/A</v>
        <stp/>
        <stp>BDP|3436101363871907867</stp>
        <tr r="T788" s="2"/>
      </tp>
      <tp t="s">
        <v>#N/A N/A</v>
        <stp/>
        <stp>BDP|5308123827439695283</stp>
        <tr r="G1387" s="2"/>
      </tp>
      <tp t="s">
        <v>#N/A N/A</v>
        <stp/>
        <stp>BDP|5603898669016672082</stp>
        <tr r="E492" s="2"/>
      </tp>
      <tp t="s">
        <v>#N/A N/A</v>
        <stp/>
        <stp>BDP|9785716838507410727</stp>
        <tr r="Q335" s="2"/>
      </tp>
      <tp t="s">
        <v>#N/A N/A</v>
        <stp/>
        <stp>BDP|1663800001245689191</stp>
        <tr r="C130" s="2"/>
      </tp>
      <tp t="s">
        <v>#N/A N/A</v>
        <stp/>
        <stp>BDP|7760049151797241881</stp>
        <tr r="S370" s="2"/>
      </tp>
      <tp t="s">
        <v>#N/A N/A</v>
        <stp/>
        <stp>BDS|3989676128519810364</stp>
        <tr r="I1379" s="2"/>
      </tp>
      <tp t="s">
        <v>#N/A N/A</v>
        <stp/>
        <stp>BDP|7114917881848022391</stp>
        <tr r="O669" s="2"/>
      </tp>
      <tp t="s">
        <v>#N/A N/A</v>
        <stp/>
        <stp>BDP|6588226625169908233</stp>
        <tr r="C1453" s="2"/>
      </tp>
      <tp t="s">
        <v>#N/A N/A</v>
        <stp/>
        <stp>BDP|2699650002619159086</stp>
        <tr r="H1720" s="2"/>
      </tp>
      <tp t="s">
        <v>#N/A N/A</v>
        <stp/>
        <stp>BDP|5433988573117444132</stp>
        <tr r="R1179" s="2"/>
      </tp>
      <tp t="s">
        <v>#N/A N/A</v>
        <stp/>
        <stp>BDP|3909440740178044659</stp>
        <tr r="F1700" s="2"/>
      </tp>
      <tp t="s">
        <v>#N/A N/A</v>
        <stp/>
        <stp>BDP|8953184076997755481</stp>
        <tr r="F922" s="2"/>
      </tp>
      <tp t="s">
        <v>#N/A N/A</v>
        <stp/>
        <stp>BDP|4033490503109382415</stp>
        <tr r="N1750" s="2"/>
      </tp>
      <tp t="s">
        <v>#N/A N/A</v>
        <stp/>
        <stp>BDS|1697875629742929495</stp>
        <tr r="I1094" s="2"/>
      </tp>
      <tp t="s">
        <v>#N/A N/A</v>
        <stp/>
        <stp>BDP|4113399744087052942</stp>
        <tr r="E397" s="2"/>
      </tp>
      <tp t="s">
        <v>#N/A N/A</v>
        <stp/>
        <stp>BDP|8897982086227933374</stp>
        <tr r="S450" s="2"/>
      </tp>
      <tp t="s">
        <v>#N/A N/A</v>
        <stp/>
        <stp>BDP|5990853146427174337</stp>
        <tr r="C720" s="2"/>
      </tp>
      <tp t="s">
        <v>#N/A N/A</v>
        <stp/>
        <stp>BDP|9838199744760819152</stp>
        <tr r="M1660" s="2"/>
      </tp>
      <tp t="s">
        <v>#N/A N/A</v>
        <stp/>
        <stp>BDP|5622578734338865651</stp>
        <tr r="S142" s="2"/>
      </tp>
      <tp t="s">
        <v>#N/A N/A</v>
        <stp/>
        <stp>BDP|9789094451087758607</stp>
        <tr r="S1562" s="2"/>
      </tp>
      <tp t="s">
        <v>#N/A N/A</v>
        <stp/>
        <stp>BDP|6595974907723947140</stp>
        <tr r="N1202" s="2"/>
      </tp>
      <tp t="s">
        <v>#N/A N/A</v>
        <stp/>
        <stp>BDP|2671951335242606785</stp>
        <tr r="H1095" s="2"/>
      </tp>
      <tp t="s">
        <v>#N/A N/A</v>
        <stp/>
        <stp>BDP|8718524985448815001</stp>
        <tr r="F596" s="2"/>
      </tp>
      <tp t="s">
        <v>#N/A N/A</v>
        <stp/>
        <stp>BDP|1825979783254388970</stp>
        <tr r="N439" s="2"/>
      </tp>
      <tp t="s">
        <v>#N/A N/A</v>
        <stp/>
        <stp>BDP|8559074059729644953</stp>
        <tr r="Q1644" s="2"/>
      </tp>
      <tp t="s">
        <v>#N/A N/A</v>
        <stp/>
        <stp>BDP|9957097939677300025</stp>
        <tr r="N300" s="2"/>
      </tp>
      <tp t="s">
        <v>#N/A N/A</v>
        <stp/>
        <stp>BDP|3029394480126559342</stp>
        <tr r="C855" s="2"/>
      </tp>
      <tp t="s">
        <v>#N/A N/A</v>
        <stp/>
        <stp>BDP|4109546534096865910</stp>
        <tr r="Q955" s="2"/>
      </tp>
      <tp t="s">
        <v>#N/A N/A</v>
        <stp/>
        <stp>BDP|5890482685846848257</stp>
        <tr r="N305" s="2"/>
      </tp>
      <tp t="s">
        <v>#N/A N/A</v>
        <stp/>
        <stp>BDP|9211533573973217589</stp>
        <tr r="H922" s="2"/>
      </tp>
      <tp t="s">
        <v>#N/A N/A</v>
        <stp/>
        <stp>BDP|9953251729787547384</stp>
        <tr r="N268" s="2"/>
      </tp>
      <tp t="s">
        <v>#N/A N/A</v>
        <stp/>
        <stp>BDP|9032022010373362696</stp>
        <tr r="K827" s="2"/>
      </tp>
      <tp t="s">
        <v>#N/A N/A</v>
        <stp/>
        <stp>BDP|1567545444264857956</stp>
        <tr r="M1277" s="2"/>
      </tp>
      <tp t="s">
        <v>#N/A N/A</v>
        <stp/>
        <stp>BDP|6032638083794169198</stp>
        <tr r="R1694" s="2"/>
      </tp>
      <tp t="s">
        <v>#N/A N/A</v>
        <stp/>
        <stp>BDP|8391422290201090992</stp>
        <tr r="K794" s="2"/>
      </tp>
      <tp t="s">
        <v>#N/A N/A</v>
        <stp/>
        <stp>BDS|6446152489156774471</stp>
        <tr r="I11" s="2"/>
      </tp>
      <tp t="s">
        <v>#N/A N/A</v>
        <stp/>
        <stp>BDP|3339291305424544827</stp>
        <tr r="H651" s="2"/>
      </tp>
      <tp t="s">
        <v>#N/A N/A</v>
        <stp/>
        <stp>BDP|9888615791133581851</stp>
        <tr r="A342" s="2"/>
      </tp>
      <tp t="s">
        <v>#N/A N/A</v>
        <stp/>
        <stp>BDP|8037496670864009218</stp>
        <tr r="K85" s="2"/>
      </tp>
      <tp t="s">
        <v>#N/A N/A</v>
        <stp/>
        <stp>BDP|3483165296376839048</stp>
        <tr r="K364" s="2"/>
      </tp>
      <tp t="s">
        <v>#N/A N/A</v>
        <stp/>
        <stp>BDP|2180829320323955623</stp>
        <tr r="F952" s="2"/>
      </tp>
      <tp t="s">
        <v>#N/A N/A</v>
        <stp/>
        <stp>BDP|7459198702199700208</stp>
        <tr r="S1293" s="2"/>
      </tp>
      <tp t="s">
        <v>#N/A N/A</v>
        <stp/>
        <stp>BDP|9266110035992638488</stp>
        <tr r="E1336" s="2"/>
      </tp>
      <tp t="s">
        <v>#N/A N/A</v>
        <stp/>
        <stp>BDP|5573628384177336189</stp>
        <tr r="D470" s="2"/>
      </tp>
      <tp t="s">
        <v>#N/A N/A</v>
        <stp/>
        <stp>BDP|6018676400675961863</stp>
        <tr r="R1460" s="2"/>
      </tp>
      <tp t="s">
        <v>#N/A N/A</v>
        <stp/>
        <stp>BDP|7447582795321422750</stp>
        <tr r="K624" s="2"/>
      </tp>
      <tp t="s">
        <v>#N/A N/A</v>
        <stp/>
        <stp>BDP|9295600120350283085</stp>
        <tr r="T1448" s="2"/>
      </tp>
      <tp t="s">
        <v>#N/A N/A</v>
        <stp/>
        <stp>BDP|3911051097587472075</stp>
        <tr r="S1001" s="2"/>
      </tp>
      <tp t="s">
        <v>#N/A N/A</v>
        <stp/>
        <stp>BDP|8734232048834672728</stp>
        <tr r="S682" s="2"/>
      </tp>
      <tp t="s">
        <v>#N/A N/A</v>
        <stp/>
        <stp>BDP|9101201015222596583</stp>
        <tr r="M300" s="2"/>
      </tp>
      <tp t="s">
        <v>#N/A N/A</v>
        <stp/>
        <stp>BDP|1013291540889461347</stp>
        <tr r="N1752" s="2"/>
      </tp>
      <tp t="s">
        <v>#N/A N/A</v>
        <stp/>
        <stp>BDP|3856744603918277147</stp>
        <tr r="A102" s="2"/>
      </tp>
      <tp t="s">
        <v>#N/A N/A</v>
        <stp/>
        <stp>BDP|6534888170386200260</stp>
        <tr r="A571" s="2"/>
      </tp>
      <tp t="s">
        <v>#N/A N/A</v>
        <stp/>
        <stp>BDP|2959519354238206776</stp>
        <tr r="A276" s="2"/>
      </tp>
      <tp t="s">
        <v>#N/A N/A</v>
        <stp/>
        <stp>BDP|8827407347566095362</stp>
        <tr r="M1069" s="2"/>
      </tp>
      <tp t="s">
        <v>#N/A N/A</v>
        <stp/>
        <stp>BDP|1399310735274679887</stp>
        <tr r="S1574" s="2"/>
      </tp>
      <tp t="s">
        <v>#N/A N/A</v>
        <stp/>
        <stp>BDP|5128880305821241175</stp>
        <tr r="Q630" s="2"/>
      </tp>
      <tp t="s">
        <v>#N/A N/A</v>
        <stp/>
        <stp>BDP|6081081080643371022</stp>
        <tr r="A668" s="2"/>
      </tp>
      <tp t="s">
        <v>#N/A N/A</v>
        <stp/>
        <stp>BDP|1983451376929295613</stp>
        <tr r="K975" s="2"/>
      </tp>
      <tp t="s">
        <v>#N/A N/A</v>
        <stp/>
        <stp>BDP|9369446425742988025</stp>
        <tr r="K1676" s="2"/>
      </tp>
      <tp t="s">
        <v>#N/A N/A</v>
        <stp/>
        <stp>BDP|9156432656704883152</stp>
        <tr r="C1732" s="2"/>
      </tp>
      <tp t="s">
        <v>#N/A N/A</v>
        <stp/>
        <stp>BDP|7743161967959871471</stp>
        <tr r="C143" s="2"/>
      </tp>
      <tp t="s">
        <v>#N/A N/A</v>
        <stp/>
        <stp>BDP|9519114475956979416</stp>
        <tr r="S248" s="2"/>
      </tp>
      <tp t="s">
        <v>#N/A N/A</v>
        <stp/>
        <stp>BDP|6935079573085207967</stp>
        <tr r="N238" s="2"/>
      </tp>
      <tp t="s">
        <v>#N/A N/A</v>
        <stp/>
        <stp>BDP|6698850563276932305</stp>
        <tr r="E1750" s="2"/>
      </tp>
      <tp t="s">
        <v>#N/A N/A</v>
        <stp/>
        <stp>BDP|8608131754475083480</stp>
        <tr r="G22" s="2"/>
      </tp>
      <tp t="s">
        <v>#N/A N/A</v>
        <stp/>
        <stp>BDP|1804663181495099762</stp>
        <tr r="P746" s="2"/>
      </tp>
      <tp t="s">
        <v>#N/A N/A</v>
        <stp/>
        <stp>BDP|3820653992686527739</stp>
        <tr r="G308" s="2"/>
      </tp>
      <tp t="s">
        <v>#N/A N/A</v>
        <stp/>
        <stp>BDP|2317766971689486695</stp>
        <tr r="F1707" s="2"/>
      </tp>
      <tp t="s">
        <v>#N/A N/A</v>
        <stp/>
        <stp>BDP|7188225393484133586</stp>
        <tr r="O584" s="2"/>
      </tp>
      <tp t="s">
        <v>#N/A N/A</v>
        <stp/>
        <stp>BDP|6240025817929778393</stp>
        <tr r="R1309" s="2"/>
      </tp>
      <tp t="s">
        <v>#N/A N/A</v>
        <stp/>
        <stp>BDS|9168534071823842521</stp>
        <tr r="I452" s="2"/>
      </tp>
      <tp t="s">
        <v>#N/A N/A</v>
        <stp/>
        <stp>BDP|4224902832246188585</stp>
        <tr r="T94" s="2"/>
      </tp>
      <tp t="s">
        <v>#N/A N/A</v>
        <stp/>
        <stp>BDP|8724156185978912473</stp>
        <tr r="D521" s="2"/>
      </tp>
      <tp t="s">
        <v>#N/A N/A</v>
        <stp/>
        <stp>BDP|6934920156877343070</stp>
        <tr r="G69" s="2"/>
      </tp>
      <tp t="s">
        <v>#N/A N/A</v>
        <stp/>
        <stp>BDP|6762254979736593873</stp>
        <tr r="R108" s="2"/>
      </tp>
      <tp t="s">
        <v>#N/A N/A</v>
        <stp/>
        <stp>BDP|1194699004729690330</stp>
        <tr r="H895" s="2"/>
      </tp>
      <tp t="s">
        <v>#N/A N/A</v>
        <stp/>
        <stp>BDP|9817678228251881162</stp>
        <tr r="H1472" s="2"/>
      </tp>
      <tp t="s">
        <v>#N/A N/A</v>
        <stp/>
        <stp>BDP|6703530131859414488</stp>
        <tr r="R548" s="2"/>
      </tp>
      <tp t="s">
        <v>#N/A N/A</v>
        <stp/>
        <stp>BDP|9707944960549805220</stp>
        <tr r="F752" s="2"/>
      </tp>
      <tp t="s">
        <v>#N/A N/A</v>
        <stp/>
        <stp>BDP|3968050410046572900</stp>
        <tr r="A1599" s="2"/>
      </tp>
      <tp t="s">
        <v>#N/A N/A</v>
        <stp/>
        <stp>BDP|1897786137591694982</stp>
        <tr r="H1083" s="2"/>
      </tp>
      <tp t="s">
        <v>#N/A N/A</v>
        <stp/>
        <stp>BDP|5411792572198316052</stp>
        <tr r="R1294" s="2"/>
      </tp>
      <tp t="s">
        <v>#N/A N/A</v>
        <stp/>
        <stp>BDP|6314121625460420896</stp>
        <tr r="O1042" s="2"/>
      </tp>
      <tp t="s">
        <v>#N/A N/A</v>
        <stp/>
        <stp>BDP|3172993121272214727</stp>
        <tr r="P12" s="2"/>
      </tp>
      <tp t="s">
        <v>#N/A N/A</v>
        <stp/>
        <stp>BDP|1565912943020753191</stp>
        <tr r="P1546" s="2"/>
      </tp>
      <tp t="s">
        <v>#N/A N/A</v>
        <stp/>
        <stp>BDP|7146906190583956912</stp>
        <tr r="O779" s="2"/>
      </tp>
      <tp t="s">
        <v>#N/A N/A</v>
        <stp/>
        <stp>BDP|4967466514348283408</stp>
        <tr r="J719" s="2"/>
      </tp>
      <tp t="s">
        <v>#N/A N/A</v>
        <stp/>
        <stp>BDP|8055139531027975028</stp>
        <tr r="F1325" s="2"/>
      </tp>
      <tp t="s">
        <v>#N/A N/A</v>
        <stp/>
        <stp>BDP|5345989900353059228</stp>
        <tr r="J1299" s="2"/>
      </tp>
      <tp t="s">
        <v>#N/A N/A</v>
        <stp/>
        <stp>BDS|4334317474725953866</stp>
        <tr r="I967" s="2"/>
      </tp>
      <tp t="s">
        <v>#N/A N/A</v>
        <stp/>
        <stp>BDP|6516347998595212420</stp>
        <tr r="M1645" s="2"/>
      </tp>
      <tp t="s">
        <v>#N/A N/A</v>
        <stp/>
        <stp>BDP|9540226522773900757</stp>
        <tr r="E1343" s="2"/>
      </tp>
      <tp t="s">
        <v>#N/A N/A</v>
        <stp/>
        <stp>BDP|4815723207387200963</stp>
        <tr r="T1466" s="2"/>
      </tp>
      <tp t="s">
        <v>#N/A N/A</v>
        <stp/>
        <stp>BDP|6116438857239804349</stp>
        <tr r="N1324" s="2"/>
      </tp>
      <tp t="s">
        <v>#N/A N/A</v>
        <stp/>
        <stp>BDP|4606942839437449467</stp>
        <tr r="K26" s="2"/>
      </tp>
      <tp t="s">
        <v>#N/A N/A</v>
        <stp/>
        <stp>BDP|2355842741145717682</stp>
        <tr r="H575" s="2"/>
      </tp>
      <tp t="s">
        <v>#N/A N/A</v>
        <stp/>
        <stp>BDP|9244375746542825123</stp>
        <tr r="E516" s="2"/>
      </tp>
      <tp t="s">
        <v>#N/A N/A</v>
        <stp/>
        <stp>BDP|3408937343834895752</stp>
        <tr r="S417" s="2"/>
      </tp>
      <tp t="s">
        <v>#N/A N/A</v>
        <stp/>
        <stp>BDP|4916130839403244885</stp>
        <tr r="R102" s="2"/>
      </tp>
      <tp t="s">
        <v>#N/A N/A</v>
        <stp/>
        <stp>BDP|6519326333798946343</stp>
        <tr r="S1646" s="2"/>
      </tp>
      <tp t="s">
        <v>#N/A N/A</v>
        <stp/>
        <stp>BDP|6231947269042017662</stp>
        <tr r="T1554" s="2"/>
      </tp>
      <tp t="s">
        <v>#N/A N/A</v>
        <stp/>
        <stp>BDP|6007673720337901877</stp>
        <tr r="S532" s="2"/>
      </tp>
      <tp t="s">
        <v>#N/A N/A</v>
        <stp/>
        <stp>BDP|7348394413370370832</stp>
        <tr r="A111" s="2"/>
      </tp>
      <tp t="s">
        <v>#N/A N/A</v>
        <stp/>
        <stp>BDP|5797061388074266457</stp>
        <tr r="M1065" s="2"/>
      </tp>
      <tp t="s">
        <v>#N/A N/A</v>
        <stp/>
        <stp>BDP|5929737794982720476</stp>
        <tr r="D907" s="2"/>
      </tp>
      <tp t="s">
        <v>#N/A N/A</v>
        <stp/>
        <stp>BDP|9170758939432668255</stp>
        <tr r="D1634" s="2"/>
      </tp>
      <tp t="s">
        <v>#N/A N/A</v>
        <stp/>
        <stp>BDP|6391007076748244496</stp>
        <tr r="E1703" s="2"/>
      </tp>
      <tp t="s">
        <v>#N/A N/A</v>
        <stp/>
        <stp>BDS|2102999475441622056</stp>
        <tr r="I398" s="2"/>
      </tp>
      <tp t="s">
        <v>#N/A N/A</v>
        <stp/>
        <stp>BDP|4462848264374945333</stp>
        <tr r="A587" s="2"/>
      </tp>
      <tp t="s">
        <v>#N/A N/A</v>
        <stp/>
        <stp>BDP|1940279167010210850</stp>
        <tr r="O524" s="2"/>
      </tp>
      <tp t="s">
        <v>#N/A N/A</v>
        <stp/>
        <stp>BDP|3406294930399339608</stp>
        <tr r="A441" s="2"/>
      </tp>
      <tp t="s">
        <v>#N/A N/A</v>
        <stp/>
        <stp>BDP|5036913439463225149</stp>
        <tr r="M948" s="2"/>
      </tp>
      <tp t="s">
        <v>#N/A N/A</v>
        <stp/>
        <stp>BDP|7293123085540266396</stp>
        <tr r="P858" s="2"/>
      </tp>
      <tp t="s">
        <v>#N/A N/A</v>
        <stp/>
        <stp>BDP|5482832020556834413</stp>
        <tr r="O1665" s="2"/>
      </tp>
      <tp t="s">
        <v>#N/A N/A</v>
        <stp/>
        <stp>BDP|9359736975946959220</stp>
        <tr r="E1497" s="2"/>
      </tp>
      <tp t="s">
        <v>#N/A N/A</v>
        <stp/>
        <stp>BDP|4866625614258195616</stp>
        <tr r="R844" s="2"/>
      </tp>
      <tp t="s">
        <v>#N/A N/A</v>
        <stp/>
        <stp>BDP|7805816873454159159</stp>
        <tr r="T1349" s="2"/>
      </tp>
      <tp t="s">
        <v>#N/A N/A</v>
        <stp/>
        <stp>BDP|3988591478339023566</stp>
        <tr r="H1678" s="2"/>
      </tp>
      <tp t="s">
        <v>#N/A N/A</v>
        <stp/>
        <stp>BDP|8784306977236743796</stp>
        <tr r="H1731" s="2"/>
      </tp>
      <tp t="s">
        <v>#N/A N/A</v>
        <stp/>
        <stp>BDP|2916109145793137932</stp>
        <tr r="A754" s="2"/>
      </tp>
      <tp t="s">
        <v>#N/A N/A</v>
        <stp/>
        <stp>BDP|1802752505598168370</stp>
        <tr r="M1643" s="2"/>
      </tp>
      <tp t="s">
        <v>#N/A N/A</v>
        <stp/>
        <stp>BDP|8128286963608036940</stp>
        <tr r="T1716" s="2"/>
      </tp>
      <tp t="s">
        <v>#N/A N/A</v>
        <stp/>
        <stp>BDP|8496656418947766501</stp>
        <tr r="Q52" s="2"/>
      </tp>
      <tp t="s">
        <v>#N/A N/A</v>
        <stp/>
        <stp>BDP|9334508462520873778</stp>
        <tr r="Q601" s="2"/>
      </tp>
      <tp t="s">
        <v>#N/A N/A</v>
        <stp/>
        <stp>BDP|5099147389304653559</stp>
        <tr r="M432" s="2"/>
      </tp>
      <tp t="s">
        <v>#N/A N/A</v>
        <stp/>
        <stp>BDP|8652112921184152293</stp>
        <tr r="F385" s="2"/>
      </tp>
      <tp t="s">
        <v>#N/A N/A</v>
        <stp/>
        <stp>BDP|4623054408411374865</stp>
        <tr r="P1072" s="2"/>
      </tp>
      <tp t="s">
        <v>#N/A N/A</v>
        <stp/>
        <stp>BDP|2777851678879468908</stp>
        <tr r="F366" s="2"/>
      </tp>
      <tp t="s">
        <v>#N/A N/A</v>
        <stp/>
        <stp>BDS|1364895387458422475</stp>
        <tr r="I341" s="2"/>
      </tp>
      <tp t="s">
        <v>#N/A N/A</v>
        <stp/>
        <stp>BDP|3248586683055051674</stp>
        <tr r="D591" s="2"/>
      </tp>
      <tp t="s">
        <v>#N/A N/A</v>
        <stp/>
        <stp>BDP|5021823938233449005</stp>
        <tr r="M1496" s="2"/>
      </tp>
      <tp t="s">
        <v>#N/A N/A</v>
        <stp/>
        <stp>BDP|5959020995419002803</stp>
        <tr r="F795" s="2"/>
      </tp>
      <tp t="s">
        <v>#N/A N/A</v>
        <stp/>
        <stp>BDP|3975544097634746634</stp>
        <tr r="C1360" s="2"/>
      </tp>
      <tp t="s">
        <v>#N/A N/A</v>
        <stp/>
        <stp>BDP|1892845816964594119</stp>
        <tr r="T659" s="2"/>
      </tp>
      <tp t="s">
        <v>#N/A N/A</v>
        <stp/>
        <stp>BDP|4802770461279019106</stp>
        <tr r="C1240" s="2"/>
      </tp>
      <tp t="s">
        <v>#N/A N/A</v>
        <stp/>
        <stp>BDP|6478411206697535887</stp>
        <tr r="R513" s="2"/>
      </tp>
      <tp t="s">
        <v>#N/A N/A</v>
        <stp/>
        <stp>BDP|3447093165950694803</stp>
        <tr r="C1355" s="2"/>
      </tp>
      <tp t="s">
        <v>#N/A N/A</v>
        <stp/>
        <stp>BDP|2835037413439060762</stp>
        <tr r="S1720" s="2"/>
      </tp>
      <tp t="s">
        <v>#N/A N/A</v>
        <stp/>
        <stp>BDP|3441141029344336941</stp>
        <tr r="E1577" s="2"/>
      </tp>
      <tp t="s">
        <v>#N/A N/A</v>
        <stp/>
        <stp>BDP|4855817943164547113</stp>
        <tr r="P983" s="2"/>
      </tp>
      <tp t="s">
        <v>#N/A N/A</v>
        <stp/>
        <stp>BDP|3498274031006892940</stp>
        <tr r="J1003" s="2"/>
      </tp>
      <tp t="s">
        <v>#N/A N/A</v>
        <stp/>
        <stp>BDP|1644921370636200484</stp>
        <tr r="S1215" s="2"/>
      </tp>
      <tp t="s">
        <v>#N/A N/A</v>
        <stp/>
        <stp>BDP|4487898183798859185</stp>
        <tr r="M209" s="2"/>
      </tp>
      <tp t="s">
        <v>#N/A N/A</v>
        <stp/>
        <stp>BDP|2265851621964099180</stp>
        <tr r="F253" s="2"/>
      </tp>
      <tp t="s">
        <v>#N/A N/A</v>
        <stp/>
        <stp>BDP|7571175106108958331</stp>
        <tr r="Q1153" s="2"/>
      </tp>
      <tp t="s">
        <v>#N/A N/A</v>
        <stp/>
        <stp>BDP|9179050698305336810</stp>
        <tr r="H1495" s="2"/>
      </tp>
      <tp t="s">
        <v>#N/A N/A</v>
        <stp/>
        <stp>BDP|8919226788607844852</stp>
        <tr r="H1273" s="2"/>
      </tp>
      <tp t="s">
        <v>#N/A N/A</v>
        <stp/>
        <stp>BDP|8132730488879494304</stp>
        <tr r="H633" s="2"/>
      </tp>
      <tp t="s">
        <v>#N/A N/A</v>
        <stp/>
        <stp>BDP|3901981235231827527</stp>
        <tr r="P1744" s="2"/>
      </tp>
      <tp t="s">
        <v>#N/A N/A</v>
        <stp/>
        <stp>BDP|5856014580025020575</stp>
        <tr r="C233" s="2"/>
      </tp>
      <tp t="s">
        <v>#N/A N/A</v>
        <stp/>
        <stp>BDP|9837697687832890803</stp>
        <tr r="R1615" s="2"/>
      </tp>
      <tp t="s">
        <v>#N/A N/A</v>
        <stp/>
        <stp>BDP|1152641698813786042</stp>
        <tr r="P544" s="2"/>
      </tp>
      <tp t="s">
        <v>#N/A N/A</v>
        <stp/>
        <stp>BDP|5991863619914069583</stp>
        <tr r="K1432" s="2"/>
      </tp>
      <tp t="s">
        <v>#N/A N/A</v>
        <stp/>
        <stp>BDP|2474524908538427242</stp>
        <tr r="G1541" s="2"/>
      </tp>
      <tp t="s">
        <v>#N/A N/A</v>
        <stp/>
        <stp>BDP|9438359955532863031</stp>
        <tr r="O758" s="2"/>
      </tp>
      <tp t="s">
        <v>#N/A N/A</v>
        <stp/>
        <stp>BDP|2214112309688250678</stp>
        <tr r="F1598" s="2"/>
      </tp>
      <tp t="s">
        <v>#N/A N/A</v>
        <stp/>
        <stp>BDP|9606262709282012469</stp>
        <tr r="D50" s="2"/>
      </tp>
      <tp t="s">
        <v>#N/A N/A</v>
        <stp/>
        <stp>BDP|4859824605035239429</stp>
        <tr r="C1692" s="2"/>
      </tp>
      <tp t="s">
        <v>#N/A N/A</v>
        <stp/>
        <stp>BDP|1113234092353891474</stp>
        <tr r="K378" s="2"/>
      </tp>
      <tp t="s">
        <v>#N/A N/A</v>
        <stp/>
        <stp>BDP|8910716944086640058</stp>
        <tr r="O879" s="2"/>
      </tp>
      <tp t="s">
        <v>#N/A N/A</v>
        <stp/>
        <stp>BDP|2721290420559885695</stp>
        <tr r="N665" s="2"/>
      </tp>
      <tp t="s">
        <v>#N/A N/A</v>
        <stp/>
        <stp>BDP|2556618012131029994</stp>
        <tr r="J1657" s="2"/>
      </tp>
      <tp t="s">
        <v>#N/A N/A</v>
        <stp/>
        <stp>BDP|8212886898807973342</stp>
        <tr r="A1546" s="2"/>
      </tp>
      <tp t="s">
        <v>#N/A N/A</v>
        <stp/>
        <stp>BDP|4151108588111255144</stp>
        <tr r="J1501" s="2"/>
      </tp>
      <tp t="s">
        <v>#N/A N/A</v>
        <stp/>
        <stp>BDP|6373985128271945159</stp>
        <tr r="Q1566" s="2"/>
      </tp>
      <tp t="s">
        <v>#N/A N/A</v>
        <stp/>
        <stp>BDP|9307632849954356253</stp>
        <tr r="N78" s="2"/>
      </tp>
      <tp t="s">
        <v>#N/A N/A</v>
        <stp/>
        <stp>BDP|1216451131989150281</stp>
        <tr r="K350" s="2"/>
      </tp>
      <tp t="s">
        <v>#N/A N/A</v>
        <stp/>
        <stp>BDS|5892629480887476111</stp>
        <tr r="I1174" s="2"/>
      </tp>
      <tp t="s">
        <v>#N/A N/A</v>
        <stp/>
        <stp>BDP|2090893363251421016</stp>
        <tr r="M927" s="2"/>
      </tp>
      <tp t="s">
        <v>#N/A N/A</v>
        <stp/>
        <stp>BDP|1521511099371158139</stp>
        <tr r="F1637" s="2"/>
      </tp>
      <tp t="s">
        <v>#N/A N/A</v>
        <stp/>
        <stp>BDP|6480216813111817912</stp>
        <tr r="C1728" s="2"/>
      </tp>
      <tp t="s">
        <v>#N/A N/A</v>
        <stp/>
        <stp>BDP|4486974785758879013</stp>
        <tr r="G393" s="2"/>
      </tp>
      <tp t="s">
        <v>#N/A N/A</v>
        <stp/>
        <stp>BDP|9907655408601888334</stp>
        <tr r="R595" s="2"/>
      </tp>
      <tp t="s">
        <v>#N/A N/A</v>
        <stp/>
        <stp>BDP|6157593097220876782</stp>
        <tr r="N1665" s="2"/>
      </tp>
      <tp t="s">
        <v>#N/A N/A</v>
        <stp/>
        <stp>BDP|6205750942981218989</stp>
        <tr r="G1283" s="2"/>
      </tp>
      <tp t="s">
        <v>#N/A N/A</v>
        <stp/>
        <stp>BDP|5311604783245948362</stp>
        <tr r="K1313" s="2"/>
      </tp>
      <tp t="s">
        <v>#N/A N/A</v>
        <stp/>
        <stp>BDP|5745936111522264281</stp>
        <tr r="M761" s="2"/>
      </tp>
      <tp t="s">
        <v>#N/A N/A</v>
        <stp/>
        <stp>BDP|9596166529946104146</stp>
        <tr r="T22" s="2"/>
      </tp>
      <tp t="s">
        <v>#N/A N/A</v>
        <stp/>
        <stp>BDP|7925192659189325753</stp>
        <tr r="C550" s="2"/>
      </tp>
      <tp t="s">
        <v>#N/A N/A</v>
        <stp/>
        <stp>BDP|1370981973205672713</stp>
        <tr r="M739" s="2"/>
      </tp>
      <tp t="s">
        <v>#N/A N/A</v>
        <stp/>
        <stp>BDP|9112841429109052737</stp>
        <tr r="P154" s="2"/>
      </tp>
      <tp t="s">
        <v>#N/A N/A</v>
        <stp/>
        <stp>BDP|1727117254201460992</stp>
        <tr r="N962" s="2"/>
      </tp>
      <tp t="s">
        <v>#N/A N/A</v>
        <stp/>
        <stp>BDP|5825919736651496347</stp>
        <tr r="H356" s="2"/>
      </tp>
      <tp t="s">
        <v>#N/A N/A</v>
        <stp/>
        <stp>BDP|8823009840264780502</stp>
        <tr r="J1417" s="2"/>
      </tp>
      <tp t="s">
        <v>#N/A N/A</v>
        <stp/>
        <stp>BDP|6901472675560129856</stp>
        <tr r="Q1093" s="2"/>
      </tp>
      <tp t="s">
        <v>#N/A N/A</v>
        <stp/>
        <stp>BDP|6847526166159616150</stp>
        <tr r="N546" s="2"/>
      </tp>
      <tp t="s">
        <v>#N/A N/A</v>
        <stp/>
        <stp>BDP|3112914616752987408</stp>
        <tr r="J925" s="2"/>
      </tp>
      <tp t="s">
        <v>#N/A N/A</v>
        <stp/>
        <stp>BDP|4252203199552647025</stp>
        <tr r="D197" s="2"/>
      </tp>
      <tp t="s">
        <v>#N/A N/A</v>
        <stp/>
        <stp>BDP|4500172492107906661</stp>
        <tr r="E769" s="2"/>
      </tp>
      <tp t="s">
        <v>#N/A N/A</v>
        <stp/>
        <stp>BDP|9241994837907336908</stp>
        <tr r="R1727" s="2"/>
      </tp>
      <tp t="s">
        <v>#N/A N/A</v>
        <stp/>
        <stp>BDP|9890520543871507434</stp>
        <tr r="G300" s="2"/>
      </tp>
      <tp t="s">
        <v>#N/A N/A</v>
        <stp/>
        <stp>BDP|9833612503924684635</stp>
        <tr r="F1663" s="2"/>
      </tp>
      <tp t="s">
        <v>#N/A N/A</v>
        <stp/>
        <stp>BDP|9145463712059935831</stp>
        <tr r="R5" s="2"/>
      </tp>
      <tp t="s">
        <v>#N/A N/A</v>
        <stp/>
        <stp>BDP|4031386728449806175</stp>
        <tr r="J115" s="2"/>
      </tp>
      <tp t="s">
        <v>#N/A N/A</v>
        <stp/>
        <stp>BDP|8714187245952636238</stp>
        <tr r="S1288" s="2"/>
      </tp>
      <tp t="s">
        <v>#N/A N/A</v>
        <stp/>
        <stp>BDP|4691614212708991634</stp>
        <tr r="E1193" s="2"/>
      </tp>
      <tp t="s">
        <v>#N/A N/A</v>
        <stp/>
        <stp>BDP|3949833590877194841</stp>
        <tr r="C517" s="2"/>
      </tp>
      <tp t="s">
        <v>#N/A N/A</v>
        <stp/>
        <stp>BDP|2912180048359634307</stp>
        <tr r="D1088" s="2"/>
      </tp>
      <tp t="s">
        <v>#N/A N/A</v>
        <stp/>
        <stp>BDS|8310511783680873864</stp>
        <tr r="I1569" s="2"/>
      </tp>
      <tp t="s">
        <v>#N/A N/A</v>
        <stp/>
        <stp>BDP|3623192189323339499</stp>
        <tr r="R1729" s="2"/>
      </tp>
      <tp t="s">
        <v>#N/A N/A</v>
        <stp/>
        <stp>BDP|1863682462578603489</stp>
        <tr r="J268" s="2"/>
      </tp>
      <tp t="s">
        <v>#N/A N/A</v>
        <stp/>
        <stp>BDP|3355788807818641169</stp>
        <tr r="A87" s="2"/>
      </tp>
      <tp t="s">
        <v>#N/A N/A</v>
        <stp/>
        <stp>BDS|6318757448428706059</stp>
        <tr r="I91" s="2"/>
      </tp>
      <tp t="s">
        <v>#N/A N/A</v>
        <stp/>
        <stp>BDP|9531567907761837008</stp>
        <tr r="D893" s="2"/>
      </tp>
      <tp t="s">
        <v>#N/A N/A</v>
        <stp/>
        <stp>BDP|6609126808832956890</stp>
        <tr r="A1636" s="2"/>
      </tp>
      <tp t="s">
        <v>#N/A N/A</v>
        <stp/>
        <stp>BDP|8575548072082919565</stp>
        <tr r="H1048" s="2"/>
      </tp>
      <tp t="s">
        <v>#N/A N/A</v>
        <stp/>
        <stp>BDP|4032893495368895081</stp>
        <tr r="D1082" s="2"/>
      </tp>
      <tp t="s">
        <v>#N/A N/A</v>
        <stp/>
        <stp>BDP|6445980662366453269</stp>
        <tr r="H181" s="2"/>
      </tp>
      <tp t="s">
        <v>#N/A N/A</v>
        <stp/>
        <stp>BDP|7593588620758790564</stp>
        <tr r="C1041" s="2"/>
      </tp>
      <tp t="s">
        <v>#N/A N/A</v>
        <stp/>
        <stp>BDP|8233909729378033671</stp>
        <tr r="J1540" s="2"/>
      </tp>
      <tp t="s">
        <v>#N/A N/A</v>
        <stp/>
        <stp>BDP|3043028454162853923</stp>
        <tr r="C313" s="2"/>
      </tp>
      <tp t="s">
        <v>#N/A N/A</v>
        <stp/>
        <stp>BDP|8638469414156083688</stp>
        <tr r="Q1553" s="2"/>
      </tp>
      <tp t="s">
        <v>#N/A N/A</v>
        <stp/>
        <stp>BDP|3870215823947597939</stp>
        <tr r="T10" s="2"/>
      </tp>
      <tp t="s">
        <v>#N/A N/A</v>
        <stp/>
        <stp>BDP|9442387457312220058</stp>
        <tr r="M834" s="2"/>
      </tp>
      <tp t="s">
        <v>#N/A N/A</v>
        <stp/>
        <stp>BDP|9395822690533861652</stp>
        <tr r="D1045" s="2"/>
      </tp>
      <tp t="s">
        <v>#N/A N/A</v>
        <stp/>
        <stp>BDP|2683096714409367746</stp>
        <tr r="E70" s="2"/>
      </tp>
      <tp t="s">
        <v>#N/A N/A</v>
        <stp/>
        <stp>BDP|7656790008364288994</stp>
        <tr r="D572" s="2"/>
      </tp>
      <tp t="s">
        <v>#N/A N/A</v>
        <stp/>
        <stp>BDP|6857351412890001936</stp>
        <tr r="G362" s="2"/>
      </tp>
      <tp t="s">
        <v>#N/A N/A</v>
        <stp/>
        <stp>BDP|8520108627425625381</stp>
        <tr r="C168" s="2"/>
      </tp>
      <tp t="s">
        <v>#N/A N/A</v>
        <stp/>
        <stp>BDP|3771378120877534899</stp>
        <tr r="G648" s="2"/>
      </tp>
      <tp t="s">
        <v>#N/A N/A</v>
        <stp/>
        <stp>BDP|9563170467943066095</stp>
        <tr r="D1083" s="2"/>
      </tp>
      <tp t="s">
        <v>#N/A N/A</v>
        <stp/>
        <stp>BDP|3951654330949040203</stp>
        <tr r="D978" s="2"/>
      </tp>
      <tp t="s">
        <v>#N/A N/A</v>
        <stp/>
        <stp>BDP|8183637023046494798</stp>
        <tr r="C319" s="2"/>
      </tp>
      <tp t="s">
        <v>#N/A N/A</v>
        <stp/>
        <stp>BDP|1574984944021791024</stp>
        <tr r="D1461" s="2"/>
      </tp>
      <tp t="s">
        <v>#N/A N/A</v>
        <stp/>
        <stp>BDP|3930657965417763928</stp>
        <tr r="D98" s="2"/>
      </tp>
      <tp t="s">
        <v>#N/A N/A</v>
        <stp/>
        <stp>BDP|4970934625941029336</stp>
        <tr r="G314" s="2"/>
      </tp>
      <tp t="s">
        <v>#N/A N/A</v>
        <stp/>
        <stp>BDP|1374446633779112296</stp>
        <tr r="D693" s="2"/>
      </tp>
      <tp t="s">
        <v>#N/A N/A</v>
        <stp/>
        <stp>BDP|9866179069862357193</stp>
        <tr r="P1437" s="2"/>
      </tp>
      <tp t="s">
        <v>#N/A N/A</v>
        <stp/>
        <stp>BDP|9863206103637040173</stp>
        <tr r="A370" s="2"/>
      </tp>
      <tp t="s">
        <v>#N/A N/A</v>
        <stp/>
        <stp>BDP|8963383878175430416</stp>
        <tr r="Q817" s="2"/>
      </tp>
      <tp t="s">
        <v>#N/A N/A</v>
        <stp/>
        <stp>BDP|5127743904149867657</stp>
        <tr r="F1139" s="2"/>
      </tp>
      <tp t="s">
        <v>#N/A N/A</v>
        <stp/>
        <stp>BDP|1746379897380266698</stp>
        <tr r="A644" s="2"/>
      </tp>
      <tp t="s">
        <v>#N/A N/A</v>
        <stp/>
        <stp>BDP|3540731899021537166</stp>
        <tr r="F223" s="2"/>
      </tp>
      <tp t="s">
        <v>#N/A N/A</v>
        <stp/>
        <stp>BDP|2878434707009527251</stp>
        <tr r="M1355" s="2"/>
      </tp>
      <tp t="s">
        <v>#N/A N/A</v>
        <stp/>
        <stp>BDP|8276111640677733780</stp>
        <tr r="N898" s="2"/>
      </tp>
      <tp t="s">
        <v>#N/A N/A</v>
        <stp/>
        <stp>BDP|8416730121447314797</stp>
        <tr r="D560" s="2"/>
      </tp>
      <tp t="s">
        <v>#N/A N/A</v>
        <stp/>
        <stp>BDP|6514883102254274715</stp>
        <tr r="P1381" s="2"/>
      </tp>
      <tp t="s">
        <v>#N/A N/A</v>
        <stp/>
        <stp>BDP|3412774421349971273</stp>
        <tr r="T1112" s="2"/>
      </tp>
      <tp t="s">
        <v>#N/A N/A</v>
        <stp/>
        <stp>BDP|9067250347040653281</stp>
        <tr r="K1559" s="2"/>
      </tp>
      <tp t="s">
        <v>#N/A N/A</v>
        <stp/>
        <stp>BDP|3545795652788274403</stp>
        <tr r="D700" s="2"/>
      </tp>
      <tp t="s">
        <v>#N/A N/A</v>
        <stp/>
        <stp>BDP|6396509888554604217</stp>
        <tr r="S1368" s="2"/>
      </tp>
      <tp t="s">
        <v>#N/A N/A</v>
        <stp/>
        <stp>BDP|5213863992098978137</stp>
        <tr r="A194" s="2"/>
      </tp>
      <tp t="s">
        <v>#N/A N/A</v>
        <stp/>
        <stp>BDP|6305601881896893365</stp>
        <tr r="O1480" s="2"/>
      </tp>
      <tp t="s">
        <v>#N/A N/A</v>
        <stp/>
        <stp>BDP|9211732520017944642</stp>
        <tr r="C325" s="2"/>
      </tp>
      <tp t="s">
        <v>#N/A N/A</v>
        <stp/>
        <stp>BDP|1089831259291280046</stp>
        <tr r="C1534" s="2"/>
      </tp>
      <tp t="s">
        <v>#N/A N/A</v>
        <stp/>
        <stp>BDS|8825765196483015844</stp>
        <tr r="I290" s="2"/>
      </tp>
      <tp t="s">
        <v>#N/A N/A</v>
        <stp/>
        <stp>BDP|9606367669779616836</stp>
        <tr r="A1500" s="2"/>
      </tp>
      <tp t="s">
        <v>#N/A N/A</v>
        <stp/>
        <stp>BDP|9246707425877856639</stp>
        <tr r="G1459" s="2"/>
      </tp>
      <tp t="s">
        <v>#N/A N/A</v>
        <stp/>
        <stp>BDP|2562147780996982047</stp>
        <tr r="C1567" s="2"/>
      </tp>
      <tp t="s">
        <v>#N/A N/A</v>
        <stp/>
        <stp>BDP|6596529581992372499</stp>
        <tr r="Q253" s="2"/>
      </tp>
      <tp t="s">
        <v>#N/A N/A</v>
        <stp/>
        <stp>BDP|8957341233381773456</stp>
        <tr r="R1425" s="2"/>
      </tp>
      <tp t="s">
        <v>#N/A N/A</v>
        <stp/>
        <stp>BDP|1054643391487844410</stp>
        <tr r="F1521" s="2"/>
      </tp>
      <tp t="s">
        <v>#N/A N/A</v>
        <stp/>
        <stp>BDP|5862540843698078131</stp>
        <tr r="P480" s="2"/>
      </tp>
      <tp t="s">
        <v>#N/A N/A</v>
        <stp/>
        <stp>BDP|2625926371562817308</stp>
        <tr r="P93" s="2"/>
      </tp>
      <tp t="s">
        <v>#N/A N/A</v>
        <stp/>
        <stp>BDP|8903204690766429809</stp>
        <tr r="M294" s="2"/>
      </tp>
      <tp t="s">
        <v>#N/A N/A</v>
        <stp/>
        <stp>BDP|5199144159394575842</stp>
        <tr r="C677" s="2"/>
      </tp>
      <tp t="s">
        <v>#N/A N/A</v>
        <stp/>
        <stp>BDP|2663999523792639670</stp>
        <tr r="O1389" s="2"/>
      </tp>
      <tp t="s">
        <v>#N/A N/A</v>
        <stp/>
        <stp>BDP|9572618402542334082</stp>
        <tr r="H1122" s="2"/>
      </tp>
      <tp t="s">
        <v>#N/A N/A</v>
        <stp/>
        <stp>BDS|4916379603312860885</stp>
        <tr r="I1185" s="2"/>
      </tp>
      <tp t="s">
        <v>#N/A N/A</v>
        <stp/>
        <stp>BDP|4418327444937970963</stp>
        <tr r="O634" s="2"/>
      </tp>
      <tp t="s">
        <v>#N/A N/A</v>
        <stp/>
        <stp>BDP|6446602858120747868</stp>
        <tr r="D933" s="2"/>
      </tp>
      <tp t="s">
        <v>#N/A N/A</v>
        <stp/>
        <stp>BDP|7250833274231984416</stp>
        <tr r="N796" s="2"/>
      </tp>
      <tp t="s">
        <v>#N/A N/A</v>
        <stp/>
        <stp>BDP|5322681673819553004</stp>
        <tr r="E1378" s="2"/>
      </tp>
      <tp t="s">
        <v>#N/A N/A</v>
        <stp/>
        <stp>BDP|5895771689020337781</stp>
        <tr r="G307" s="2"/>
      </tp>
      <tp t="s">
        <v>#N/A N/A</v>
        <stp/>
        <stp>BDP|2836917253646100568</stp>
        <tr r="J618" s="2"/>
      </tp>
      <tp t="s">
        <v>#N/A N/A</v>
        <stp/>
        <stp>BDP|1487247371640571994</stp>
        <tr r="O288" s="2"/>
      </tp>
      <tp t="s">
        <v>#N/A N/A</v>
        <stp/>
        <stp>BDP|4010598892053649600</stp>
        <tr r="T694" s="2"/>
      </tp>
      <tp t="s">
        <v>#N/A N/A</v>
        <stp/>
        <stp>BDP|4694018476518516698</stp>
        <tr r="A1201" s="2"/>
      </tp>
      <tp t="s">
        <v>#N/A N/A</v>
        <stp/>
        <stp>BDP|1931562712130758878</stp>
        <tr r="S406" s="2"/>
      </tp>
      <tp t="s">
        <v>#N/A N/A</v>
        <stp/>
        <stp>BDP|3763993165395428428</stp>
        <tr r="F372" s="2"/>
      </tp>
      <tp t="s">
        <v>#N/A N/A</v>
        <stp/>
        <stp>BDP|9936072739014864328</stp>
        <tr r="C1557" s="2"/>
      </tp>
      <tp t="s">
        <v>#N/A N/A</v>
        <stp/>
        <stp>BDP|1993545088364192599</stp>
        <tr r="N1000" s="2"/>
      </tp>
      <tp t="s">
        <v>#N/A N/A</v>
        <stp/>
        <stp>BDP|1326071244970951840</stp>
        <tr r="C1231" s="2"/>
      </tp>
      <tp t="s">
        <v>#N/A N/A</v>
        <stp/>
        <stp>BDP|1839823757436532758</stp>
        <tr r="R168" s="2"/>
      </tp>
      <tp t="s">
        <v>#N/A N/A</v>
        <stp/>
        <stp>BDP|3477841378851437013</stp>
        <tr r="A967" s="2"/>
      </tp>
      <tp t="s">
        <v>#N/A N/A</v>
        <stp/>
        <stp>BDP|4207448683740172596</stp>
        <tr r="E436" s="2"/>
      </tp>
      <tp t="s">
        <v>#N/A N/A</v>
        <stp/>
        <stp>BDS|8970773643974590259</stp>
        <tr r="I68" s="2"/>
      </tp>
      <tp t="s">
        <v>#N/A N/A</v>
        <stp/>
        <stp>BDP|4292660697917741195</stp>
        <tr r="C65" s="2"/>
      </tp>
      <tp t="s">
        <v>#N/A N/A</v>
        <stp/>
        <stp>BDP|8371765714260476386</stp>
        <tr r="F747" s="2"/>
      </tp>
      <tp t="s">
        <v>#N/A N/A</v>
        <stp/>
        <stp>BDP|3461000616129927664</stp>
        <tr r="T881" s="2"/>
      </tp>
      <tp t="s">
        <v>#N/A N/A</v>
        <stp/>
        <stp>BDP|9830571137676450411</stp>
        <tr r="J1694" s="2"/>
      </tp>
      <tp t="s">
        <v>#N/A N/A</v>
        <stp/>
        <stp>BDP|5448822840015330185</stp>
        <tr r="E58" s="2"/>
      </tp>
      <tp t="s">
        <v>#N/A N/A</v>
        <stp/>
        <stp>BDP|6600757550681941875</stp>
        <tr r="S929" s="2"/>
      </tp>
      <tp t="s">
        <v>#N/A N/A</v>
        <stp/>
        <stp>BDP|7211209933662562998</stp>
        <tr r="C802" s="2"/>
      </tp>
      <tp t="s">
        <v>#N/A N/A</v>
        <stp/>
        <stp>BDP|5899381696340881233</stp>
        <tr r="S185" s="2"/>
      </tp>
      <tp t="s">
        <v>#N/A N/A</v>
        <stp/>
        <stp>BDP|9734377150617955544</stp>
        <tr r="R536" s="2"/>
      </tp>
      <tp t="s">
        <v>#N/A N/A</v>
        <stp/>
        <stp>BDP|2744883582919192614</stp>
        <tr r="H1190" s="2"/>
      </tp>
      <tp t="s">
        <v>#N/A N/A</v>
        <stp/>
        <stp>BDP|7870400406477541964</stp>
        <tr r="O434" s="2"/>
      </tp>
      <tp t="s">
        <v>#N/A N/A</v>
        <stp/>
        <stp>BDP|1978735489720837365</stp>
        <tr r="H803" s="2"/>
      </tp>
      <tp t="s">
        <v>#N/A N/A</v>
        <stp/>
        <stp>BDP|5292319962159458486</stp>
        <tr r="G1014" s="2"/>
      </tp>
      <tp t="s">
        <v>#N/A N/A</v>
        <stp/>
        <stp>BDP|2230986354001644253</stp>
        <tr r="F1123" s="2"/>
      </tp>
      <tp t="s">
        <v>#N/A N/A</v>
        <stp/>
        <stp>BDP|2944519689863513196</stp>
        <tr r="Q1094" s="2"/>
      </tp>
      <tp t="s">
        <v>#N/A N/A</v>
        <stp/>
        <stp>BDP|6489889750897486153</stp>
        <tr r="C641" s="2"/>
      </tp>
      <tp t="s">
        <v>#N/A N/A</v>
        <stp/>
        <stp>BDP|8096021424415982226</stp>
        <tr r="O1047" s="2"/>
      </tp>
      <tp t="s">
        <v>#N/A N/A</v>
        <stp/>
        <stp>BDP|9660626406163713182</stp>
        <tr r="K217" s="2"/>
      </tp>
      <tp t="s">
        <v>#N/A N/A</v>
        <stp/>
        <stp>BDP|4024627698953675519</stp>
        <tr r="R1099" s="2"/>
      </tp>
      <tp t="s">
        <v>#N/A N/A</v>
        <stp/>
        <stp>BDP|4968678537874623826</stp>
        <tr r="C1745" s="2"/>
      </tp>
      <tp t="s">
        <v>#N/A N/A</v>
        <stp/>
        <stp>BDP|1819516556619048520</stp>
        <tr r="D1146" s="2"/>
      </tp>
      <tp t="s">
        <v>#N/A N/A</v>
        <stp/>
        <stp>BDP|9302085614026180339</stp>
        <tr r="M757" s="2"/>
      </tp>
      <tp t="s">
        <v>#N/A N/A</v>
        <stp/>
        <stp>BDP|8109399334046689375</stp>
        <tr r="M504" s="2"/>
      </tp>
      <tp t="s">
        <v>#N/A N/A</v>
        <stp/>
        <stp>BDP|6484257049108434519</stp>
        <tr r="Q185" s="2"/>
      </tp>
      <tp t="s">
        <v>#N/A N/A</v>
        <stp/>
        <stp>BDP|5247927251752962656</stp>
        <tr r="S867" s="2"/>
      </tp>
      <tp t="s">
        <v>#N/A N/A</v>
        <stp/>
        <stp>BDP|8728628154330556698</stp>
        <tr r="D1089" s="2"/>
      </tp>
      <tp t="s">
        <v>#N/A N/A</v>
        <stp/>
        <stp>BDP|5372625053272651992</stp>
        <tr r="C419" s="2"/>
      </tp>
      <tp t="s">
        <v>#N/A N/A</v>
        <stp/>
        <stp>BDP|3704827094086850944</stp>
        <tr r="S226" s="2"/>
      </tp>
      <tp t="s">
        <v>#N/A N/A</v>
        <stp/>
        <stp>BDP|8130556548713378723</stp>
        <tr r="J630" s="2"/>
      </tp>
      <tp t="s">
        <v>#N/A N/A</v>
        <stp/>
        <stp>BDP|1010631649258137698</stp>
        <tr r="F1717" s="2"/>
      </tp>
      <tp t="s">
        <v>#N/A N/A</v>
        <stp/>
        <stp>BDP|7413935530056797624</stp>
        <tr r="E950" s="2"/>
      </tp>
      <tp t="s">
        <v>#N/A N/A</v>
        <stp/>
        <stp>BDP|3797111077138383008</stp>
        <tr r="M1393" s="2"/>
      </tp>
      <tp t="s">
        <v>#N/A N/A</v>
        <stp/>
        <stp>BDP|5442073158839070491</stp>
        <tr r="N16" s="2"/>
      </tp>
      <tp t="s">
        <v>#N/A N/A</v>
        <stp/>
        <stp>BDP|9006063003712696614</stp>
        <tr r="D35" s="2"/>
      </tp>
      <tp t="s">
        <v>#N/A N/A</v>
        <stp/>
        <stp>BDP|2883103091386884139</stp>
        <tr r="A423" s="2"/>
      </tp>
      <tp t="s">
        <v>#N/A N/A</v>
        <stp/>
        <stp>BDP|1986370978051513910</stp>
        <tr r="K751" s="2"/>
      </tp>
      <tp t="s">
        <v>#N/A N/A</v>
        <stp/>
        <stp>BDP|6808855379723120779</stp>
        <tr r="P13" s="2"/>
      </tp>
      <tp t="s">
        <v>#N/A N/A</v>
        <stp/>
        <stp>BDP|7954808768015406175</stp>
        <tr r="E651" s="2"/>
      </tp>
      <tp t="s">
        <v>#N/A N/A</v>
        <stp/>
        <stp>BDP|4145439230619404743</stp>
        <tr r="A1409" s="2"/>
      </tp>
      <tp t="s">
        <v>#N/A N/A</v>
        <stp/>
        <stp>BDP|6014967257011264618</stp>
        <tr r="E408" s="2"/>
      </tp>
      <tp t="s">
        <v>#N/A N/A</v>
        <stp/>
        <stp>BDP|2374258264432558956</stp>
        <tr r="F713" s="2"/>
      </tp>
      <tp t="s">
        <v>#N/A N/A</v>
        <stp/>
        <stp>BDP|6792100710369630232</stp>
        <tr r="O423" s="2"/>
      </tp>
      <tp t="s">
        <v>#N/A N/A</v>
        <stp/>
        <stp>BDP|8686127426482172417</stp>
        <tr r="J545" s="2"/>
      </tp>
      <tp t="s">
        <v>#N/A N/A</v>
        <stp/>
        <stp>BDP|8715057670946454440</stp>
        <tr r="C1269" s="2"/>
      </tp>
      <tp t="s">
        <v>#N/A N/A</v>
        <stp/>
        <stp>BDS|6971177179885713820</stp>
        <tr r="I1710" s="2"/>
      </tp>
      <tp t="s">
        <v>#N/A N/A</v>
        <stp/>
        <stp>BDP|8710759529592949204</stp>
        <tr r="P201" s="2"/>
      </tp>
      <tp t="s">
        <v>#N/A N/A</v>
        <stp/>
        <stp>BDP|4110803344607715208</stp>
        <tr r="T1611" s="2"/>
      </tp>
      <tp t="s">
        <v>#N/A N/A</v>
        <stp/>
        <stp>BDP|7908669388574740025</stp>
        <tr r="A512" s="2"/>
      </tp>
      <tp t="s">
        <v>#N/A N/A</v>
        <stp/>
        <stp>BDP|6047868170102098649</stp>
        <tr r="Q1634" s="2"/>
      </tp>
      <tp t="s">
        <v>#N/A N/A</v>
        <stp/>
        <stp>BDP|3094725125582732927</stp>
        <tr r="G1028" s="2"/>
      </tp>
      <tp t="s">
        <v>#N/A N/A</v>
        <stp/>
        <stp>BDP|5378525520427185823</stp>
        <tr r="R1524" s="2"/>
      </tp>
      <tp t="s">
        <v>#N/A N/A</v>
        <stp/>
        <stp>BDP|6128316891991322002</stp>
        <tr r="G1340" s="2"/>
      </tp>
      <tp t="s">
        <v>#N/A N/A</v>
        <stp/>
        <stp>BDP|4515758296410731732</stp>
        <tr r="S389" s="2"/>
      </tp>
      <tp t="s">
        <v>#N/A N/A</v>
        <stp/>
        <stp>BDP|9511026205891237520</stp>
        <tr r="R1548" s="2"/>
      </tp>
      <tp t="s">
        <v>#N/A N/A</v>
        <stp/>
        <stp>BDP|1885952926336936106</stp>
        <tr r="K265" s="2"/>
      </tp>
      <tp t="s">
        <v>#N/A N/A</v>
        <stp/>
        <stp>BDP|7658332866988651777</stp>
        <tr r="K625" s="2"/>
      </tp>
      <tp t="s">
        <v>#N/A N/A</v>
        <stp/>
        <stp>BDP|8412527561871126743</stp>
        <tr r="M772" s="2"/>
      </tp>
      <tp t="s">
        <v>#N/A N/A</v>
        <stp/>
        <stp>BDP|8809217534121919568</stp>
        <tr r="P95" s="2"/>
      </tp>
      <tp t="s">
        <v>#N/A N/A</v>
        <stp/>
        <stp>BDP|7119775608535491887</stp>
        <tr r="T1012" s="2"/>
      </tp>
      <tp t="s">
        <v>#N/A N/A</v>
        <stp/>
        <stp>BDS|9661261966925304572</stp>
        <tr r="I1137" s="2"/>
      </tp>
      <tp t="s">
        <v>#N/A N/A</v>
        <stp/>
        <stp>BDP|2642596535839851001</stp>
        <tr r="K155" s="2"/>
      </tp>
      <tp t="s">
        <v>#N/A N/A</v>
        <stp/>
        <stp>BDP|6884437495554509294</stp>
        <tr r="G673" s="2"/>
      </tp>
      <tp t="s">
        <v>#N/A N/A</v>
        <stp/>
        <stp>BDP|2761208461953309879</stp>
        <tr r="O315" s="2"/>
      </tp>
      <tp t="s">
        <v>#N/A N/A</v>
        <stp/>
        <stp>BDP|5011559077692631863</stp>
        <tr r="M1169" s="2"/>
      </tp>
      <tp t="s">
        <v>#N/A N/A</v>
        <stp/>
        <stp>BDP|7000775358359543183</stp>
        <tr r="A42" s="2"/>
      </tp>
      <tp t="s">
        <v>#N/A N/A</v>
        <stp/>
        <stp>BDP|7257123341459171625</stp>
        <tr r="E1086" s="2"/>
      </tp>
      <tp t="s">
        <v>#N/A N/A</v>
        <stp/>
        <stp>BDP|2991350908979727512</stp>
        <tr r="Q451" s="2"/>
      </tp>
      <tp t="s">
        <v>#N/A N/A</v>
        <stp/>
        <stp>BDP|2193944141833368153</stp>
        <tr r="G1201" s="2"/>
      </tp>
      <tp t="s">
        <v>#N/A N/A</v>
        <stp/>
        <stp>BDP|5039303140169663644</stp>
        <tr r="K1380" s="2"/>
      </tp>
      <tp t="s">
        <v>#N/A N/A</v>
        <stp/>
        <stp>BDP|4869494951938518079</stp>
        <tr r="P619" s="2"/>
      </tp>
      <tp t="s">
        <v>#N/A N/A</v>
        <stp/>
        <stp>BDP|8467231047080774353</stp>
        <tr r="T912" s="2"/>
      </tp>
      <tp t="s">
        <v>#N/A N/A</v>
        <stp/>
        <stp>BDP|7225216191131161011</stp>
        <tr r="F646" s="2"/>
      </tp>
      <tp t="s">
        <v>#N/A N/A</v>
        <stp/>
        <stp>BDP|2460416917729336336</stp>
        <tr r="J609" s="2"/>
      </tp>
      <tp t="s">
        <v>#N/A N/A</v>
        <stp/>
        <stp>BDP|6449190618533763805</stp>
        <tr r="S865" s="2"/>
      </tp>
      <tp t="s">
        <v>#N/A N/A</v>
        <stp/>
        <stp>BDP|1348743442179101664</stp>
        <tr r="R53" s="2"/>
      </tp>
      <tp t="s">
        <v>#N/A N/A</v>
        <stp/>
        <stp>BDP|8651691832014662490</stp>
        <tr r="R1576" s="2"/>
      </tp>
      <tp t="s">
        <v>#N/A N/A</v>
        <stp/>
        <stp>BDP|8232659675905452143</stp>
        <tr r="J1096" s="2"/>
      </tp>
      <tp t="s">
        <v>#N/A N/A</v>
        <stp/>
        <stp>BDP|7379101677065001962</stp>
        <tr r="D120" s="2"/>
      </tp>
      <tp t="s">
        <v>#N/A N/A</v>
        <stp/>
        <stp>BDP|1977983631276721053</stp>
        <tr r="P670" s="2"/>
      </tp>
      <tp t="s">
        <v>#N/A N/A</v>
        <stp/>
        <stp>BDP|4057735557639781219</stp>
        <tr r="F525" s="2"/>
      </tp>
      <tp t="s">
        <v>#N/A N/A</v>
        <stp/>
        <stp>BDP|8151184678207516465</stp>
        <tr r="P278" s="2"/>
      </tp>
      <tp t="s">
        <v>#N/A N/A</v>
        <stp/>
        <stp>BDP|7365565449538890368</stp>
        <tr r="J226" s="2"/>
      </tp>
      <tp t="s">
        <v>#N/A N/A</v>
        <stp/>
        <stp>BDP|2360835184247726814</stp>
        <tr r="D525" s="2"/>
      </tp>
      <tp t="s">
        <v>#N/A N/A</v>
        <stp/>
        <stp>BDP|5191718393045545342</stp>
        <tr r="D752" s="2"/>
      </tp>
      <tp t="s">
        <v>#N/A N/A</v>
        <stp/>
        <stp>BDP|8532761127786339650</stp>
        <tr r="R292" s="2"/>
      </tp>
      <tp t="s">
        <v>#N/A N/A</v>
        <stp/>
        <stp>BDP|3520873810357741070</stp>
        <tr r="R1230" s="2"/>
      </tp>
      <tp t="s">
        <v>#N/A N/A</v>
        <stp/>
        <stp>BDP|8609369990826712949</stp>
        <tr r="R1329" s="2"/>
      </tp>
      <tp t="s">
        <v>#N/A N/A</v>
        <stp/>
        <stp>BDP|4047651776580190810</stp>
        <tr r="P1618" s="2"/>
      </tp>
      <tp t="s">
        <v>#N/A N/A</v>
        <stp/>
        <stp>BDP|7296154157729643756</stp>
        <tr r="A284" s="2"/>
      </tp>
      <tp t="s">
        <v>#N/A N/A</v>
        <stp/>
        <stp>BDP|6327545746349453369</stp>
        <tr r="G744" s="2"/>
      </tp>
      <tp t="s">
        <v>#N/A N/A</v>
        <stp/>
        <stp>BDP|7810499932199792478</stp>
        <tr r="T309" s="2"/>
      </tp>
      <tp t="s">
        <v>#N/A N/A</v>
        <stp/>
        <stp>BDP|7285556375688592049</stp>
        <tr r="S1302" s="2"/>
      </tp>
      <tp t="s">
        <v>#N/A N/A</v>
        <stp/>
        <stp>BDP|4916894073185951399</stp>
        <tr r="M898" s="2"/>
      </tp>
      <tp t="s">
        <v>#N/A N/A</v>
        <stp/>
        <stp>BDP|4007735084824171251</stp>
        <tr r="S733" s="2"/>
      </tp>
      <tp t="s">
        <v>#N/A N/A</v>
        <stp/>
        <stp>BDP|2957920528165199116</stp>
        <tr r="E282" s="2"/>
      </tp>
      <tp t="s">
        <v>#N/A N/A</v>
        <stp/>
        <stp>BDS|4059608720764737941</stp>
        <tr r="I585" s="2"/>
      </tp>
      <tp t="s">
        <v>#N/A N/A</v>
        <stp/>
        <stp>BDP|1618876357972226377</stp>
        <tr r="H721" s="2"/>
      </tp>
      <tp t="s">
        <v>#N/A N/A</v>
        <stp/>
        <stp>BDP|7492475881784693278</stp>
        <tr r="F1275" s="2"/>
      </tp>
      <tp t="s">
        <v>#N/A N/A</v>
        <stp/>
        <stp>BDP|9890664637033944233</stp>
        <tr r="C728" s="2"/>
      </tp>
      <tp t="s">
        <v>#N/A N/A</v>
        <stp/>
        <stp>BDP|7694295242259650581</stp>
        <tr r="A14" s="2"/>
      </tp>
      <tp t="s">
        <v>#N/A N/A</v>
        <stp/>
        <stp>BDP|3792070983442273420</stp>
        <tr r="D110" s="2"/>
      </tp>
      <tp t="s">
        <v>#N/A N/A</v>
        <stp/>
        <stp>BDP|3105769750355058945</stp>
        <tr r="N1064" s="2"/>
      </tp>
      <tp t="s">
        <v>#N/A N/A</v>
        <stp/>
        <stp>BDP|1638233932684480904</stp>
        <tr r="Q1476" s="2"/>
      </tp>
      <tp t="s">
        <v>#N/A N/A</v>
        <stp/>
        <stp>BDP|9762868365173571925</stp>
        <tr r="P98" s="2"/>
      </tp>
      <tp t="s">
        <v>#N/A N/A</v>
        <stp/>
        <stp>BDP|6124636919735183996</stp>
        <tr r="F1724" s="2"/>
      </tp>
      <tp t="s">
        <v>#N/A N/A</v>
        <stp/>
        <stp>BDP|2758774404918214054</stp>
        <tr r="N1139" s="2"/>
      </tp>
      <tp t="s">
        <v>#N/A N/A</v>
        <stp/>
        <stp>BDP|7566639752768022175</stp>
        <tr r="E1096" s="2"/>
      </tp>
      <tp t="s">
        <v>#N/A N/A</v>
        <stp/>
        <stp>BDP|3172979857643529175</stp>
        <tr r="S707" s="2"/>
      </tp>
      <tp t="s">
        <v>#N/A N/A</v>
        <stp/>
        <stp>BDP|3919386813399999582</stp>
        <tr r="E268" s="2"/>
      </tp>
      <tp t="s">
        <v>#N/A N/A</v>
        <stp/>
        <stp>BDP|4155994757241845448</stp>
        <tr r="E539" s="2"/>
      </tp>
      <tp t="s">
        <v>#N/A N/A</v>
        <stp/>
        <stp>BDP|4781901218655528493</stp>
        <tr r="A1408" s="2"/>
      </tp>
      <tp t="s">
        <v>#N/A N/A</v>
        <stp/>
        <stp>BDP|1851353835335222999</stp>
        <tr r="E241" s="2"/>
      </tp>
      <tp t="s">
        <v>#N/A N/A</v>
        <stp/>
        <stp>BDP|4548908611354542525</stp>
        <tr r="H401" s="2"/>
      </tp>
      <tp t="s">
        <v>#N/A N/A</v>
        <stp/>
        <stp>BDP|3286917882827000826</stp>
        <tr r="A1288" s="2"/>
      </tp>
      <tp t="s">
        <v>#N/A N/A</v>
        <stp/>
        <stp>BDP|1790935985054253908</stp>
        <tr r="J517" s="2"/>
      </tp>
      <tp t="s">
        <v>#N/A N/A</v>
        <stp/>
        <stp>BDP|5535573482932418779</stp>
        <tr r="S603" s="2"/>
      </tp>
      <tp t="s">
        <v>#N/A N/A</v>
        <stp/>
        <stp>BDP|4011017662737100811</stp>
        <tr r="D277" s="2"/>
      </tp>
      <tp t="s">
        <v>#N/A N/A</v>
        <stp/>
        <stp>BDP|2747154475710367971</stp>
        <tr r="E1380" s="2"/>
      </tp>
      <tp t="s">
        <v>#N/A N/A</v>
        <stp/>
        <stp>BDS|1927015579432687948</stp>
        <tr r="I1501" s="2"/>
      </tp>
      <tp t="s">
        <v>#N/A N/A</v>
        <stp/>
        <stp>BDS|8432623200235773626</stp>
        <tr r="I1029" s="2"/>
      </tp>
      <tp t="s">
        <v>#N/A N/A</v>
        <stp/>
        <stp>BDP|2179175092692121566</stp>
        <tr r="N907" s="2"/>
      </tp>
      <tp t="s">
        <v>#N/A N/A</v>
        <stp/>
        <stp>BDP|7580805853807019054</stp>
        <tr r="M767" s="2"/>
      </tp>
      <tp t="s">
        <v>#N/A N/A</v>
        <stp/>
        <stp>BDP|7119802473242623773</stp>
        <tr r="O1209" s="2"/>
      </tp>
      <tp t="s">
        <v>#N/A N/A</v>
        <stp/>
        <stp>BDP|8709904288203554790</stp>
        <tr r="O902" s="2"/>
      </tp>
      <tp t="s">
        <v>#N/A N/A</v>
        <stp/>
        <stp>BDP|1062566184432638374</stp>
        <tr r="O1266" s="2"/>
      </tp>
      <tp t="s">
        <v>#N/A N/A</v>
        <stp/>
        <stp>BDP|5220913149404933104</stp>
        <tr r="Q577" s="2"/>
      </tp>
      <tp t="s">
        <v>#N/A N/A</v>
        <stp/>
        <stp>BDP|6337033790686274413</stp>
        <tr r="E891" s="2"/>
      </tp>
      <tp t="s">
        <v>#N/A N/A</v>
        <stp/>
        <stp>BDP|2889488512712035816</stp>
        <tr r="C1508" s="2"/>
      </tp>
      <tp t="s">
        <v>#N/A N/A</v>
        <stp/>
        <stp>BDP|9358726563440512544</stp>
        <tr r="S1504" s="2"/>
      </tp>
      <tp t="s">
        <v>#N/A N/A</v>
        <stp/>
        <stp>BDP|6664300692233221253</stp>
        <tr r="A1629" s="2"/>
      </tp>
      <tp t="s">
        <v>#N/A N/A</v>
        <stp/>
        <stp>BDP|2684423933459487102</stp>
        <tr r="S857" s="2"/>
      </tp>
      <tp t="s">
        <v>#N/A N/A</v>
        <stp/>
        <stp>BDP|7892620135609537698</stp>
        <tr r="O1060" s="2"/>
      </tp>
      <tp t="s">
        <v>#N/A N/A</v>
        <stp/>
        <stp>BDP|8024528635860200366</stp>
        <tr r="J1230" s="2"/>
      </tp>
      <tp t="s">
        <v>#N/A N/A</v>
        <stp/>
        <stp>BDP|7111541277469377127</stp>
        <tr r="O1173" s="2"/>
      </tp>
      <tp t="s">
        <v>#N/A N/A</v>
        <stp/>
        <stp>BDP|6688937257707284034</stp>
        <tr r="F1383" s="2"/>
      </tp>
      <tp t="s">
        <v>#N/A N/A</v>
        <stp/>
        <stp>BDP|5771802606440277001</stp>
        <tr r="D1498" s="2"/>
      </tp>
      <tp t="s">
        <v>#N/A N/A</v>
        <stp/>
        <stp>BDP|4473825869163918455</stp>
        <tr r="M1157" s="2"/>
      </tp>
      <tp t="s">
        <v>#N/A N/A</v>
        <stp/>
        <stp>BDP|1793805152149580832</stp>
        <tr r="M1523" s="2"/>
      </tp>
      <tp t="s">
        <v>#N/A N/A</v>
        <stp/>
        <stp>BDS|6545410314048254615</stp>
        <tr r="I880" s="2"/>
      </tp>
      <tp t="s">
        <v>#N/A N/A</v>
        <stp/>
        <stp>BDP|1330557115480508857</stp>
        <tr r="O587" s="2"/>
      </tp>
      <tp t="s">
        <v>#N/A N/A</v>
        <stp/>
        <stp>BDP|1860432148488674460</stp>
        <tr r="D1315" s="2"/>
      </tp>
      <tp t="s">
        <v>#N/A N/A</v>
        <stp/>
        <stp>BDP|9902383950714533670</stp>
        <tr r="G1703" s="2"/>
      </tp>
      <tp t="s">
        <v>#N/A N/A</v>
        <stp/>
        <stp>BDP|8991666931149586981</stp>
        <tr r="K1696" s="2"/>
      </tp>
      <tp t="s">
        <v>#N/A N/A</v>
        <stp/>
        <stp>BDP|2234910018933083484</stp>
        <tr r="F1450" s="2"/>
      </tp>
      <tp t="s">
        <v>#N/A N/A</v>
        <stp/>
        <stp>BDP|7428023487336379413</stp>
        <tr r="Q1225" s="2"/>
      </tp>
      <tp t="s">
        <v>#N/A N/A</v>
        <stp/>
        <stp>BDP|9018354054171749356</stp>
        <tr r="S236" s="2"/>
      </tp>
      <tp t="s">
        <v>#N/A N/A</v>
        <stp/>
        <stp>BDP|6764517986743724542</stp>
        <tr r="D1217" s="2"/>
      </tp>
      <tp t="s">
        <v>#N/A N/A</v>
        <stp/>
        <stp>BDP|6469411207216564945</stp>
        <tr r="C560" s="2"/>
      </tp>
      <tp t="s">
        <v>#N/A N/A</v>
        <stp/>
        <stp>BDP|2758178670568460178</stp>
        <tr r="R1158" s="2"/>
      </tp>
      <tp t="s">
        <v>#N/A N/A</v>
        <stp/>
        <stp>BDP|4281918646083605706</stp>
        <tr r="T730" s="2"/>
      </tp>
      <tp t="s">
        <v>#N/A N/A</v>
        <stp/>
        <stp>BDP|8662561208593353381</stp>
        <tr r="M1391" s="2"/>
      </tp>
      <tp t="s">
        <v>#N/A N/A</v>
        <stp/>
        <stp>BDP|3009443556278684740</stp>
        <tr r="E545" s="2"/>
      </tp>
      <tp t="s">
        <v>#N/A N/A</v>
        <stp/>
        <stp>BDP|3938220948438386007</stp>
        <tr r="G1495" s="2"/>
      </tp>
      <tp t="s">
        <v>#N/A N/A</v>
        <stp/>
        <stp>BDS|9291681736946934759</stp>
        <tr r="I1030" s="2"/>
      </tp>
      <tp t="s">
        <v>#N/A N/A</v>
        <stp/>
        <stp>BDP|4445532889981815566</stp>
        <tr r="S931" s="2"/>
      </tp>
      <tp t="s">
        <v>#N/A N/A</v>
        <stp/>
        <stp>BDP|7310069015602178911</stp>
        <tr r="R393" s="2"/>
      </tp>
      <tp t="s">
        <v>#N/A N/A</v>
        <stp/>
        <stp>BDP|8554054956854750414</stp>
        <tr r="J455" s="2"/>
      </tp>
      <tp t="s">
        <v>#N/A N/A</v>
        <stp/>
        <stp>BDP|3250276510718583507</stp>
        <tr r="K634" s="2"/>
      </tp>
      <tp t="s">
        <v>#N/A N/A</v>
        <stp/>
        <stp>BDP|4952887713839525973</stp>
        <tr r="G1577" s="2"/>
      </tp>
      <tp t="s">
        <v>#N/A N/A</v>
        <stp/>
        <stp>BDP|2652056990805070337</stp>
        <tr r="K1017" s="2"/>
      </tp>
      <tp t="s">
        <v>#N/A N/A</v>
        <stp/>
        <stp>BDP|9009761441944451337</stp>
        <tr r="O847" s="2"/>
      </tp>
      <tp t="s">
        <v>#N/A N/A</v>
        <stp/>
        <stp>BDP|9194095276525811664</stp>
        <tr r="R176" s="2"/>
      </tp>
      <tp t="s">
        <v>#N/A N/A</v>
        <stp/>
        <stp>BDP|2300810043150990387</stp>
        <tr r="N1003" s="2"/>
      </tp>
      <tp t="s">
        <v>#N/A N/A</v>
        <stp/>
        <stp>BDS|9331037674026080540</stp>
        <tr r="I1113" s="2"/>
      </tp>
      <tp t="s">
        <v>#N/A N/A</v>
        <stp/>
        <stp>BDP|8496020953586068655</stp>
        <tr r="D1608" s="2"/>
      </tp>
      <tp t="s">
        <v>#N/A N/A</v>
        <stp/>
        <stp>BDP|5341954211459593923</stp>
        <tr r="H28" s="2"/>
      </tp>
      <tp t="s">
        <v>#N/A N/A</v>
        <stp/>
        <stp>BDP|8847782811062601178</stp>
        <tr r="T1458" s="2"/>
      </tp>
      <tp t="s">
        <v>#N/A N/A</v>
        <stp/>
        <stp>BDP|3054961907136117105</stp>
        <tr r="C1640" s="2"/>
      </tp>
      <tp t="s">
        <v>#N/A N/A</v>
        <stp/>
        <stp>BDP|9163770437080128004</stp>
        <tr r="C1552" s="2"/>
      </tp>
      <tp t="s">
        <v>#N/A N/A</v>
        <stp/>
        <stp>BDP|4968161547339866502</stp>
        <tr r="E1383" s="2"/>
      </tp>
      <tp t="s">
        <v>#N/A N/A</v>
        <stp/>
        <stp>BDP|2923829823017023289</stp>
        <tr r="S352" s="2"/>
      </tp>
      <tp t="s">
        <v>#N/A N/A</v>
        <stp/>
        <stp>BDP|2545017992581270742</stp>
        <tr r="D617" s="2"/>
      </tp>
      <tp t="s">
        <v>#N/A N/A</v>
        <stp/>
        <stp>BDP|8149079240814356553</stp>
        <tr r="J1307" s="2"/>
      </tp>
      <tp t="s">
        <v>#N/A N/A</v>
        <stp/>
        <stp>BDP|9282507757007090354</stp>
        <tr r="K494" s="2"/>
      </tp>
      <tp t="s">
        <v>#N/A N/A</v>
        <stp/>
        <stp>BDP|3069326452599724175</stp>
        <tr r="R27" s="2"/>
      </tp>
      <tp t="s">
        <v>#N/A N/A</v>
        <stp/>
        <stp>BDP|8081242868580850148</stp>
        <tr r="M334" s="2"/>
      </tp>
      <tp t="s">
        <v>#N/A N/A</v>
        <stp/>
        <stp>BDP|4874871109506746715</stp>
        <tr r="J965" s="2"/>
      </tp>
      <tp t="s">
        <v>#N/A N/A</v>
        <stp/>
        <stp>BDP|3476553877245466922</stp>
        <tr r="A1261" s="2"/>
      </tp>
      <tp t="s">
        <v>#N/A N/A</v>
        <stp/>
        <stp>BDP|5614470509359959515</stp>
        <tr r="R1273" s="2"/>
      </tp>
      <tp t="s">
        <v>#N/A N/A</v>
        <stp/>
        <stp>BDP|9432924837248423655</stp>
        <tr r="S1577" s="2"/>
      </tp>
      <tp t="s">
        <v>#N/A N/A</v>
        <stp/>
        <stp>BDP|2715145957033221864</stp>
        <tr r="D905" s="2"/>
      </tp>
      <tp t="s">
        <v>#N/A N/A</v>
        <stp/>
        <stp>BDP|4808386500168254220</stp>
        <tr r="C896" s="2"/>
      </tp>
      <tp t="s">
        <v>#N/A N/A</v>
        <stp/>
        <stp>BDP|8121425667013169453</stp>
        <tr r="A1464" s="2"/>
      </tp>
      <tp t="s">
        <v>#N/A N/A</v>
        <stp/>
        <stp>BDP|6996607370982056890</stp>
        <tr r="F70" s="2"/>
      </tp>
      <tp t="s">
        <v>#N/A N/A</v>
        <stp/>
        <stp>BDP|5269604772680690968</stp>
        <tr r="P442" s="2"/>
      </tp>
      <tp t="s">
        <v>#N/A N/A</v>
        <stp/>
        <stp>BDP|1455611125271810982</stp>
        <tr r="O778" s="2"/>
      </tp>
      <tp t="s">
        <v>#N/A N/A</v>
        <stp/>
        <stp>BDP|8207880797733870755</stp>
        <tr r="P1087" s="2"/>
      </tp>
      <tp t="s">
        <v>#N/A N/A</v>
        <stp/>
        <stp>BDP|2740122484716819095</stp>
        <tr r="G1179" s="2"/>
      </tp>
      <tp t="s">
        <v>#N/A N/A</v>
        <stp/>
        <stp>BDP|6172544370441157846</stp>
        <tr r="T807" s="2"/>
      </tp>
      <tp t="s">
        <v>#N/A N/A</v>
        <stp/>
        <stp>BDP|4175604199122925414</stp>
        <tr r="D818" s="2"/>
      </tp>
      <tp t="s">
        <v>#N/A N/A</v>
        <stp/>
        <stp>BDP|6146037118942970839</stp>
        <tr r="M1546" s="2"/>
      </tp>
      <tp t="s">
        <v>#N/A N/A</v>
        <stp/>
        <stp>BDP|4549571262358001202</stp>
        <tr r="R100" s="2"/>
      </tp>
      <tp t="s">
        <v>#N/A N/A</v>
        <stp/>
        <stp>BDS|4644451845631117875</stp>
        <tr r="I201" s="2"/>
      </tp>
      <tp t="s">
        <v>#N/A N/A</v>
        <stp/>
        <stp>BDP|7419706491667032356</stp>
        <tr r="F1720" s="2"/>
      </tp>
      <tp t="s">
        <v>#N/A N/A</v>
        <stp/>
        <stp>BDP|1404497189684347471</stp>
        <tr r="J322" s="2"/>
      </tp>
      <tp t="s">
        <v>#N/A N/A</v>
        <stp/>
        <stp>BDP|1784013408388643488</stp>
        <tr r="E1184" s="2"/>
      </tp>
      <tp t="s">
        <v>#N/A N/A</v>
        <stp/>
        <stp>BDP|9298735708192193183</stp>
        <tr r="R262" s="2"/>
      </tp>
      <tp t="s">
        <v>#N/A N/A</v>
        <stp/>
        <stp>BDP|1702649012112474958</stp>
        <tr r="J1042" s="2"/>
      </tp>
      <tp t="s">
        <v>#N/A N/A</v>
        <stp/>
        <stp>BDP|3132213901285951980</stp>
        <tr r="D412" s="2"/>
      </tp>
      <tp t="s">
        <v>#N/A N/A</v>
        <stp/>
        <stp>BDP|1524643241608875687</stp>
        <tr r="Q1313" s="2"/>
      </tp>
      <tp t="s">
        <v>#N/A N/A</v>
        <stp/>
        <stp>BDP|9932691845210738624</stp>
        <tr r="R526" s="2"/>
      </tp>
      <tp t="s">
        <v>#N/A N/A</v>
        <stp/>
        <stp>BDP|6108974370464042163</stp>
        <tr r="N370" s="2"/>
      </tp>
      <tp t="s">
        <v>#N/A N/A</v>
        <stp/>
        <stp>BDP|7315818203644606679</stp>
        <tr r="T914" s="2"/>
      </tp>
      <tp t="s">
        <v>#N/A N/A</v>
        <stp/>
        <stp>BDP|8266064530114537216</stp>
        <tr r="A776" s="2"/>
      </tp>
      <tp t="s">
        <v>#N/A N/A</v>
        <stp/>
        <stp>BDP|4842920535363767087</stp>
        <tr r="K1697" s="2"/>
      </tp>
      <tp t="s">
        <v>#N/A N/A</v>
        <stp/>
        <stp>BDP|8251731626149225951</stp>
        <tr r="G1046" s="2"/>
      </tp>
      <tp t="s">
        <v>#N/A N/A</v>
        <stp/>
        <stp>BDP|9392603222329993986</stp>
        <tr r="D345" s="2"/>
      </tp>
      <tp t="s">
        <v>#N/A N/A</v>
        <stp/>
        <stp>BDP|1832183004639058445</stp>
        <tr r="A398" s="2"/>
      </tp>
      <tp t="s">
        <v>#N/A N/A</v>
        <stp/>
        <stp>BDP|9489648005703390168</stp>
        <tr r="J731" s="2"/>
      </tp>
      <tp t="s">
        <v>#N/A N/A</v>
        <stp/>
        <stp>BDP|9838470569171703714</stp>
        <tr r="H50" s="2"/>
      </tp>
      <tp t="s">
        <v>#N/A N/A</v>
        <stp/>
        <stp>BDP|9014553131360358272</stp>
        <tr r="N752" s="2"/>
      </tp>
      <tp t="s">
        <v>#N/A N/A</v>
        <stp/>
        <stp>BDP|9125231207161395772</stp>
        <tr r="T1744" s="2"/>
      </tp>
      <tp t="s">
        <v>#N/A N/A</v>
        <stp/>
        <stp>BDP|1764698080870672298</stp>
        <tr r="D1521" s="2"/>
      </tp>
      <tp t="s">
        <v>#N/A N/A</v>
        <stp/>
        <stp>BDP|7389556930318363442</stp>
        <tr r="A1605" s="2"/>
      </tp>
      <tp t="s">
        <v>#N/A N/A</v>
        <stp/>
        <stp>BDP|4855170897237171689</stp>
        <tr r="G1412" s="2"/>
      </tp>
      <tp t="s">
        <v>#N/A N/A</v>
        <stp/>
        <stp>BDP|2699473174388100451</stp>
        <tr r="C451" s="2"/>
      </tp>
      <tp t="s">
        <v>#N/A N/A</v>
        <stp/>
        <stp>BDP|6149925524393134379</stp>
        <tr r="R589" s="2"/>
      </tp>
      <tp t="s">
        <v>#N/A N/A</v>
        <stp/>
        <stp>BDS|3598679192923379226</stp>
        <tr r="I736" s="2"/>
      </tp>
      <tp t="s">
        <v>#N/A N/A</v>
        <stp/>
        <stp>BDP|2621225322997507825</stp>
        <tr r="O970" s="2"/>
      </tp>
      <tp t="s">
        <v>#N/A N/A</v>
        <stp/>
        <stp>BDP|4851584436159499632</stp>
        <tr r="S1580" s="2"/>
      </tp>
      <tp t="s">
        <v>#N/A N/A</v>
        <stp/>
        <stp>BDP|3943386297511055578</stp>
        <tr r="F685" s="2"/>
      </tp>
      <tp t="s">
        <v>#N/A N/A</v>
        <stp/>
        <stp>BDP|6239905902807025516</stp>
        <tr r="Q1373" s="2"/>
      </tp>
      <tp t="s">
        <v>#N/A N/A</v>
        <stp/>
        <stp>BDP|8048572410027292645</stp>
        <tr r="C58" s="2"/>
      </tp>
      <tp t="s">
        <v>#N/A N/A</v>
        <stp/>
        <stp>BDP|9662777264981760434</stp>
        <tr r="P877" s="2"/>
      </tp>
      <tp t="s">
        <v>#N/A N/A</v>
        <stp/>
        <stp>BDP|1098712682253702053</stp>
        <tr r="K1059" s="2"/>
      </tp>
      <tp t="s">
        <v>#N/A N/A</v>
        <stp/>
        <stp>BDP|6484830413070407215</stp>
        <tr r="M1453" s="2"/>
      </tp>
      <tp t="s">
        <v>#N/A N/A</v>
        <stp/>
        <stp>BDP|3888941068209466810</stp>
        <tr r="Q695" s="2"/>
      </tp>
      <tp t="s">
        <v>#N/A N/A</v>
        <stp/>
        <stp>BDP|7530377272186194801</stp>
        <tr r="D89" s="2"/>
      </tp>
      <tp t="s">
        <v>#N/A N/A</v>
        <stp/>
        <stp>BDP|8114042318976818246</stp>
        <tr r="S211" s="2"/>
      </tp>
      <tp t="s">
        <v>#N/A N/A</v>
        <stp/>
        <stp>BDP|4660549065913021968</stp>
        <tr r="J346" s="2"/>
      </tp>
      <tp t="s">
        <v>#N/A N/A</v>
        <stp/>
        <stp>BDP|3261816351975328604</stp>
        <tr r="T1233" s="2"/>
      </tp>
      <tp t="s">
        <v>#N/A N/A</v>
        <stp/>
        <stp>BDP|4391270726198237114</stp>
        <tr r="G656" s="2"/>
      </tp>
      <tp t="s">
        <v>#N/A N/A</v>
        <stp/>
        <stp>BDP|8266608134098556824</stp>
        <tr r="K102" s="2"/>
      </tp>
      <tp t="s">
        <v>#N/A N/A</v>
        <stp/>
        <stp>BDP|3365119000788217716</stp>
        <tr r="F585" s="2"/>
      </tp>
      <tp t="s">
        <v>#N/A N/A</v>
        <stp/>
        <stp>BDP|7131986824937801643</stp>
        <tr r="Q298" s="2"/>
      </tp>
      <tp t="s">
        <v>#N/A N/A</v>
        <stp/>
        <stp>BDP|4362945616302892387</stp>
        <tr r="S56" s="2"/>
      </tp>
      <tp t="s">
        <v>#N/A N/A</v>
        <stp/>
        <stp>BDP|3280208051790389911</stp>
        <tr r="J919" s="2"/>
      </tp>
      <tp t="s">
        <v>#N/A N/A</v>
        <stp/>
        <stp>BDP|7226094659849037633</stp>
        <tr r="S1682" s="2"/>
      </tp>
      <tp t="s">
        <v>#N/A N/A</v>
        <stp/>
        <stp>BDP|6765230835929902391</stp>
        <tr r="P705" s="2"/>
      </tp>
      <tp t="s">
        <v>#N/A N/A</v>
        <stp/>
        <stp>BDP|3285165735709426549</stp>
        <tr r="C1262" s="2"/>
      </tp>
      <tp t="s">
        <v>#N/A N/A</v>
        <stp/>
        <stp>BDS|7423237240219026567</stp>
        <tr r="I160" s="2"/>
      </tp>
      <tp t="s">
        <v>#N/A N/A</v>
        <stp/>
        <stp>BDP|2506597298942387167</stp>
        <tr r="E1379" s="2"/>
      </tp>
      <tp t="s">
        <v>#N/A N/A</v>
        <stp/>
        <stp>BDP|4235448413805640926</stp>
        <tr r="K1153" s="2"/>
      </tp>
      <tp t="s">
        <v>#N/A N/A</v>
        <stp/>
        <stp>BDP|6735807161162473733</stp>
        <tr r="T144" s="2"/>
      </tp>
      <tp t="s">
        <v>#N/A N/A</v>
        <stp/>
        <stp>BDP|5802817540502805603</stp>
        <tr r="S1276" s="2"/>
      </tp>
      <tp t="s">
        <v>#N/A N/A</v>
        <stp/>
        <stp>BDP|5341673494706658174</stp>
        <tr r="C20" s="2"/>
      </tp>
      <tp t="s">
        <v>#N/A N/A</v>
        <stp/>
        <stp>BDP|8855705327323819363</stp>
        <tr r="K1312" s="2"/>
      </tp>
      <tp t="s">
        <v>#N/A N/A</v>
        <stp/>
        <stp>BDP|4011626882766397128</stp>
        <tr r="T6" s="2"/>
      </tp>
      <tp t="s">
        <v>#N/A N/A</v>
        <stp/>
        <stp>BDP|3584686793243845278</stp>
        <tr r="R172" s="2"/>
      </tp>
      <tp t="s">
        <v>#N/A N/A</v>
        <stp/>
        <stp>BDP|8103844313625731901</stp>
        <tr r="T1306" s="2"/>
      </tp>
      <tp t="s">
        <v>#N/A N/A</v>
        <stp/>
        <stp>BDP|3661628941455621928</stp>
        <tr r="S310" s="2"/>
      </tp>
      <tp t="s">
        <v>#N/A N/A</v>
        <stp/>
        <stp>BDP|2611416683436239570</stp>
        <tr r="J362" s="2"/>
      </tp>
      <tp t="s">
        <v>#N/A N/A</v>
        <stp/>
        <stp>BDP|2741316109945999972</stp>
        <tr r="K1007" s="2"/>
      </tp>
      <tp t="s">
        <v>#N/A N/A</v>
        <stp/>
        <stp>BDP|6355957914482409176</stp>
        <tr r="J1204" s="2"/>
      </tp>
      <tp t="s">
        <v>#N/A N/A</v>
        <stp/>
        <stp>BDP|2162396710328818512</stp>
        <tr r="N714" s="2"/>
      </tp>
      <tp t="s">
        <v>#N/A N/A</v>
        <stp/>
        <stp>BDP|2296815950630134239</stp>
        <tr r="K1104" s="2"/>
      </tp>
      <tp t="s">
        <v>#N/A N/A</v>
        <stp/>
        <stp>BDP|5911461840170606881</stp>
        <tr r="F352" s="2"/>
      </tp>
      <tp t="s">
        <v>#N/A N/A</v>
        <stp/>
        <stp>BDP|1263725887192526133</stp>
        <tr r="F414" s="2"/>
      </tp>
      <tp t="s">
        <v>#N/A N/A</v>
        <stp/>
        <stp>BDP|8432464662486509140</stp>
        <tr r="F131" s="2"/>
      </tp>
      <tp t="s">
        <v>#N/A N/A</v>
        <stp/>
        <stp>BDP|9001326777995497505</stp>
        <tr r="K240" s="2"/>
      </tp>
      <tp t="s">
        <v>#N/A N/A</v>
        <stp/>
        <stp>BDP|4922490981172056705</stp>
        <tr r="N1442" s="2"/>
      </tp>
      <tp t="s">
        <v>#N/A N/A</v>
        <stp/>
        <stp>BDP|5251128733819550372</stp>
        <tr r="M1537" s="2"/>
      </tp>
      <tp t="s">
        <v>#N/A N/A</v>
        <stp/>
        <stp>BDP|5888882037065011669</stp>
        <tr r="H83" s="2"/>
      </tp>
      <tp t="s">
        <v>#N/A N/A</v>
        <stp/>
        <stp>BDP|4699499308604012965</stp>
        <tr r="M1063" s="2"/>
      </tp>
      <tp t="s">
        <v>#N/A N/A</v>
        <stp/>
        <stp>BDP|9349434542742401675</stp>
        <tr r="D1357" s="2"/>
      </tp>
      <tp t="s">
        <v>#N/A N/A</v>
        <stp/>
        <stp>BDP|1725934065766978594</stp>
        <tr r="F284" s="2"/>
      </tp>
      <tp t="s">
        <v>#N/A N/A</v>
        <stp/>
        <stp>BDP|5852174592142408282</stp>
        <tr r="G727" s="2"/>
      </tp>
      <tp t="s">
        <v>#N/A N/A</v>
        <stp/>
        <stp>BDP|3193917255832446007</stp>
        <tr r="N1242" s="2"/>
      </tp>
      <tp t="s">
        <v>#N/A N/A</v>
        <stp/>
        <stp>BDP|8968496110587625772</stp>
        <tr r="C1754" s="2"/>
      </tp>
      <tp t="s">
        <v>#N/A N/A</v>
        <stp/>
        <stp>BDP|4954703291703167482</stp>
        <tr r="Q1324" s="2"/>
      </tp>
      <tp t="s">
        <v>#N/A N/A</v>
        <stp/>
        <stp>BDS|1421690612469890269</stp>
        <tr r="I1578" s="2"/>
      </tp>
      <tp t="s">
        <v>#N/A N/A</v>
        <stp/>
        <stp>BDP|6533816085522123917</stp>
        <tr r="K580" s="2"/>
      </tp>
      <tp t="s">
        <v>#N/A N/A</v>
        <stp/>
        <stp>BDP|3449405137358411166</stp>
        <tr r="R506" s="2"/>
      </tp>
      <tp t="s">
        <v>#N/A N/A</v>
        <stp/>
        <stp>BDP|2840804780188030797</stp>
        <tr r="N828" s="2"/>
      </tp>
      <tp t="s">
        <v>#N/A N/A</v>
        <stp/>
        <stp>BDP|3898405551339896603</stp>
        <tr r="P622" s="2"/>
      </tp>
      <tp t="s">
        <v>#N/A N/A</v>
        <stp/>
        <stp>BDP|8148102761335645774</stp>
        <tr r="S287" s="2"/>
      </tp>
      <tp t="s">
        <v>#N/A N/A</v>
        <stp/>
        <stp>BDP|7897261086858969803</stp>
        <tr r="R218" s="2"/>
      </tp>
      <tp t="s">
        <v>#N/A N/A</v>
        <stp/>
        <stp>BDP|2884567588820767205</stp>
        <tr r="G767" s="2"/>
      </tp>
      <tp t="s">
        <v>#N/A N/A</v>
        <stp/>
        <stp>BDP|5858969979971342755</stp>
        <tr r="K956" s="2"/>
      </tp>
      <tp t="s">
        <v>#N/A N/A</v>
        <stp/>
        <stp>BDP|7277104096202473011</stp>
        <tr r="Q24" s="2"/>
      </tp>
      <tp t="s">
        <v>#N/A N/A</v>
        <stp/>
        <stp>BDP|9043982715544517895</stp>
        <tr r="P1176" s="2"/>
      </tp>
      <tp t="s">
        <v>#N/A N/A</v>
        <stp/>
        <stp>BDP|3696727697207730758</stp>
        <tr r="H1249" s="2"/>
      </tp>
      <tp t="s">
        <v>#N/A N/A</v>
        <stp/>
        <stp>BDP|2439570637390454912</stp>
        <tr r="N41" s="2"/>
      </tp>
      <tp t="s">
        <v>#N/A N/A</v>
        <stp/>
        <stp>BDP|8776351167001653125</stp>
        <tr r="R70" s="2"/>
      </tp>
      <tp t="s">
        <v>#N/A N/A</v>
        <stp/>
        <stp>BDP|8234712231958065938</stp>
        <tr r="D1296" s="2"/>
      </tp>
      <tp t="s">
        <v>#N/A N/A</v>
        <stp/>
        <stp>BDP|8779465176757327151</stp>
        <tr r="J1260" s="2"/>
      </tp>
      <tp t="s">
        <v>#N/A N/A</v>
        <stp/>
        <stp>BDP|9315474733416101509</stp>
        <tr r="K62" s="2"/>
      </tp>
      <tp t="s">
        <v>#N/A N/A</v>
        <stp/>
        <stp>BDP|9246514387859688048</stp>
        <tr r="T1630" s="2"/>
      </tp>
      <tp t="s">
        <v>#N/A N/A</v>
        <stp/>
        <stp>BDP|6688476803019768630</stp>
        <tr r="J800" s="2"/>
      </tp>
      <tp t="s">
        <v>#N/A N/A</v>
        <stp/>
        <stp>BDP|1257995106674885135</stp>
        <tr r="T1162" s="2"/>
      </tp>
      <tp t="s">
        <v>#N/A N/A</v>
        <stp/>
        <stp>BDP|2773178498352808567</stp>
        <tr r="Q1751" s="2"/>
      </tp>
      <tp t="s">
        <v>#N/A N/A</v>
        <stp/>
        <stp>BDP|1722241934884505941</stp>
        <tr r="N318" s="2"/>
      </tp>
      <tp t="s">
        <v>#N/A N/A</v>
        <stp/>
        <stp>BDP|3357628792451534000</stp>
        <tr r="O237" s="2"/>
      </tp>
      <tp t="s">
        <v>#N/A N/A</v>
        <stp/>
        <stp>BDP|9432358080317500822</stp>
        <tr r="Q417" s="2"/>
      </tp>
      <tp t="s">
        <v>#N/A N/A</v>
        <stp/>
        <stp>BDP|7775749565373133813</stp>
        <tr r="E1639" s="2"/>
      </tp>
      <tp t="s">
        <v>#N/A N/A</v>
        <stp/>
        <stp>BDP|1131592779907266953</stp>
        <tr r="G1599" s="2"/>
      </tp>
      <tp t="s">
        <v>#N/A N/A</v>
        <stp/>
        <stp>BDP|1842999711317145377</stp>
        <tr r="K129" s="2"/>
      </tp>
      <tp t="s">
        <v>#N/A N/A</v>
        <stp/>
        <stp>BDP|5603691089991308735</stp>
        <tr r="E237" s="2"/>
      </tp>
      <tp t="s">
        <v>#N/A N/A</v>
        <stp/>
        <stp>BDP|8651421032971354335</stp>
        <tr r="C1448" s="2"/>
      </tp>
      <tp t="s">
        <v>#N/A N/A</v>
        <stp/>
        <stp>BDP|9115362735933043743</stp>
        <tr r="P853" s="2"/>
      </tp>
      <tp t="s">
        <v>#N/A N/A</v>
        <stp/>
        <stp>BDP|3443959154082759045</stp>
        <tr r="T453" s="2"/>
      </tp>
      <tp t="s">
        <v>#N/A N/A</v>
        <stp/>
        <stp>BDP|8529692433470804019</stp>
        <tr r="P860" s="2"/>
      </tp>
      <tp t="s">
        <v>#N/A N/A</v>
        <stp/>
        <stp>BDP|4073909656614253121</stp>
        <tr r="D555" s="2"/>
      </tp>
      <tp t="s">
        <v>#N/A N/A</v>
        <stp/>
        <stp>BDP|3407409626211210966</stp>
        <tr r="T1062" s="2"/>
      </tp>
      <tp t="s">
        <v>#N/A N/A</v>
        <stp/>
        <stp>BDP|8608465430805342755</stp>
        <tr r="C1604" s="2"/>
      </tp>
      <tp t="s">
        <v>#N/A N/A</v>
        <stp/>
        <stp>BDP|3209741775026157848</stp>
        <tr r="D998" s="2"/>
      </tp>
      <tp t="s">
        <v>#N/A N/A</v>
        <stp/>
        <stp>BDP|5090274478608112585</stp>
        <tr r="Q1075" s="2"/>
      </tp>
      <tp t="s">
        <v>#N/A N/A</v>
        <stp/>
        <stp>BDS|7677738707644009945</stp>
        <tr r="I152" s="2"/>
      </tp>
      <tp t="s">
        <v>#N/A N/A</v>
        <stp/>
        <stp>BDS|2179856555765494733</stp>
        <tr r="I1241" s="2"/>
      </tp>
      <tp t="s">
        <v>#N/A N/A</v>
        <stp/>
        <stp>BDP|4443965543663086771</stp>
        <tr r="A1143" s="2"/>
      </tp>
      <tp t="s">
        <v>#N/A N/A</v>
        <stp/>
        <stp>BDP|4888105697952028398</stp>
        <tr r="N1567" s="2"/>
      </tp>
      <tp t="s">
        <v>#N/A N/A</v>
        <stp/>
        <stp>BDP|6429668483546046375</stp>
        <tr r="K1036" s="2"/>
      </tp>
      <tp t="s">
        <v>#N/A N/A</v>
        <stp/>
        <stp>BDP|2691780884494448487</stp>
        <tr r="F1675" s="2"/>
      </tp>
      <tp t="s">
        <v>#N/A N/A</v>
        <stp/>
        <stp>BDP|8470366238027569299</stp>
        <tr r="A876" s="2"/>
      </tp>
      <tp t="s">
        <v>#N/A N/A</v>
        <stp/>
        <stp>BDP|3061979116382563424</stp>
        <tr r="H79" s="2"/>
      </tp>
      <tp t="s">
        <v>#N/A N/A</v>
        <stp/>
        <stp>BDP|3324944304035542203</stp>
        <tr r="H692" s="2"/>
      </tp>
      <tp t="s">
        <v>#N/A N/A</v>
        <stp/>
        <stp>BDP|4574992693509025093</stp>
        <tr r="P1666" s="2"/>
      </tp>
      <tp t="s">
        <v>#N/A N/A</v>
        <stp/>
        <stp>BDP|7796911786409380255</stp>
        <tr r="A361" s="2"/>
      </tp>
      <tp t="s">
        <v>#N/A N/A</v>
        <stp/>
        <stp>BDP|8095660554991038742</stp>
        <tr r="F435" s="2"/>
      </tp>
      <tp t="s">
        <v>#N/A N/A</v>
        <stp/>
        <stp>BDP|3558610435469207250</stp>
        <tr r="T1648" s="2"/>
      </tp>
      <tp t="s">
        <v>#N/A N/A</v>
        <stp/>
        <stp>BDP|2145460833538727052</stp>
        <tr r="O807" s="2"/>
      </tp>
      <tp t="s">
        <v>#N/A N/A</v>
        <stp/>
        <stp>BDP|1959349059808743251</stp>
        <tr r="Q1515" s="2"/>
      </tp>
      <tp t="s">
        <v>#N/A N/A</v>
        <stp/>
        <stp>BDS|5802662942583357991</stp>
        <tr r="I1376" s="2"/>
      </tp>
      <tp t="s">
        <v>#N/A N/A</v>
        <stp/>
        <stp>BDP|1379933151488500820</stp>
        <tr r="N1415" s="2"/>
      </tp>
      <tp t="s">
        <v>#N/A N/A</v>
        <stp/>
        <stp>BDP|9561922340738728161</stp>
        <tr r="E175" s="2"/>
      </tp>
      <tp t="s">
        <v>#N/A N/A</v>
        <stp/>
        <stp>BDP|2741560741448216642</stp>
        <tr r="O1231" s="2"/>
      </tp>
      <tp t="s">
        <v>#N/A N/A</v>
        <stp/>
        <stp>BDP|9256600502310407225</stp>
        <tr r="R112" s="2"/>
      </tp>
      <tp t="s">
        <v>#N/A N/A</v>
        <stp/>
        <stp>BDP|4141173834568315370</stp>
        <tr r="E1253" s="2"/>
      </tp>
      <tp t="s">
        <v>#N/A N/A</v>
        <stp/>
        <stp>BDP|7635904807677600412</stp>
        <tr r="F268" s="2"/>
      </tp>
      <tp t="s">
        <v>#N/A N/A</v>
        <stp/>
        <stp>BDP|2440883779171234117</stp>
        <tr r="H1497" s="2"/>
      </tp>
      <tp t="s">
        <v>#N/A N/A</v>
        <stp/>
        <stp>BDP|2242877072707535745</stp>
        <tr r="S916" s="2"/>
      </tp>
      <tp t="s">
        <v>#N/A N/A</v>
        <stp/>
        <stp>BDP|5265123279377900964</stp>
        <tr r="K207" s="2"/>
      </tp>
      <tp t="s">
        <v>#N/A N/A</v>
        <stp/>
        <stp>BDP|4822052198117508763</stp>
        <tr r="H265" s="2"/>
      </tp>
      <tp t="s">
        <v>#N/A N/A</v>
        <stp/>
        <stp>BDP|5504921710525131502</stp>
        <tr r="C638" s="2"/>
      </tp>
      <tp t="s">
        <v>#N/A N/A</v>
        <stp/>
        <stp>BDP|7247745467843086874</stp>
        <tr r="O1388" s="2"/>
      </tp>
      <tp t="s">
        <v>#N/A N/A</v>
        <stp/>
        <stp>BDP|8090065742551683044</stp>
        <tr r="H473" s="2"/>
      </tp>
      <tp t="s">
        <v>#N/A N/A</v>
        <stp/>
        <stp>BDP|5611336446709737626</stp>
        <tr r="J765" s="2"/>
      </tp>
      <tp t="s">
        <v>#N/A N/A</v>
        <stp/>
        <stp>BDP|5029206384317302512</stp>
        <tr r="T1710" s="2"/>
      </tp>
      <tp t="s">
        <v>#N/A N/A</v>
        <stp/>
        <stp>BDP|5076815797288770172</stp>
        <tr r="A225" s="2"/>
      </tp>
      <tp t="s">
        <v>#N/A N/A</v>
        <stp/>
        <stp>BDP|3914542092703090199</stp>
        <tr r="G1045" s="2"/>
      </tp>
      <tp t="s">
        <v>#N/A N/A</v>
        <stp/>
        <stp>BDP|1411456487126227620</stp>
        <tr r="R860" s="2"/>
      </tp>
      <tp t="s">
        <v>#N/A N/A</v>
        <stp/>
        <stp>BDP|3791963476210497055</stp>
        <tr r="S1123" s="2"/>
      </tp>
      <tp t="s">
        <v>#N/A N/A</v>
        <stp/>
        <stp>BDP|5180218152558058744</stp>
        <tr r="G160" s="2"/>
      </tp>
      <tp t="s">
        <v>#N/A N/A</v>
        <stp/>
        <stp>BDP|6701253814120677861</stp>
        <tr r="E1578" s="2"/>
      </tp>
      <tp t="s">
        <v>#N/A N/A</v>
        <stp/>
        <stp>BDP|6304199592990935377</stp>
        <tr r="E1538" s="2"/>
      </tp>
      <tp t="s">
        <v>#N/A N/A</v>
        <stp/>
        <stp>BDP|5142156384274259541</stp>
        <tr r="N1597" s="2"/>
      </tp>
      <tp t="s">
        <v>#N/A N/A</v>
        <stp/>
        <stp>BDP|7166997105353231096</stp>
        <tr r="P987" s="2"/>
      </tp>
      <tp t="s">
        <v>#N/A N/A</v>
        <stp/>
        <stp>BDP|3078917911764578237</stp>
        <tr r="D1256" s="2"/>
      </tp>
      <tp t="s">
        <v>#N/A N/A</v>
        <stp/>
        <stp>BDP|6820200716068107094</stp>
        <tr r="R77" s="2"/>
      </tp>
      <tp t="s">
        <v>#N/A N/A</v>
        <stp/>
        <stp>BDS|5399749443439253204</stp>
        <tr r="I200" s="2"/>
      </tp>
      <tp t="s">
        <v>#N/A N/A</v>
        <stp/>
        <stp>BDP|3452447310993641809</stp>
        <tr r="D1393" s="2"/>
      </tp>
      <tp t="s">
        <v>#N/A N/A</v>
        <stp/>
        <stp>BDP|4312552677699637210</stp>
        <tr r="S1496" s="2"/>
      </tp>
      <tp t="s">
        <v>#N/A N/A</v>
        <stp/>
        <stp>BDP|8358673166055206060</stp>
        <tr r="Q562" s="2"/>
      </tp>
      <tp t="s">
        <v>#N/A N/A</v>
        <stp/>
        <stp>BDP|8614218604145393278</stp>
        <tr r="P1475" s="2"/>
      </tp>
      <tp t="s">
        <v>#N/A N/A</v>
        <stp/>
        <stp>BDP|5292943040110548546</stp>
        <tr r="T607" s="2"/>
      </tp>
      <tp t="s">
        <v>#N/A N/A</v>
        <stp/>
        <stp>BDP|9151555301436697745</stp>
        <tr r="M1495" s="2"/>
      </tp>
      <tp t="s">
        <v>#N/A N/A</v>
        <stp/>
        <stp>BDP|1194242003108123600</stp>
        <tr r="H500" s="2"/>
      </tp>
      <tp t="s">
        <v>#N/A N/A</v>
        <stp/>
        <stp>BDP|8647287150807044597</stp>
        <tr r="N1299" s="2"/>
      </tp>
      <tp t="s">
        <v>#N/A N/A</v>
        <stp/>
        <stp>BDP|5696203317659263242</stp>
        <tr r="S1662" s="2"/>
      </tp>
      <tp t="s">
        <v>#N/A N/A</v>
        <stp/>
        <stp>BDP|5803984233367699526</stp>
        <tr r="Q1158" s="2"/>
      </tp>
      <tp t="s">
        <v>#N/A N/A</v>
        <stp/>
        <stp>BDP|3255745284776091755</stp>
        <tr r="J973" s="2"/>
      </tp>
      <tp t="s">
        <v>#N/A N/A</v>
        <stp/>
        <stp>BDP|8936259543751104297</stp>
        <tr r="T577" s="2"/>
      </tp>
      <tp t="s">
        <v>#N/A N/A</v>
        <stp/>
        <stp>BDS|1129921707990079534</stp>
        <tr r="I1422" s="2"/>
      </tp>
      <tp t="s">
        <v>#N/A N/A</v>
        <stp/>
        <stp>BDP|5664534734956216847</stp>
        <tr r="N1500" s="2"/>
      </tp>
      <tp t="s">
        <v>#N/A N/A</v>
        <stp/>
        <stp>BDP|8591711039528360996</stp>
        <tr r="O250" s="2"/>
      </tp>
      <tp t="s">
        <v>#N/A N/A</v>
        <stp/>
        <stp>BDP|6618688886311932465</stp>
        <tr r="P1703" s="2"/>
      </tp>
      <tp t="s">
        <v>#N/A N/A</v>
        <stp/>
        <stp>BDP|7929352734843929966</stp>
        <tr r="Q759" s="2"/>
      </tp>
      <tp t="s">
        <v>#N/A N/A</v>
        <stp/>
        <stp>BDP|6695845547991315618</stp>
        <tr r="H1159" s="2"/>
      </tp>
      <tp t="s">
        <v>#N/A N/A</v>
        <stp/>
        <stp>BDP|3189100114056161831</stp>
        <tr r="A1207" s="2"/>
      </tp>
      <tp t="s">
        <v>#N/A N/A</v>
        <stp/>
        <stp>BDP|1663534174608493623</stp>
        <tr r="R943" s="2"/>
      </tp>
      <tp t="s">
        <v>#N/A N/A</v>
        <stp/>
        <stp>BDP|7746377258544602898</stp>
        <tr r="G50" s="2"/>
      </tp>
      <tp t="s">
        <v>#N/A N/A</v>
        <stp/>
        <stp>BDP|8487916895095683017</stp>
        <tr r="R1327" s="2"/>
      </tp>
      <tp t="s">
        <v>#N/A N/A</v>
        <stp/>
        <stp>BDP|1306925777241568340</stp>
        <tr r="F134" s="2"/>
      </tp>
      <tp t="s">
        <v>#N/A N/A</v>
        <stp/>
        <stp>BDP|4196511382831398568</stp>
        <tr r="T1657" s="2"/>
      </tp>
      <tp t="s">
        <v>#N/A N/A</v>
        <stp/>
        <stp>BDP|9345755442401705645</stp>
        <tr r="G383" s="2"/>
      </tp>
      <tp t="s">
        <v>#N/A N/A</v>
        <stp/>
        <stp>BDP|4101334790787528401</stp>
        <tr r="Q982" s="2"/>
      </tp>
      <tp t="s">
        <v>#N/A N/A</v>
        <stp/>
        <stp>BDP|4285548854639503006</stp>
        <tr r="J1338" s="2"/>
      </tp>
      <tp t="s">
        <v>#N/A N/A</v>
        <stp/>
        <stp>BDS|6918698357548282027</stp>
        <tr r="I311" s="2"/>
      </tp>
      <tp t="s">
        <v>#N/A N/A</v>
        <stp/>
        <stp>BDP|9059303433516008240</stp>
        <tr r="H1465" s="2"/>
      </tp>
      <tp t="s">
        <v>#N/A N/A</v>
        <stp/>
        <stp>BDP|9840287033475303074</stp>
        <tr r="P1151" s="2"/>
      </tp>
      <tp t="s">
        <v>#N/A N/A</v>
        <stp/>
        <stp>BDP|8521415298229324184</stp>
        <tr r="M1173" s="2"/>
      </tp>
      <tp t="s">
        <v>#N/A N/A</v>
        <stp/>
        <stp>BDP|8533264405727110002</stp>
        <tr r="N503" s="2"/>
      </tp>
      <tp t="s">
        <v>#N/A N/A</v>
        <stp/>
        <stp>BDP|7378930752402130443</stp>
        <tr r="T1457" s="2"/>
      </tp>
      <tp t="s">
        <v>#N/A N/A</v>
        <stp/>
        <stp>BDP|3705353492731579520</stp>
        <tr r="T295" s="2"/>
      </tp>
      <tp t="s">
        <v>#N/A N/A</v>
        <stp/>
        <stp>BDP|6845052879388465471</stp>
        <tr r="A1361" s="2"/>
      </tp>
      <tp t="s">
        <v>#N/A N/A</v>
        <stp/>
        <stp>BDP|1540955033245395378</stp>
        <tr r="D1347" s="2"/>
      </tp>
      <tp t="s">
        <v>#N/A N/A</v>
        <stp/>
        <stp>BDP|4853158699871503067</stp>
        <tr r="D628" s="2"/>
      </tp>
      <tp t="s">
        <v>#N/A N/A</v>
        <stp/>
        <stp>BDP|2336533874739000435</stp>
        <tr r="D996" s="2"/>
      </tp>
      <tp t="s">
        <v>#N/A N/A</v>
        <stp/>
        <stp>BDP|1719343723658441532</stp>
        <tr r="J1649" s="2"/>
      </tp>
      <tp t="s">
        <v>#N/A N/A</v>
        <stp/>
        <stp>BDP|1645732023549456052</stp>
        <tr r="C1246" s="2"/>
      </tp>
      <tp t="s">
        <v>#N/A N/A</v>
        <stp/>
        <stp>BDP|2668832403961817698</stp>
        <tr r="R1641" s="2"/>
      </tp>
      <tp t="s">
        <v>#N/A N/A</v>
        <stp/>
        <stp>BDP|7774405393157428075</stp>
        <tr r="R850" s="2"/>
      </tp>
      <tp t="s">
        <v>#N/A N/A</v>
        <stp/>
        <stp>BDP|2765738526503650939</stp>
        <tr r="S1463" s="2"/>
      </tp>
      <tp t="s">
        <v>#N/A N/A</v>
        <stp/>
        <stp>BDP|6178972440041168704</stp>
        <tr r="O1503" s="2"/>
      </tp>
      <tp t="s">
        <v>#N/A N/A</v>
        <stp/>
        <stp>BDP|1884933719276578209</stp>
        <tr r="G1252" s="2"/>
      </tp>
      <tp t="s">
        <v>#N/A N/A</v>
        <stp/>
        <stp>BDP|5354636686006934086</stp>
        <tr r="H349" s="2"/>
      </tp>
      <tp t="s">
        <v>#N/A N/A</v>
        <stp/>
        <stp>BDP|8244993971289529281</stp>
        <tr r="P1489" s="2"/>
      </tp>
      <tp t="s">
        <v>#N/A N/A</v>
        <stp/>
        <stp>BDP|1879257087344962243</stp>
        <tr r="F1212" s="2"/>
      </tp>
      <tp t="s">
        <v>#N/A N/A</v>
        <stp/>
        <stp>BDP|1047871618710068582</stp>
        <tr r="H1515" s="2"/>
      </tp>
      <tp t="s">
        <v>#N/A N/A</v>
        <stp/>
        <stp>BDP|6853837765465886026</stp>
        <tr r="P338" s="2"/>
      </tp>
      <tp t="s">
        <v>#N/A N/A</v>
        <stp/>
        <stp>BDP|6771899686002858943</stp>
        <tr r="D1632" s="2"/>
      </tp>
      <tp t="s">
        <v>#N/A N/A</v>
        <stp/>
        <stp>BDP|2089202896750061420</stp>
        <tr r="D1660" s="2"/>
      </tp>
      <tp t="s">
        <v>#N/A N/A</v>
        <stp/>
        <stp>BDP|8868871328889311605</stp>
        <tr r="N468" s="2"/>
      </tp>
      <tp t="s">
        <v>#N/A N/A</v>
        <stp/>
        <stp>BDP|5684054853719591419</stp>
        <tr r="D1370" s="2"/>
      </tp>
      <tp t="s">
        <v>#N/A N/A</v>
        <stp/>
        <stp>BDP|4376483493457495383</stp>
        <tr r="S673" s="2"/>
      </tp>
      <tp t="s">
        <v>#N/A N/A</v>
        <stp/>
        <stp>BDP|5398839805844517443</stp>
        <tr r="H438" s="2"/>
      </tp>
      <tp t="s">
        <v>#N/A N/A</v>
        <stp/>
        <stp>BDP|6249633079422816848</stp>
        <tr r="D1510" s="2"/>
      </tp>
      <tp t="s">
        <v>#N/A N/A</v>
        <stp/>
        <stp>BDP|4768209785536059562</stp>
        <tr r="T1336" s="2"/>
      </tp>
      <tp t="s">
        <v>#N/A N/A</v>
        <stp/>
        <stp>BDP|7255881017474997704</stp>
        <tr r="A1517" s="2"/>
      </tp>
      <tp t="s">
        <v>#N/A N/A</v>
        <stp/>
        <stp>BDP|1132354963891153826</stp>
        <tr r="D1688" s="2"/>
      </tp>
      <tp t="s">
        <v>#N/A N/A</v>
        <stp/>
        <stp>BDP|1737492599517632658</stp>
        <tr r="N1730" s="2"/>
      </tp>
      <tp t="s">
        <v>#N/A N/A</v>
        <stp/>
        <stp>BDP|1536967255527395717</stp>
        <tr r="R127" s="2"/>
      </tp>
      <tp t="s">
        <v>#N/A N/A</v>
        <stp/>
        <stp>BDP|8412400125116168549</stp>
        <tr r="A612" s="2"/>
      </tp>
      <tp t="s">
        <v>#N/A N/A</v>
        <stp/>
        <stp>BDS|8086863752128922095</stp>
        <tr r="I1527" s="2"/>
      </tp>
      <tp t="s">
        <v>#N/A N/A</v>
        <stp/>
        <stp>BDP|9173295178543562210</stp>
        <tr r="J1498" s="2"/>
      </tp>
      <tp t="s">
        <v>#N/A N/A</v>
        <stp/>
        <stp>BDP|7945095084774157612</stp>
        <tr r="D672" s="2"/>
      </tp>
      <tp t="s">
        <v>#N/A N/A</v>
        <stp/>
        <stp>BDS|6110955353615283218</stp>
        <tr r="I51" s="2"/>
      </tp>
      <tp t="s">
        <v>#N/A N/A</v>
        <stp/>
        <stp>BDP|2096210466199499270</stp>
        <tr r="O143" s="2"/>
      </tp>
      <tp t="s">
        <v>#N/A N/A</v>
        <stp/>
        <stp>BDP|1828831440478858873</stp>
        <tr r="P1174" s="2"/>
      </tp>
      <tp t="s">
        <v>#N/A N/A</v>
        <stp/>
        <stp>BDP|3249064241972100808</stp>
        <tr r="S217" s="2"/>
      </tp>
      <tp t="s">
        <v>#N/A N/A</v>
        <stp/>
        <stp>BDP|8571740843534532230</stp>
        <tr r="A358" s="2"/>
      </tp>
      <tp t="s">
        <v>#N/A N/A</v>
        <stp/>
        <stp>BDP|5287108130099755314</stp>
        <tr r="C1045" s="2"/>
      </tp>
      <tp t="s">
        <v>#N/A N/A</v>
        <stp/>
        <stp>BDP|8282205383169383664</stp>
        <tr r="K1147" s="2"/>
      </tp>
      <tp t="s">
        <v>#N/A N/A</v>
        <stp/>
        <stp>BDP|8176289258272381064</stp>
        <tr r="P33" s="2"/>
      </tp>
      <tp t="s">
        <v>#N/A N/A</v>
        <stp/>
        <stp>BDS|2733806883509570654</stp>
        <tr r="I764" s="2"/>
      </tp>
      <tp t="s">
        <v>#N/A N/A</v>
        <stp/>
        <stp>BDP|9706275445217746560</stp>
        <tr r="E1187" s="2"/>
      </tp>
      <tp t="s">
        <v>#N/A N/A</v>
        <stp/>
        <stp>BDP|5755662900277039954</stp>
        <tr r="A1052" s="2"/>
      </tp>
      <tp t="s">
        <v>#N/A N/A</v>
        <stp/>
        <stp>BDP|7034493692767710083</stp>
        <tr r="D156" s="2"/>
      </tp>
      <tp t="s">
        <v>#N/A N/A</v>
        <stp/>
        <stp>BDP|9677102661492509164</stp>
        <tr r="Q1612" s="2"/>
      </tp>
      <tp t="s">
        <v>#N/A N/A</v>
        <stp/>
        <stp>BDP|7711315842504345930</stp>
        <tr r="M137" s="2"/>
      </tp>
      <tp t="s">
        <v>#N/A N/A</v>
        <stp/>
        <stp>BDP|4630149510380694905</stp>
        <tr r="J1522" s="2"/>
      </tp>
      <tp t="s">
        <v>#N/A N/A</v>
        <stp/>
        <stp>BDP|7319032495000928385</stp>
        <tr r="D841" s="2"/>
      </tp>
      <tp t="s">
        <v>#N/A N/A</v>
        <stp/>
        <stp>BDP|6405493395404811241</stp>
        <tr r="Q1420" s="2"/>
      </tp>
      <tp t="s">
        <v>#N/A N/A</v>
        <stp/>
        <stp>BDP|5333872904010148052</stp>
        <tr r="M869" s="2"/>
      </tp>
      <tp t="s">
        <v>#N/A N/A</v>
        <stp/>
        <stp>BDP|8091730421731018168</stp>
        <tr r="R52" s="2"/>
      </tp>
      <tp t="s">
        <v>#N/A N/A</v>
        <stp/>
        <stp>BDS|9788911083514787161</stp>
        <tr r="I225" s="2"/>
      </tp>
      <tp t="s">
        <v>#N/A N/A</v>
        <stp/>
        <stp>BDP|5181112025792727969</stp>
        <tr r="H1520" s="2"/>
      </tp>
      <tp t="s">
        <v>#N/A N/A</v>
        <stp/>
        <stp>BDP|9156707252097266152</stp>
        <tr r="N880" s="2"/>
      </tp>
      <tp t="s">
        <v>#N/A N/A</v>
        <stp/>
        <stp>BDS|1790430684146099644</stp>
        <tr r="I1272" s="2"/>
      </tp>
      <tp t="s">
        <v>#N/A N/A</v>
        <stp/>
        <stp>BDP|4016500517265334819</stp>
        <tr r="T1729" s="2"/>
      </tp>
      <tp t="s">
        <v>#N/A N/A</v>
        <stp/>
        <stp>BDP|9924599927763476062</stp>
        <tr r="A568" s="2"/>
      </tp>
      <tp t="s">
        <v>#N/A N/A</v>
        <stp/>
        <stp>BDS|4193376758739234690</stp>
        <tr r="I798" s="2"/>
      </tp>
      <tp t="s">
        <v>#N/A N/A</v>
        <stp/>
        <stp>BDP|9729955692302253679</stp>
        <tr r="G652" s="2"/>
      </tp>
      <tp t="s">
        <v>#N/A N/A</v>
        <stp/>
        <stp>BDP|8056235549980813370</stp>
        <tr r="E13" s="2"/>
      </tp>
      <tp t="s">
        <v>#N/A N/A</v>
        <stp/>
        <stp>BDP|6399987455251811635</stp>
        <tr r="D1455" s="2"/>
      </tp>
      <tp t="s">
        <v>#N/A N/A</v>
        <stp/>
        <stp>BDS|9968293262529795901</stp>
        <tr r="I1752" s="2"/>
      </tp>
      <tp t="s">
        <v>#N/A N/A</v>
        <stp/>
        <stp>BDP|3290251420599365711</stp>
        <tr r="K268" s="2"/>
      </tp>
      <tp t="s">
        <v>#N/A N/A</v>
        <stp/>
        <stp>BDP|2518668332539528313</stp>
        <tr r="F1376" s="2"/>
      </tp>
      <tp t="s">
        <v>#N/A N/A</v>
        <stp/>
        <stp>BDP|9901082009677984341</stp>
        <tr r="E1723" s="2"/>
      </tp>
      <tp t="s">
        <v>#N/A N/A</v>
        <stp/>
        <stp>BDP|8221360794097463819</stp>
        <tr r="K1386" s="2"/>
      </tp>
      <tp t="s">
        <v>#N/A N/A</v>
        <stp/>
        <stp>BDP|6693793363648940204</stp>
        <tr r="O45" s="2"/>
      </tp>
      <tp t="s">
        <v>#N/A N/A</v>
        <stp/>
        <stp>BDP|8006640204296580506</stp>
        <tr r="H1304" s="2"/>
      </tp>
      <tp t="s">
        <v>#N/A N/A</v>
        <stp/>
        <stp>BDP|7107009982477766517</stp>
        <tr r="Q1611" s="2"/>
      </tp>
      <tp t="s">
        <v>#N/A N/A</v>
        <stp/>
        <stp>BDP|9014941832636580862</stp>
        <tr r="J370" s="2"/>
      </tp>
      <tp t="s">
        <v>#N/A N/A</v>
        <stp/>
        <stp>BDP|7191253891796708771</stp>
        <tr r="E524" s="2"/>
      </tp>
      <tp t="s">
        <v>#N/A N/A</v>
        <stp/>
        <stp>BDP|1324912970054493635</stp>
        <tr r="S1022" s="2"/>
      </tp>
      <tp t="s">
        <v>#N/A N/A</v>
        <stp/>
        <stp>BDP|9042288125606064283</stp>
        <tr r="N100" s="2"/>
      </tp>
      <tp t="s">
        <v>#N/A N/A</v>
        <stp/>
        <stp>BDP|4894164499272224302</stp>
        <tr r="O916" s="2"/>
      </tp>
      <tp t="s">
        <v>#N/A N/A</v>
        <stp/>
        <stp>BDP|9655808272359768267</stp>
        <tr r="C1715" s="2"/>
      </tp>
      <tp t="s">
        <v>#N/A N/A</v>
        <stp/>
        <stp>BDP|4641928063553461561</stp>
        <tr r="R1036" s="2"/>
      </tp>
      <tp t="s">
        <v>#N/A N/A</v>
        <stp/>
        <stp>BDP|6542392835343988853</stp>
        <tr r="E1097" s="2"/>
      </tp>
      <tp t="s">
        <v>#N/A N/A</v>
        <stp/>
        <stp>BDS|5334360932389057128</stp>
        <tr r="I594" s="2"/>
      </tp>
      <tp t="s">
        <v>#N/A N/A</v>
        <stp/>
        <stp>BDP|7748321797260185061</stp>
        <tr r="P1286" s="2"/>
      </tp>
      <tp t="s">
        <v>#N/A N/A</v>
        <stp/>
        <stp>BDP|2823284616729570567</stp>
        <tr r="D1302" s="2"/>
      </tp>
      <tp t="s">
        <v>#N/A N/A</v>
        <stp/>
        <stp>BDP|4967164097058540987</stp>
        <tr r="T822" s="2"/>
      </tp>
      <tp t="s">
        <v>#N/A N/A</v>
        <stp/>
        <stp>BDP|3215742847714520917</stp>
        <tr r="E999" s="2"/>
      </tp>
      <tp t="s">
        <v>#N/A N/A</v>
        <stp/>
        <stp>BDP|3698326091847233325</stp>
        <tr r="A1554" s="2"/>
      </tp>
      <tp t="s">
        <v>#N/A N/A</v>
        <stp/>
        <stp>BDP|3755360304524634963</stp>
        <tr r="J435" s="2"/>
      </tp>
      <tp t="s">
        <v>#N/A N/A</v>
        <stp/>
        <stp>BDP|8211006642378702924</stp>
        <tr r="O605" s="2"/>
      </tp>
      <tp t="s">
        <v>#N/A N/A</v>
        <stp/>
        <stp>BDP|8524390132164877137</stp>
        <tr r="C1141" s="2"/>
      </tp>
      <tp t="s">
        <v>#N/A N/A</v>
        <stp/>
        <stp>BDP|3393697478207372848</stp>
        <tr r="H1423" s="2"/>
      </tp>
      <tp t="s">
        <v>#N/A N/A</v>
        <stp/>
        <stp>BDP|7713429740123393933</stp>
        <tr r="A1694" s="2"/>
      </tp>
      <tp t="s">
        <v>#N/A N/A</v>
        <stp/>
        <stp>BDP|3387031710538674738</stp>
        <tr r="S212" s="2"/>
      </tp>
      <tp t="s">
        <v>#N/A N/A</v>
        <stp/>
        <stp>BDP|2748827871837290731</stp>
        <tr r="D1329" s="2"/>
      </tp>
      <tp t="s">
        <v>#N/A N/A</v>
        <stp/>
        <stp>BDP|5091144295724502419</stp>
        <tr r="M108" s="2"/>
      </tp>
      <tp t="s">
        <v>#N/A N/A</v>
        <stp/>
        <stp>BDP|7368394390255807573</stp>
        <tr r="R646" s="2"/>
      </tp>
      <tp t="s">
        <v>#N/A N/A</v>
        <stp/>
        <stp>BDP|8571129997865234876</stp>
        <tr r="G1606" s="2"/>
      </tp>
      <tp t="s">
        <v>#N/A N/A</v>
        <stp/>
        <stp>BDP|1100543453685029935</stp>
        <tr r="M99" s="2"/>
      </tp>
      <tp t="s">
        <v>#N/A N/A</v>
        <stp/>
        <stp>BDP|4600381280017905523</stp>
        <tr r="N1488" s="2"/>
      </tp>
      <tp t="s">
        <v>#N/A N/A</v>
        <stp/>
        <stp>BDP|6084928027974991492</stp>
        <tr r="S1247" s="2"/>
      </tp>
      <tp t="s">
        <v>#N/A N/A</v>
        <stp/>
        <stp>BDP|2962970282128111684</stp>
        <tr r="G45" s="2"/>
      </tp>
      <tp t="s">
        <v>#N/A N/A</v>
        <stp/>
        <stp>BDP|2470873111544528221</stp>
        <tr r="Q1269" s="2"/>
      </tp>
      <tp t="s">
        <v>#N/A N/A</v>
        <stp/>
        <stp>BDP|5011810919621807055</stp>
        <tr r="M11" s="2"/>
      </tp>
      <tp t="s">
        <v>#N/A N/A</v>
        <stp/>
        <stp>BDP|5064235052737519817</stp>
        <tr r="T1536" s="2"/>
      </tp>
      <tp t="s">
        <v>#N/A N/A</v>
        <stp/>
        <stp>BDP|9476790138888947899</stp>
        <tr r="M1492" s="2"/>
      </tp>
      <tp t="s">
        <v>#N/A N/A</v>
        <stp/>
        <stp>BDS|9999808741459922146</stp>
        <tr r="I1507" s="2"/>
      </tp>
      <tp t="s">
        <v>#N/A N/A</v>
        <stp/>
        <stp>BDP|2869412675214973804</stp>
        <tr r="K1237" s="2"/>
      </tp>
      <tp t="s">
        <v>#N/A N/A</v>
        <stp/>
        <stp>BDS|8847005330782942444</stp>
        <tr r="I1549" s="2"/>
      </tp>
      <tp t="s">
        <v>#N/A N/A</v>
        <stp/>
        <stp>BDP|9722090140915968528</stp>
        <tr r="R1156" s="2"/>
      </tp>
      <tp t="s">
        <v>#N/A N/A</v>
        <stp/>
        <stp>BDP|2278822963736026764</stp>
        <tr r="E484" s="2"/>
      </tp>
      <tp t="s">
        <v>#N/A N/A</v>
        <stp/>
        <stp>BDS|4748458045879039020</stp>
        <tr r="I1479" s="2"/>
      </tp>
      <tp t="s">
        <v>#N/A N/A</v>
        <stp/>
        <stp>BDP|9006255546514375653</stp>
        <tr r="F1263" s="2"/>
      </tp>
      <tp t="s">
        <v>#N/A N/A</v>
        <stp/>
        <stp>BDP|5711123647154179960</stp>
        <tr r="R1647" s="2"/>
      </tp>
      <tp t="s">
        <v>#N/A N/A</v>
        <stp/>
        <stp>BDP|9710001571660277316</stp>
        <tr r="T1209" s="2"/>
      </tp>
      <tp t="s">
        <v>#N/A N/A</v>
        <stp/>
        <stp>BDP|8603399315014873379</stp>
        <tr r="R1063" s="2"/>
      </tp>
      <tp t="s">
        <v>#N/A N/A</v>
        <stp/>
        <stp>BDP|8750828911628198405</stp>
        <tr r="N1021" s="2"/>
      </tp>
      <tp t="s">
        <v>#N/A N/A</v>
        <stp/>
        <stp>BDP|1294675392980507372</stp>
        <tr r="N969" s="2"/>
      </tp>
      <tp t="s">
        <v>#N/A N/A</v>
        <stp/>
        <stp>BDP|6057515486641676747</stp>
        <tr r="F19" s="2"/>
      </tp>
      <tp t="s">
        <v>#N/A N/A</v>
        <stp/>
        <stp>BDP|3953961969208066936</stp>
        <tr r="P1608" s="2"/>
      </tp>
      <tp t="s">
        <v>#N/A N/A</v>
        <stp/>
        <stp>BDP|3612194819167557967</stp>
        <tr r="K1238" s="2"/>
      </tp>
      <tp t="s">
        <v>#N/A N/A</v>
        <stp/>
        <stp>BDP|7960114513900369924</stp>
        <tr r="E576" s="2"/>
      </tp>
      <tp t="s">
        <v>#N/A N/A</v>
        <stp/>
        <stp>BDP|6664539315508306492</stp>
        <tr r="E187" s="2"/>
      </tp>
      <tp t="s">
        <v>#N/A N/A</v>
        <stp/>
        <stp>BDP|4242132057439883742</stp>
        <tr r="G1303" s="2"/>
      </tp>
      <tp t="s">
        <v>#N/A N/A</v>
        <stp/>
        <stp>BDP|7534456325418995763</stp>
        <tr r="E517" s="2"/>
      </tp>
      <tp t="s">
        <v>#N/A N/A</v>
        <stp/>
        <stp>BDS|8525388648659908864</stp>
        <tr r="I54" s="2"/>
      </tp>
      <tp t="s">
        <v>#N/A N/A</v>
        <stp/>
        <stp>BDP|8990446059573650485</stp>
        <tr r="N618" s="2"/>
      </tp>
      <tp t="s">
        <v>#N/A N/A</v>
        <stp/>
        <stp>BDP|2793984749424434580</stp>
        <tr r="J465" s="2"/>
      </tp>
      <tp t="s">
        <v>#N/A N/A</v>
        <stp/>
        <stp>BDP|9564305600016911268</stp>
        <tr r="O1656" s="2"/>
      </tp>
      <tp t="s">
        <v>#N/A N/A</v>
        <stp/>
        <stp>BDP|8312085878004164588</stp>
        <tr r="G1487" s="2"/>
      </tp>
      <tp t="s">
        <v>#N/A N/A</v>
        <stp/>
        <stp>BDP|4074968859785705325</stp>
        <tr r="Q1016" s="2"/>
      </tp>
      <tp t="s">
        <v>#N/A N/A</v>
        <stp/>
        <stp>BDP|8207175036961019591</stp>
        <tr r="J478" s="2"/>
      </tp>
      <tp t="s">
        <v>#N/A N/A</v>
        <stp/>
        <stp>BDP|7403327985045197782</stp>
        <tr r="N404" s="2"/>
      </tp>
      <tp t="s">
        <v>#N/A N/A</v>
        <stp/>
        <stp>BDP|6570208608752316846</stp>
        <tr r="H282" s="2"/>
      </tp>
      <tp t="s">
        <v>#N/A N/A</v>
        <stp/>
        <stp>BDP|8986434708054824601</stp>
        <tr r="D1424" s="2"/>
      </tp>
      <tp t="s">
        <v>#N/A N/A</v>
        <stp/>
        <stp>BDP|2896861769401920341</stp>
        <tr r="E1081" s="2"/>
      </tp>
      <tp t="s">
        <v>#N/A N/A</v>
        <stp/>
        <stp>BDP|2210656705372883803</stp>
        <tr r="O1141" s="2"/>
      </tp>
      <tp t="s">
        <v>#N/A N/A</v>
        <stp/>
        <stp>BDP|5253297591376682666</stp>
        <tr r="O476" s="2"/>
      </tp>
      <tp t="s">
        <v>#N/A N/A</v>
        <stp/>
        <stp>BDP|9436540809050185224</stp>
        <tr r="O783" s="2"/>
      </tp>
      <tp t="s">
        <v>#N/A N/A</v>
        <stp/>
        <stp>BDP|5407966440195893300</stp>
        <tr r="C1252" s="2"/>
      </tp>
      <tp t="s">
        <v>#N/A N/A</v>
        <stp/>
        <stp>BDP|5373450489200450711</stp>
        <tr r="T71" s="2"/>
      </tp>
      <tp t="s">
        <v>#N/A N/A</v>
        <stp/>
        <stp>BDP|6829864430895479608</stp>
        <tr r="H802" s="2"/>
      </tp>
      <tp t="s">
        <v>#N/A N/A</v>
        <stp/>
        <stp>BDP|1414791992608779921</stp>
        <tr r="A1541" s="2"/>
      </tp>
      <tp t="s">
        <v>#N/A N/A</v>
        <stp/>
        <stp>BDS|5216291083738340910</stp>
        <tr r="I474" s="2"/>
      </tp>
      <tp t="s">
        <v>#N/A N/A</v>
        <stp/>
        <stp>BDP|9882690524004691791</stp>
        <tr r="S989" s="2"/>
      </tp>
      <tp t="s">
        <v>#N/A N/A</v>
        <stp/>
        <stp>BDP|6844813544266223254</stp>
        <tr r="H1369" s="2"/>
      </tp>
      <tp t="s">
        <v>#N/A N/A</v>
        <stp/>
        <stp>BDP|6618039181409898966</stp>
        <tr r="R799" s="2"/>
      </tp>
      <tp t="s">
        <v>#N/A N/A</v>
        <stp/>
        <stp>BDP|8813553705527273402</stp>
        <tr r="A1387" s="2"/>
      </tp>
      <tp t="s">
        <v>#N/A N/A</v>
        <stp/>
        <stp>BDP|2783074508339655548</stp>
        <tr r="O21" s="2"/>
      </tp>
      <tp t="s">
        <v>#N/A N/A</v>
        <stp/>
        <stp>BDP|6038014263836059888</stp>
        <tr r="C520" s="2"/>
      </tp>
      <tp t="s">
        <v>#N/A N/A</v>
        <stp/>
        <stp>BDP|1957596089243730140</stp>
        <tr r="S1585" s="2"/>
      </tp>
      <tp t="s">
        <v>#N/A N/A</v>
        <stp/>
        <stp>BDP|5131601980041211491</stp>
        <tr r="Q7" s="2"/>
      </tp>
      <tp t="s">
        <v>#N/A N/A</v>
        <stp/>
        <stp>BDP|7165326137498706196</stp>
        <tr r="S1696" s="2"/>
      </tp>
      <tp t="s">
        <v>#N/A N/A</v>
        <stp/>
        <stp>BDP|9493097676476999681</stp>
        <tr r="E376" s="2"/>
      </tp>
      <tp t="s">
        <v>#N/A N/A</v>
        <stp/>
        <stp>BDP|8225465809996330448</stp>
        <tr r="J551" s="2"/>
      </tp>
      <tp t="s">
        <v>#N/A N/A</v>
        <stp/>
        <stp>BDP|6621854116607777682</stp>
        <tr r="H1372" s="2"/>
      </tp>
      <tp t="s">
        <v>#N/A N/A</v>
        <stp/>
        <stp>BDP|2541352986773500494</stp>
        <tr r="R447" s="2"/>
      </tp>
      <tp t="s">
        <v>#N/A N/A</v>
        <stp/>
        <stp>BDP|8401948446288499387</stp>
        <tr r="O383" s="2"/>
      </tp>
      <tp t="s">
        <v>#N/A N/A</v>
        <stp/>
        <stp>BDP|3087458348769155466</stp>
        <tr r="G1446" s="2"/>
      </tp>
      <tp t="s">
        <v>#N/A N/A</v>
        <stp/>
        <stp>BDP|9377669268131226659</stp>
        <tr r="J289" s="2"/>
      </tp>
      <tp t="s">
        <v>#N/A N/A</v>
        <stp/>
        <stp>BDP|5073890256680277672</stp>
        <tr r="F1113" s="2"/>
      </tp>
      <tp t="s">
        <v>#N/A N/A</v>
        <stp/>
        <stp>BDS|7919583542410022893</stp>
        <tr r="I1585" s="2"/>
      </tp>
      <tp t="s">
        <v>#N/A N/A</v>
        <stp/>
        <stp>BDP|7673156739989669269</stp>
        <tr r="D1477" s="2"/>
      </tp>
      <tp t="s">
        <v>#N/A N/A</v>
        <stp/>
        <stp>BDP|8672317144028067991</stp>
        <tr r="K522" s="2"/>
      </tp>
      <tp t="s">
        <v>#N/A N/A</v>
        <stp/>
        <stp>BDP|8810712607059002844</stp>
        <tr r="O1731" s="2"/>
      </tp>
      <tp t="s">
        <v>#N/A N/A</v>
        <stp/>
        <stp>BDP|1183536058448395734</stp>
        <tr r="M266" s="2"/>
      </tp>
      <tp t="s">
        <v>#N/A N/A</v>
        <stp/>
        <stp>BDP|6579963101532123394</stp>
        <tr r="T80" s="2"/>
      </tp>
      <tp t="s">
        <v>#N/A N/A</v>
        <stp/>
        <stp>BDP|3878011209655314896</stp>
        <tr r="A1363" s="2"/>
      </tp>
      <tp t="s">
        <v>#N/A N/A</v>
        <stp/>
        <stp>BDP|9061597353145408246</stp>
        <tr r="S1040" s="2"/>
      </tp>
      <tp t="s">
        <v>#N/A N/A</v>
        <stp/>
        <stp>BDP|8402664519151495045</stp>
        <tr r="J939" s="2"/>
      </tp>
      <tp t="s">
        <v>#N/A N/A</v>
        <stp/>
        <stp>BDP|6537186406818120116</stp>
        <tr r="T855" s="2"/>
      </tp>
      <tp t="s">
        <v>#N/A N/A</v>
        <stp/>
        <stp>BDS|9195347799298453533</stp>
        <tr r="I1229" s="2"/>
      </tp>
      <tp t="s">
        <v>#N/A N/A</v>
        <stp/>
        <stp>BDP|4369403417727836878</stp>
        <tr r="F307" s="2"/>
      </tp>
      <tp t="s">
        <v>#N/A N/A</v>
        <stp/>
        <stp>BDP|1808686499339385914</stp>
        <tr r="Q1172" s="2"/>
      </tp>
      <tp t="s">
        <v>#N/A N/A</v>
        <stp/>
        <stp>BDP|9062296710084586071</stp>
        <tr r="S1593" s="2"/>
      </tp>
      <tp t="s">
        <v>#N/A N/A</v>
        <stp/>
        <stp>BDP|7773876498828123023</stp>
        <tr r="D1338" s="2"/>
      </tp>
      <tp t="s">
        <v>#N/A N/A</v>
        <stp/>
        <stp>BDP|8306342059939013952</stp>
        <tr r="J1162" s="2"/>
      </tp>
      <tp t="s">
        <v>#N/A N/A</v>
        <stp/>
        <stp>BDP|1318080466149317059</stp>
        <tr r="J756" s="2"/>
      </tp>
      <tp t="s">
        <v>#N/A N/A</v>
        <stp/>
        <stp>BDS|4918824013890713345</stp>
        <tr r="I690" s="2"/>
      </tp>
      <tp t="s">
        <v>#N/A N/A</v>
        <stp/>
        <stp>BDP|6634599460018282368</stp>
        <tr r="C341" s="2"/>
      </tp>
      <tp t="s">
        <v>#N/A N/A</v>
        <stp/>
        <stp>BDP|3176512957704513999</stp>
        <tr r="S1072" s="2"/>
      </tp>
      <tp t="s">
        <v>#N/A N/A</v>
        <stp/>
        <stp>BDP|2542024598323586617</stp>
        <tr r="R693" s="2"/>
      </tp>
      <tp t="s">
        <v>#N/A N/A</v>
        <stp/>
        <stp>BDP|8554856772391086894</stp>
        <tr r="C185" s="2"/>
      </tp>
      <tp t="s">
        <v>#N/A N/A</v>
        <stp/>
        <stp>BDP|5778675387825520094</stp>
        <tr r="C39" s="2"/>
      </tp>
      <tp t="s">
        <v>#N/A N/A</v>
        <stp/>
        <stp>BDP|6846563675193720978</stp>
        <tr r="Q229" s="2"/>
      </tp>
      <tp t="s">
        <v>#N/A N/A</v>
        <stp/>
        <stp>BDP|6083466998160216572</stp>
        <tr r="M1656" s="2"/>
      </tp>
      <tp t="s">
        <v>#N/A N/A</v>
        <stp/>
        <stp>BDP|1352648596406917637</stp>
        <tr r="A45" s="2"/>
      </tp>
      <tp t="s">
        <v>#N/A N/A</v>
        <stp/>
        <stp>BDP|3949790839590091926</stp>
        <tr r="E842" s="2"/>
      </tp>
      <tp t="s">
        <v>#N/A N/A</v>
        <stp/>
        <stp>BDP|2340651464184909805</stp>
        <tr r="H1405" s="2"/>
      </tp>
      <tp t="s">
        <v>#N/A N/A</v>
        <stp/>
        <stp>BDP|1538741880075813523</stp>
        <tr r="M1242" s="2"/>
      </tp>
      <tp t="s">
        <v>#N/A N/A</v>
        <stp/>
        <stp>BDP|1655035569459341040</stp>
        <tr r="M81" s="2"/>
      </tp>
      <tp t="s">
        <v>#N/A N/A</v>
        <stp/>
        <stp>BDP|2658564195184795499</stp>
        <tr r="H157" s="2"/>
      </tp>
      <tp t="s">
        <v>#N/A N/A</v>
        <stp/>
        <stp>BDP|9835661334630270233</stp>
        <tr r="G98" s="2"/>
      </tp>
      <tp t="s">
        <v>#N/A N/A</v>
        <stp/>
        <stp>BDP|5745485385852001519</stp>
        <tr r="N919" s="2"/>
      </tp>
      <tp t="s">
        <v>#N/A N/A</v>
        <stp/>
        <stp>BDP|5615077522121168891</stp>
        <tr r="C732" s="2"/>
      </tp>
      <tp t="s">
        <v>#N/A N/A</v>
        <stp/>
        <stp>BDP|7719411899903193753</stp>
        <tr r="S127" s="2"/>
      </tp>
      <tp t="s">
        <v>#N/A N/A</v>
        <stp/>
        <stp>BDP|6547203907218103286</stp>
        <tr r="T1254" s="2"/>
      </tp>
      <tp t="s">
        <v>#N/A N/A</v>
        <stp/>
        <stp>BDP|8515590818776865473</stp>
        <tr r="H323" s="2"/>
      </tp>
      <tp t="s">
        <v>#N/A N/A</v>
        <stp/>
        <stp>BDP|7064709229959745550</stp>
        <tr r="S886" s="2"/>
      </tp>
      <tp t="s">
        <v>#N/A N/A</v>
        <stp/>
        <stp>BDP|5909643364402268903</stp>
        <tr r="H331" s="2"/>
      </tp>
      <tp t="s">
        <v>#N/A N/A</v>
        <stp/>
        <stp>BDP|1749486555547915984</stp>
        <tr r="H1229" s="2"/>
      </tp>
      <tp t="s">
        <v>#N/A N/A</v>
        <stp/>
        <stp>BDP|3777738062634429899</stp>
        <tr r="S1549" s="2"/>
      </tp>
      <tp t="s">
        <v>#N/A N/A</v>
        <stp/>
        <stp>BDP|6917869684661536958</stp>
        <tr r="O8" s="2"/>
      </tp>
      <tp t="s">
        <v>#N/A N/A</v>
        <stp/>
        <stp>BDP|7605820693781559997</stp>
        <tr r="H299" s="2"/>
      </tp>
      <tp t="s">
        <v>#N/A N/A</v>
        <stp/>
        <stp>BDP|4360366696567023782</stp>
        <tr r="E1566" s="2"/>
      </tp>
      <tp t="s">
        <v>#N/A N/A</v>
        <stp/>
        <stp>BDP|2075965826552965524</stp>
        <tr r="C1025" s="2"/>
      </tp>
      <tp t="s">
        <v>#N/A N/A</v>
        <stp/>
        <stp>BDP|4527399798089895977</stp>
        <tr r="J341" s="2"/>
      </tp>
      <tp t="s">
        <v>#N/A N/A</v>
        <stp/>
        <stp>BDP|3028231084164875340</stp>
        <tr r="D662" s="2"/>
      </tp>
      <tp t="s">
        <v>#N/A N/A</v>
        <stp/>
        <stp>BDP|8097992968100985937</stp>
        <tr r="T502" s="2"/>
      </tp>
      <tp t="s">
        <v>#N/A N/A</v>
        <stp/>
        <stp>BDP|9071540592509841252</stp>
        <tr r="E1230" s="2"/>
      </tp>
      <tp t="s">
        <v>#N/A N/A</v>
        <stp/>
        <stp>BDP|6103165827632313986</stp>
        <tr r="G1321" s="2"/>
      </tp>
      <tp t="s">
        <v>#N/A N/A</v>
        <stp/>
        <stp>BDP|1266219450800146894</stp>
        <tr r="P682" s="2"/>
      </tp>
      <tp t="s">
        <v>#N/A N/A</v>
        <stp/>
        <stp>BDP|9701459578524520049</stp>
        <tr r="K37" s="2"/>
      </tp>
      <tp t="s">
        <v>#N/A N/A</v>
        <stp/>
        <stp>BDP|4213969945783308498</stp>
        <tr r="S1149" s="2"/>
      </tp>
      <tp t="s">
        <v>#N/A N/A</v>
        <stp/>
        <stp>BDP|2403378488432287522</stp>
        <tr r="J266" s="2"/>
      </tp>
      <tp t="s">
        <v>#N/A N/A</v>
        <stp/>
        <stp>BDP|5044939040956894034</stp>
        <tr r="E1629" s="2"/>
      </tp>
      <tp t="s">
        <v>#N/A N/A</v>
        <stp/>
        <stp>BDP|8658337122857649096</stp>
        <tr r="P982" s="2"/>
      </tp>
      <tp t="s">
        <v>#N/A N/A</v>
        <stp/>
        <stp>BDP|9003248788798048543</stp>
        <tr r="C405" s="2"/>
      </tp>
      <tp t="s">
        <v>#N/A N/A</v>
        <stp/>
        <stp>BDP|5574283255388573458</stp>
        <tr r="T145" s="2"/>
      </tp>
      <tp t="s">
        <v>#N/A N/A</v>
        <stp/>
        <stp>BDP|1500054170060984817</stp>
        <tr r="D347" s="2"/>
      </tp>
      <tp t="s">
        <v>#N/A N/A</v>
        <stp/>
        <stp>BDP|4135020839998069127</stp>
        <tr r="R1291" s="2"/>
      </tp>
      <tp t="s">
        <v>#N/A N/A</v>
        <stp/>
        <stp>BDP|1118960718514668318</stp>
        <tr r="H586" s="2"/>
      </tp>
      <tp t="s">
        <v>#N/A N/A</v>
        <stp/>
        <stp>BDP|1316925454912850152</stp>
        <tr r="A1482" s="2"/>
      </tp>
      <tp t="s">
        <v>#N/A N/A</v>
        <stp/>
        <stp>BDP|6093905505751990048</stp>
        <tr r="K997" s="2"/>
      </tp>
      <tp t="s">
        <v>#N/A N/A</v>
        <stp/>
        <stp>BDP|4929982368850879592</stp>
        <tr r="A61" s="2"/>
      </tp>
      <tp t="s">
        <v>#N/A N/A</v>
        <stp/>
        <stp>BDP|4866749226627321816</stp>
        <tr r="C1390" s="2"/>
      </tp>
      <tp t="s">
        <v>#N/A N/A</v>
        <stp/>
        <stp>BDP|5423160588324694645</stp>
        <tr r="N399" s="2"/>
      </tp>
      <tp t="s">
        <v>#N/A N/A</v>
        <stp/>
        <stp>BDP|2914413881489535948</stp>
        <tr r="G1309" s="2"/>
      </tp>
      <tp t="s">
        <v>#N/A N/A</v>
        <stp/>
        <stp>BDP|5405158083120929236</stp>
        <tr r="A68" s="2"/>
      </tp>
      <tp t="s">
        <v>#N/A N/A</v>
        <stp/>
        <stp>BDP|6273159298464508427</stp>
        <tr r="Q1144" s="2"/>
      </tp>
      <tp t="s">
        <v>#N/A N/A</v>
        <stp/>
        <stp>BDP|8282388764863679002</stp>
        <tr r="A461" s="2"/>
      </tp>
      <tp t="s">
        <v>#N/A N/A</v>
        <stp/>
        <stp>BDP|3755883878806656496</stp>
        <tr r="P743" s="2"/>
      </tp>
      <tp t="s">
        <v>#N/A N/A</v>
        <stp/>
        <stp>BDS|6361316625898805176</stp>
        <tr r="I1357" s="2"/>
      </tp>
      <tp t="s">
        <v>#N/A N/A</v>
        <stp/>
        <stp>BDP|6917915127762696116</stp>
        <tr r="F1029" s="2"/>
      </tp>
      <tp t="s">
        <v>#N/A N/A</v>
        <stp/>
        <stp>BDS|2116298012818076729</stp>
        <tr r="I1614" s="2"/>
      </tp>
      <tp t="s">
        <v>#N/A N/A</v>
        <stp/>
        <stp>BDP|6389783907219643621</stp>
        <tr r="H637" s="2"/>
      </tp>
      <tp t="s">
        <v>#N/A N/A</v>
        <stp/>
        <stp>BDP|9548726637665182690</stp>
        <tr r="H596" s="2"/>
      </tp>
      <tp t="s">
        <v>#N/A N/A</v>
        <stp/>
        <stp>BDP|8892907296824615208</stp>
        <tr r="N1314" s="2"/>
      </tp>
      <tp t="s">
        <v>#N/A N/A</v>
        <stp/>
        <stp>BDP|4833199199223801187</stp>
        <tr r="O1317" s="2"/>
      </tp>
      <tp t="s">
        <v>#N/A N/A</v>
        <stp/>
        <stp>BDP|7098174886515045592</stp>
        <tr r="C764" s="2"/>
      </tp>
      <tp t="s">
        <v>#N/A N/A</v>
        <stp/>
        <stp>BDP|9479403441884870355</stp>
        <tr r="G1237" s="2"/>
      </tp>
      <tp t="s">
        <v>#N/A N/A</v>
        <stp/>
        <stp>BDP|2968096718119179418</stp>
        <tr r="F556" s="2"/>
      </tp>
      <tp t="s">
        <v>#N/A N/A</v>
        <stp/>
        <stp>BDP|1993491682703234082</stp>
        <tr r="F1322" s="2"/>
      </tp>
      <tp t="s">
        <v>#N/A N/A</v>
        <stp/>
        <stp>BDP|5763127790750415396</stp>
        <tr r="F1034" s="2"/>
      </tp>
      <tp t="s">
        <v>#N/A N/A</v>
        <stp/>
        <stp>BDS|5223181001263452976</stp>
        <tr r="I1135" s="2"/>
      </tp>
      <tp t="s">
        <v>#N/A N/A</v>
        <stp/>
        <stp>BDS|2148850378063037045</stp>
        <tr r="I947" s="2"/>
      </tp>
      <tp t="s">
        <v>#N/A N/A</v>
        <stp/>
        <stp>BDP|5340652025259926626</stp>
        <tr r="H831" s="2"/>
      </tp>
      <tp t="s">
        <v>#N/A N/A</v>
        <stp/>
        <stp>BDP|2199493985138514809</stp>
        <tr r="G1424" s="2"/>
      </tp>
      <tp t="s">
        <v>#N/A N/A</v>
        <stp/>
        <stp>BDP|9440047729417361222</stp>
        <tr r="E260" s="2"/>
      </tp>
      <tp t="s">
        <v>#N/A N/A</v>
        <stp/>
        <stp>BDP|7600180591753521226</stp>
        <tr r="A936" s="2"/>
      </tp>
      <tp t="s">
        <v>#N/A N/A</v>
        <stp/>
        <stp>BDP|4783065918193771868</stp>
        <tr r="N521" s="2"/>
      </tp>
      <tp t="s">
        <v>#N/A N/A</v>
        <stp/>
        <stp>BDP|2617891780439140563</stp>
        <tr r="P22" s="2"/>
      </tp>
      <tp t="s">
        <v>#N/A N/A</v>
        <stp/>
        <stp>BDP|1577816197026269894</stp>
        <tr r="S334" s="2"/>
      </tp>
      <tp t="s">
        <v>#N/A N/A</v>
        <stp/>
        <stp>BDP|4096593983387193032</stp>
        <tr r="E1680" s="2"/>
      </tp>
      <tp t="s">
        <v>#N/A N/A</v>
        <stp/>
        <stp>BDP|7886237599946873423</stp>
        <tr r="O294" s="2"/>
      </tp>
      <tp t="s">
        <v>#N/A N/A</v>
        <stp/>
        <stp>BDS|3450810924056929106</stp>
        <tr r="I1694" s="2"/>
      </tp>
      <tp t="s">
        <v>#N/A N/A</v>
        <stp/>
        <stp>BDP|8637880394707135035</stp>
        <tr r="P652" s="2"/>
      </tp>
      <tp t="s">
        <v>#N/A N/A</v>
        <stp/>
        <stp>BDP|8506789512122133269</stp>
        <tr r="S853" s="2"/>
      </tp>
      <tp t="s">
        <v>#N/A N/A</v>
        <stp/>
        <stp>BDP|7137537977559868255</stp>
        <tr r="K1156" s="2"/>
      </tp>
      <tp t="s">
        <v>#N/A N/A</v>
        <stp/>
        <stp>BDP|9890502825977233773</stp>
        <tr r="T386" s="2"/>
      </tp>
      <tp t="s">
        <v>#N/A N/A</v>
        <stp/>
        <stp>BDS|1308721558068307520</stp>
        <tr r="I979" s="2"/>
      </tp>
      <tp t="s">
        <v>#N/A N/A</v>
        <stp/>
        <stp>BDP|9934184010302117580</stp>
        <tr r="K19" s="2"/>
      </tp>
      <tp t="s">
        <v>#N/A N/A</v>
        <stp/>
        <stp>BDP|3004911110003828616</stp>
        <tr r="G266" s="2"/>
      </tp>
      <tp t="s">
        <v>#N/A N/A</v>
        <stp/>
        <stp>BDP|6009775205626863920</stp>
        <tr r="S1390" s="2"/>
      </tp>
      <tp t="s">
        <v>#N/A N/A</v>
        <stp/>
        <stp>BDP|1766196313539560607</stp>
        <tr r="Q986" s="2"/>
      </tp>
      <tp t="s">
        <v>#N/A N/A</v>
        <stp/>
        <stp>BDP|6605946358096726250</stp>
        <tr r="G1155" s="2"/>
      </tp>
      <tp t="s">
        <v>#N/A N/A</v>
        <stp/>
        <stp>BDP|5041280190610650060</stp>
        <tr r="O1631" s="2"/>
      </tp>
      <tp t="s">
        <v>#N/A N/A</v>
        <stp/>
        <stp>BDP|5988627734146112868</stp>
        <tr r="F322" s="2"/>
      </tp>
      <tp t="s">
        <v>#N/A N/A</v>
        <stp/>
        <stp>BDP|3104492054579389578</stp>
        <tr r="J1214" s="2"/>
      </tp>
      <tp t="s">
        <v>#N/A N/A</v>
        <stp/>
        <stp>BDP|4029777370373719981</stp>
        <tr r="H1467" s="2"/>
      </tp>
      <tp t="s">
        <v>#N/A N/A</v>
        <stp/>
        <stp>BDP|6583424649258384050</stp>
        <tr r="G522" s="2"/>
      </tp>
      <tp t="s">
        <v>#N/A N/A</v>
        <stp/>
        <stp>BDP|4961730101344203913</stp>
        <tr r="T379" s="2"/>
      </tp>
      <tp t="s">
        <v>#N/A N/A</v>
        <stp/>
        <stp>BDP|3620913514530278595</stp>
        <tr r="H1653" s="2"/>
      </tp>
      <tp t="s">
        <v>#N/A N/A</v>
        <stp/>
        <stp>BDP|8626836988301360767</stp>
        <tr r="H204" s="2"/>
      </tp>
      <tp t="s">
        <v>#N/A N/A</v>
        <stp/>
        <stp>BDP|3847100373552148923</stp>
        <tr r="N412" s="2"/>
      </tp>
      <tp t="s">
        <v>#N/A N/A</v>
        <stp/>
        <stp>BDP|8296745134144398692</stp>
        <tr r="E485" s="2"/>
      </tp>
      <tp t="s">
        <v>#N/A N/A</v>
        <stp/>
        <stp>BDP|5582790054461021817</stp>
        <tr r="C50" s="2"/>
      </tp>
      <tp t="s">
        <v>#N/A N/A</v>
        <stp/>
        <stp>BDP|5191948127926855634</stp>
        <tr r="C1014" s="2"/>
      </tp>
      <tp t="s">
        <v>#N/A N/A</v>
        <stp/>
        <stp>BDP|4669901051004777299</stp>
        <tr r="C480" s="2"/>
      </tp>
      <tp t="s">
        <v>#N/A N/A</v>
        <stp/>
        <stp>BDP|3169891336400033679</stp>
        <tr r="N1172" s="2"/>
      </tp>
      <tp t="s">
        <v>#N/A N/A</v>
        <stp/>
        <stp>BDP|6558935341290786592</stp>
        <tr r="P1409" s="2"/>
      </tp>
      <tp t="s">
        <v>#N/A N/A</v>
        <stp/>
        <stp>BDP|9171712709847814784</stp>
        <tr r="C1562" s="2"/>
      </tp>
      <tp t="s">
        <v>#N/A N/A</v>
        <stp/>
        <stp>BDP|2310400103948977007</stp>
        <tr r="D564" s="2"/>
      </tp>
      <tp t="s">
        <v>#N/A N/A</v>
        <stp/>
        <stp>BDP|3459530791166952769</stp>
        <tr r="E1237" s="2"/>
      </tp>
      <tp t="s">
        <v>#N/A N/A</v>
        <stp/>
        <stp>BDP|3928406685811075053</stp>
        <tr r="T162" s="2"/>
      </tp>
      <tp t="s">
        <v>#N/A N/A</v>
        <stp/>
        <stp>BDP|7990054089937984657</stp>
        <tr r="N943" s="2"/>
      </tp>
      <tp t="s">
        <v>#N/A N/A</v>
        <stp/>
        <stp>BDP|8145120484536925978</stp>
        <tr r="H10" s="2"/>
      </tp>
      <tp t="s">
        <v>#N/A N/A</v>
        <stp/>
        <stp>BDP|2592272577440441981</stp>
        <tr r="M1347" s="2"/>
      </tp>
      <tp t="s">
        <v>#N/A N/A</v>
        <stp/>
        <stp>BDP|9953468945893582460</stp>
        <tr r="G1382" s="2"/>
      </tp>
      <tp t="s">
        <v>#N/A N/A</v>
        <stp/>
        <stp>BDP|2875922156905037552</stp>
        <tr r="E983" s="2"/>
      </tp>
      <tp t="s">
        <v>#N/A N/A</v>
        <stp/>
        <stp>BDP|6292965511178525893</stp>
        <tr r="P121" s="2"/>
      </tp>
      <tp t="s">
        <v>#N/A N/A</v>
        <stp/>
        <stp>BDP|8440186101710285761</stp>
        <tr r="Q242" s="2"/>
      </tp>
      <tp t="s">
        <v>#N/A N/A</v>
        <stp/>
        <stp>BDP|8883575534280542077</stp>
        <tr r="F1011" s="2"/>
      </tp>
      <tp t="s">
        <v>#N/A N/A</v>
        <stp/>
        <stp>BDP|9262738316562852361</stp>
        <tr r="R25" s="2"/>
      </tp>
      <tp t="s">
        <v>#N/A N/A</v>
        <stp/>
        <stp>BDP|6467708556042328883</stp>
        <tr r="Q119" s="2"/>
      </tp>
      <tp t="s">
        <v>#N/A N/A</v>
        <stp/>
        <stp>BDP|6512681386824449263</stp>
        <tr r="R190" s="2"/>
      </tp>
      <tp t="s">
        <v>#N/A N/A</v>
        <stp/>
        <stp>BDP|8338887040113389913</stp>
        <tr r="O1590" s="2"/>
      </tp>
      <tp t="s">
        <v>#N/A N/A</v>
        <stp/>
        <stp>BDP|2807177316729647565</stp>
        <tr r="M1133" s="2"/>
      </tp>
      <tp t="s">
        <v>#N/A N/A</v>
        <stp/>
        <stp>BDP|1721857655482902070</stp>
        <tr r="O687" s="2"/>
      </tp>
      <tp t="s">
        <v>#N/A N/A</v>
        <stp/>
        <stp>BDP|9912057865974075509</stp>
        <tr r="K671" s="2"/>
      </tp>
      <tp t="s">
        <v>#N/A N/A</v>
        <stp/>
        <stp>BDP|9088480123610782157</stp>
        <tr r="S103" s="2"/>
      </tp>
      <tp t="s">
        <v>#N/A N/A</v>
        <stp/>
        <stp>BDP|1515095684637024010</stp>
        <tr r="K1222" s="2"/>
      </tp>
      <tp t="s">
        <v>#N/A N/A</v>
        <stp/>
        <stp>BDP|9932973546109724363</stp>
        <tr r="E655" s="2"/>
      </tp>
      <tp t="s">
        <v>#N/A N/A</v>
        <stp/>
        <stp>BDP|9195672732365498791</stp>
        <tr r="G630" s="2"/>
      </tp>
      <tp t="s">
        <v>#N/A N/A</v>
        <stp/>
        <stp>BDS|3788280741429471238</stp>
        <tr r="I1059" s="2"/>
      </tp>
      <tp t="s">
        <v>#N/A N/A</v>
        <stp/>
        <stp>BDP|5123533231229373497</stp>
        <tr r="F928" s="2"/>
      </tp>
      <tp t="s">
        <v>#N/A N/A</v>
        <stp/>
        <stp>BDP|7349999530805003636</stp>
        <tr r="S335" s="2"/>
      </tp>
      <tp t="s">
        <v>#N/A N/A</v>
        <stp/>
        <stp>BDP|3119800309191443456</stp>
        <tr r="F1248" s="2"/>
      </tp>
      <tp t="s">
        <v>#N/A N/A</v>
        <stp/>
        <stp>BDP|2880921613845975193</stp>
        <tr r="G1293" s="2"/>
      </tp>
      <tp t="s">
        <v>#N/A N/A</v>
        <stp/>
        <stp>BDP|1144707305239946140</stp>
        <tr r="O496" s="2"/>
      </tp>
      <tp t="s">
        <v>#N/A N/A</v>
        <stp/>
        <stp>BDP|2076856226225804326</stp>
        <tr r="E638" s="2"/>
      </tp>
      <tp t="s">
        <v>#N/A N/A</v>
        <stp/>
        <stp>BDP|1901108005476483810</stp>
        <tr r="J1269" s="2"/>
      </tp>
      <tp t="s">
        <v>#N/A N/A</v>
        <stp/>
        <stp>BDP|8048582919482937015</stp>
        <tr r="Q1675" s="2"/>
      </tp>
      <tp t="s">
        <v>#N/A N/A</v>
        <stp/>
        <stp>BDP|5933276447065801882</stp>
        <tr r="R842" s="2"/>
      </tp>
      <tp t="s">
        <v>#N/A N/A</v>
        <stp/>
        <stp>BDP|1865690918290646867</stp>
        <tr r="K1422" s="2"/>
      </tp>
      <tp t="s">
        <v>#N/A N/A</v>
        <stp/>
        <stp>BDP|9370454006857198485</stp>
        <tr r="P350" s="2"/>
      </tp>
      <tp t="s">
        <v>#N/A N/A</v>
        <stp/>
        <stp>BDP|5982394787248995871</stp>
        <tr r="S21" s="2"/>
      </tp>
      <tp t="s">
        <v>#N/A N/A</v>
        <stp/>
        <stp>BDP|5321585300109710751</stp>
        <tr r="F1587" s="2"/>
      </tp>
      <tp t="s">
        <v>#N/A N/A</v>
        <stp/>
        <stp>BDP|1034066068700327946</stp>
        <tr r="N1660" s="2"/>
      </tp>
      <tp t="s">
        <v>#N/A N/A</v>
        <stp/>
        <stp>BDP|1996462681763188062</stp>
        <tr r="H1661" s="2"/>
      </tp>
      <tp t="s">
        <v>#N/A N/A</v>
        <stp/>
        <stp>BDP|4738597401947291842</stp>
        <tr r="O119" s="2"/>
      </tp>
      <tp t="s">
        <v>#N/A N/A</v>
        <stp/>
        <stp>BDP|5167424068588173149</stp>
        <tr r="O1316" s="2"/>
      </tp>
      <tp t="s">
        <v>#N/A N/A</v>
        <stp/>
        <stp>BDP|6649903379837421154</stp>
        <tr r="O575" s="2"/>
      </tp>
      <tp t="s">
        <v>#N/A N/A</v>
        <stp/>
        <stp>BDP|5472510421054264889</stp>
        <tr r="J1612" s="2"/>
      </tp>
      <tp t="s">
        <v>#N/A N/A</v>
        <stp/>
        <stp>BDP|7815368990492922197</stp>
        <tr r="Q273" s="2"/>
      </tp>
      <tp t="s">
        <v>#N/A N/A</v>
        <stp/>
        <stp>BDP|3711268488202779504</stp>
        <tr r="C888" s="2"/>
      </tp>
      <tp t="s">
        <v>#N/A N/A</v>
        <stp/>
        <stp>BDP|1901270116594654808</stp>
        <tr r="F1240" s="2"/>
      </tp>
      <tp t="s">
        <v>#N/A N/A</v>
        <stp/>
        <stp>BDP|4559843242127989144</stp>
        <tr r="R1547" s="2"/>
      </tp>
      <tp t="s">
        <v>#N/A N/A</v>
        <stp/>
        <stp>BDP|9746251555181078198</stp>
        <tr r="D501" s="2"/>
      </tp>
      <tp t="s">
        <v>#N/A N/A</v>
        <stp/>
        <stp>BDP|2361459150409946415</stp>
        <tr r="Q1044" s="2"/>
      </tp>
      <tp t="s">
        <v>#N/A N/A</v>
        <stp/>
        <stp>BDP|8097091420207523322</stp>
        <tr r="Q1205" s="2"/>
      </tp>
      <tp t="s">
        <v>#N/A N/A</v>
        <stp/>
        <stp>BDP|7263849030791811303</stp>
        <tr r="A1682" s="2"/>
      </tp>
      <tp t="s">
        <v>#N/A N/A</v>
        <stp/>
        <stp>BDP|2385339705846362982</stp>
        <tr r="S1523" s="2"/>
      </tp>
      <tp t="s">
        <v>#N/A N/A</v>
        <stp/>
        <stp>BDP|3439263941128585384</stp>
        <tr r="T1166" s="2"/>
      </tp>
      <tp t="s">
        <v>#N/A N/A</v>
        <stp/>
        <stp>BDP|1543724499926236727</stp>
        <tr r="R1312" s="2"/>
      </tp>
      <tp t="s">
        <v>#N/A N/A</v>
        <stp/>
        <stp>BDP|8007728953491892579</stp>
        <tr r="D1195" s="2"/>
      </tp>
      <tp t="s">
        <v>#N/A N/A</v>
        <stp/>
        <stp>BDP|2197887308636971263</stp>
        <tr r="R1702" s="2"/>
      </tp>
      <tp t="s">
        <v>#N/A N/A</v>
        <stp/>
        <stp>BDP|7381984774421114605</stp>
        <tr r="O455" s="2"/>
      </tp>
      <tp t="s">
        <v>#N/A N/A</v>
        <stp/>
        <stp>BDP|7499060774456108891</stp>
        <tr r="Q1076" s="2"/>
      </tp>
      <tp t="s">
        <v>#N/A N/A</v>
        <stp/>
        <stp>BDP|3341594445785118909</stp>
        <tr r="O1398" s="2"/>
      </tp>
      <tp t="s">
        <v>#N/A N/A</v>
        <stp/>
        <stp>BDP|2236789887356418577</stp>
        <tr r="R1148" s="2"/>
      </tp>
      <tp t="s">
        <v>#N/A N/A</v>
        <stp/>
        <stp>BDP|8101797228036898561</stp>
        <tr r="S456" s="2"/>
      </tp>
      <tp t="s">
        <v>#N/A N/A</v>
        <stp/>
        <stp>BDP|7370362509083194933</stp>
        <tr r="D1528" s="2"/>
      </tp>
      <tp t="s">
        <v>#N/A N/A</v>
        <stp/>
        <stp>BDS|6892271995536253564</stp>
        <tr r="I488" s="2"/>
      </tp>
      <tp t="s">
        <v>#N/A N/A</v>
        <stp/>
        <stp>BDP|8975839816008001720</stp>
        <tr r="D699" s="2"/>
      </tp>
      <tp t="s">
        <v>#N/A N/A</v>
        <stp/>
        <stp>BDP|5791498590823700578</stp>
        <tr r="N1649" s="2"/>
      </tp>
      <tp t="s">
        <v>#N/A N/A</v>
        <stp/>
        <stp>BDP|1411681970576328816</stp>
        <tr r="G465" s="2"/>
      </tp>
      <tp t="s">
        <v>#N/A N/A</v>
        <stp/>
        <stp>BDP|7658072084556356786</stp>
        <tr r="S1335" s="2"/>
      </tp>
      <tp t="s">
        <v>#N/A N/A</v>
        <stp/>
        <stp>BDP|1282985519671825659</stp>
        <tr r="K1212" s="2"/>
      </tp>
      <tp t="s">
        <v>#N/A N/A</v>
        <stp/>
        <stp>BDP|5369037632081880949</stp>
        <tr r="P1260" s="2"/>
      </tp>
      <tp t="s">
        <v>#N/A N/A</v>
        <stp/>
        <stp>BDS|7527920958805711068</stp>
        <tr r="I1714" s="2"/>
      </tp>
      <tp t="s">
        <v>#N/A N/A</v>
        <stp/>
        <stp>BDP|3996255425209141469</stp>
        <tr r="C1313" s="2"/>
      </tp>
      <tp t="s">
        <v>#N/A N/A</v>
        <stp/>
        <stp>BDP|4910398742965469885</stp>
        <tr r="H1125" s="2"/>
      </tp>
      <tp t="s">
        <v>#N/A N/A</v>
        <stp/>
        <stp>BDP|9297923658009607208</stp>
        <tr r="K1464" s="2"/>
      </tp>
      <tp t="s">
        <v>#N/A N/A</v>
        <stp/>
        <stp>BDS|6996861660910936683</stp>
        <tr r="I94" s="2"/>
      </tp>
      <tp t="s">
        <v>#N/A N/A</v>
        <stp/>
        <stp>BDP|4312371679929586764</stp>
        <tr r="P870" s="2"/>
      </tp>
      <tp t="s">
        <v>#N/A N/A</v>
        <stp/>
        <stp>BDP|5145115083516955444</stp>
        <tr r="G451" s="2"/>
      </tp>
      <tp t="s">
        <v>#N/A N/A</v>
        <stp/>
        <stp>BDP|4866002487796464450</stp>
        <tr r="D886" s="2"/>
      </tp>
      <tp t="s">
        <v>#N/A N/A</v>
        <stp/>
        <stp>BDP|9262892893667525134</stp>
        <tr r="A382" s="2"/>
      </tp>
      <tp t="s">
        <v>#N/A N/A</v>
        <stp/>
        <stp>BDP|4648074709429426322</stp>
        <tr r="D48" s="2"/>
      </tp>
      <tp t="s">
        <v>#N/A N/A</v>
        <stp/>
        <stp>BDP|3751059713165835979</stp>
        <tr r="M647" s="2"/>
      </tp>
      <tp t="s">
        <v>#N/A N/A</v>
        <stp/>
        <stp>BDP|9464998971570449968</stp>
        <tr r="T674" s="2"/>
      </tp>
      <tp t="s">
        <v>#N/A N/A</v>
        <stp/>
        <stp>BDP|5525094611522460873</stp>
        <tr r="H428" s="2"/>
      </tp>
      <tp t="s">
        <v>#N/A N/A</v>
        <stp/>
        <stp>BDP|6448816230907346489</stp>
        <tr r="H1062" s="2"/>
      </tp>
      <tp t="s">
        <v>#N/A N/A</v>
        <stp/>
        <stp>BDP|8619455629177751736</stp>
        <tr r="P1745" s="2"/>
      </tp>
      <tp t="s">
        <v>#N/A N/A</v>
        <stp/>
        <stp>BDP|9577122848256810490</stp>
        <tr r="M627" s="2"/>
      </tp>
      <tp t="s">
        <v>#N/A N/A</v>
        <stp/>
        <stp>BDP|1713351888872119640</stp>
        <tr r="J423" s="2"/>
      </tp>
      <tp t="s">
        <v>#N/A N/A</v>
        <stp/>
        <stp>BDP|7416833498941753977</stp>
        <tr r="M1257" s="2"/>
      </tp>
      <tp t="s">
        <v>#N/A N/A</v>
        <stp/>
        <stp>BDP|8662819669419146106</stp>
        <tr r="R736" s="2"/>
      </tp>
      <tp t="s">
        <v>#N/A N/A</v>
        <stp/>
        <stp>BDP|6602480900705963988</stp>
        <tr r="O1019" s="2"/>
      </tp>
      <tp t="s">
        <v>#N/A N/A</v>
        <stp/>
        <stp>BDP|5998745481351633555</stp>
        <tr r="R424" s="2"/>
      </tp>
      <tp t="s">
        <v>#N/A N/A</v>
        <stp/>
        <stp>BDP|7804819822293251066</stp>
        <tr r="C1136" s="2"/>
      </tp>
      <tp t="s">
        <v>#N/A N/A</v>
        <stp/>
        <stp>BDP|4841436898240888740</stp>
        <tr r="O369" s="2"/>
      </tp>
      <tp t="s">
        <v>#N/A N/A</v>
        <stp/>
        <stp>BDP|9891532315594269730</stp>
        <tr r="H919" s="2"/>
      </tp>
      <tp t="s">
        <v>#N/A N/A</v>
        <stp/>
        <stp>BDP|7655001488488004918</stp>
        <tr r="A92" s="2"/>
      </tp>
      <tp t="s">
        <v>#N/A N/A</v>
        <stp/>
        <stp>BDP|5985915370836696317</stp>
        <tr r="E1520" s="2"/>
      </tp>
      <tp t="s">
        <v>#N/A N/A</v>
        <stp/>
        <stp>BDP|4766953179193190756</stp>
        <tr r="J146" s="2"/>
      </tp>
      <tp t="s">
        <v>#N/A N/A</v>
        <stp/>
        <stp>BDP|7383985650190369570</stp>
        <tr r="R1096" s="2"/>
      </tp>
      <tp t="s">
        <v>#N/A N/A</v>
        <stp/>
        <stp>BDP|8353022128710225448</stp>
        <tr r="Q1065" s="2"/>
      </tp>
      <tp t="s">
        <v>#N/A N/A</v>
        <stp/>
        <stp>BDP|3655955509803605735</stp>
        <tr r="O920" s="2"/>
      </tp>
      <tp t="s">
        <v>#N/A N/A</v>
        <stp/>
        <stp>BDP|1466867357267262588</stp>
        <tr r="C704" s="2"/>
      </tp>
      <tp t="s">
        <v>#N/A N/A</v>
        <stp/>
        <stp>BDS|7142514718409339449</stp>
        <tr r="I1042" s="2"/>
      </tp>
      <tp t="s">
        <v>#N/A N/A</v>
        <stp/>
        <stp>BDP|3821928862277423537</stp>
        <tr r="S1241" s="2"/>
      </tp>
      <tp t="s">
        <v>#N/A N/A</v>
        <stp/>
        <stp>BDP|6090804973797825044</stp>
        <tr r="F768" s="2"/>
      </tp>
      <tp t="s">
        <v>#N/A N/A</v>
        <stp/>
        <stp>BDP|9921222566823360012</stp>
        <tr r="Q1728" s="2"/>
      </tp>
      <tp t="s">
        <v>#N/A N/A</v>
        <stp/>
        <stp>BDP|9749064738952415624</stp>
        <tr r="S937" s="2"/>
      </tp>
      <tp t="s">
        <v>#N/A N/A</v>
        <stp/>
        <stp>BDP|1009837499116327868</stp>
        <tr r="G298" s="2"/>
      </tp>
      <tp t="s">
        <v>#N/A N/A</v>
        <stp/>
        <stp>BDP|4987557607769501617</stp>
        <tr r="F1138" s="2"/>
      </tp>
      <tp t="s">
        <v>#N/A N/A</v>
        <stp/>
        <stp>BDP|9897478492628210209</stp>
        <tr r="N1681" s="2"/>
      </tp>
      <tp t="s">
        <v>#N/A N/A</v>
        <stp/>
        <stp>BDP|9391634044200253595</stp>
        <tr r="C959" s="2"/>
      </tp>
      <tp t="s">
        <v>#N/A N/A</v>
        <stp/>
        <stp>BDP|7691855382529857062</stp>
        <tr r="D64" s="2"/>
      </tp>
      <tp t="s">
        <v>#N/A N/A</v>
        <stp/>
        <stp>BDP|6452487340251285916</stp>
        <tr r="N951" s="2"/>
      </tp>
      <tp t="s">
        <v>#N/A N/A</v>
        <stp/>
        <stp>BDP|6228846790451170889</stp>
        <tr r="C1466" s="2"/>
      </tp>
      <tp t="s">
        <v>#N/A N/A</v>
        <stp/>
        <stp>BDP|2440186820586244912</stp>
        <tr r="E1308" s="2"/>
      </tp>
      <tp t="s">
        <v>#N/A N/A</v>
        <stp/>
        <stp>BDP|7177006593065860556</stp>
        <tr r="H1478" s="2"/>
      </tp>
      <tp t="s">
        <v>#N/A N/A</v>
        <stp/>
        <stp>BDP|5563571847272359891</stp>
        <tr r="F1662" s="2"/>
      </tp>
      <tp t="s">
        <v>#N/A N/A</v>
        <stp/>
        <stp>BDP|5619105495895988655</stp>
        <tr r="Q769" s="2"/>
      </tp>
      <tp t="s">
        <v>#N/A N/A</v>
        <stp/>
        <stp>BDP|8904953514876390842</stp>
        <tr r="K488" s="2"/>
      </tp>
      <tp t="s">
        <v>#N/A N/A</v>
        <stp/>
        <stp>BDP|8317433267203843707</stp>
        <tr r="K283" s="2"/>
      </tp>
      <tp t="s">
        <v>#N/A N/A</v>
        <stp/>
        <stp>BDS|7623830081670344980</stp>
        <tr r="I80" s="2"/>
      </tp>
      <tp t="s">
        <v>#N/A N/A</v>
        <stp/>
        <stp>BDP|8464123452594941627</stp>
        <tr r="T506" s="2"/>
      </tp>
      <tp t="s">
        <v>#N/A N/A</v>
        <stp/>
        <stp>BDP|9802297969726721501</stp>
        <tr r="C305" s="2"/>
      </tp>
      <tp t="s">
        <v>#N/A N/A</v>
        <stp/>
        <stp>BDP|1919405890422426020</stp>
        <tr r="K859" s="2"/>
      </tp>
      <tp t="s">
        <v>#N/A N/A</v>
        <stp/>
        <stp>BDP|8229666870704343385</stp>
        <tr r="R699" s="2"/>
      </tp>
      <tp t="s">
        <v>#N/A N/A</v>
        <stp/>
        <stp>BDP|1852210355430561865</stp>
        <tr r="S466" s="2"/>
      </tp>
      <tp t="s">
        <v>#N/A N/A</v>
        <stp/>
        <stp>BDP|7443404768632674953</stp>
        <tr r="S231" s="2"/>
      </tp>
      <tp t="s">
        <v>#N/A N/A</v>
        <stp/>
        <stp>BDP|9833943963261832983</stp>
        <tr r="M241" s="2"/>
      </tp>
      <tp t="s">
        <v>#N/A N/A</v>
        <stp/>
        <stp>BDP|5849810335435211514</stp>
        <tr r="S902" s="2"/>
      </tp>
      <tp t="s">
        <v>#N/A N/A</v>
        <stp/>
        <stp>BDP|1190317996084925108</stp>
        <tr r="J1390" s="2"/>
      </tp>
      <tp t="s">
        <v>#N/A N/A</v>
        <stp/>
        <stp>BDP|4859615323759078754</stp>
        <tr r="S1059" s="2"/>
      </tp>
      <tp t="s">
        <v>#N/A N/A</v>
        <stp/>
        <stp>BDP|3486280498066344088</stp>
        <tr r="D1321" s="2"/>
      </tp>
      <tp t="s">
        <v>#N/A N/A</v>
        <stp/>
        <stp>BDP|4034945973047950317</stp>
        <tr r="T1093" s="2"/>
      </tp>
      <tp t="s">
        <v>#N/A N/A</v>
        <stp/>
        <stp>BDP|5615775818889025469</stp>
        <tr r="N72" s="2"/>
      </tp>
      <tp t="s">
        <v>#N/A N/A</v>
        <stp/>
        <stp>BDP|3171898479532684085</stp>
        <tr r="M1254" s="2"/>
      </tp>
      <tp t="s">
        <v>#N/A N/A</v>
        <stp/>
        <stp>BDS|9759054331781550597</stp>
        <tr r="I1257" s="2"/>
      </tp>
      <tp t="s">
        <v>#N/A N/A</v>
        <stp/>
        <stp>BDP|9297102769857526716</stp>
        <tr r="P1606" s="2"/>
      </tp>
      <tp t="s">
        <v>#N/A N/A</v>
        <stp/>
        <stp>BDP|3947413821073135873</stp>
        <tr r="T535" s="2"/>
      </tp>
      <tp t="s">
        <v>#N/A N/A</v>
        <stp/>
        <stp>BDP|8707525932546011686</stp>
        <tr r="P143" s="2"/>
      </tp>
      <tp t="s">
        <v>#N/A N/A</v>
        <stp/>
        <stp>BDP|3089820043803618287</stp>
        <tr r="A1273" s="2"/>
      </tp>
      <tp t="s">
        <v>#N/A N/A</v>
        <stp/>
        <stp>BDP|4070602783457971350</stp>
        <tr r="K1227" s="2"/>
      </tp>
      <tp t="s">
        <v>#N/A N/A</v>
        <stp/>
        <stp>BDP|7568341577718852513</stp>
        <tr r="P296" s="2"/>
      </tp>
      <tp t="s">
        <v>#N/A N/A</v>
        <stp/>
        <stp>BDP|7873442941728133137</stp>
        <tr r="D434" s="2"/>
      </tp>
      <tp t="s">
        <v>#N/A N/A</v>
        <stp/>
        <stp>BDP|5610709469203720941</stp>
        <tr r="T256" s="2"/>
      </tp>
      <tp t="s">
        <v>#N/A N/A</v>
        <stp/>
        <stp>BDP|2895000896092262706</stp>
        <tr r="H1749" s="2"/>
      </tp>
      <tp t="s">
        <v>#N/A N/A</v>
        <stp/>
        <stp>BDP|5703011245459995665</stp>
        <tr r="D260" s="2"/>
      </tp>
      <tp t="s">
        <v>#N/A N/A</v>
        <stp/>
        <stp>BDP|9183623043877593292</stp>
        <tr r="Q1381" s="2"/>
      </tp>
      <tp t="s">
        <v>#N/A N/A</v>
        <stp/>
        <stp>BDP|6302855850494992130</stp>
        <tr r="R44" s="2"/>
      </tp>
      <tp t="s">
        <v>#N/A N/A</v>
        <stp/>
        <stp>BDP|7669317990931822232</stp>
        <tr r="M1745" s="2"/>
      </tp>
      <tp t="s">
        <v>#N/A N/A</v>
        <stp/>
        <stp>BDP|1737686032813262930</stp>
        <tr r="R865" s="2"/>
      </tp>
      <tp t="s">
        <v>#N/A N/A</v>
        <stp/>
        <stp>BDS|8986621245267440367</stp>
        <tr r="I1182" s="2"/>
      </tp>
      <tp t="s">
        <v>#N/A N/A</v>
        <stp/>
        <stp>BDP|9639498601011651245</stp>
        <tr r="N452" s="2"/>
      </tp>
      <tp t="s">
        <v>#N/A N/A</v>
        <stp/>
        <stp>BDP|9699643798160217841</stp>
        <tr r="H773" s="2"/>
      </tp>
      <tp t="s">
        <v>#N/A N/A</v>
        <stp/>
        <stp>BDP|1488699998001984103</stp>
        <tr r="O974" s="2"/>
      </tp>
      <tp t="s">
        <v>#N/A N/A</v>
        <stp/>
        <stp>BDP|3785261611636852840</stp>
        <tr r="F948" s="2"/>
      </tp>
      <tp t="s">
        <v>#N/A N/A</v>
        <stp/>
        <stp>BDP|9692085115166521022</stp>
        <tr r="F130" s="2"/>
      </tp>
      <tp t="s">
        <v>#N/A N/A</v>
        <stp/>
        <stp>BDP|9892653131320065203</stp>
        <tr r="N1382" s="2"/>
      </tp>
      <tp t="s">
        <v>#N/A N/A</v>
        <stp/>
        <stp>BDP|8015058659910357339</stp>
        <tr r="P195" s="2"/>
      </tp>
      <tp t="s">
        <v>#N/A N/A</v>
        <stp/>
        <stp>BDP|9527138823993173788</stp>
        <tr r="T296" s="2"/>
      </tp>
      <tp t="s">
        <v>#N/A N/A</v>
        <stp/>
        <stp>BDP|2330826649920338073</stp>
        <tr r="O54" s="2"/>
      </tp>
      <tp t="s">
        <v>#N/A N/A</v>
        <stp/>
        <stp>BDS|7307112699208069979</stp>
        <tr r="I1628" s="2"/>
      </tp>
      <tp t="s">
        <v>#N/A N/A</v>
        <stp/>
        <stp>BDP|2766089321277088929</stp>
        <tr r="F1486" s="2"/>
      </tp>
      <tp t="s">
        <v>#N/A N/A</v>
        <stp/>
        <stp>BDP|1530736080120909038</stp>
        <tr r="C138" s="2"/>
      </tp>
      <tp t="s">
        <v>#N/A N/A</v>
        <stp/>
        <stp>BDP|9398538569901749523</stp>
        <tr r="C558" s="2"/>
      </tp>
      <tp t="s">
        <v>#N/A N/A</v>
        <stp/>
        <stp>BDP|5770290470448051629</stp>
        <tr r="E275" s="2"/>
      </tp>
      <tp t="s">
        <v>#N/A N/A</v>
        <stp/>
        <stp>BDP|6903479386711618521</stp>
        <tr r="F1087" s="2"/>
      </tp>
      <tp t="s">
        <v>#N/A N/A</v>
        <stp/>
        <stp>BDP|8651798996451767921</stp>
        <tr r="C1062" s="2"/>
      </tp>
      <tp t="s">
        <v>#N/A N/A</v>
        <stp/>
        <stp>BDP|1437199992920450777</stp>
        <tr r="P477" s="2"/>
      </tp>
      <tp t="s">
        <v>#N/A N/A</v>
        <stp/>
        <stp>BDP|2344436836292899928</stp>
        <tr r="H190" s="2"/>
      </tp>
      <tp t="s">
        <v>#N/A N/A</v>
        <stp/>
        <stp>BDP|8535625930233862033</stp>
        <tr r="H568" s="2"/>
      </tp>
      <tp t="s">
        <v>#N/A N/A</v>
        <stp/>
        <stp>BDS|9567728405835757590</stp>
        <tr r="I1701" s="2"/>
      </tp>
      <tp t="s">
        <v>#N/A N/A</v>
        <stp/>
        <stp>BDS|4726712008409547473</stp>
        <tr r="I367" s="2"/>
      </tp>
      <tp t="s">
        <v>#N/A N/A</v>
        <stp/>
        <stp>BDP|3570804311117066387</stp>
        <tr r="A103" s="2"/>
      </tp>
      <tp t="s">
        <v>#N/A N/A</v>
        <stp/>
        <stp>BDP|9363391241129241951</stp>
        <tr r="E1271" s="2"/>
      </tp>
      <tp t="s">
        <v>#N/A N/A</v>
        <stp/>
        <stp>BDP|2801447622839149338</stp>
        <tr r="J840" s="2"/>
      </tp>
      <tp t="s">
        <v>#N/A N/A</v>
        <stp/>
        <stp>BDP|8571630223685124780</stp>
        <tr r="H584" s="2"/>
      </tp>
      <tp t="s">
        <v>#N/A N/A</v>
        <stp/>
        <stp>BDP|3569761893923845048</stp>
        <tr r="T109" s="2"/>
      </tp>
      <tp t="s">
        <v>#N/A N/A</v>
        <stp/>
        <stp>BDP|8176697865690319625</stp>
        <tr r="C461" s="2"/>
      </tp>
      <tp t="s">
        <v>#N/A N/A</v>
        <stp/>
        <stp>BDP|2147399162071299846</stp>
        <tr r="K312" s="2"/>
      </tp>
      <tp t="s">
        <v>#N/A N/A</v>
        <stp/>
        <stp>BDP|8098381376150637248</stp>
        <tr r="T1248" s="2"/>
      </tp>
      <tp t="s">
        <v>#N/A N/A</v>
        <stp/>
        <stp>BDP|2790797316232202869</stp>
        <tr r="S1169" s="2"/>
      </tp>
      <tp t="s">
        <v>#N/A N/A</v>
        <stp/>
        <stp>BDP|1255252914634802875</stp>
        <tr r="H560" s="2"/>
      </tp>
      <tp t="s">
        <v>#N/A N/A</v>
        <stp/>
        <stp>BDP|8983539584109459261</stp>
        <tr r="Q64" s="2"/>
      </tp>
      <tp t="s">
        <v>#N/A N/A</v>
        <stp/>
        <stp>BDP|1023489777104788845</stp>
        <tr r="M387" s="2"/>
      </tp>
      <tp t="s">
        <v>#N/A N/A</v>
        <stp/>
        <stp>BDP|4837926425253468276</stp>
        <tr r="D987" s="2"/>
      </tp>
      <tp t="s">
        <v>#N/A N/A</v>
        <stp/>
        <stp>BDP|3081505402900860864</stp>
        <tr r="H719" s="2"/>
      </tp>
      <tp t="s">
        <v>#N/A N/A</v>
        <stp/>
        <stp>BDS|6275297881491414320</stp>
        <tr r="I231" s="2"/>
      </tp>
      <tp t="s">
        <v>#N/A N/A</v>
        <stp/>
        <stp>BDP|4746686690281639455</stp>
        <tr r="O268" s="2"/>
      </tp>
      <tp t="s">
        <v>#N/A N/A</v>
        <stp/>
        <stp>BDP|4336129847509294680</stp>
        <tr r="C1467" s="2"/>
      </tp>
      <tp t="s">
        <v>#N/A N/A</v>
        <stp/>
        <stp>BDP|7766678683443961475</stp>
        <tr r="P663" s="2"/>
      </tp>
      <tp t="s">
        <v>#N/A N/A</v>
        <stp/>
        <stp>BDS|3950147042971685949</stp>
        <tr r="I1652" s="2"/>
      </tp>
      <tp t="s">
        <v>#N/A N/A</v>
        <stp/>
        <stp>BDP|6850921527866339536</stp>
        <tr r="D994" s="2"/>
      </tp>
      <tp t="s">
        <v>#N/A N/A</v>
        <stp/>
        <stp>BDP|9287898867830316920</stp>
        <tr r="O1371" s="2"/>
      </tp>
      <tp t="s">
        <v>#N/A N/A</v>
        <stp/>
        <stp>BDS|6834430035979425673</stp>
        <tr r="I535" s="2"/>
      </tp>
      <tp t="s">
        <v>#N/A N/A</v>
        <stp/>
        <stp>BDP|6156886231572163148</stp>
        <tr r="M1429" s="2"/>
      </tp>
      <tp t="s">
        <v>#N/A N/A</v>
        <stp/>
        <stp>BDP|2894328157339028308</stp>
        <tr r="M601" s="2"/>
      </tp>
      <tp t="s">
        <v>#N/A N/A</v>
        <stp/>
        <stp>BDP|1949879010916240018</stp>
        <tr r="C1702" s="2"/>
      </tp>
      <tp t="s">
        <v>#N/A N/A</v>
        <stp/>
        <stp>BDP|8765637419859867884</stp>
        <tr r="N1618" s="2"/>
      </tp>
      <tp t="s">
        <v>#N/A N/A</v>
        <stp/>
        <stp>BDP|6482616924534443884</stp>
        <tr r="M749" s="2"/>
      </tp>
      <tp t="s">
        <v>#N/A N/A</v>
        <stp/>
        <stp>BDP|3979755094007288470</stp>
        <tr r="F224" s="2"/>
      </tp>
      <tp t="s">
        <v>#N/A N/A</v>
        <stp/>
        <stp>BDP|4145138395774969637</stp>
        <tr r="G548" s="2"/>
      </tp>
      <tp t="s">
        <v>#N/A N/A</v>
        <stp/>
        <stp>BDP|2418989444027249671</stp>
        <tr r="K1271" s="2"/>
      </tp>
      <tp t="s">
        <v>#N/A N/A</v>
        <stp/>
        <stp>BDP|1485841554317011596</stp>
        <tr r="M538" s="2"/>
      </tp>
      <tp t="s">
        <v>#N/A N/A</v>
        <stp/>
        <stp>BDP|9001562117562491181</stp>
        <tr r="E273" s="2"/>
      </tp>
      <tp t="s">
        <v>#N/A N/A</v>
        <stp/>
        <stp>BDP|6263915711823765382</stp>
        <tr r="D6" s="2"/>
      </tp>
      <tp t="s">
        <v>#N/A N/A</v>
        <stp/>
        <stp>BDP|1784538482045298796</stp>
        <tr r="O723" s="2"/>
      </tp>
      <tp t="s">
        <v>#N/A N/A</v>
        <stp/>
        <stp>BDP|1965327602948608427</stp>
        <tr r="A1247" s="2"/>
      </tp>
      <tp t="s">
        <v>#N/A N/A</v>
        <stp/>
        <stp>BDP|5110826929810327142</stp>
        <tr r="P1349" s="2"/>
      </tp>
      <tp t="s">
        <v>#N/A N/A</v>
        <stp/>
        <stp>BDP|7757990052094189103</stp>
        <tr r="A1210" s="2"/>
      </tp>
      <tp t="s">
        <v>#N/A N/A</v>
        <stp/>
        <stp>BDP|8170606169325391365</stp>
        <tr r="T1741" s="2"/>
      </tp>
      <tp t="s">
        <v>#N/A N/A</v>
        <stp/>
        <stp>BDP|2289548391820805029</stp>
        <tr r="Q1059" s="2"/>
      </tp>
      <tp t="s">
        <v>#N/A N/A</v>
        <stp/>
        <stp>BDP|1169094596152121420</stp>
        <tr r="P397" s="2"/>
      </tp>
      <tp t="s">
        <v>#N/A N/A</v>
        <stp/>
        <stp>BDS|5499980374984566105</stp>
        <tr r="I537" s="2"/>
      </tp>
      <tp t="s">
        <v>#N/A N/A</v>
        <stp/>
        <stp>BDS|9585082726726196377</stp>
        <tr r="I1103" s="2"/>
      </tp>
      <tp t="s">
        <v>#N/A N/A</v>
        <stp/>
        <stp>BDP|3766864728397045045</stp>
        <tr r="D399" s="2"/>
      </tp>
      <tp t="s">
        <v>#N/A N/A</v>
        <stp/>
        <stp>BDP|6606246848669536723</stp>
        <tr r="N624" s="2"/>
      </tp>
      <tp t="s">
        <v>#N/A N/A</v>
        <stp/>
        <stp>BDP|9526183245867221578</stp>
        <tr r="C292" s="2"/>
      </tp>
      <tp t="s">
        <v>#N/A N/A</v>
        <stp/>
        <stp>BDS|9532116758546289538</stp>
        <tr r="I308" s="2"/>
      </tp>
      <tp t="s">
        <v>#N/A N/A</v>
        <stp/>
        <stp>BDP|3408951324563102596</stp>
        <tr r="T1245" s="2"/>
      </tp>
      <tp t="s">
        <v>#N/A N/A</v>
        <stp/>
        <stp>BDP|2977367671570303800</stp>
        <tr r="G134" s="2"/>
      </tp>
      <tp t="s">
        <v>#N/A N/A</v>
        <stp/>
        <stp>BDP|7672483165153540834</stp>
        <tr r="C81" s="2"/>
      </tp>
      <tp t="s">
        <v>#N/A N/A</v>
        <stp/>
        <stp>BDP|3085808751355557593</stp>
        <tr r="Q1534" s="2"/>
      </tp>
      <tp t="s">
        <v>#N/A N/A</v>
        <stp/>
        <stp>BDP|7535686072338656047</stp>
        <tr r="E648" s="2"/>
      </tp>
      <tp t="s">
        <v>#N/A N/A</v>
        <stp/>
        <stp>BDS|4720890511185502674</stp>
        <tr r="I955" s="2"/>
      </tp>
      <tp t="s">
        <v>#N/A N/A</v>
        <stp/>
        <stp>BDP|7471356394524078787</stp>
        <tr r="O621" s="2"/>
      </tp>
      <tp t="s">
        <v>#N/A N/A</v>
        <stp/>
        <stp>BDP|9943195592048632795</stp>
        <tr r="Q1647" s="2"/>
      </tp>
      <tp t="s">
        <v>#N/A N/A</v>
        <stp/>
        <stp>BDP|9235162189066311837</stp>
        <tr r="H1677" s="2"/>
      </tp>
      <tp t="s">
        <v>#N/A N/A</v>
        <stp/>
        <stp>BDP|1489936363401156188</stp>
        <tr r="R1717" s="2"/>
      </tp>
      <tp t="s">
        <v>#N/A N/A</v>
        <stp/>
        <stp>BDP|1217471291600856215</stp>
        <tr r="S1317" s="2"/>
      </tp>
      <tp t="s">
        <v>#N/A N/A</v>
        <stp/>
        <stp>BDP|2158801232367780099</stp>
        <tr r="O255" s="2"/>
      </tp>
      <tp t="s">
        <v>#N/A N/A</v>
        <stp/>
        <stp>BDP|8101567135974609498</stp>
        <tr r="S687" s="2"/>
      </tp>
      <tp t="s">
        <v>#N/A N/A</v>
        <stp/>
        <stp>BDP|2616929846177259625</stp>
        <tr r="F1516" s="2"/>
      </tp>
      <tp t="s">
        <v>#N/A N/A</v>
        <stp/>
        <stp>BDP|8679441367751203558</stp>
        <tr r="N1256" s="2"/>
      </tp>
      <tp t="s">
        <v>#N/A N/A</v>
        <stp/>
        <stp>BDP|2888896776283209075</stp>
        <tr r="C1635" s="2"/>
      </tp>
      <tp t="s">
        <v>#N/A N/A</v>
        <stp/>
        <stp>BDP|2180522944574624934</stp>
        <tr r="S9" s="2"/>
      </tp>
      <tp t="s">
        <v>#N/A N/A</v>
        <stp/>
        <stp>BDP|5119177438939525094</stp>
        <tr r="H40" s="2"/>
      </tp>
      <tp t="s">
        <v>#N/A N/A</v>
        <stp/>
        <stp>BDP|4833139331501100997</stp>
        <tr r="A1055" s="2"/>
      </tp>
      <tp t="s">
        <v>#N/A N/A</v>
        <stp/>
        <stp>BDP|7054718592233930484</stp>
        <tr r="A1754" s="2"/>
      </tp>
      <tp t="s">
        <v>#N/A N/A</v>
        <stp/>
        <stp>BDP|9580685341344675181</stp>
        <tr r="Q1538" s="2"/>
      </tp>
      <tp t="s">
        <v>#N/A N/A</v>
        <stp/>
        <stp>BDP|5268562675601793843</stp>
        <tr r="Q1320" s="2"/>
      </tp>
      <tp t="s">
        <v>#N/A N/A</v>
        <stp/>
        <stp>BDP|5592166500193766962</stp>
        <tr r="K601" s="2"/>
      </tp>
      <tp t="s">
        <v>#N/A N/A</v>
        <stp/>
        <stp>BDP|8693116744925383623</stp>
        <tr r="C1060" s="2"/>
      </tp>
      <tp t="s">
        <v>#N/A N/A</v>
        <stp/>
        <stp>BDP|6501877213965255416</stp>
        <tr r="E1551" s="2"/>
      </tp>
      <tp t="s">
        <v>#N/A N/A</v>
        <stp/>
        <stp>BDP|7925474400735952859</stp>
        <tr r="J1344" s="2"/>
      </tp>
      <tp t="s">
        <v>#N/A N/A</v>
        <stp/>
        <stp>BDP|4466637213325187877</stp>
        <tr r="H912" s="2"/>
      </tp>
      <tp t="s">
        <v>#N/A N/A</v>
        <stp/>
        <stp>BDP|8287441622661049167</stp>
        <tr r="H1228" s="2"/>
      </tp>
      <tp t="s">
        <v>#N/A N/A</v>
        <stp/>
        <stp>BDP|2459930570166036458</stp>
        <tr r="G637" s="2"/>
      </tp>
      <tp t="s">
        <v>#N/A N/A</v>
        <stp/>
        <stp>BDP|4185146063085021843</stp>
        <tr r="Q501" s="2"/>
      </tp>
      <tp t="s">
        <v>#N/A N/A</v>
        <stp/>
        <stp>BDP|7421624205118487751</stp>
        <tr r="T1482" s="2"/>
      </tp>
      <tp t="s">
        <v>#N/A N/A</v>
        <stp/>
        <stp>BDS|6079981270680346699</stp>
        <tr r="I927" s="2"/>
      </tp>
      <tp t="s">
        <v>#N/A N/A</v>
        <stp/>
        <stp>BDP|1878439295064987658</stp>
        <tr r="D1699" s="2"/>
      </tp>
      <tp t="s">
        <v>#N/A N/A</v>
        <stp/>
        <stp>BDP|1888240339198079670</stp>
        <tr r="C1644" s="2"/>
      </tp>
      <tp t="s">
        <v>#N/A N/A</v>
        <stp/>
        <stp>BDP|9590238422567766013</stp>
        <tr r="D1361" s="2"/>
      </tp>
      <tp t="s">
        <v>#N/A N/A</v>
        <stp/>
        <stp>BDS|5514750686214545015</stp>
        <tr r="I1441" s="2"/>
      </tp>
      <tp t="s">
        <v>#N/A N/A</v>
        <stp/>
        <stp>BDP|3122309312978625771</stp>
        <tr r="G771" s="2"/>
      </tp>
      <tp t="s">
        <v>#N/A N/A</v>
        <stp/>
        <stp>BDP|6100641389071798799</stp>
        <tr r="O886" s="2"/>
      </tp>
      <tp t="s">
        <v>#N/A N/A</v>
        <stp/>
        <stp>BDP|3733029971952429821</stp>
        <tr r="D840" s="2"/>
      </tp>
      <tp t="s">
        <v>#N/A N/A</v>
        <stp/>
        <stp>BDP|1672157794166031152</stp>
        <tr r="E103" s="2"/>
      </tp>
      <tp t="s">
        <v>#N/A N/A</v>
        <stp/>
        <stp>BDP|8925730618193659366</stp>
        <tr r="O1504" s="2"/>
      </tp>
      <tp t="s">
        <v>#N/A N/A</v>
        <stp/>
        <stp>BDP|1915469489076299561</stp>
        <tr r="Q707" s="2"/>
      </tp>
      <tp t="s">
        <v>#N/A N/A</v>
        <stp/>
        <stp>BDP|7992178083096850677</stp>
        <tr r="R575" s="2"/>
      </tp>
      <tp t="s">
        <v>#N/A N/A</v>
        <stp/>
        <stp>BDP|6977993542846666368</stp>
        <tr r="R1535" s="2"/>
      </tp>
      <tp t="s">
        <v>#N/A N/A</v>
        <stp/>
        <stp>BDS|5314872497548964281</stp>
        <tr r="I1509" s="2"/>
      </tp>
      <tp t="s">
        <v>#N/A N/A</v>
        <stp/>
        <stp>BDP|3609345284014759232</stp>
        <tr r="J1346" s="2"/>
      </tp>
      <tp t="s">
        <v>#N/A N/A</v>
        <stp/>
        <stp>BDP|3022617253938517658</stp>
        <tr r="A1566" s="2"/>
      </tp>
      <tp t="s">
        <v>#N/A N/A</v>
        <stp/>
        <stp>BDP|6143516747341324866</stp>
        <tr r="A1489" s="2"/>
      </tp>
      <tp t="s">
        <v>#N/A N/A</v>
        <stp/>
        <stp>BDP|3519522611391204865</stp>
        <tr r="P1427" s="2"/>
      </tp>
      <tp t="s">
        <v>#N/A N/A</v>
        <stp/>
        <stp>BDP|8981353573010879259</stp>
        <tr r="C960" s="2"/>
      </tp>
      <tp t="s">
        <v>#N/A N/A</v>
        <stp/>
        <stp>BDP|3056813879856381493</stp>
        <tr r="H231" s="2"/>
      </tp>
      <tp t="s">
        <v>#N/A N/A</v>
        <stp/>
        <stp>BDP|3543382783653504594</stp>
        <tr r="C1009" s="2"/>
      </tp>
      <tp t="s">
        <v>#N/A N/A</v>
        <stp/>
        <stp>BDP|5546382188779666913</stp>
        <tr r="E1398" s="2"/>
      </tp>
      <tp t="s">
        <v>#N/A N/A</v>
        <stp/>
        <stp>BDP|5037932376645707003</stp>
        <tr r="A1590" s="2"/>
      </tp>
      <tp t="s">
        <v>#N/A N/A</v>
        <stp/>
        <stp>BDP|7360274084041067220</stp>
        <tr r="P1067" s="2"/>
      </tp>
      <tp t="s">
        <v>#N/A N/A</v>
        <stp/>
        <stp>BDP|3210013284583055656</stp>
        <tr r="S880" s="2"/>
      </tp>
      <tp t="s">
        <v>#N/A N/A</v>
        <stp/>
        <stp>BDP|9825784845507065371</stp>
        <tr r="N1430" s="2"/>
      </tp>
      <tp t="s">
        <v>#N/A N/A</v>
        <stp/>
        <stp>BDP|8693011824313191706</stp>
        <tr r="E445" s="2"/>
      </tp>
      <tp t="s">
        <v>#N/A N/A</v>
        <stp/>
        <stp>BDP|9455105254333101034</stp>
        <tr r="E497" s="2"/>
      </tp>
      <tp t="s">
        <v>#N/A N/A</v>
        <stp/>
        <stp>BDP|1234175652292223971</stp>
        <tr r="E812" s="2"/>
      </tp>
      <tp t="s">
        <v>#N/A N/A</v>
        <stp/>
        <stp>BDP|9138513002324621666</stp>
        <tr r="T760" s="2"/>
      </tp>
      <tp t="s">
        <v>#N/A N/A</v>
        <stp/>
        <stp>BDP|6056672066719131125</stp>
        <tr r="O40" s="2"/>
      </tp>
      <tp t="s">
        <v>#N/A N/A</v>
        <stp/>
        <stp>BDP|1768630512698745032</stp>
        <tr r="R1186" s="2"/>
      </tp>
      <tp t="s">
        <v>#N/A N/A</v>
        <stp/>
        <stp>BDP|5008807994152145874</stp>
        <tr r="O1472" s="2"/>
      </tp>
      <tp t="s">
        <v>#N/A N/A</v>
        <stp/>
        <stp>BDP|7164063186152201312</stp>
        <tr r="D1350" s="2"/>
      </tp>
      <tp t="s">
        <v>#N/A N/A</v>
        <stp/>
        <stp>BDP|4031167181952528109</stp>
        <tr r="Q457" s="2"/>
      </tp>
      <tp t="s">
        <v>#N/A N/A</v>
        <stp/>
        <stp>BDP|3344003431919998791</stp>
        <tr r="H1518" s="2"/>
      </tp>
      <tp t="s">
        <v>#N/A N/A</v>
        <stp/>
        <stp>BDP|3150198931158303795</stp>
        <tr r="R1699" s="2"/>
      </tp>
      <tp t="s">
        <v>#N/A N/A</v>
        <stp/>
        <stp>BDP|5527375885814121454</stp>
        <tr r="K418" s="2"/>
      </tp>
      <tp t="s">
        <v>#N/A N/A</v>
        <stp/>
        <stp>BDP|8912873748772046859</stp>
        <tr r="R1112" s="2"/>
      </tp>
      <tp t="s">
        <v>#N/A N/A</v>
        <stp/>
        <stp>BDP|3482997222307867142</stp>
        <tr r="S660" s="2"/>
      </tp>
      <tp t="s">
        <v>#N/A N/A</v>
        <stp/>
        <stp>BDP|7509156501731093920</stp>
        <tr r="P1284" s="2"/>
      </tp>
      <tp t="s">
        <v>#N/A N/A</v>
        <stp/>
        <stp>BDP|2373349120889071449</stp>
        <tr r="T1674" s="2"/>
      </tp>
      <tp t="s">
        <v>#N/A N/A</v>
        <stp/>
        <stp>BDP|9869699446040245560</stp>
        <tr r="J281" s="2"/>
      </tp>
      <tp t="s">
        <v>#N/A N/A</v>
        <stp/>
        <stp>BDP|8464156267688146949</stp>
        <tr r="P1681" s="2"/>
      </tp>
      <tp t="s">
        <v>#N/A N/A</v>
        <stp/>
        <stp>BDP|9842887593950677667</stp>
        <tr r="R188" s="2"/>
      </tp>
      <tp t="s">
        <v>#N/A N/A</v>
        <stp/>
        <stp>BDP|9660678235854181664</stp>
        <tr r="F571" s="2"/>
      </tp>
      <tp t="s">
        <v>#N/A N/A</v>
        <stp/>
        <stp>BDP|4107023059398032799</stp>
        <tr r="J1502" s="2"/>
      </tp>
      <tp t="s">
        <v>#N/A N/A</v>
        <stp/>
        <stp>BDP|1703129864601524977</stp>
        <tr r="F117" s="2"/>
      </tp>
      <tp t="s">
        <v>#N/A N/A</v>
        <stp/>
        <stp>BDP|2986686616872548918</stp>
        <tr r="K394" s="2"/>
      </tp>
      <tp t="s">
        <v>#N/A N/A</v>
        <stp/>
        <stp>BDP|8060509873831484542</stp>
        <tr r="D46" s="2"/>
      </tp>
      <tp t="s">
        <v>#N/A N/A</v>
        <stp/>
        <stp>BDP|1511021283482583521</stp>
        <tr r="E368" s="2"/>
      </tp>
      <tp t="s">
        <v>#N/A N/A</v>
        <stp/>
        <stp>BDP|2290495359005643877</stp>
        <tr r="R1633" s="2"/>
      </tp>
      <tp t="s">
        <v>#N/A N/A</v>
        <stp/>
        <stp>BDP|4735960169501814438</stp>
        <tr r="A1443" s="2"/>
      </tp>
      <tp t="s">
        <v>#N/A N/A</v>
        <stp/>
        <stp>BDP|8400321900824454113</stp>
        <tr r="T150" s="2"/>
      </tp>
      <tp t="s">
        <v>#N/A N/A</v>
        <stp/>
        <stp>BDP|8902055442832454096</stp>
        <tr r="F1573" s="2"/>
      </tp>
      <tp t="s">
        <v>#N/A N/A</v>
        <stp/>
        <stp>BDP|4612139868145960871</stp>
        <tr r="A332" s="2"/>
      </tp>
      <tp t="s">
        <v>#N/A N/A</v>
        <stp/>
        <stp>BDP|6049029749215857904</stp>
        <tr r="D712" s="2"/>
      </tp>
      <tp t="s">
        <v>#N/A N/A</v>
        <stp/>
        <stp>BDP|6492264654296727923</stp>
        <tr r="G1173" s="2"/>
      </tp>
      <tp t="s">
        <v>#N/A N/A</v>
        <stp/>
        <stp>BDP|8431394149525273454</stp>
        <tr r="N672" s="2"/>
      </tp>
      <tp t="s">
        <v>#N/A N/A</v>
        <stp/>
        <stp>BDP|5659726667433510957</stp>
        <tr r="O1567" s="2"/>
      </tp>
      <tp t="s">
        <v>#N/A N/A</v>
        <stp/>
        <stp>BDP|4550665457198737103</stp>
        <tr r="T299" s="2"/>
      </tp>
      <tp t="s">
        <v>#N/A N/A</v>
        <stp/>
        <stp>BDP|8202423278464213196</stp>
        <tr r="Q39" s="2"/>
      </tp>
      <tp t="s">
        <v>#N/A N/A</v>
        <stp/>
        <stp>BDP|7751686811409410796</stp>
        <tr r="R217" s="2"/>
      </tp>
      <tp t="s">
        <v>#N/A N/A</v>
        <stp/>
        <stp>BDP|1099519646238469607</stp>
        <tr r="E515" s="2"/>
      </tp>
      <tp t="s">
        <v>#N/A N/A</v>
        <stp/>
        <stp>BDP|2510218528374717888</stp>
        <tr r="P809" s="2"/>
      </tp>
      <tp t="s">
        <v>#N/A N/A</v>
        <stp/>
        <stp>BDP|9242331773270547340</stp>
        <tr r="M672" s="2"/>
      </tp>
      <tp t="s">
        <v>#N/A N/A</v>
        <stp/>
        <stp>BDP|3439622930221700920</stp>
        <tr r="K1038" s="2"/>
      </tp>
      <tp t="s">
        <v>#N/A N/A</v>
        <stp/>
        <stp>BDP|6293560417904745877</stp>
        <tr r="N1576" s="2"/>
      </tp>
      <tp t="s">
        <v>#N/A N/A</v>
        <stp/>
        <stp>BDP|9622578833873223233</stp>
        <tr r="Q1406" s="2"/>
      </tp>
      <tp t="s">
        <v>#N/A N/A</v>
        <stp/>
        <stp>BDP|2180059996375261037</stp>
        <tr r="Q127" s="2"/>
      </tp>
      <tp t="s">
        <v>#N/A N/A</v>
        <stp/>
        <stp>BDP|5111190589242229002</stp>
        <tr r="C303" s="2"/>
      </tp>
      <tp t="s">
        <v>#N/A N/A</v>
        <stp/>
        <stp>BDP|2033763002308570326</stp>
        <tr r="N1603" s="2"/>
      </tp>
      <tp t="s">
        <v>#N/A N/A</v>
        <stp/>
        <stp>BDP|1133907510204557376</stp>
        <tr r="O1044" s="2"/>
      </tp>
      <tp t="s">
        <v>#N/A N/A</v>
        <stp/>
        <stp>BDP|8889330108732286722</stp>
        <tr r="E815" s="2"/>
      </tp>
      <tp t="s">
        <v>#N/A N/A</v>
        <stp/>
        <stp>BDP|3556594087109168993</stp>
        <tr r="C1495" s="2"/>
      </tp>
      <tp t="s">
        <v>#N/A N/A</v>
        <stp/>
        <stp>BDP|1316613096512566225</stp>
        <tr r="Q1259" s="2"/>
      </tp>
      <tp t="s">
        <v>#N/A N/A</v>
        <stp/>
        <stp>BDP|6801817374443925475</stp>
        <tr r="Q467" s="2"/>
      </tp>
      <tp t="s">
        <v>#N/A N/A</v>
        <stp/>
        <stp>BDP|2998065438046610929</stp>
        <tr r="K1190" s="2"/>
      </tp>
      <tp t="s">
        <v>#N/A N/A</v>
        <stp/>
        <stp>BDP|9494705998661882876</stp>
        <tr r="K73" s="2"/>
      </tp>
      <tp t="s">
        <v>#N/A N/A</v>
        <stp/>
        <stp>BDS|8043360276274273615</stp>
        <tr r="I727" s="2"/>
      </tp>
      <tp t="s">
        <v>#N/A N/A</v>
        <stp/>
        <stp>BDP|8998487153312429558</stp>
        <tr r="F309" s="2"/>
      </tp>
      <tp t="s">
        <v>#N/A N/A</v>
        <stp/>
        <stp>BDP|2550964529792990508</stp>
        <tr r="A1002" s="2"/>
      </tp>
      <tp t="s">
        <v>#N/A N/A</v>
        <stp/>
        <stp>BDP|7959192795134623503</stp>
        <tr r="H946" s="2"/>
      </tp>
      <tp t="s">
        <v>#N/A N/A</v>
        <stp/>
        <stp>BDS|4503144385040681319</stp>
        <tr r="I920" s="2"/>
      </tp>
      <tp t="s">
        <v>#N/A N/A</v>
        <stp/>
        <stp>BDP|8912512072140000494</stp>
        <tr r="E1712" s="2"/>
      </tp>
      <tp t="s">
        <v>#N/A N/A</v>
        <stp/>
        <stp>BDP|7406823557487189339</stp>
        <tr r="R1225" s="2"/>
      </tp>
      <tp t="s">
        <v>#N/A N/A</v>
        <stp/>
        <stp>BDP|8517149162043477276</stp>
        <tr r="J691" s="2"/>
      </tp>
      <tp t="s">
        <v>#N/A N/A</v>
        <stp/>
        <stp>BDP|8679589332321456181</stp>
        <tr r="S441" s="2"/>
      </tp>
      <tp t="s">
        <v>#N/A N/A</v>
        <stp/>
        <stp>BDP|7297881968004251304</stp>
        <tr r="J1144" s="2"/>
      </tp>
      <tp t="s">
        <v>#N/A N/A</v>
        <stp/>
        <stp>BDP|8352174227804074136</stp>
        <tr r="O271" s="2"/>
      </tp>
      <tp t="s">
        <v>#N/A N/A</v>
        <stp/>
        <stp>BDP|6415369587141572206</stp>
        <tr r="D1489" s="2"/>
      </tp>
      <tp t="s">
        <v>#N/A N/A</v>
        <stp/>
        <stp>BDP|9984786372637066036</stp>
        <tr r="A972" s="2"/>
      </tp>
      <tp t="s">
        <v>#N/A N/A</v>
        <stp/>
        <stp>BDS|3629738597314335711</stp>
        <tr r="I784" s="2"/>
      </tp>
      <tp t="s">
        <v>#N/A N/A</v>
        <stp/>
        <stp>BDP|8944712457901665592</stp>
        <tr r="E569" s="2"/>
      </tp>
      <tp t="s">
        <v>#N/A N/A</v>
        <stp/>
        <stp>BDP|7601363747177687911</stp>
        <tr r="M495" s="2"/>
      </tp>
      <tp t="s">
        <v>#N/A N/A</v>
        <stp/>
        <stp>BDP|9060213819861011587</stp>
        <tr r="M1552" s="2"/>
      </tp>
      <tp t="s">
        <v>#N/A N/A</v>
        <stp/>
        <stp>BDP|2770363675559099143</stp>
        <tr r="E1059" s="2"/>
      </tp>
      <tp t="s">
        <v>#N/A N/A</v>
        <stp/>
        <stp>BDS|6123605488562825419</stp>
        <tr r="I1546" s="2"/>
      </tp>
      <tp t="s">
        <v>#N/A N/A</v>
        <stp/>
        <stp>BDP|1908051898510794637</stp>
        <tr r="K202" s="2"/>
      </tp>
      <tp t="s">
        <v>#N/A N/A</v>
        <stp/>
        <stp>BDP|2399768197964617643</stp>
        <tr r="S470" s="2"/>
      </tp>
      <tp t="s">
        <v>#N/A N/A</v>
        <stp/>
        <stp>BDP|6909858415258872917</stp>
        <tr r="P180" s="2"/>
      </tp>
      <tp t="s">
        <v>#N/A N/A</v>
        <stp/>
        <stp>BDP|5162951351472372569</stp>
        <tr r="C1251" s="2"/>
      </tp>
      <tp t="s">
        <v>#N/A N/A</v>
        <stp/>
        <stp>BDS|6372576131927315967</stp>
        <tr r="I725" s="2"/>
      </tp>
      <tp t="s">
        <v>#N/A N/A</v>
        <stp/>
        <stp>BDP|9075500117952364145</stp>
        <tr r="T77" s="2"/>
      </tp>
      <tp t="s">
        <v>#N/A N/A</v>
        <stp/>
        <stp>BDP|5716767193103080622</stp>
        <tr r="M100" s="2"/>
      </tp>
      <tp t="s">
        <v>#N/A N/A</v>
        <stp/>
        <stp>BDP|8133239458435234480</stp>
        <tr r="Q459" s="2"/>
      </tp>
      <tp t="s">
        <v>#N/A N/A</v>
        <stp/>
        <stp>BDP|6566876812995654461</stp>
        <tr r="P1080" s="2"/>
      </tp>
      <tp t="s">
        <v>#N/A N/A</v>
        <stp/>
        <stp>BDP|7168461390916159266</stp>
        <tr r="O1409" s="2"/>
      </tp>
      <tp t="s">
        <v>#N/A N/A</v>
        <stp/>
        <stp>BDP|4490868288099980334</stp>
        <tr r="P1299" s="2"/>
      </tp>
      <tp t="s">
        <v>#N/A N/A</v>
        <stp/>
        <stp>BDP|4208895807371982352</stp>
        <tr r="R1553" s="2"/>
      </tp>
      <tp t="s">
        <v>#N/A N/A</v>
        <stp/>
        <stp>BDS|2760301377051580950</stp>
        <tr r="I1748" s="2"/>
      </tp>
      <tp t="s">
        <v>#N/A N/A</v>
        <stp/>
        <stp>BDP|7456134320412197860</stp>
        <tr r="F1226" s="2"/>
      </tp>
      <tp t="s">
        <v>#N/A N/A</v>
        <stp/>
        <stp>BDP|7030849837025663750</stp>
        <tr r="A1565" s="2"/>
      </tp>
      <tp t="s">
        <v>#N/A N/A</v>
        <stp/>
        <stp>BDP|8655538808915415699</stp>
        <tr r="C1363" s="2"/>
      </tp>
      <tp t="s">
        <v>#N/A N/A</v>
        <stp/>
        <stp>BDP|8007577561400468529</stp>
        <tr r="P1070" s="2"/>
      </tp>
      <tp t="s">
        <v>#N/A N/A</v>
        <stp/>
        <stp>BDP|4526149341209601666</stp>
        <tr r="C441" s="2"/>
      </tp>
      <tp t="s">
        <v>#N/A N/A</v>
        <stp/>
        <stp>BDP|6116364155909611742</stp>
        <tr r="F79" s="2"/>
      </tp>
      <tp t="s">
        <v>#N/A N/A</v>
        <stp/>
        <stp>BDP|7100653184267880086</stp>
        <tr r="N1254" s="2"/>
      </tp>
      <tp t="s">
        <v>#N/A N/A</v>
        <stp/>
        <stp>BDP|3584255554833381972</stp>
        <tr r="T913" s="2"/>
      </tp>
      <tp t="s">
        <v>#N/A N/A</v>
        <stp/>
        <stp>BDP|8471063274241118078</stp>
        <tr r="T1312" s="2"/>
      </tp>
      <tp t="s">
        <v>#N/A N/A</v>
        <stp/>
        <stp>BDP|4960169097230006283</stp>
        <tr r="J51" s="2"/>
      </tp>
      <tp t="s">
        <v>#N/A N/A</v>
        <stp/>
        <stp>BDP|6539213153959734604</stp>
        <tr r="M354" s="2"/>
      </tp>
      <tp t="s">
        <v>#N/A N/A</v>
        <stp/>
        <stp>BDP|1777309606628569440</stp>
        <tr r="F476" s="2"/>
      </tp>
      <tp t="s">
        <v>#N/A N/A</v>
        <stp/>
        <stp>BDP|2990737709188075336</stp>
        <tr r="E145" s="2"/>
      </tp>
      <tp t="s">
        <v>#N/A N/A</v>
        <stp/>
        <stp>BDP|9789320736333088432</stp>
        <tr r="Q372" s="2"/>
      </tp>
      <tp t="s">
        <v>#N/A N/A</v>
        <stp/>
        <stp>BDP|4670805935674548561</stp>
        <tr r="R1061" s="2"/>
      </tp>
      <tp t="s">
        <v>#N/A N/A</v>
        <stp/>
        <stp>BDP|6585954914818641821</stp>
        <tr r="O1165" s="2"/>
      </tp>
      <tp t="s">
        <v>#N/A N/A</v>
        <stp/>
        <stp>BDP|1480135202808216674</stp>
        <tr r="D199" s="2"/>
      </tp>
      <tp t="s">
        <v>#N/A N/A</v>
        <stp/>
        <stp>BDS|3552760973288907594</stp>
        <tr r="I1375" s="2"/>
      </tp>
      <tp t="s">
        <v>#N/A N/A</v>
        <stp/>
        <stp>BDP|2811193245248536113</stp>
        <tr r="A540" s="2"/>
      </tp>
      <tp t="s">
        <v>#N/A N/A</v>
        <stp/>
        <stp>BDP|9012424790349540372</stp>
        <tr r="H1290" s="2"/>
      </tp>
      <tp t="s">
        <v>#N/A N/A</v>
        <stp/>
        <stp>BDP|6880464361812971863</stp>
        <tr r="A520" s="2"/>
      </tp>
      <tp t="s">
        <v>#N/A N/A</v>
        <stp/>
        <stp>BDP|7166705810848483753</stp>
        <tr r="C1012" s="2"/>
      </tp>
      <tp t="s">
        <v>#N/A N/A</v>
        <stp/>
        <stp>BDP|3027101890660953590</stp>
        <tr r="T939" s="2"/>
      </tp>
      <tp t="s">
        <v>#N/A N/A</v>
        <stp/>
        <stp>BDP|5453546254039439200</stp>
        <tr r="K1021" s="2"/>
      </tp>
      <tp t="s">
        <v>#N/A N/A</v>
        <stp/>
        <stp>BDP|5310556594711552676</stp>
        <tr r="P790" s="2"/>
      </tp>
      <tp t="s">
        <v>#N/A N/A</v>
        <stp/>
        <stp>BDP|2277537586457616616</stp>
        <tr r="R836" s="2"/>
      </tp>
      <tp t="s">
        <v>#N/A N/A</v>
        <stp/>
        <stp>BDS|5070932152301810697</stp>
        <tr r="I77" s="2"/>
      </tp>
      <tp t="s">
        <v>#N/A N/A</v>
        <stp/>
        <stp>BDS|3052422367497415812</stp>
        <tr r="I279" s="2"/>
      </tp>
      <tp t="s">
        <v>#N/A N/A</v>
        <stp/>
        <stp>BDP|9343660615986995697</stp>
        <tr r="G1727" s="2"/>
      </tp>
      <tp t="s">
        <v>#N/A N/A</v>
        <stp/>
        <stp>BDS|8263090922637190389</stp>
        <tr r="I178" s="2"/>
      </tp>
      <tp t="s">
        <v>#N/A N/A</v>
        <stp/>
        <stp>BDP|9075901083097327107</stp>
        <tr r="O640" s="2"/>
      </tp>
      <tp t="s">
        <v>#N/A N/A</v>
        <stp/>
        <stp>BDP|2342152435757004933</stp>
        <tr r="G312" s="2"/>
      </tp>
      <tp t="s">
        <v>#N/A N/A</v>
        <stp/>
        <stp>BDP|8160544455340337630</stp>
        <tr r="O1201" s="2"/>
      </tp>
      <tp t="s">
        <v>#N/A N/A</v>
        <stp/>
        <stp>BDP|4994630627566484896</stp>
        <tr r="Q1664" s="2"/>
      </tp>
      <tp t="s">
        <v>#N/A N/A</v>
        <stp/>
        <stp>BDP|4338693304514669881</stp>
        <tr r="D1300" s="2"/>
      </tp>
      <tp t="s">
        <v>#N/A N/A</v>
        <stp/>
        <stp>BDP|2259972845748672962</stp>
        <tr r="Q238" s="2"/>
      </tp>
      <tp t="s">
        <v>#N/A N/A</v>
        <stp/>
        <stp>BDP|8791161917205368359</stp>
        <tr r="S297" s="2"/>
      </tp>
      <tp t="s">
        <v>#N/A N/A</v>
        <stp/>
        <stp>BDP|1153552670419477401</stp>
        <tr r="Q365" s="2"/>
      </tp>
      <tp t="s">
        <v>#N/A N/A</v>
        <stp/>
        <stp>BDP|1405547874168744537</stp>
        <tr r="R1410" s="2"/>
      </tp>
      <tp t="s">
        <v>#N/A N/A</v>
        <stp/>
        <stp>BDP|9837180872100704157</stp>
        <tr r="K732" s="2"/>
      </tp>
      <tp t="s">
        <v>#N/A N/A</v>
        <stp/>
        <stp>BDP|1467036724338435574</stp>
        <tr r="F1149" s="2"/>
      </tp>
      <tp t="s">
        <v>#N/A N/A</v>
        <stp/>
        <stp>BDP|5456736084202021637</stp>
        <tr r="K1370" s="2"/>
      </tp>
      <tp t="s">
        <v>#N/A N/A</v>
        <stp/>
        <stp>BDP|4404609464542217829</stp>
        <tr r="H120" s="2"/>
      </tp>
      <tp t="s">
        <v>#N/A N/A</v>
        <stp/>
        <stp>BDP|6949214748829651769</stp>
        <tr r="K346" s="2"/>
      </tp>
      <tp t="s">
        <v>#N/A N/A</v>
        <stp/>
        <stp>BDP|6139848634810551342</stp>
        <tr r="Q1709" s="2"/>
      </tp>
      <tp t="s">
        <v>#N/A N/A</v>
        <stp/>
        <stp>BDP|2784602493855300675</stp>
        <tr r="E1083" s="2"/>
      </tp>
      <tp t="s">
        <v>#N/A N/A</v>
        <stp/>
        <stp>BDP|8763811373460703924</stp>
        <tr r="D1063" s="2"/>
      </tp>
      <tp t="s">
        <v>#N/A N/A</v>
        <stp/>
        <stp>BDS|2504933361317453431</stp>
        <tr r="I958" s="2"/>
      </tp>
      <tp t="s">
        <v>#N/A N/A</v>
        <stp/>
        <stp>BDS|5600044204178130372</stp>
        <tr r="I1693" s="2"/>
      </tp>
      <tp t="s">
        <v>#N/A N/A</v>
        <stp/>
        <stp>BDP|4091338946484767924</stp>
        <tr r="E31" s="2"/>
      </tp>
      <tp t="s">
        <v>#N/A N/A</v>
        <stp/>
        <stp>BDP|8763402926296174606</stp>
        <tr r="C956" s="2"/>
      </tp>
      <tp t="s">
        <v>#N/A N/A</v>
        <stp/>
        <stp>BDP|1459325880727573337</stp>
        <tr r="E1283" s="2"/>
      </tp>
      <tp t="s">
        <v>#N/A N/A</v>
        <stp/>
        <stp>BDP|2522853137664217351</stp>
        <tr r="A1622" s="2"/>
      </tp>
      <tp t="s">
        <v>#N/A N/A</v>
        <stp/>
        <stp>BDP|2823069201304887876</stp>
        <tr r="C1327" s="2"/>
      </tp>
      <tp t="s">
        <v>#N/A N/A</v>
        <stp/>
        <stp>BDS|1593591053238697796</stp>
        <tr r="I137" s="2"/>
      </tp>
      <tp t="s">
        <v>#N/A N/A</v>
        <stp/>
        <stp>BDS|4671445829464938820</stp>
        <tr r="I1225" s="2"/>
      </tp>
      <tp t="s">
        <v>#N/A N/A</v>
        <stp/>
        <stp>BDP|2465755180310154303</stp>
        <tr r="N1610" s="2"/>
      </tp>
      <tp t="s">
        <v>#N/A N/A</v>
        <stp/>
        <stp>BDP|8902090167947153775</stp>
        <tr r="S1502" s="2"/>
      </tp>
      <tp t="s">
        <v>#N/A N/A</v>
        <stp/>
        <stp>BDP|9297521666382279655</stp>
        <tr r="E981" s="2"/>
      </tp>
      <tp t="s">
        <v>#N/A N/A</v>
        <stp/>
        <stp>BDP|2250695718593156839</stp>
        <tr r="K447" s="2"/>
      </tp>
      <tp t="s">
        <v>#N/A N/A</v>
        <stp/>
        <stp>BDP|7843964310537849678</stp>
        <tr r="P833" s="2"/>
      </tp>
      <tp t="s">
        <v>#N/A N/A</v>
        <stp/>
        <stp>BDS|9596674208433362284</stp>
        <tr r="I1234" s="2"/>
      </tp>
      <tp t="s">
        <v>#N/A N/A</v>
        <stp/>
        <stp>BDP|1742246283906009313</stp>
        <tr r="O289" s="2"/>
      </tp>
      <tp t="s">
        <v>#N/A N/A</v>
        <stp/>
        <stp>BDP|9682522285403172912</stp>
        <tr r="F106" s="2"/>
      </tp>
      <tp t="s">
        <v>#N/A N/A</v>
        <stp/>
        <stp>BDP|9588221443656054751</stp>
        <tr r="K493" s="2"/>
      </tp>
      <tp t="s">
        <v>#N/A N/A</v>
        <stp/>
        <stp>BDP|1343726840218886485</stp>
        <tr r="E427" s="2"/>
      </tp>
      <tp t="s">
        <v>#N/A N/A</v>
        <stp/>
        <stp>BDP|2918913321124894307</stp>
        <tr r="C1356" s="2"/>
      </tp>
      <tp t="s">
        <v>#N/A N/A</v>
        <stp/>
        <stp>BDP|6415189714651008993</stp>
        <tr r="S1505" s="2"/>
      </tp>
      <tp t="s">
        <v>#N/A N/A</v>
        <stp/>
        <stp>BDP|6887597672688066222</stp>
        <tr r="H1669" s="2"/>
      </tp>
      <tp t="s">
        <v>#N/A N/A</v>
        <stp/>
        <stp>BDP|1138769399675644494</stp>
        <tr r="P1268" s="2"/>
      </tp>
      <tp t="s">
        <v>#N/A N/A</v>
        <stp/>
        <stp>BDP|7311758002838581606</stp>
        <tr r="C1351" s="2"/>
      </tp>
      <tp t="s">
        <v>#N/A N/A</v>
        <stp/>
        <stp>BDP|6296797296760836644</stp>
        <tr r="A1287" s="2"/>
      </tp>
      <tp t="s">
        <v>#N/A N/A</v>
        <stp/>
        <stp>BDP|6041199488202765377</stp>
        <tr r="D175" s="2"/>
      </tp>
      <tp t="s">
        <v>#N/A N/A</v>
        <stp/>
        <stp>BDP|5966889935550058051</stp>
        <tr r="E1653" s="2"/>
      </tp>
      <tp t="s">
        <v>#N/A N/A</v>
        <stp/>
        <stp>BDP|2192931816503625731</stp>
        <tr r="S129" s="2"/>
      </tp>
      <tp t="s">
        <v>#N/A N/A</v>
        <stp/>
        <stp>BDP|7922013529048299326</stp>
        <tr r="J1118" s="2"/>
      </tp>
      <tp t="s">
        <v>#N/A N/A</v>
        <stp/>
        <stp>BDP|4220382292462917204</stp>
        <tr r="P486" s="2"/>
      </tp>
      <tp t="s">
        <v>#N/A N/A</v>
        <stp/>
        <stp>BDP|9956560199572734903</stp>
        <tr r="K1034" s="2"/>
      </tp>
      <tp t="s">
        <v>#N/A N/A</v>
        <stp/>
        <stp>BDP|2404736446118320735</stp>
        <tr r="R132" s="2"/>
      </tp>
      <tp t="s">
        <v>#N/A N/A</v>
        <stp/>
        <stp>BDP|9323572060275327160</stp>
        <tr r="M1677" s="2"/>
      </tp>
      <tp t="s">
        <v>#N/A N/A</v>
        <stp/>
        <stp>BDP|8350222653085300407</stp>
        <tr r="Q4" s="2"/>
      </tp>
      <tp t="s">
        <v>#N/A N/A</v>
        <stp/>
        <stp>BDP|5548242850264142813</stp>
        <tr r="G52" s="2"/>
      </tp>
      <tp t="s">
        <v>#N/A N/A</v>
        <stp/>
        <stp>BDP|7737814179536955074</stp>
        <tr r="Q1440" s="2"/>
      </tp>
      <tp t="s">
        <v>#N/A N/A</v>
        <stp/>
        <stp>BDP|8367071015110845781</stp>
        <tr r="C249" s="2"/>
      </tp>
      <tp t="s">
        <v>#N/A N/A</v>
        <stp/>
        <stp>BDP|4409976641056442171</stp>
        <tr r="R3" s="2"/>
      </tp>
      <tp t="s">
        <v>#N/A N/A</v>
        <stp/>
        <stp>BDP|5280339596270627103</stp>
        <tr r="C503" s="2"/>
      </tp>
      <tp t="s">
        <v>#N/A N/A</v>
        <stp/>
        <stp>BDP|5242600764383621817</stp>
        <tr r="M120" s="2"/>
      </tp>
      <tp t="s">
        <v>#N/A N/A</v>
        <stp/>
        <stp>BDP|7568955174001244675</stp>
        <tr r="C854" s="2"/>
      </tp>
      <tp t="s">
        <v>#N/A N/A</v>
        <stp/>
        <stp>BDP|2594611504179190305</stp>
        <tr r="N1159" s="2"/>
      </tp>
      <tp t="s">
        <v>#N/A N/A</v>
        <stp/>
        <stp>BDP|2228325491192554456</stp>
        <tr r="P287" s="2"/>
      </tp>
      <tp t="s">
        <v>#N/A N/A</v>
        <stp/>
        <stp>BDS|8714245818024241186</stp>
        <tr r="I812" s="2"/>
      </tp>
      <tp t="s">
        <v>#N/A N/A</v>
        <stp/>
        <stp>BDP|2855131089394069135</stp>
        <tr r="O411" s="2"/>
      </tp>
      <tp t="s">
        <v>#N/A N/A</v>
        <stp/>
        <stp>BDP|6666868219605952419</stp>
        <tr r="H1054" s="2"/>
      </tp>
      <tp t="s">
        <v>#N/A N/A</v>
        <stp/>
        <stp>BDP|2914556443819790492</stp>
        <tr r="C670" s="2"/>
      </tp>
      <tp t="s">
        <v>#N/A N/A</v>
        <stp/>
        <stp>BDP|4708321786956290705</stp>
        <tr r="O114" s="2"/>
      </tp>
      <tp t="s">
        <v>#N/A N/A</v>
        <stp/>
        <stp>BDP|2382866101317132349</stp>
        <tr r="T1539" s="2"/>
      </tp>
      <tp t="s">
        <v>#N/A N/A</v>
        <stp/>
        <stp>BDP|8716272310223228634</stp>
        <tr r="J725" s="2"/>
      </tp>
      <tp t="s">
        <v>#N/A N/A</v>
        <stp/>
        <stp>BDP|4599830837960612167</stp>
        <tr r="Q234" s="2"/>
      </tp>
      <tp t="s">
        <v>#N/A N/A</v>
        <stp/>
        <stp>BDP|1173287999792935682</stp>
        <tr r="P584" s="2"/>
      </tp>
      <tp t="s">
        <v>#N/A N/A</v>
        <stp/>
        <stp>BDP|7393683512049054789</stp>
        <tr r="A768" s="2"/>
      </tp>
      <tp t="s">
        <v>#N/A N/A</v>
        <stp/>
        <stp>BDP|9458438675482271618</stp>
        <tr r="O818" s="2"/>
      </tp>
      <tp t="s">
        <v>#N/A N/A</v>
        <stp/>
        <stp>BDP|5831091190416923492</stp>
        <tr r="D223" s="2"/>
      </tp>
      <tp t="s">
        <v>#N/A N/A</v>
        <stp/>
        <stp>BDP|7476072305960733977</stp>
        <tr r="E1292" s="2"/>
      </tp>
      <tp t="s">
        <v>#N/A N/A</v>
        <stp/>
        <stp>BDP|2075104265312397901</stp>
        <tr r="G194" s="2"/>
      </tp>
      <tp t="s">
        <v>#N/A N/A</v>
        <stp/>
        <stp>BDP|4236477490800450771</stp>
        <tr r="S1192" s="2"/>
      </tp>
      <tp t="s">
        <v>#N/A N/A</v>
        <stp/>
        <stp>BDP|8396749110880832093</stp>
        <tr r="E342" s="2"/>
      </tp>
      <tp t="s">
        <v>#N/A N/A</v>
        <stp/>
        <stp>BDP|6608808726156033462</stp>
        <tr r="G1185" s="2"/>
      </tp>
      <tp t="s">
        <v>#N/A N/A</v>
        <stp/>
        <stp>BDP|2771448295039645860</stp>
        <tr r="C317" s="2"/>
      </tp>
      <tp t="s">
        <v>#N/A N/A</v>
        <stp/>
        <stp>BDP|4190060754367790828</stp>
        <tr r="F274" s="2"/>
      </tp>
      <tp t="s">
        <v>#N/A N/A</v>
        <stp/>
        <stp>BDP|1254946836412580734</stp>
        <tr r="N837" s="2"/>
      </tp>
      <tp t="s">
        <v>#N/A N/A</v>
        <stp/>
        <stp>BDP|6057892156436812318</stp>
        <tr r="N1224" s="2"/>
      </tp>
      <tp t="s">
        <v>#N/A N/A</v>
        <stp/>
        <stp>BDP|7726326533771695860</stp>
        <tr r="D997" s="2"/>
      </tp>
      <tp t="s">
        <v>#N/A N/A</v>
        <stp/>
        <stp>BDP|3610602607532386944</stp>
        <tr r="D594" s="2"/>
      </tp>
      <tp t="s">
        <v>#N/A N/A</v>
        <stp/>
        <stp>BDP|7178278333549042134</stp>
        <tr r="S1466" s="2"/>
      </tp>
      <tp t="s">
        <v>#N/A N/A</v>
        <stp/>
        <stp>BDP|3017274840009187207</stp>
        <tr r="P1517" s="2"/>
      </tp>
      <tp t="s">
        <v>#N/A N/A</v>
        <stp/>
        <stp>BDP|3437081469582192924</stp>
        <tr r="G369" s="2"/>
      </tp>
      <tp t="s">
        <v>#N/A N/A</v>
        <stp/>
        <stp>BDP|2566662323159284140</stp>
        <tr r="D1102" s="2"/>
      </tp>
      <tp t="s">
        <v>#N/A N/A</v>
        <stp/>
        <stp>BDP|1368574676408580513</stp>
        <tr r="R1303" s="2"/>
      </tp>
      <tp t="s">
        <v>#N/A N/A</v>
        <stp/>
        <stp>BDP|7472576856879203014</stp>
        <tr r="S1205" s="2"/>
      </tp>
      <tp t="s">
        <v>#N/A N/A</v>
        <stp/>
        <stp>BDP|5720375413401280877</stp>
        <tr r="H966" s="2"/>
      </tp>
      <tp t="s">
        <v>#N/A N/A</v>
        <stp/>
        <stp>BDS|1359635584941477061</stp>
        <tr r="I1239" s="2"/>
      </tp>
      <tp t="s">
        <v>#N/A N/A</v>
        <stp/>
        <stp>BDP|5214192561295992954</stp>
        <tr r="S1541" s="2"/>
      </tp>
      <tp t="s">
        <v>#N/A N/A</v>
        <stp/>
        <stp>BDP|7724847216952723241</stp>
        <tr r="A671" s="2"/>
      </tp>
      <tp t="s">
        <v>#N/A N/A</v>
        <stp/>
        <stp>BDP|4892260268429300732</stp>
        <tr r="F1678" s="2"/>
      </tp>
      <tp t="s">
        <v>#N/A N/A</v>
        <stp/>
        <stp>BDP|8776842200837705922</stp>
        <tr r="J746" s="2"/>
      </tp>
      <tp t="s">
        <v>#N/A N/A</v>
        <stp/>
        <stp>BDP|6320362462098790566</stp>
        <tr r="O811" s="2"/>
      </tp>
      <tp t="s">
        <v>#N/A N/A</v>
        <stp/>
        <stp>BDS|3076485181767819678</stp>
        <tr r="I234" s="2"/>
      </tp>
      <tp t="s">
        <v>#N/A N/A</v>
        <stp/>
        <stp>BDP|8982774710497128794</stp>
        <tr r="E207" s="2"/>
      </tp>
      <tp t="s">
        <v>#N/A N/A</v>
        <stp/>
        <stp>BDP|9535649300103170262</stp>
        <tr r="R1215" s="2"/>
      </tp>
      <tp t="s">
        <v>#N/A N/A</v>
        <stp/>
        <stp>BDP|1395671357434267874</stp>
        <tr r="N1640" s="2"/>
      </tp>
      <tp t="s">
        <v>#N/A N/A</v>
        <stp/>
        <stp>BDP|8427096015744680385</stp>
        <tr r="N13" s="2"/>
      </tp>
      <tp t="s">
        <v>#N/A N/A</v>
        <stp/>
        <stp>BDP|3586234967368084179</stp>
        <tr r="Q141" s="2"/>
      </tp>
      <tp t="s">
        <v>#N/A N/A</v>
        <stp/>
        <stp>BDP|7634131305141088965</stp>
        <tr r="J589" s="2"/>
      </tp>
      <tp t="s">
        <v>#N/A N/A</v>
        <stp/>
        <stp>BDS|2611678317403994896</stp>
        <tr r="I771" s="2"/>
      </tp>
      <tp t="s">
        <v>#N/A N/A</v>
        <stp/>
        <stp>BDP|5918291083393103242</stp>
        <tr r="J871" s="2"/>
      </tp>
      <tp t="s">
        <v>#N/A N/A</v>
        <stp/>
        <stp>BDP|1633735193786169716</stp>
        <tr r="A123" s="2"/>
      </tp>
      <tp t="s">
        <v>#N/A N/A</v>
        <stp/>
        <stp>BDP|8722259158272897341</stp>
        <tr r="R376" s="2"/>
      </tp>
      <tp t="s">
        <v>#N/A N/A</v>
        <stp/>
        <stp>BDP|6947386664905088832</stp>
        <tr r="M347" s="2"/>
      </tp>
      <tp t="s">
        <v>#N/A N/A</v>
        <stp/>
        <stp>BDP|5669550746509756346</stp>
        <tr r="R1590" s="2"/>
      </tp>
      <tp t="s">
        <v>#N/A N/A</v>
        <stp/>
        <stp>BDP|7344819987801618857</stp>
        <tr r="G345" s="2"/>
      </tp>
      <tp t="s">
        <v>#N/A N/A</v>
        <stp/>
        <stp>BDP|8572714842087272227</stp>
        <tr r="P457" s="2"/>
      </tp>
      <tp t="s">
        <v>#N/A N/A</v>
        <stp/>
        <stp>BDP|9666355115874789170</stp>
        <tr r="F1474" s="2"/>
      </tp>
      <tp t="s">
        <v>#N/A N/A</v>
        <stp/>
        <stp>BDP|1204666712211106916</stp>
        <tr r="D651" s="2"/>
      </tp>
      <tp t="s">
        <v>#N/A N/A</v>
        <stp/>
        <stp>BDP|1575937902296106030</stp>
        <tr r="S863" s="2"/>
      </tp>
      <tp t="s">
        <v>#N/A N/A</v>
        <stp/>
        <stp>BDP|2348139417914570841</stp>
        <tr r="M1442" s="2"/>
      </tp>
      <tp t="s">
        <v>#N/A N/A</v>
        <stp/>
        <stp>BDP|7039661546462443920</stp>
        <tr r="M712" s="2"/>
      </tp>
      <tp t="s">
        <v>#N/A N/A</v>
        <stp/>
        <stp>BDP|4832066292462272183</stp>
        <tr r="F147" s="2"/>
      </tp>
      <tp t="s">
        <v>#N/A N/A</v>
        <stp/>
        <stp>BDP|3135250213708380629</stp>
        <tr r="G1576" s="2"/>
      </tp>
      <tp t="s">
        <v>#N/A N/A</v>
        <stp/>
        <stp>BDP|4430886467044951045</stp>
        <tr r="H1003" s="2"/>
      </tp>
      <tp t="s">
        <v>#N/A N/A</v>
        <stp/>
        <stp>BDP|8844760177121904760</stp>
        <tr r="K1276" s="2"/>
      </tp>
      <tp t="s">
        <v>#N/A N/A</v>
        <stp/>
        <stp>BDP|6673953114105495558</stp>
        <tr r="N1147" s="2"/>
      </tp>
      <tp t="s">
        <v>#N/A N/A</v>
        <stp/>
        <stp>BDP|2747700422129703041</stp>
        <tr r="E229" s="2"/>
      </tp>
      <tp t="s">
        <v>#N/A N/A</v>
        <stp/>
        <stp>BDP|8054512131711406124</stp>
        <tr r="P1593" s="2"/>
      </tp>
      <tp t="s">
        <v>#N/A N/A</v>
        <stp/>
        <stp>BDP|5620086738438619065</stp>
        <tr r="Q1194" s="2"/>
      </tp>
      <tp t="s">
        <v>#N/A N/A</v>
        <stp/>
        <stp>BDP|2431717937420641820</stp>
        <tr r="A1124" s="2"/>
      </tp>
      <tp t="s">
        <v>#N/A N/A</v>
        <stp/>
        <stp>BDP|1595162910576189940</stp>
        <tr r="R244" s="2"/>
      </tp>
      <tp t="s">
        <v>#N/A N/A</v>
        <stp/>
        <stp>BDP|8065688367735021382</stp>
        <tr r="H661" s="2"/>
      </tp>
      <tp t="s">
        <v>#N/A N/A</v>
        <stp/>
        <stp>BDP|9694356727135153322</stp>
        <tr r="J684" s="2"/>
      </tp>
      <tp t="s">
        <v>#N/A N/A</v>
        <stp/>
        <stp>BDP|3684124805464336852</stp>
        <tr r="P1262" s="2"/>
      </tp>
      <tp t="s">
        <v>#N/A N/A</v>
        <stp/>
        <stp>BDP|4632204495300288165</stp>
        <tr r="G377" s="2"/>
      </tp>
      <tp t="s">
        <v>#N/A N/A</v>
        <stp/>
        <stp>BDP|9322624301879528825</stp>
        <tr r="D768" s="2"/>
      </tp>
      <tp t="s">
        <v>#N/A N/A</v>
        <stp/>
        <stp>BDP|9619926718617310889</stp>
        <tr r="N1553" s="2"/>
      </tp>
      <tp t="s">
        <v>#N/A N/A</v>
        <stp/>
        <stp>BDP|2136972242052008338</stp>
        <tr r="D897" s="2"/>
      </tp>
      <tp t="s">
        <v>#N/A N/A</v>
        <stp/>
        <stp>BDP|7088708613837108850</stp>
        <tr r="H33" s="2"/>
      </tp>
      <tp t="s">
        <v>#N/A N/A</v>
        <stp/>
        <stp>BDP|9951075254254491693</stp>
        <tr r="S859" s="2"/>
      </tp>
      <tp t="s">
        <v>#N/A N/A</v>
        <stp/>
        <stp>BDP|2356843445932253272</stp>
        <tr r="D1654" s="2"/>
      </tp>
      <tp t="s">
        <v>#N/A N/A</v>
        <stp/>
        <stp>BDP|1336942011035321228</stp>
        <tr r="R1159" s="2"/>
      </tp>
      <tp t="s">
        <v>#N/A N/A</v>
        <stp/>
        <stp>BDP|7696611835598432415</stp>
        <tr r="O820" s="2"/>
      </tp>
      <tp t="s">
        <v>#N/A N/A</v>
        <stp/>
        <stp>BDP|5703064331969345142</stp>
        <tr r="G1025" s="2"/>
      </tp>
      <tp t="s">
        <v>#N/A N/A</v>
        <stp/>
        <stp>BDP|8537633560922613473</stp>
        <tr r="N232" s="2"/>
      </tp>
      <tp t="s">
        <v>#N/A N/A</v>
        <stp/>
        <stp>BDP|7480245400822768908</stp>
        <tr r="H859" s="2"/>
      </tp>
      <tp t="s">
        <v>#N/A N/A</v>
        <stp/>
        <stp>BDP|8286068275997426620</stp>
        <tr r="K1118" s="2"/>
      </tp>
      <tp t="s">
        <v>#N/A N/A</v>
        <stp/>
        <stp>BDP|1696911455524084758</stp>
        <tr r="H441" s="2"/>
      </tp>
      <tp t="s">
        <v>#N/A N/A</v>
        <stp/>
        <stp>BDP|6978345673809948503</stp>
        <tr r="E1198" s="2"/>
      </tp>
      <tp t="s">
        <v>#N/A N/A</v>
        <stp/>
        <stp>BDP|1678414067909145462</stp>
        <tr r="P732" s="2"/>
      </tp>
      <tp t="s">
        <v>#N/A N/A</v>
        <stp/>
        <stp>BDP|4243091393850668397</stp>
        <tr r="G1251" s="2"/>
      </tp>
      <tp t="s">
        <v>#N/A N/A</v>
        <stp/>
        <stp>BDP|8239830191642016578</stp>
        <tr r="A1695" s="2"/>
      </tp>
      <tp t="s">
        <v>#N/A N/A</v>
        <stp/>
        <stp>BDP|5277721583075502119</stp>
        <tr r="R549" s="2"/>
      </tp>
      <tp t="s">
        <v>#N/A N/A</v>
        <stp/>
        <stp>BDP|1773869811491343741</stp>
        <tr r="A1715" s="2"/>
      </tp>
      <tp t="s">
        <v>#N/A N/A</v>
        <stp/>
        <stp>BDP|7364735034045399805</stp>
        <tr r="E1185" s="2"/>
      </tp>
      <tp t="s">
        <v>#N/A N/A</v>
        <stp/>
        <stp>BDP|8948942381305291293</stp>
        <tr r="O770" s="2"/>
      </tp>
      <tp t="s">
        <v>#N/A N/A</v>
        <stp/>
        <stp>BDP|6361764346953425807</stp>
        <tr r="R1100" s="2"/>
      </tp>
      <tp t="s">
        <v>#N/A N/A</v>
        <stp/>
        <stp>BDP|7689906018030184188</stp>
        <tr r="S411" s="2"/>
      </tp>
      <tp t="s">
        <v>#N/A N/A</v>
        <stp/>
        <stp>BDP|3941286036804559851</stp>
        <tr r="M277" s="2"/>
      </tp>
      <tp t="s">
        <v>#N/A N/A</v>
        <stp/>
        <stp>BDP|1427613220543053820</stp>
        <tr r="J234" s="2"/>
      </tp>
      <tp t="s">
        <v>#N/A N/A</v>
        <stp/>
        <stp>BDP|2425638592335206609</stp>
        <tr r="A663" s="2"/>
      </tp>
      <tp t="s">
        <v>#N/A N/A</v>
        <stp/>
        <stp>BDP|2857953028200417765</stp>
        <tr r="H601" s="2"/>
      </tp>
      <tp t="s">
        <v>#N/A N/A</v>
        <stp/>
        <stp>BDP|8238211144190410042</stp>
        <tr r="O849" s="2"/>
      </tp>
      <tp t="s">
        <v>#N/A N/A</v>
        <stp/>
        <stp>BDP|9525707131225304607</stp>
        <tr r="F1386" s="2"/>
      </tp>
      <tp t="s">
        <v>#N/A N/A</v>
        <stp/>
        <stp>BDP|7770050052058718406</stp>
        <tr r="T1241" s="2"/>
      </tp>
      <tp t="s">
        <v>#N/A N/A</v>
        <stp/>
        <stp>BDP|6029510595773250710</stp>
        <tr r="F1555" s="2"/>
      </tp>
      <tp t="s">
        <v>#N/A N/A</v>
        <stp/>
        <stp>BDP|2183684435128891137</stp>
        <tr r="F617" s="2"/>
      </tp>
      <tp t="s">
        <v>#N/A N/A</v>
        <stp/>
        <stp>BDP|7831706768719553124</stp>
        <tr r="G97" s="2"/>
      </tp>
      <tp t="s">
        <v>#N/A N/A</v>
        <stp/>
        <stp>BDP|3138139586171196521</stp>
        <tr r="E205" s="2"/>
      </tp>
      <tp t="s">
        <v>#N/A N/A</v>
        <stp/>
        <stp>BDP|6825895714583296208</stp>
        <tr r="K197" s="2"/>
      </tp>
      <tp t="s">
        <v>#N/A N/A</v>
        <stp/>
        <stp>BDP|1464016671021419972</stp>
        <tr r="G360" s="2"/>
      </tp>
      <tp t="s">
        <v>#N/A N/A</v>
        <stp/>
        <stp>BDP|4778969328297986676</stp>
        <tr r="F1714" s="2"/>
      </tp>
      <tp t="s">
        <v>#N/A N/A</v>
        <stp/>
        <stp>BDP|8601375300135004066</stp>
        <tr r="R417" s="2"/>
      </tp>
      <tp t="s">
        <v>#N/A N/A</v>
        <stp/>
        <stp>BDP|9976267166636801564</stp>
        <tr r="G580" s="2"/>
      </tp>
      <tp t="s">
        <v>#N/A N/A</v>
        <stp/>
        <stp>BDP|3853646400099343285</stp>
        <tr r="G506" s="2"/>
      </tp>
      <tp t="s">
        <v>#N/A N/A</v>
        <stp/>
        <stp>BDP|8554849295860538765</stp>
        <tr r="M257" s="2"/>
      </tp>
      <tp t="s">
        <v>#N/A N/A</v>
        <stp/>
        <stp>BDP|9543338166026179469</stp>
        <tr r="A633" s="2"/>
      </tp>
      <tp t="s">
        <v>#N/A N/A</v>
        <stp/>
        <stp>BDP|9565354704725354105</stp>
        <tr r="O648" s="2"/>
      </tp>
      <tp t="s">
        <v>#N/A N/A</v>
        <stp/>
        <stp>BDP|4419643687412838680</stp>
        <tr r="S1750" s="2"/>
      </tp>
      <tp t="s">
        <v>#N/A N/A</v>
        <stp/>
        <stp>BDP|4646900702545052631</stp>
        <tr r="N1460" s="2"/>
      </tp>
      <tp t="s">
        <v>#N/A N/A</v>
        <stp/>
        <stp>BDP|1491903250836468571</stp>
        <tr r="G743" s="2"/>
      </tp>
      <tp t="s">
        <v>#N/A N/A</v>
        <stp/>
        <stp>BDP|4634813537021018074</stp>
        <tr r="Q274" s="2"/>
      </tp>
      <tp t="s">
        <v>#N/A N/A</v>
        <stp/>
        <stp>BDP|4103960107435735603</stp>
        <tr r="K1267" s="2"/>
      </tp>
      <tp t="s">
        <v>#N/A N/A</v>
        <stp/>
        <stp>BDP|1662733790153520272</stp>
        <tr r="J1074" s="2"/>
      </tp>
      <tp t="s">
        <v>#N/A N/A</v>
        <stp/>
        <stp>BDP|9333248327871277650</stp>
        <tr r="N347" s="2"/>
      </tp>
      <tp t="s">
        <v>#N/A N/A</v>
        <stp/>
        <stp>BDP|8285568245403385458</stp>
        <tr r="E1224" s="2"/>
      </tp>
      <tp t="s">
        <v>#N/A N/A</v>
        <stp/>
        <stp>BDP|3438037061289511240</stp>
        <tr r="M980" s="2"/>
      </tp>
      <tp t="s">
        <v>#N/A N/A</v>
        <stp/>
        <stp>BDP|7176547643330637876</stp>
        <tr r="S1602" s="2"/>
      </tp>
      <tp t="s">
        <v>#N/A N/A</v>
        <stp/>
        <stp>BDP|3842895267962561148</stp>
        <tr r="K449" s="2"/>
      </tp>
      <tp t="s">
        <v>#N/A N/A</v>
        <stp/>
        <stp>BDP|9794540242207241149</stp>
        <tr r="P1466" s="2"/>
      </tp>
      <tp t="s">
        <v>#N/A N/A</v>
        <stp/>
        <stp>BDP|4918506089914489330</stp>
        <tr r="O1190" s="2"/>
      </tp>
      <tp t="s">
        <v>#N/A N/A</v>
        <stp/>
        <stp>BDP|2534261271509005051</stp>
        <tr r="A319" s="2"/>
      </tp>
      <tp t="s">
        <v>#N/A N/A</v>
        <stp/>
        <stp>BDP|8792088767552863274</stp>
        <tr r="Q227" s="2"/>
      </tp>
      <tp t="s">
        <v>#N/A N/A</v>
        <stp/>
        <stp>BDP|9635172542864475608</stp>
        <tr r="M26" s="2"/>
      </tp>
      <tp t="s">
        <v>#N/A N/A</v>
        <stp/>
        <stp>BDP|3154253272320149838</stp>
        <tr r="D502" s="2"/>
      </tp>
      <tp t="s">
        <v>#N/A N/A</v>
        <stp/>
        <stp>BDP|5038360083295209538</stp>
        <tr r="G502" s="2"/>
      </tp>
      <tp t="s">
        <v>#N/A N/A</v>
        <stp/>
        <stp>BDP|2228659972824527949</stp>
        <tr r="G1260" s="2"/>
      </tp>
      <tp t="s">
        <v>#N/A N/A</v>
        <stp/>
        <stp>BDS|5119670180652598775</stp>
        <tr r="I616" s="2"/>
      </tp>
      <tp t="s">
        <v>#N/A N/A</v>
        <stp/>
        <stp>BDP|9664597570906980328</stp>
        <tr r="H1692" s="2"/>
      </tp>
      <tp t="s">
        <v>#N/A N/A</v>
        <stp/>
        <stp>BDP|8415703343594360109</stp>
        <tr r="F1328" s="2"/>
      </tp>
      <tp t="s">
        <v>#N/A N/A</v>
        <stp/>
        <stp>BDP|6358530170992659821</stp>
        <tr r="Q570" s="2"/>
      </tp>
      <tp t="s">
        <v>#N/A N/A</v>
        <stp/>
        <stp>BDP|7604109780970480063</stp>
        <tr r="G1729" s="2"/>
      </tp>
      <tp t="s">
        <v>#N/A N/A</v>
        <stp/>
        <stp>BDP|5629918490283505863</stp>
        <tr r="D894" s="2"/>
      </tp>
      <tp t="s">
        <v>#N/A N/A</v>
        <stp/>
        <stp>BDP|4125036592852559112</stp>
        <tr r="J1614" s="2"/>
      </tp>
      <tp t="s">
        <v>#N/A N/A</v>
        <stp/>
        <stp>BDP|8008949440969880283</stp>
        <tr r="S878" s="2"/>
      </tp>
      <tp t="s">
        <v>#N/A N/A</v>
        <stp/>
        <stp>BDP|2782333097101402730</stp>
        <tr r="S639" s="2"/>
      </tp>
      <tp t="s">
        <v>#N/A N/A</v>
        <stp/>
        <stp>BDP|2553779625199021035</stp>
        <tr r="D1615" s="2"/>
      </tp>
      <tp t="s">
        <v>#N/A N/A</v>
        <stp/>
        <stp>BDP|9315128876239756844</stp>
        <tr r="F1488" s="2"/>
      </tp>
      <tp t="s">
        <v>#N/A N/A</v>
        <stp/>
        <stp>BDP|3414938704377770300</stp>
        <tr r="J1008" s="2"/>
      </tp>
      <tp t="s">
        <v>#N/A N/A</v>
        <stp/>
        <stp>BDS|6230209063628665434</stp>
        <tr r="I444" s="2"/>
      </tp>
      <tp t="s">
        <v>#N/A N/A</v>
        <stp/>
        <stp>BDP|4404854614355426658</stp>
        <tr r="D1543" s="2"/>
      </tp>
      <tp t="s">
        <v>#N/A N/A</v>
        <stp/>
        <stp>BDP|8991544685103562896</stp>
        <tr r="S1370" s="2"/>
      </tp>
      <tp t="s">
        <v>#N/A N/A</v>
        <stp/>
        <stp>BDP|1737229399174164091</stp>
        <tr r="J53" s="2"/>
      </tp>
      <tp t="s">
        <v>#N/A N/A</v>
        <stp/>
        <stp>BDP|7893174035233677884</stp>
        <tr r="H262" s="2"/>
      </tp>
      <tp t="s">
        <v>#N/A N/A</v>
        <stp/>
        <stp>BDS|9251818760911627819</stp>
        <tr r="I487" s="2"/>
      </tp>
      <tp t="s">
        <v>#N/A N/A</v>
        <stp/>
        <stp>BDP|4559833425764799404</stp>
        <tr r="T767" s="2"/>
      </tp>
      <tp t="s">
        <v>#N/A N/A</v>
        <stp/>
        <stp>BDS|9063500210886431502</stp>
        <tr r="I569" s="2"/>
      </tp>
      <tp t="s">
        <v>#N/A N/A</v>
        <stp/>
        <stp>BDP|3070730391924664707</stp>
        <tr r="N1588" s="2"/>
      </tp>
      <tp t="s">
        <v>#N/A N/A</v>
        <stp/>
        <stp>BDP|4576385267268981777</stp>
        <tr r="Q644" s="2"/>
      </tp>
      <tp t="s">
        <v>#N/A N/A</v>
        <stp/>
        <stp>BDP|6220895365185216388</stp>
        <tr r="N1671" s="2"/>
      </tp>
      <tp t="s">
        <v>#N/A N/A</v>
        <stp/>
        <stp>BDP|4617837336553098275</stp>
        <tr r="E889" s="2"/>
      </tp>
      <tp t="s">
        <v>#N/A N/A</v>
        <stp/>
        <stp>BDP|4898034098646616515</stp>
        <tr r="O1612" s="2"/>
      </tp>
      <tp t="s">
        <v>#N/A N/A</v>
        <stp/>
        <stp>BDP|8998472366123578793</stp>
        <tr r="H226" s="2"/>
      </tp>
      <tp t="s">
        <v>#N/A N/A</v>
        <stp/>
        <stp>BDP|3758246005406694940</stp>
        <tr r="P795" s="2"/>
      </tp>
      <tp t="s">
        <v>#N/A N/A</v>
        <stp/>
        <stp>BDP|2751070170832149957</stp>
        <tr r="C894" s="2"/>
      </tp>
      <tp t="s">
        <v>#N/A N/A</v>
        <stp/>
        <stp>BDS|4443351504330901984</stp>
        <tr r="I151" s="2"/>
      </tp>
      <tp t="s">
        <v>#N/A N/A</v>
        <stp/>
        <stp>BDP|2943984466442155120</stp>
        <tr r="F605" s="2"/>
      </tp>
      <tp t="s">
        <v>#N/A N/A</v>
        <stp/>
        <stp>BDP|6550768299777993172</stp>
        <tr r="F1222" s="2"/>
      </tp>
      <tp t="s">
        <v>#N/A N/A</v>
        <stp/>
        <stp>BDP|2992249187337607182</stp>
        <tr r="E1038" s="2"/>
      </tp>
      <tp t="s">
        <v>#N/A N/A</v>
        <stp/>
        <stp>BDP|6022733513137684929</stp>
        <tr r="S1501" s="2"/>
      </tp>
      <tp t="s">
        <v>#N/A N/A</v>
        <stp/>
        <stp>BDP|2050288203077752988</stp>
        <tr r="K193" s="2"/>
      </tp>
      <tp t="s">
        <v>#N/A N/A</v>
        <stp/>
        <stp>BDP|1789931032027000229</stp>
        <tr r="R1437" s="2"/>
      </tp>
      <tp t="s">
        <v>#N/A N/A</v>
        <stp/>
        <stp>BDP|6261160081492433352</stp>
        <tr r="R1749" s="2"/>
      </tp>
      <tp t="s">
        <v>#N/A N/A</v>
        <stp/>
        <stp>BDP|1259078658599096393</stp>
        <tr r="E696" s="2"/>
      </tp>
      <tp t="s">
        <v>#N/A N/A</v>
        <stp/>
        <stp>BDP|2176565141274262904</stp>
        <tr r="M356" s="2"/>
      </tp>
      <tp t="s">
        <v>#N/A N/A</v>
        <stp/>
        <stp>BDP|9939558332368831929</stp>
        <tr r="Q382" s="2"/>
      </tp>
      <tp t="s">
        <v>#N/A N/A</v>
        <stp/>
        <stp>BDP|3123720117883504858</stp>
        <tr r="R1223" s="2"/>
      </tp>
      <tp t="s">
        <v>#N/A N/A</v>
        <stp/>
        <stp>BDP|6818499141920244867</stp>
        <tr r="M1364" s="2"/>
      </tp>
      <tp t="s">
        <v>#N/A N/A</v>
        <stp/>
        <stp>BDP|9687972641732692821</stp>
        <tr r="A539" s="2"/>
      </tp>
      <tp t="s">
        <v>#N/A N/A</v>
        <stp/>
        <stp>BDS|6364793941203746885</stp>
        <tr r="I1411" s="2"/>
      </tp>
      <tp t="s">
        <v>#N/A N/A</v>
        <stp/>
        <stp>BDP|8159434637177848690</stp>
        <tr r="O392" s="2"/>
      </tp>
      <tp t="s">
        <v>#N/A N/A</v>
        <stp/>
        <stp>BDP|2145877304385202144</stp>
        <tr r="A190" s="2"/>
      </tp>
      <tp t="s">
        <v>#N/A N/A</v>
        <stp/>
        <stp>BDP|5303666240440378921</stp>
        <tr r="F245" s="2"/>
      </tp>
      <tp t="s">
        <v>#N/A N/A</v>
        <stp/>
        <stp>BDS|1442970224881026539</stp>
        <tr r="I506" s="2"/>
      </tp>
      <tp t="s">
        <v>#N/A N/A</v>
        <stp/>
        <stp>BDP|8684857096897459055</stp>
        <tr r="R1517" s="2"/>
      </tp>
      <tp t="s">
        <v>#N/A N/A</v>
        <stp/>
        <stp>BDP|4740808428302319289</stp>
        <tr r="E169" s="2"/>
      </tp>
      <tp t="s">
        <v>#N/A N/A</v>
        <stp/>
        <stp>BDP|1149207335169902795</stp>
        <tr r="D1743" s="2"/>
      </tp>
      <tp t="s">
        <v>#N/A N/A</v>
        <stp/>
        <stp>BDP|1329454065098278556</stp>
        <tr r="N1699" s="2"/>
      </tp>
      <tp t="s">
        <v>#N/A N/A</v>
        <stp/>
        <stp>BDP|4736326812429218116</stp>
        <tr r="J816" s="2"/>
      </tp>
      <tp t="s">
        <v>#N/A N/A</v>
        <stp/>
        <stp>BDP|1450819922036697353</stp>
        <tr r="S762" s="2"/>
      </tp>
      <tp t="s">
        <v>#N/A N/A</v>
        <stp/>
        <stp>BDP|3924453759575283925</stp>
        <tr r="N770" s="2"/>
      </tp>
      <tp t="s">
        <v>#N/A N/A</v>
        <stp/>
        <stp>BDS|8508633921351699343</stp>
        <tr r="I691" s="2"/>
      </tp>
      <tp t="s">
        <v>#N/A N/A</v>
        <stp/>
        <stp>BDP|2493738143576598945</stp>
        <tr r="N1738" s="2"/>
      </tp>
      <tp t="s">
        <v>#N/A N/A</v>
        <stp/>
        <stp>BDP|8608568701153144055</stp>
        <tr r="O1302" s="2"/>
      </tp>
      <tp t="s">
        <v>#N/A N/A</v>
        <stp/>
        <stp>BDP|1647341737359151618</stp>
        <tr r="Q797" s="2"/>
      </tp>
      <tp t="s">
        <v>#N/A N/A</v>
        <stp/>
        <stp>BDP|7726164464828855680</stp>
        <tr r="M464" s="2"/>
      </tp>
      <tp t="s">
        <v>#N/A N/A</v>
        <stp/>
        <stp>BDP|1403031093306085011</stp>
        <tr r="S1138" s="2"/>
      </tp>
      <tp t="s">
        <v>#N/A N/A</v>
        <stp/>
        <stp>BDP|9015049340671920287</stp>
        <tr r="F834" s="2"/>
      </tp>
      <tp t="s">
        <v>#N/A N/A</v>
        <stp/>
        <stp>BDP|5263541597215165258</stp>
        <tr r="N921" s="2"/>
      </tp>
      <tp t="s">
        <v>#N/A N/A</v>
        <stp/>
        <stp>BDP|3563375172861047854</stp>
        <tr r="P410" s="2"/>
      </tp>
      <tp t="s">
        <v>#N/A N/A</v>
        <stp/>
        <stp>BDP|4063969470646028230</stp>
        <tr r="N1672" s="2"/>
      </tp>
      <tp t="s">
        <v>#N/A N/A</v>
        <stp/>
        <stp>BDP|3930550525362426888</stp>
        <tr r="R924" s="2"/>
      </tp>
      <tp t="s">
        <v>#N/A N/A</v>
        <stp/>
        <stp>BDP|8424399149693226235</stp>
        <tr r="Q92" s="2"/>
      </tp>
      <tp t="s">
        <v>#N/A N/A</v>
        <stp/>
        <stp>BDS|8083587482139810271</stp>
        <tr r="I1633" s="2"/>
      </tp>
      <tp t="s">
        <v>#N/A N/A</v>
        <stp/>
        <stp>BDP|8157273961926439461</stp>
        <tr r="N642" s="2"/>
      </tp>
      <tp t="s">
        <v>#N/A N/A</v>
        <stp/>
        <stp>BDP|3662625605949752232</stp>
        <tr r="G120" s="2"/>
      </tp>
      <tp t="s">
        <v>#N/A N/A</v>
        <stp/>
        <stp>BDP|8922084935836231330</stp>
        <tr r="F1703" s="2"/>
      </tp>
      <tp t="s">
        <v>#N/A N/A</v>
        <stp/>
        <stp>BDP|2879376690815238386</stp>
        <tr r="O334" s="2"/>
      </tp>
      <tp t="s">
        <v>#N/A N/A</v>
        <stp/>
        <stp>BDP|6594714843152248904</stp>
        <tr r="P541" s="2"/>
      </tp>
      <tp t="s">
        <v>#N/A N/A</v>
        <stp/>
        <stp>BDP|8799760007690765146</stp>
        <tr r="N664" s="2"/>
      </tp>
      <tp t="s">
        <v>#N/A N/A</v>
        <stp/>
        <stp>BDP|9150329743598128844</stp>
        <tr r="G370" s="2"/>
      </tp>
      <tp t="s">
        <v>#N/A N/A</v>
        <stp/>
        <stp>BDP|3753668010282539813</stp>
        <tr r="O297" s="2"/>
      </tp>
      <tp t="s">
        <v>#N/A N/A</v>
        <stp/>
        <stp>BDP|8311690328252497034</stp>
        <tr r="R551" s="2"/>
      </tp>
      <tp t="s">
        <v>#N/A N/A</v>
        <stp/>
        <stp>BDP|5720906377671395465</stp>
        <tr r="N320" s="2"/>
      </tp>
      <tp t="s">
        <v>#N/A N/A</v>
        <stp/>
        <stp>BDP|6334961710207382736</stp>
        <tr r="O1651" s="2"/>
      </tp>
      <tp t="s">
        <v>#N/A N/A</v>
        <stp/>
        <stp>BDP|9057311511685786024</stp>
        <tr r="N563" s="2"/>
      </tp>
      <tp t="s">
        <v>#N/A N/A</v>
        <stp/>
        <stp>BDP|1044984801221497785</stp>
        <tr r="F1082" s="2"/>
      </tp>
      <tp t="s">
        <v>#N/A N/A</v>
        <stp/>
        <stp>BDP|3243394405139210791</stp>
        <tr r="N1598" s="2"/>
      </tp>
      <tp t="s">
        <v>#N/A N/A</v>
        <stp/>
        <stp>BDP|7364646480356303112</stp>
        <tr r="E852" s="2"/>
      </tp>
      <tp t="s">
        <v>#N/A N/A</v>
        <stp/>
        <stp>BDP|4981849656172760597</stp>
        <tr r="K1537" s="2"/>
      </tp>
      <tp t="s">
        <v>#N/A N/A</v>
        <stp/>
        <stp>BDP|8286369102222047736</stp>
        <tr r="O1558" s="2"/>
      </tp>
      <tp t="s">
        <v>#N/A N/A</v>
        <stp/>
        <stp>BDP|5441739070742696942</stp>
        <tr r="O135" s="2"/>
      </tp>
      <tp t="s">
        <v>#N/A N/A</v>
        <stp/>
        <stp>BDP|1149855441871887280</stp>
        <tr r="C297" s="2"/>
      </tp>
      <tp t="s">
        <v>#N/A N/A</v>
        <stp/>
        <stp>BDP|2100027666073179911</stp>
        <tr r="R505" s="2"/>
      </tp>
      <tp t="s">
        <v>#N/A N/A</v>
        <stp/>
        <stp>BDP|7001812514761336136</stp>
        <tr r="E819" s="2"/>
      </tp>
      <tp t="s">
        <v>#N/A N/A</v>
        <stp/>
        <stp>BDP|6772191312341022997</stp>
        <tr r="G1357" s="2"/>
      </tp>
      <tp t="s">
        <v>#N/A N/A</v>
        <stp/>
        <stp>BDP|1866454955199866755</stp>
        <tr r="S407" s="2"/>
      </tp>
      <tp t="s">
        <v>#N/A N/A</v>
        <stp/>
        <stp>BDP|8864291094445660865</stp>
        <tr r="G740" s="2"/>
      </tp>
      <tp t="s">
        <v>#N/A N/A</v>
        <stp/>
        <stp>BDP|8433431433734019514</stp>
        <tr r="M950" s="2"/>
      </tp>
      <tp t="s">
        <v>#N/A N/A</v>
        <stp/>
        <stp>BDP|7629691218349056725</stp>
        <tr r="M1743" s="2"/>
      </tp>
      <tp t="s">
        <v>#N/A N/A</v>
        <stp/>
        <stp>BDP|8911184804077747071</stp>
        <tr r="H537" s="2"/>
      </tp>
      <tp t="s">
        <v>#N/A N/A</v>
        <stp/>
        <stp>BDP|1897246691437182390</stp>
        <tr r="D1537" s="2"/>
      </tp>
      <tp t="s">
        <v>#N/A N/A</v>
        <stp/>
        <stp>BDP|5738432625939281463</stp>
        <tr r="E1691" s="2"/>
      </tp>
      <tp t="s">
        <v>#N/A N/A</v>
        <stp/>
        <stp>BDP|5288349099108222981</stp>
        <tr r="Q880" s="2"/>
      </tp>
      <tp t="s">
        <v>#N/A N/A</v>
        <stp/>
        <stp>BDP|4241001091722197179</stp>
        <tr r="O1699" s="2"/>
      </tp>
      <tp t="s">
        <v>#N/A N/A</v>
        <stp/>
        <stp>BDP|9408595313357948420</stp>
        <tr r="Q704" s="2"/>
      </tp>
      <tp t="s">
        <v>#N/A N/A</v>
        <stp/>
        <stp>BDP|1705003697194766226</stp>
        <tr r="H308" s="2"/>
      </tp>
      <tp t="s">
        <v>#N/A N/A</v>
        <stp/>
        <stp>BDP|3085909139881580693</stp>
        <tr r="D1234" s="2"/>
      </tp>
      <tp t="s">
        <v>#N/A N/A</v>
        <stp/>
        <stp>BDP|4441523886523505400</stp>
        <tr r="S33" s="2"/>
      </tp>
      <tp t="s">
        <v>#N/A N/A</v>
        <stp/>
        <stp>BDP|1094814402520247749</stp>
        <tr r="P843" s="2"/>
      </tp>
      <tp t="s">
        <v>#N/A N/A</v>
        <stp/>
        <stp>BDP|7014327603138374275</stp>
        <tr r="N239" s="2"/>
      </tp>
      <tp t="s">
        <v>#N/A N/A</v>
        <stp/>
        <stp>BDS|2335053227729122753</stp>
        <tr r="I283" s="2"/>
      </tp>
      <tp t="s">
        <v>#N/A N/A</v>
        <stp/>
        <stp>BDP|4463494179439330020</stp>
        <tr r="E1558" s="2"/>
      </tp>
      <tp t="s">
        <v>#N/A N/A</v>
        <stp/>
        <stp>BDP|3919228996984937216</stp>
        <tr r="H476" s="2"/>
      </tp>
      <tp t="s">
        <v>#N/A N/A</v>
        <stp/>
        <stp>BDP|6765975152196357242</stp>
        <tr r="S481" s="2"/>
      </tp>
      <tp t="s">
        <v>#N/A N/A</v>
        <stp/>
        <stp>BDP|3731825065226492519</stp>
        <tr r="A1357" s="2"/>
      </tp>
      <tp t="s">
        <v>#N/A N/A</v>
        <stp/>
        <stp>BDP|6415466606604461853</stp>
        <tr r="T428" s="2"/>
      </tp>
      <tp t="s">
        <v>#N/A N/A</v>
        <stp/>
        <stp>BDP|3615012896683508711</stp>
        <tr r="D515" s="2"/>
      </tp>
      <tp t="s">
        <v>#N/A N/A</v>
        <stp/>
        <stp>BDP|2614805295704749913</stp>
        <tr r="S1607" s="2"/>
      </tp>
      <tp t="s">
        <v>#N/A N/A</v>
        <stp/>
        <stp>BDP|1408541497032254100</stp>
        <tr r="A529" s="2"/>
      </tp>
      <tp t="s">
        <v>#N/A N/A</v>
        <stp/>
        <stp>BDP|4104369099689987923</stp>
        <tr r="M1179" s="2"/>
      </tp>
      <tp t="s">
        <v>#N/A N/A</v>
        <stp/>
        <stp>BDP|3588771586882871091</stp>
        <tr r="M1285" s="2"/>
      </tp>
      <tp t="s">
        <v>#N/A N/A</v>
        <stp/>
        <stp>BDP|5313553258568861336</stp>
        <tr r="N1030" s="2"/>
      </tp>
      <tp t="s">
        <v>#N/A N/A</v>
        <stp/>
        <stp>BDP|5726862609980474399</stp>
        <tr r="F964" s="2"/>
      </tp>
      <tp t="s">
        <v>#N/A N/A</v>
        <stp/>
        <stp>BDP|5927985027788739845</stp>
        <tr r="C826" s="2"/>
      </tp>
      <tp t="s">
        <v>#N/A N/A</v>
        <stp/>
        <stp>BDP|1472063185404713357</stp>
        <tr r="D879" s="2"/>
      </tp>
      <tp t="s">
        <v>#N/A N/A</v>
        <stp/>
        <stp>BDP|9125711420610461215</stp>
        <tr r="S1361" s="2"/>
      </tp>
      <tp t="s">
        <v>#N/A N/A</v>
        <stp/>
        <stp>BDP|9538459874636630279</stp>
        <tr r="P273" s="2"/>
      </tp>
      <tp t="s">
        <v>#N/A N/A</v>
        <stp/>
        <stp>BDP|2109017140441012954</stp>
        <tr r="O1107" s="2"/>
      </tp>
      <tp t="s">
        <v>#N/A N/A</v>
        <stp/>
        <stp>BDP|3348751748987228998</stp>
        <tr r="O258" s="2"/>
      </tp>
      <tp t="s">
        <v>#N/A N/A</v>
        <stp/>
        <stp>BDP|5173861240517149031</stp>
        <tr r="S1124" s="2"/>
      </tp>
      <tp t="s">
        <v>#N/A N/A</v>
        <stp/>
        <stp>BDP|7858958188539773179</stp>
        <tr r="S416" s="2"/>
      </tp>
      <tp t="s">
        <v>#N/A N/A</v>
        <stp/>
        <stp>BDP|6766954638846645567</stp>
        <tr r="T889" s="2"/>
      </tp>
      <tp t="s">
        <v>#N/A N/A</v>
        <stp/>
        <stp>BDP|2499835209240340573</stp>
        <tr r="O583" s="2"/>
      </tp>
      <tp t="s">
        <v>#N/A N/A</v>
        <stp/>
        <stp>BDP|8087658411920714090</stp>
        <tr r="R961" s="2"/>
      </tp>
      <tp t="s">
        <v>#N/A N/A</v>
        <stp/>
        <stp>BDP|2932150792956236361</stp>
        <tr r="Q1039" s="2"/>
      </tp>
      <tp t="s">
        <v>#N/A N/A</v>
        <stp/>
        <stp>BDP|1716910729802623733</stp>
        <tr r="S570" s="2"/>
      </tp>
      <tp t="s">
        <v>#N/A N/A</v>
        <stp/>
        <stp>BDP|4906623372082219819</stp>
        <tr r="S18" s="2"/>
      </tp>
      <tp t="s">
        <v>#N/A N/A</v>
        <stp/>
        <stp>BDP|3170797088800375394</stp>
        <tr r="T84" s="2"/>
      </tp>
      <tp t="s">
        <v>#N/A N/A</v>
        <stp/>
        <stp>BDP|4337858871485917145</stp>
        <tr r="P1358" s="2"/>
      </tp>
      <tp t="s">
        <v>#N/A N/A</v>
        <stp/>
        <stp>BDP|1963228776708358347</stp>
        <tr r="D1004" s="2"/>
      </tp>
      <tp t="s">
        <v>#N/A N/A</v>
        <stp/>
        <stp>BDP|2918881628966075134</stp>
        <tr r="M427" s="2"/>
      </tp>
      <tp t="s">
        <v>#N/A N/A</v>
        <stp/>
        <stp>BDP|3689388278999574193</stp>
        <tr r="R583" s="2"/>
      </tp>
      <tp t="s">
        <v>#N/A N/A</v>
        <stp/>
        <stp>BDP|9463300816881134590</stp>
        <tr r="M934" s="2"/>
      </tp>
      <tp t="s">
        <v>#N/A N/A</v>
        <stp/>
        <stp>BDP|1436137008049202679</stp>
        <tr r="D545" s="2"/>
      </tp>
      <tp t="s">
        <v>#N/A N/A</v>
        <stp/>
        <stp>BDP|2889907204165371154</stp>
        <tr r="H1178" s="2"/>
      </tp>
      <tp t="s">
        <v>#N/A N/A</v>
        <stp/>
        <stp>BDP|9567339438951098742</stp>
        <tr r="R59" s="2"/>
      </tp>
      <tp t="s">
        <v>#N/A N/A</v>
        <stp/>
        <stp>BDP|3947961669805548694</stp>
        <tr r="T1669" s="2"/>
      </tp>
      <tp t="s">
        <v>#N/A N/A</v>
        <stp/>
        <stp>BDP|3752980322894003370</stp>
        <tr r="O817" s="2"/>
      </tp>
      <tp t="s">
        <v>#N/A N/A</v>
        <stp/>
        <stp>BDP|3942897463235080795</stp>
        <tr r="K574" s="2"/>
      </tp>
      <tp t="s">
        <v>#N/A N/A</v>
        <stp/>
        <stp>BDP|7608788323398227555</stp>
        <tr r="N1745" s="2"/>
      </tp>
      <tp t="s">
        <v>#N/A N/A</v>
        <stp/>
        <stp>BDS|8728942939854531954</stp>
        <tr r="I1255" s="2"/>
      </tp>
      <tp t="s">
        <v>#N/A N/A</v>
        <stp/>
        <stp>BDP|4122972915916815514</stp>
        <tr r="R935" s="2"/>
      </tp>
      <tp t="s">
        <v>#N/A N/A</v>
        <stp/>
        <stp>BDP|9459249449612563260</stp>
        <tr r="G1066" s="2"/>
      </tp>
      <tp t="s">
        <v>#N/A N/A</v>
        <stp/>
        <stp>BDP|2899861053374756402</stp>
        <tr r="M374" s="2"/>
      </tp>
      <tp t="s">
        <v>#N/A N/A</v>
        <stp/>
        <stp>BDP|9374414719795403658</stp>
        <tr r="D279" s="2"/>
      </tp>
      <tp t="s">
        <v>#N/A N/A</v>
        <stp/>
        <stp>BDP|3318489191695475446</stp>
        <tr r="C613" s="2"/>
      </tp>
      <tp t="s">
        <v>#N/A N/A</v>
        <stp/>
        <stp>BDP|8037492333413685362</stp>
        <tr r="N504" s="2"/>
      </tp>
      <tp t="s">
        <v>#N/A N/A</v>
        <stp/>
        <stp>BDP|1687790638072425895</stp>
        <tr r="C1346" s="2"/>
      </tp>
      <tp t="s">
        <v>#N/A N/A</v>
        <stp/>
        <stp>BDP|4982825139290959015</stp>
        <tr r="E1521" s="2"/>
      </tp>
      <tp t="s">
        <v>#N/A N/A</v>
        <stp/>
        <stp>BDP|1801217692867064217</stp>
        <tr r="R788" s="2"/>
      </tp>
      <tp t="s">
        <v>#N/A N/A</v>
        <stp/>
        <stp>BDP|8921674474854035203</stp>
        <tr r="E568" s="2"/>
      </tp>
      <tp t="s">
        <v>#N/A N/A</v>
        <stp/>
        <stp>BDP|1632306991202416698</stp>
        <tr r="E425" s="2"/>
      </tp>
      <tp t="s">
        <v>#N/A N/A</v>
        <stp/>
        <stp>BDP|5819243394141247009</stp>
        <tr r="D383" s="2"/>
      </tp>
      <tp t="s">
        <v>#N/A N/A</v>
        <stp/>
        <stp>BDP|3130546088481349044</stp>
        <tr r="A1286" s="2"/>
      </tp>
      <tp t="s">
        <v>#N/A N/A</v>
        <stp/>
        <stp>BDP|9640592674780993489</stp>
        <tr r="E1249" s="2"/>
      </tp>
      <tp t="s">
        <v>#N/A N/A</v>
        <stp/>
        <stp>BDP|4815734936479579626</stp>
        <tr r="Q1384" s="2"/>
      </tp>
      <tp t="s">
        <v>#N/A N/A</v>
        <stp/>
        <stp>BDP|6223890450333488759</stp>
        <tr r="N942" s="2"/>
      </tp>
      <tp t="s">
        <v>#N/A N/A</v>
        <stp/>
        <stp>BDP|3459981964585756654</stp>
        <tr r="P954" s="2"/>
      </tp>
      <tp t="s">
        <v>#N/A N/A</v>
        <stp/>
        <stp>BDP|5318392084771349075</stp>
        <tr r="T1468" s="2"/>
      </tp>
      <tp t="s">
        <v>#N/A N/A</v>
        <stp/>
        <stp>BDP|9154107816582963444</stp>
        <tr r="O1686" s="2"/>
      </tp>
      <tp t="s">
        <v>#N/A N/A</v>
        <stp/>
        <stp>BDP|7240292384566407416</stp>
        <tr r="T191" s="2"/>
      </tp>
      <tp t="s">
        <v>#N/A N/A</v>
        <stp/>
        <stp>BDP|8161740833931587290</stp>
        <tr r="A476" s="2"/>
      </tp>
      <tp t="s">
        <v>#N/A N/A</v>
        <stp/>
        <stp>BDP|3907041308148867470</stp>
        <tr r="H775" s="2"/>
      </tp>
      <tp t="s">
        <v>#N/A N/A</v>
        <stp/>
        <stp>BDS|6719832850015850163</stp>
        <tr r="I729" s="2"/>
      </tp>
      <tp t="s">
        <v>#N/A N/A</v>
        <stp/>
        <stp>BDP|6858135212650047934</stp>
        <tr r="O503" s="2"/>
      </tp>
      <tp t="s">
        <v>#N/A N/A</v>
        <stp/>
        <stp>BDS|7975274903649150365</stp>
        <tr r="I1548" s="2"/>
      </tp>
      <tp t="s">
        <v>#N/A N/A</v>
        <stp/>
        <stp>BDP|3176234379298305127</stp>
        <tr r="R1648" s="2"/>
      </tp>
      <tp t="s">
        <v>#N/A N/A</v>
        <stp/>
        <stp>BDP|1277277880327707385</stp>
        <tr r="O69" s="2"/>
      </tp>
      <tp t="s">
        <v>#N/A N/A</v>
        <stp/>
        <stp>BDP|5756902573190881468</stp>
        <tr r="H26" s="2"/>
      </tp>
      <tp t="s">
        <v>#N/A N/A</v>
        <stp/>
        <stp>BDP|5858582622475872802</stp>
        <tr r="R230" s="2"/>
      </tp>
      <tp t="s">
        <v>#N/A N/A</v>
        <stp/>
        <stp>BDP|5843371693811663112</stp>
        <tr r="J79" s="2"/>
      </tp>
      <tp t="s">
        <v>#N/A N/A</v>
        <stp/>
        <stp>BDP|7077168281717995658</stp>
        <tr r="O665" s="2"/>
      </tp>
      <tp t="s">
        <v>#N/A N/A</v>
        <stp/>
        <stp>BDP|8658290227573493470</stp>
        <tr r="F1204" s="2"/>
      </tp>
      <tp t="s">
        <v>#N/A N/A</v>
        <stp/>
        <stp>BDP|2259767466535966909</stp>
        <tr r="K360" s="2"/>
      </tp>
      <tp t="s">
        <v>#N/A N/A</v>
        <stp/>
        <stp>BDP|7263902142053863639</stp>
        <tr r="C1672" s="2"/>
      </tp>
      <tp t="s">
        <v>#N/A N/A</v>
        <stp/>
        <stp>BDP|7271563698326740208</stp>
        <tr r="E758" s="2"/>
      </tp>
      <tp t="s">
        <v>#N/A N/A</v>
        <stp/>
        <stp>BDP|1871036226859330551</stp>
        <tr r="P268" s="2"/>
      </tp>
      <tp t="s">
        <v>#N/A N/A</v>
        <stp/>
        <stp>BDP|6084681946188503303</stp>
        <tr r="F1055" s="2"/>
      </tp>
      <tp t="s">
        <v>#N/A N/A</v>
        <stp/>
        <stp>BDP|7008348042946820958</stp>
        <tr r="N1166" s="2"/>
      </tp>
      <tp t="s">
        <v>#N/A N/A</v>
        <stp/>
        <stp>BDP|9999804592371541651</stp>
        <tr r="E1608" s="2"/>
      </tp>
      <tp t="s">
        <v>#N/A N/A</v>
        <stp/>
        <stp>BDP|2141032999741387532</stp>
        <tr r="T1634" s="2"/>
      </tp>
      <tp t="s">
        <v>#N/A N/A</v>
        <stp/>
        <stp>BDP|8040049144424838730</stp>
        <tr r="Q381" s="2"/>
      </tp>
      <tp t="s">
        <v>#N/A N/A</v>
        <stp/>
        <stp>BDP|7216854295669967008</stp>
        <tr r="C609" s="2"/>
      </tp>
      <tp t="s">
        <v>#N/A N/A</v>
        <stp/>
        <stp>BDP|7975155594865541563</stp>
        <tr r="T344" s="2"/>
      </tp>
      <tp t="s">
        <v>#N/A N/A</v>
        <stp/>
        <stp>BDP|4295524893012120592</stp>
        <tr r="Q1114" s="2"/>
      </tp>
      <tp t="s">
        <v>#N/A N/A</v>
        <stp/>
        <stp>BDP|5900058291162149170</stp>
        <tr r="P811" s="2"/>
      </tp>
      <tp t="s">
        <v>#N/A N/A</v>
        <stp/>
        <stp>BDP|6064796679781834839</stp>
        <tr r="J1147" s="2"/>
      </tp>
      <tp t="s">
        <v>#N/A N/A</v>
        <stp/>
        <stp>BDP|7087886871747335017</stp>
        <tr r="R647" s="2"/>
      </tp>
      <tp t="s">
        <v>#N/A N/A</v>
        <stp/>
        <stp>BDP|8209975084515986335</stp>
        <tr r="F1513" s="2"/>
      </tp>
      <tp t="s">
        <v>#N/A N/A</v>
        <stp/>
        <stp>BDP|3601039434406962937</stp>
        <tr r="F756" s="2"/>
      </tp>
      <tp t="s">
        <v>#N/A N/A</v>
        <stp/>
        <stp>BDP|1054625686872856271</stp>
        <tr r="S1281" s="2"/>
      </tp>
      <tp t="s">
        <v>#N/A N/A</v>
        <stp/>
        <stp>BDP|4324028693380047291</stp>
        <tr r="K789" s="2"/>
      </tp>
      <tp t="s">
        <v>#N/A N/A</v>
        <stp/>
        <stp>BDP|1165258239508559732</stp>
        <tr r="G686" s="2"/>
      </tp>
      <tp t="s">
        <v>#N/A N/A</v>
        <stp/>
        <stp>BDP|3204790880385892685</stp>
        <tr r="T203" s="2"/>
      </tp>
      <tp t="s">
        <v>#N/A N/A</v>
        <stp/>
        <stp>BDP|2480649390170897236</stp>
        <tr r="D873" s="2"/>
      </tp>
      <tp t="s">
        <v>#N/A N/A</v>
        <stp/>
        <stp>BDP|1565380344498143139</stp>
        <tr r="N784" s="2"/>
      </tp>
      <tp t="s">
        <v>#N/A N/A</v>
        <stp/>
        <stp>BDP|5895964038303419390</stp>
        <tr r="R922" s="2"/>
      </tp>
      <tp t="s">
        <v>#N/A N/A</v>
        <stp/>
        <stp>BDP|1896992421176938326</stp>
        <tr r="M1726" s="2"/>
      </tp>
      <tp t="s">
        <v>#N/A N/A</v>
        <stp/>
        <stp>BDP|9578676816787897670</stp>
        <tr r="N1351" s="2"/>
      </tp>
      <tp t="s">
        <v>#N/A N/A</v>
        <stp/>
        <stp>BDP|1355037739028354516</stp>
        <tr r="P1034" s="2"/>
      </tp>
      <tp t="s">
        <v>#N/A N/A</v>
        <stp/>
        <stp>BDS|8576804623349411493</stp>
        <tr r="I1285" s="2"/>
      </tp>
      <tp t="s">
        <v>#N/A N/A</v>
        <stp/>
        <stp>BDP|1921567725579791068</stp>
        <tr r="E68" s="2"/>
      </tp>
      <tp t="s">
        <v>#N/A N/A</v>
        <stp/>
        <stp>BDP|5345396115621556910</stp>
        <tr r="F1608" s="2"/>
      </tp>
      <tp t="s">
        <v>#N/A N/A</v>
        <stp/>
        <stp>BDS|3331883727600346640</stp>
        <tr r="I805" s="2"/>
      </tp>
      <tp t="s">
        <v>#N/A N/A</v>
        <stp/>
        <stp>BDP|9490277318240343538</stp>
        <tr r="Q1594" s="2"/>
      </tp>
      <tp t="s">
        <v>#N/A N/A</v>
        <stp/>
        <stp>BDP|5674506540409524287</stp>
        <tr r="Q1159" s="2"/>
      </tp>
      <tp t="s">
        <v>#N/A N/A</v>
        <stp/>
        <stp>BDP|8215558192239785293</stp>
        <tr r="G1176" s="2"/>
      </tp>
      <tp t="s">
        <v>#N/A N/A</v>
        <stp/>
        <stp>BDP|5175887271231219413</stp>
        <tr r="K370" s="2"/>
      </tp>
      <tp t="s">
        <v>#N/A N/A</v>
        <stp/>
        <stp>BDS|8757063985569962666</stp>
        <tr r="I32" s="2"/>
      </tp>
      <tp t="s">
        <v>#N/A N/A</v>
        <stp/>
        <stp>BDP|5417282538373860875</stp>
        <tr r="D803" s="2"/>
      </tp>
      <tp t="s">
        <v>#N/A N/A</v>
        <stp/>
        <stp>BDP|8749172539697410262</stp>
        <tr r="T1370" s="2"/>
      </tp>
      <tp t="s">
        <v>#N/A N/A</v>
        <stp/>
        <stp>BDP|1936500694321312352</stp>
        <tr r="H1260" s="2"/>
      </tp>
      <tp t="s">
        <v>#N/A N/A</v>
        <stp/>
        <stp>BDP|7538399364625178828</stp>
        <tr r="A673" s="2"/>
      </tp>
      <tp t="s">
        <v>#N/A N/A</v>
        <stp/>
        <stp>BDP|1914448245538760648</stp>
        <tr r="Q1375" s="2"/>
      </tp>
      <tp t="s">
        <v>#N/A N/A</v>
        <stp/>
        <stp>BDP|4044926589823402948</stp>
        <tr r="Q366" s="2"/>
      </tp>
      <tp t="s">
        <v>#N/A N/A</v>
        <stp/>
        <stp>BDP|4476191924751417962</stp>
        <tr r="F420" s="2"/>
      </tp>
      <tp t="s">
        <v>#N/A N/A</v>
        <stp/>
        <stp>BDP|1414953266249519893</stp>
        <tr r="F31" s="2"/>
      </tp>
      <tp t="s">
        <v>#N/A N/A</v>
        <stp/>
        <stp>BDP|5325389876958678600</stp>
        <tr r="E525" s="2"/>
      </tp>
      <tp t="s">
        <v>#N/A N/A</v>
        <stp/>
        <stp>BDP|3906927303755113025</stp>
        <tr r="A140" s="2"/>
      </tp>
      <tp t="s">
        <v>#N/A N/A</v>
        <stp/>
        <stp>BDP|1506961348663416041</stp>
        <tr r="J1743" s="2"/>
      </tp>
      <tp t="s">
        <v>#N/A N/A</v>
        <stp/>
        <stp>BDP|2078286695422409422</stp>
        <tr r="O1045" s="2"/>
      </tp>
      <tp t="s">
        <v>#N/A N/A</v>
        <stp/>
        <stp>BDP|3350424769678605650</stp>
        <tr r="E274" s="2"/>
      </tp>
      <tp t="s">
        <v>#N/A N/A</v>
        <stp/>
        <stp>BDP|3703793204122575942</stp>
        <tr r="N1422" s="2"/>
      </tp>
      <tp t="s">
        <v>#N/A N/A</v>
        <stp/>
        <stp>BDP|3372921689348437571</stp>
        <tr r="P1423" s="2"/>
      </tp>
      <tp t="s">
        <v>#N/A N/A</v>
        <stp/>
        <stp>BDP|3818829124022189447</stp>
        <tr r="R315" s="2"/>
      </tp>
      <tp t="s">
        <v>#N/A N/A</v>
        <stp/>
        <stp>BDP|6343987675995141249</stp>
        <tr r="N161" s="2"/>
      </tp>
      <tp t="s">
        <v>#N/A N/A</v>
        <stp/>
        <stp>BDP|9478485405731275305</stp>
        <tr r="H883" s="2"/>
      </tp>
      <tp t="s">
        <v>#N/A N/A</v>
        <stp/>
        <stp>BDP|7252020188054713442</stp>
        <tr r="O1628" s="2"/>
      </tp>
      <tp t="s">
        <v>#N/A N/A</v>
        <stp/>
        <stp>BDP|1542550085752635186</stp>
        <tr r="D95" s="2"/>
      </tp>
      <tp t="s">
        <v>#N/A N/A</v>
        <stp/>
        <stp>BDP|6430827855070147496</stp>
        <tr r="O965" s="2"/>
      </tp>
      <tp t="s">
        <v>#N/A N/A</v>
        <stp/>
        <stp>BDP|3451095347600638873</stp>
        <tr r="D1671" s="2"/>
      </tp>
      <tp t="s">
        <v>#N/A N/A</v>
        <stp/>
        <stp>BDP|3691917075435855726</stp>
        <tr r="G908" s="2"/>
      </tp>
      <tp t="s">
        <v>#N/A N/A</v>
        <stp/>
        <stp>BDP|9672184199418663698</stp>
        <tr r="S1259" s="2"/>
      </tp>
      <tp t="s">
        <v>#N/A N/A</v>
        <stp/>
        <stp>BDP|4787636589711710421</stp>
        <tr r="M515" s="2"/>
      </tp>
      <tp t="s">
        <v>#N/A N/A</v>
        <stp/>
        <stp>BDS|5454367687992825353</stp>
        <tr r="I1463" s="2"/>
      </tp>
      <tp t="s">
        <v>#N/A N/A</v>
        <stp/>
        <stp>BDP|6899475991312215646</stp>
        <tr r="O1301" s="2"/>
      </tp>
      <tp t="s">
        <v>#N/A N/A</v>
        <stp/>
        <stp>BDP|9645127023977803272</stp>
        <tr r="H38" s="2"/>
      </tp>
      <tp t="s">
        <v>#N/A N/A</v>
        <stp/>
        <stp>BDP|8512794407236188627</stp>
        <tr r="A1276" s="2"/>
      </tp>
      <tp t="s">
        <v>#N/A N/A</v>
        <stp/>
        <stp>BDP|5207566452853928974</stp>
        <tr r="G971" s="2"/>
      </tp>
      <tp t="s">
        <v>#N/A N/A</v>
        <stp/>
        <stp>BDP|2793540292044140586</stp>
        <tr r="E318" s="2"/>
      </tp>
      <tp t="s">
        <v>#N/A N/A</v>
        <stp/>
        <stp>BDP|9311343624514288394</stp>
        <tr r="C1058" s="2"/>
      </tp>
      <tp t="s">
        <v>#N/A N/A</v>
        <stp/>
        <stp>BDP|9125112183526293996</stp>
        <tr r="F187" s="2"/>
      </tp>
      <tp t="s">
        <v>#N/A N/A</v>
        <stp/>
        <stp>BDP|1222875245875140791</stp>
        <tr r="A769" s="2"/>
      </tp>
      <tp t="s">
        <v>#N/A N/A</v>
        <stp/>
        <stp>BDP|1590819001917812152</stp>
        <tr r="M1192" s="2"/>
      </tp>
      <tp t="s">
        <v>#N/A N/A</v>
        <stp/>
        <stp>BDP|6469987333303495031</stp>
        <tr r="J349" s="2"/>
      </tp>
      <tp t="s">
        <v>#N/A N/A</v>
        <stp/>
        <stp>BDP|8156075830944721091</stp>
        <tr r="K1408" s="2"/>
      </tp>
      <tp t="s">
        <v>#N/A N/A</v>
        <stp/>
        <stp>BDP|1349298836048481709</stp>
        <tr r="O1390" s="2"/>
      </tp>
      <tp t="s">
        <v>#N/A N/A</v>
        <stp/>
        <stp>BDP|5616219544255350982</stp>
        <tr r="P839" s="2"/>
      </tp>
      <tp t="s">
        <v>#N/A N/A</v>
        <stp/>
        <stp>BDS|2457815760403983043</stp>
        <tr r="I1056" s="2"/>
      </tp>
      <tp t="s">
        <v>#N/A N/A</v>
        <stp/>
        <stp>BDP|2011828252188133897</stp>
        <tr r="G1350" s="2"/>
      </tp>
      <tp t="s">
        <v>#N/A N/A</v>
        <stp/>
        <stp>BDP|1537442089205886784</stp>
        <tr r="A611" s="2"/>
      </tp>
      <tp t="s">
        <v>#N/A N/A</v>
        <stp/>
        <stp>BDP|3307869868316512404</stp>
        <tr r="E968" s="2"/>
      </tp>
      <tp t="s">
        <v>#N/A N/A</v>
        <stp/>
        <stp>BDP|2417493766248571769</stp>
        <tr r="D121" s="2"/>
      </tp>
      <tp t="s">
        <v>#N/A N/A</v>
        <stp/>
        <stp>BDP|7686643486510446684</stp>
        <tr r="E1695" s="2"/>
      </tp>
      <tp t="s">
        <v>#N/A N/A</v>
        <stp/>
        <stp>BDP|7985722896880750629</stp>
        <tr r="R458" s="2"/>
      </tp>
      <tp t="s">
        <v>#N/A N/A</v>
        <stp/>
        <stp>BDP|5375938931889989901</stp>
        <tr r="C310" s="2"/>
      </tp>
      <tp t="s">
        <v>#N/A N/A</v>
        <stp/>
        <stp>BDP|8574147273087296687</stp>
        <tr r="A1097" s="2"/>
      </tp>
      <tp t="s">
        <v>#N/A N/A</v>
        <stp/>
        <stp>BDP|5189329591516267683</stp>
        <tr r="M1160" s="2"/>
      </tp>
      <tp t="s">
        <v>#N/A N/A</v>
        <stp/>
        <stp>BDP|7908893714223898248</stp>
        <tr r="M570" s="2"/>
      </tp>
      <tp t="s">
        <v>#N/A N/A</v>
        <stp/>
        <stp>BDP|7876551666233070833</stp>
        <tr r="E904" s="2"/>
      </tp>
      <tp t="s">
        <v>#N/A N/A</v>
        <stp/>
        <stp>BDP|4675278398074487454</stp>
        <tr r="F153" s="2"/>
      </tp>
      <tp t="s">
        <v>#N/A N/A</v>
        <stp/>
        <stp>BDP|9903301131247212120</stp>
        <tr r="J1090" s="2"/>
      </tp>
      <tp t="s">
        <v>#N/A N/A</v>
        <stp/>
        <stp>BDP|5355375545419861410</stp>
        <tr r="H16" s="2"/>
      </tp>
      <tp t="s">
        <v>#N/A N/A</v>
        <stp/>
        <stp>BDP|5426814778063135647</stp>
        <tr r="S1013" s="2"/>
      </tp>
      <tp t="s">
        <v>#N/A N/A</v>
        <stp/>
        <stp>BDP|4562999400881632326</stp>
        <tr r="J1590" s="2"/>
      </tp>
      <tp t="s">
        <v>#N/A N/A</v>
        <stp/>
        <stp>BDP|4678977734434898558</stp>
        <tr r="R993" s="2"/>
      </tp>
      <tp t="s">
        <v>#N/A N/A</v>
        <stp/>
        <stp>BDP|3959309087895795218</stp>
        <tr r="K745" s="2"/>
      </tp>
      <tp t="s">
        <v>#N/A N/A</v>
        <stp/>
        <stp>BDP|9047062386789009784</stp>
        <tr r="O367" s="2"/>
      </tp>
      <tp t="s">
        <v>#N/A N/A</v>
        <stp/>
        <stp>BDP|2897907923670584664</stp>
        <tr r="E602" s="2"/>
      </tp>
      <tp t="s">
        <v>#N/A N/A</v>
        <stp/>
        <stp>BDP|6287872730180592286</stp>
        <tr r="D256" s="2"/>
      </tp>
      <tp t="s">
        <v>#N/A N/A</v>
        <stp/>
        <stp>BDP|4625165185117404591</stp>
        <tr r="K1120" s="2"/>
      </tp>
      <tp t="s">
        <v>#N/A N/A</v>
        <stp/>
        <stp>BDP|7695592474738391202</stp>
        <tr r="E1304" s="2"/>
      </tp>
      <tp t="s">
        <v>#N/A N/A</v>
        <stp/>
        <stp>BDP|2354181882687910385</stp>
        <tr r="E896" s="2"/>
      </tp>
      <tp t="s">
        <v>#N/A N/A</v>
        <stp/>
        <stp>BDP|5587867348965213311</stp>
        <tr r="O419" s="2"/>
      </tp>
      <tp t="s">
        <v>#N/A N/A</v>
        <stp/>
        <stp>BDP|1993153197073758549</stp>
        <tr r="J421" s="2"/>
      </tp>
      <tp t="s">
        <v>#N/A N/A</v>
        <stp/>
        <stp>BDP|9286637132570398385</stp>
        <tr r="G1675" s="2"/>
      </tp>
      <tp t="s">
        <v>#N/A N/A</v>
        <stp/>
        <stp>BDP|9798384761164281742</stp>
        <tr r="S1147" s="2"/>
      </tp>
      <tp t="s">
        <v>#N/A N/A</v>
        <stp/>
        <stp>BDP|2552775880760395298</stp>
        <tr r="K1665" s="2"/>
      </tp>
      <tp t="s">
        <v>#N/A N/A</v>
        <stp/>
        <stp>BDP|2132414298814637475</stp>
        <tr r="F496" s="2"/>
      </tp>
      <tp t="s">
        <v>#N/A N/A</v>
        <stp/>
        <stp>BDP|1491083280103574505</stp>
        <tr r="H1262" s="2"/>
      </tp>
      <tp t="s">
        <v>#N/A N/A</v>
        <stp/>
        <stp>BDP|9153611527415810768</stp>
        <tr r="Q1104" s="2"/>
      </tp>
      <tp t="s">
        <v>#N/A N/A</v>
        <stp/>
        <stp>BDP|1235728178209264736</stp>
        <tr r="R603" s="2"/>
      </tp>
      <tp t="s">
        <v>#N/A N/A</v>
        <stp/>
        <stp>BDP|7954487298624049109</stp>
        <tr r="F1330" s="2"/>
      </tp>
      <tp t="s">
        <v>#N/A N/A</v>
        <stp/>
        <stp>BDP|3093386709057044883</stp>
        <tr r="A1567" s="2"/>
      </tp>
      <tp t="s">
        <v>#N/A N/A</v>
        <stp/>
        <stp>BDP|5523616197644921138</stp>
        <tr r="O52" s="2"/>
      </tp>
      <tp t="s">
        <v>#N/A N/A</v>
        <stp/>
        <stp>BDP|7801914070836370033</stp>
        <tr r="H60" s="2"/>
      </tp>
      <tp t="s">
        <v>#N/A N/A</v>
        <stp/>
        <stp>BDP|2249978687758825431</stp>
        <tr r="G543" s="2"/>
      </tp>
      <tp t="s">
        <v>#N/A N/A</v>
        <stp/>
        <stp>BDP|2922660624351631849</stp>
        <tr r="J1264" s="2"/>
      </tp>
      <tp t="s">
        <v>#N/A N/A</v>
        <stp/>
        <stp>BDP|8821695547856855370</stp>
        <tr r="M170" s="2"/>
      </tp>
      <tp t="s">
        <v>#N/A N/A</v>
        <stp/>
        <stp>BDP|5416004419062689927</stp>
        <tr r="E361" s="2"/>
      </tp>
      <tp t="s">
        <v>#N/A N/A</v>
        <stp/>
        <stp>BDP|3469861145051782195</stp>
        <tr r="A32" s="2"/>
      </tp>
      <tp t="s">
        <v>#N/A N/A</v>
        <stp/>
        <stp>BDP|2509402108491195852</stp>
        <tr r="F82" s="2"/>
      </tp>
      <tp t="s">
        <v>#N/A N/A</v>
        <stp/>
        <stp>BDP|1924592586985844670</stp>
        <tr r="K1172" s="2"/>
      </tp>
      <tp t="s">
        <v>#N/A N/A</v>
        <stp/>
        <stp>BDP|4696502951248855361</stp>
        <tr r="E221" s="2"/>
      </tp>
      <tp t="s">
        <v>#N/A N/A</v>
        <stp/>
        <stp>BDP|7017746218418071658</stp>
        <tr r="G1017" s="2"/>
      </tp>
      <tp t="s">
        <v>#N/A N/A</v>
        <stp/>
        <stp>BDP|9151065614934925337</stp>
        <tr r="N732" s="2"/>
      </tp>
      <tp t="s">
        <v>#N/A N/A</v>
        <stp/>
        <stp>BDP|1009599594454547615</stp>
        <tr r="A47" s="2"/>
      </tp>
      <tp t="s">
        <v>#N/A N/A</v>
        <stp/>
        <stp>BDP|9677145904120682797</stp>
        <tr r="N150" s="2"/>
      </tp>
      <tp t="s">
        <v>#N/A N/A</v>
        <stp/>
        <stp>BDP|2040055490683834748</stp>
        <tr r="N725" s="2"/>
      </tp>
      <tp t="s">
        <v>#N/A N/A</v>
        <stp/>
        <stp>BDP|5178904338792818289</stp>
        <tr r="H363" s="2"/>
      </tp>
      <tp t="s">
        <v>#N/A N/A</v>
        <stp/>
        <stp>BDP|5580845735130533180</stp>
        <tr r="F139" s="2"/>
      </tp>
      <tp t="s">
        <v>#N/A N/A</v>
        <stp/>
        <stp>BDP|6574956615019580896</stp>
        <tr r="T1342" s="2"/>
      </tp>
      <tp t="s">
        <v>#N/A N/A</v>
        <stp/>
        <stp>BDP|6470484974972136806</stp>
        <tr r="K713" s="2"/>
      </tp>
      <tp t="s">
        <v>#N/A N/A</v>
        <stp/>
        <stp>BDP|9089424165235672186</stp>
        <tr r="G1254" s="2"/>
      </tp>
      <tp t="s">
        <v>#N/A N/A</v>
        <stp/>
        <stp>BDP|7026907835227516599</stp>
        <tr r="P1683" s="2"/>
      </tp>
      <tp t="s">
        <v>#N/A N/A</v>
        <stp/>
        <stp>BDP|9978468075605218016</stp>
        <tr r="A679" s="2"/>
      </tp>
      <tp t="s">
        <v>#N/A N/A</v>
        <stp/>
        <stp>BDP|8885892097547630192</stp>
        <tr r="Q284" s="2"/>
      </tp>
      <tp t="s">
        <v>#N/A N/A</v>
        <stp/>
        <stp>BDP|2508870205734915178</stp>
        <tr r="N1327" s="2"/>
      </tp>
      <tp t="s">
        <v>#N/A N/A</v>
        <stp/>
        <stp>BDP|4566482028538514590</stp>
        <tr r="Q712" s="2"/>
      </tp>
      <tp t="s">
        <v>#N/A N/A</v>
        <stp/>
        <stp>BDP|4716032793734971673</stp>
        <tr r="N1417" s="2"/>
      </tp>
      <tp t="s">
        <v>#N/A N/A</v>
        <stp/>
        <stp>BDP|8439509489093111958</stp>
        <tr r="N567" s="2"/>
      </tp>
      <tp t="s">
        <v>#N/A N/A</v>
        <stp/>
        <stp>BDP|2104742158108127752</stp>
        <tr r="C195" s="2"/>
      </tp>
      <tp t="s">
        <v>#N/A N/A</v>
        <stp/>
        <stp>BDP|9609665339904892786</stp>
        <tr r="R152" s="2"/>
      </tp>
      <tp t="s">
        <v>#N/A N/A</v>
        <stp/>
        <stp>BDP|5036357252639772597</stp>
        <tr r="M458" s="2"/>
      </tp>
      <tp t="s">
        <v>#N/A N/A</v>
        <stp/>
        <stp>BDP|7326370930519848151</stp>
        <tr r="Q548" s="2"/>
      </tp>
      <tp t="s">
        <v>#N/A N/A</v>
        <stp/>
        <stp>BDP|4701801719031705303</stp>
        <tr r="M149" s="2"/>
      </tp>
      <tp t="s">
        <v>#N/A N/A</v>
        <stp/>
        <stp>BDP|3833228756089697230</stp>
        <tr r="H696" s="2"/>
      </tp>
      <tp t="s">
        <v>#N/A N/A</v>
        <stp/>
        <stp>BDP|7200632173050371980</stp>
        <tr r="K90" s="2"/>
      </tp>
      <tp t="s">
        <v>#N/A N/A</v>
        <stp/>
        <stp>BDP|9508552464802499796</stp>
        <tr r="J255" s="2"/>
      </tp>
      <tp t="s">
        <v>#N/A N/A</v>
        <stp/>
        <stp>BDP|3827835954878295943</stp>
        <tr r="R92" s="2"/>
      </tp>
      <tp t="s">
        <v>#N/A N/A</v>
        <stp/>
        <stp>BDP|1836905410721914784</stp>
        <tr r="K296" s="2"/>
      </tp>
      <tp t="s">
        <v>#N/A N/A</v>
        <stp/>
        <stp>BDP|4994637059670295885</stp>
        <tr r="E1272" s="2"/>
      </tp>
      <tp t="s">
        <v>#N/A N/A</v>
        <stp/>
        <stp>BDP|8547467129732495379</stp>
        <tr r="P309" s="2"/>
      </tp>
      <tp t="s">
        <v>#N/A N/A</v>
        <stp/>
        <stp>BDP|2941224080452430560</stp>
        <tr r="R872" s="2"/>
      </tp>
      <tp t="s">
        <v>#N/A N/A</v>
        <stp/>
        <stp>BDP|3943142487765447072</stp>
        <tr r="J308" s="2"/>
      </tp>
      <tp t="s">
        <v>#N/A N/A</v>
        <stp/>
        <stp>BDP|1082839278847575679</stp>
        <tr r="R1559" s="2"/>
      </tp>
      <tp t="s">
        <v>#N/A N/A</v>
        <stp/>
        <stp>BDP|6540061931318327283</stp>
        <tr r="F1718" s="2"/>
      </tp>
      <tp t="s">
        <v>#N/A N/A</v>
        <stp/>
        <stp>BDP|6075941455212928711</stp>
        <tr r="R1333" s="2"/>
      </tp>
      <tp t="s">
        <v>#N/A N/A</v>
        <stp/>
        <stp>BDS|5171992207174410720</stp>
        <tr r="I1529" s="2"/>
      </tp>
      <tp t="s">
        <v>#N/A N/A</v>
        <stp/>
        <stp>BDP|8701116633733831644</stp>
        <tr r="R1388" s="2"/>
      </tp>
      <tp t="s">
        <v>#N/A N/A</v>
        <stp/>
        <stp>BDP|7138977430571628395</stp>
        <tr r="K448" s="2"/>
      </tp>
      <tp t="s">
        <v>#N/A N/A</v>
        <stp/>
        <stp>BDP|7960937627014258762</stp>
        <tr r="E1095" s="2"/>
      </tp>
      <tp t="s">
        <v>#N/A N/A</v>
        <stp/>
        <stp>BDP|7644289086394778610</stp>
        <tr r="T1548" s="2"/>
      </tp>
      <tp t="s">
        <v>#N/A N/A</v>
        <stp/>
        <stp>BDP|8347710192519781090</stp>
        <tr r="C1520" s="2"/>
      </tp>
      <tp t="s">
        <v>#N/A N/A</v>
        <stp/>
        <stp>BDS|7361079480847380795</stp>
        <tr r="I1476" s="2"/>
      </tp>
      <tp t="s">
        <v>#N/A N/A</v>
        <stp/>
        <stp>BDS|8497583732209751877</stp>
        <tr r="I176" s="2"/>
      </tp>
      <tp t="s">
        <v>#N/A N/A</v>
        <stp/>
        <stp>BDP|6188861556351727581</stp>
        <tr r="N1347" s="2"/>
      </tp>
      <tp t="s">
        <v>#N/A N/A</v>
        <stp/>
        <stp>BDP|2810460399923048394</stp>
        <tr r="P723" s="2"/>
      </tp>
      <tp t="s">
        <v>#N/A N/A</v>
        <stp/>
        <stp>BDP|4219816209893614025</stp>
        <tr r="G239" s="2"/>
      </tp>
      <tp t="s">
        <v>#N/A N/A</v>
        <stp/>
        <stp>BDP|9970291693875425896</stp>
        <tr r="C1270" s="2"/>
      </tp>
      <tp t="s">
        <v>#N/A N/A</v>
        <stp/>
        <stp>BDP|3927584324838250391</stp>
        <tr r="J969" s="2"/>
      </tp>
      <tp t="s">
        <v>#N/A N/A</v>
        <stp/>
        <stp>BDP|1920274953180598964</stp>
        <tr r="A1526" s="2"/>
      </tp>
      <tp t="s">
        <v>#N/A N/A</v>
        <stp/>
        <stp>BDP|3413433091145892407</stp>
        <tr r="M1331" s="2"/>
      </tp>
      <tp t="s">
        <v>#N/A N/A</v>
        <stp/>
        <stp>BDS|6030633697715895320</stp>
        <tr r="I136" s="2"/>
      </tp>
      <tp t="s">
        <v>#N/A N/A</v>
        <stp/>
        <stp>BDP|3696017380332805610</stp>
        <tr r="P283" s="2"/>
      </tp>
      <tp t="s">
        <v>#N/A N/A</v>
        <stp/>
        <stp>BDP|4979264903118682147</stp>
        <tr r="J49" s="2"/>
      </tp>
      <tp t="s">
        <v>#N/A N/A</v>
        <stp/>
        <stp>BDP|6215328630418888168</stp>
        <tr r="H1344" s="2"/>
      </tp>
      <tp t="s">
        <v>#N/A N/A</v>
        <stp/>
        <stp>BDP|3911236570850405903</stp>
        <tr r="T1577" s="2"/>
      </tp>
      <tp t="s">
        <v>#N/A N/A</v>
        <stp/>
        <stp>BDP|7046890507462490245</stp>
        <tr r="E1600" s="2"/>
      </tp>
      <tp t="s">
        <v>#N/A N/A</v>
        <stp/>
        <stp>BDP|8770501457033680482</stp>
        <tr r="A259" s="2"/>
      </tp>
      <tp t="s">
        <v>#N/A N/A</v>
        <stp/>
        <stp>BDP|1151495337801902884</stp>
        <tr r="F1140" s="2"/>
      </tp>
      <tp t="s">
        <v>#N/A N/A</v>
        <stp/>
        <stp>BDP|4372991227257297711</stp>
        <tr r="E1346" s="2"/>
      </tp>
      <tp t="s">
        <v>#N/A N/A</v>
        <stp/>
        <stp>BDP|9418414010052316188</stp>
        <tr r="M1440" s="2"/>
      </tp>
      <tp t="s">
        <v>#N/A N/A</v>
        <stp/>
        <stp>BDP|3285997247741323015</stp>
        <tr r="H59" s="2"/>
      </tp>
      <tp t="s">
        <v>#N/A N/A</v>
        <stp/>
        <stp>BDP|9085718808957738605</stp>
        <tr r="C808" s="2"/>
      </tp>
      <tp t="s">
        <v>#N/A N/A</v>
        <stp/>
        <stp>BDP|8695793875717743036</stp>
        <tr r="F1293" s="2"/>
      </tp>
      <tp t="s">
        <v>#N/A N/A</v>
        <stp/>
        <stp>BDS|9555596480463128839</stp>
        <tr r="I1503" s="2"/>
      </tp>
      <tp t="s">
        <v>#N/A N/A</v>
        <stp/>
        <stp>BDP|3189265048073929981</stp>
        <tr r="P188" s="2"/>
      </tp>
      <tp t="s">
        <v>#N/A N/A</v>
        <stp/>
        <stp>BDP|6029169154195803844</stp>
        <tr r="J1726" s="2"/>
      </tp>
      <tp t="s">
        <v>#N/A N/A</v>
        <stp/>
        <stp>BDP|4680331379696186939</stp>
        <tr r="A16" s="2"/>
      </tp>
      <tp t="s">
        <v>#N/A N/A</v>
        <stp/>
        <stp>BDP|9471918317198814641</stp>
        <tr r="D1491" s="2"/>
      </tp>
      <tp t="s">
        <v>#N/A N/A</v>
        <stp/>
        <stp>BDP|7136340346196854959</stp>
        <tr r="F844" s="2"/>
      </tp>
      <tp t="s">
        <v>#N/A N/A</v>
        <stp/>
        <stp>BDP|9486203279397667450</stp>
        <tr r="Q1011" s="2"/>
      </tp>
      <tp t="s">
        <v>#N/A N/A</v>
        <stp/>
        <stp>BDP|9107781625751202207</stp>
        <tr r="T1737" s="2"/>
      </tp>
      <tp t="s">
        <v>#N/A N/A</v>
        <stp/>
        <stp>BDP|3165353649898798345</stp>
        <tr r="J1301" s="2"/>
      </tp>
      <tp t="s">
        <v>#N/A N/A</v>
        <stp/>
        <stp>BDP|9826586621446829773</stp>
        <tr r="M1101" s="2"/>
      </tp>
      <tp t="s">
        <v>#N/A N/A</v>
        <stp/>
        <stp>BDP|7704243969064001843</stp>
        <tr r="Q529" s="2"/>
      </tp>
      <tp t="s">
        <v>#N/A N/A</v>
        <stp/>
        <stp>BDP|2554986549410807024</stp>
        <tr r="A323" s="2"/>
      </tp>
      <tp t="s">
        <v>#N/A N/A</v>
        <stp/>
        <stp>BDP|3195871249714755469</stp>
        <tr r="R402" s="2"/>
      </tp>
      <tp t="s">
        <v>#N/A N/A</v>
        <stp/>
        <stp>BDP|1647489724880647822</stp>
        <tr r="M287" s="2"/>
      </tp>
      <tp t="s">
        <v>#N/A N/A</v>
        <stp/>
        <stp>BDP|2326085491655018143</stp>
        <tr r="G1535" s="2"/>
      </tp>
      <tp t="s">
        <v>#N/A N/A</v>
        <stp/>
        <stp>BDP|8699781712122188333</stp>
        <tr r="N302" s="2"/>
      </tp>
      <tp t="s">
        <v>#N/A N/A</v>
        <stp/>
        <stp>BDP|7254065566448554693</stp>
        <tr r="A884" s="2"/>
      </tp>
      <tp t="s">
        <v>#N/A N/A</v>
        <stp/>
        <stp>BDS|1150815264493958330</stp>
        <tr r="I1458" s="2"/>
      </tp>
      <tp t="s">
        <v>#N/A N/A</v>
        <stp/>
        <stp>BDP|3874504725883180821</stp>
        <tr r="D735" s="2"/>
      </tp>
      <tp t="s">
        <v>#N/A N/A</v>
        <stp/>
        <stp>BDP|2945726734260430956</stp>
        <tr r="P31" s="2"/>
      </tp>
      <tp t="s">
        <v>#N/A N/A</v>
        <stp/>
        <stp>BDP|7967888161541960778</stp>
        <tr r="N1461" s="2"/>
      </tp>
      <tp t="s">
        <v>#N/A N/A</v>
        <stp/>
        <stp>BDP|3193687518908752386</stp>
        <tr r="C741" s="2"/>
      </tp>
      <tp t="s">
        <v>#N/A N/A</v>
        <stp/>
        <stp>BDP|9935457210322531170</stp>
        <tr r="F603" s="2"/>
      </tp>
      <tp t="s">
        <v>#N/A N/A</v>
        <stp/>
        <stp>BDP|5925892618030626306</stp>
        <tr r="A292" s="2"/>
      </tp>
      <tp t="s">
        <v>#N/A N/A</v>
        <stp/>
        <stp>BDP|4825950130529429871</stp>
        <tr r="N1288" s="2"/>
      </tp>
      <tp t="s">
        <v>#N/A N/A</v>
        <stp/>
        <stp>BDP|8075572822121805130</stp>
        <tr r="M1693" s="2"/>
      </tp>
      <tp t="s">
        <v>#N/A N/A</v>
        <stp/>
        <stp>BDP|9907473000567073506</stp>
        <tr r="K686" s="2"/>
      </tp>
      <tp t="s">
        <v>#N/A N/A</v>
        <stp/>
        <stp>BDP|7809866102985698541</stp>
        <tr r="Q766" s="2"/>
      </tp>
      <tp t="s">
        <v>#N/A N/A</v>
        <stp/>
        <stp>BDP|8943147561599747954</stp>
        <tr r="Q101" s="2"/>
      </tp>
      <tp t="s">
        <v>#N/A N/A</v>
        <stp/>
        <stp>BDP|6535195033383866895</stp>
        <tr r="E1476" s="2"/>
      </tp>
      <tp t="s">
        <v>#N/A N/A</v>
        <stp/>
        <stp>BDS|4490600285537637285</stp>
        <tr r="I3" s="2"/>
      </tp>
      <tp t="s">
        <v>#N/A N/A</v>
        <stp/>
        <stp>BDP|9081731529237170445</stp>
        <tr r="G1730" s="2"/>
      </tp>
      <tp t="s">
        <v>#N/A N/A</v>
        <stp/>
        <stp>BDP|4029703909629273549</stp>
        <tr r="R597" s="2"/>
      </tp>
      <tp t="s">
        <v>#N/A N/A</v>
        <stp/>
        <stp>BDS|7488829684431477998</stp>
        <tr r="I1432" s="2"/>
      </tp>
      <tp t="s">
        <v>#N/A N/A</v>
        <stp/>
        <stp>BDP|9036318624735341290</stp>
        <tr r="H1334" s="2"/>
      </tp>
      <tp t="s">
        <v>#N/A N/A</v>
        <stp/>
        <stp>BDP|4538142307419859318</stp>
        <tr r="J984" s="2"/>
      </tp>
      <tp t="s">
        <v>#N/A N/A</v>
        <stp/>
        <stp>BDP|6615235547128581785</stp>
        <tr r="J1174" s="2"/>
      </tp>
      <tp t="s">
        <v>#N/A N/A</v>
        <stp/>
        <stp>BDP|2572461974159163799</stp>
        <tr r="T110" s="2"/>
      </tp>
      <tp t="s">
        <v>#N/A N/A</v>
        <stp/>
        <stp>BDP|9929660533550497376</stp>
        <tr r="T1358" s="2"/>
      </tp>
      <tp t="s">
        <v>#N/A N/A</v>
        <stp/>
        <stp>BDP|1308984461476783720</stp>
        <tr r="C612" s="2"/>
      </tp>
      <tp t="s">
        <v>#N/A N/A</v>
        <stp/>
        <stp>BDP|4162085526851125812</stp>
        <tr r="E1626" s="2"/>
      </tp>
      <tp t="s">
        <v>#N/A N/A</v>
        <stp/>
        <stp>BDP|6716406768062057909</stp>
        <tr r="M1170" s="2"/>
      </tp>
      <tp t="s">
        <v>#N/A N/A</v>
        <stp/>
        <stp>BDP|1172946847591870258</stp>
        <tr r="Q914" s="2"/>
      </tp>
      <tp t="s">
        <v>#N/A N/A</v>
        <stp/>
        <stp>BDP|6371405060948946354</stp>
        <tr r="K672" s="2"/>
      </tp>
      <tp t="s">
        <v>#N/A N/A</v>
        <stp/>
        <stp>BDP|3649176906948142595</stp>
        <tr r="N1697" s="2"/>
      </tp>
      <tp t="s">
        <v>#N/A N/A</v>
        <stp/>
        <stp>BDP|9929749173323309522</stp>
        <tr r="H737" s="2"/>
      </tp>
      <tp t="s">
        <v>#N/A N/A</v>
        <stp/>
        <stp>BDP|1582664626628889228</stp>
        <tr r="R742" s="2"/>
      </tp>
      <tp t="s">
        <v>#N/A N/A</v>
        <stp/>
        <stp>BDP|7449481753269452048</stp>
        <tr r="T755" s="2"/>
      </tp>
      <tp t="s">
        <v>#N/A N/A</v>
        <stp/>
        <stp>BDP|2926335312967110862</stp>
        <tr r="A25" s="2"/>
      </tp>
      <tp t="s">
        <v>#N/A N/A</v>
        <stp/>
        <stp>BDP|8400466636932803233</stp>
        <tr r="Q462" s="2"/>
      </tp>
      <tp t="s">
        <v>#N/A N/A</v>
        <stp/>
        <stp>BDP|2089772127330959863</stp>
        <tr r="H114" s="2"/>
      </tp>
      <tp t="s">
        <v>#N/A N/A</v>
        <stp/>
        <stp>BDP|4521008099440149225</stp>
        <tr r="P1337" s="2"/>
      </tp>
      <tp t="s">
        <v>#N/A N/A</v>
        <stp/>
        <stp>BDP|1069345538448206618</stp>
        <tr r="J1643" s="2"/>
      </tp>
      <tp t="s">
        <v>#N/A N/A</v>
        <stp/>
        <stp>BDP|5001091442387497904</stp>
        <tr r="F1444" s="2"/>
      </tp>
      <tp t="s">
        <v>#N/A N/A</v>
        <stp/>
        <stp>BDP|6842428391173031740</stp>
        <tr r="H991" s="2"/>
      </tp>
      <tp t="s">
        <v>#N/A N/A</v>
        <stp/>
        <stp>BDP|4430824256256835078</stp>
        <tr r="S1676" s="2"/>
      </tp>
      <tp t="s">
        <v>#N/A N/A</v>
        <stp/>
        <stp>BDP|5459061178789344466</stp>
        <tr r="D1450" s="2"/>
      </tp>
      <tp t="s">
        <v>#N/A N/A</v>
        <stp/>
        <stp>BDP|6689792977220616918</stp>
        <tr r="M364" s="2"/>
      </tp>
      <tp t="s">
        <v>#N/A N/A</v>
        <stp/>
        <stp>BDP|4168149057779801659</stp>
        <tr r="T1230" s="2"/>
      </tp>
      <tp t="s">
        <v>#N/A N/A</v>
        <stp/>
        <stp>BDP|6816897926157054483</stp>
        <tr r="H130" s="2"/>
      </tp>
      <tp t="s">
        <v>#N/A N/A</v>
        <stp/>
        <stp>BDP|9704179657580052288</stp>
        <tr r="D708" s="2"/>
      </tp>
      <tp t="s">
        <v>#N/A N/A</v>
        <stp/>
        <stp>BDP|1208551681003144084</stp>
        <tr r="O285" s="2"/>
      </tp>
      <tp t="s">
        <v>#N/A N/A</v>
        <stp/>
        <stp>BDP|2228151818928990593</stp>
        <tr r="F1439" s="2"/>
      </tp>
      <tp t="s">
        <v>#N/A N/A</v>
        <stp/>
        <stp>BDP|5601114182542296188</stp>
        <tr r="Q1470" s="2"/>
      </tp>
      <tp t="s">
        <v>#N/A N/A</v>
        <stp/>
        <stp>BDP|3440389193283291526</stp>
        <tr r="E1105" s="2"/>
      </tp>
      <tp t="s">
        <v>#N/A N/A</v>
        <stp/>
        <stp>BDP|2406348104898947624</stp>
        <tr r="T560" s="2"/>
      </tp>
      <tp t="s">
        <v>#N/A N/A</v>
        <stp/>
        <stp>BDP|5741158710388458299</stp>
        <tr r="D166" s="2"/>
      </tp>
      <tp t="s">
        <v>#N/A N/A</v>
        <stp/>
        <stp>BDP|4558835429320229122</stp>
        <tr r="E109" s="2"/>
      </tp>
      <tp t="s">
        <v>#N/A N/A</v>
        <stp/>
        <stp>BDP|1475910263454162586</stp>
        <tr r="K1047" s="2"/>
      </tp>
      <tp t="s">
        <v>#N/A N/A</v>
        <stp/>
        <stp>BDP|9983344018287897324</stp>
        <tr r="A219" s="2"/>
      </tp>
      <tp t="s">
        <v>#N/A N/A</v>
        <stp/>
        <stp>BDP|2070304238008776506</stp>
        <tr r="J125" s="2"/>
      </tp>
      <tp t="s">
        <v>#N/A N/A</v>
        <stp/>
        <stp>BDP|8604114488787251924</stp>
        <tr r="N929" s="2"/>
      </tp>
      <tp t="s">
        <v>#N/A N/A</v>
        <stp/>
        <stp>BDP|5116617169268145275</stp>
        <tr r="P1629" s="2"/>
      </tp>
      <tp t="s">
        <v>#N/A N/A</v>
        <stp/>
        <stp>BDP|8843083759567605507</stp>
        <tr r="E746" s="2"/>
      </tp>
      <tp t="s">
        <v>#N/A N/A</v>
        <stp/>
        <stp>BDS|5853565491971797776</stp>
        <tr r="I1410" s="2"/>
      </tp>
      <tp t="s">
        <v>#N/A N/A</v>
        <stp/>
        <stp>BDP|8297650636797738598</stp>
        <tr r="H1556" s="2"/>
      </tp>
      <tp t="s">
        <v>#N/A N/A</v>
        <stp/>
        <stp>BDP|2775986531470365726</stp>
        <tr r="E555" s="2"/>
      </tp>
      <tp t="s">
        <v>#N/A N/A</v>
        <stp/>
        <stp>BDP|5920047658728929735</stp>
        <tr r="F62" s="2"/>
      </tp>
      <tp t="s">
        <v>#N/A N/A</v>
        <stp/>
        <stp>BDP|2228782931861258868</stp>
        <tr r="P560" s="2"/>
      </tp>
      <tp t="s">
        <v>#N/A N/A</v>
        <stp/>
        <stp>BDP|8866347827966080045</stp>
        <tr r="T181" s="2"/>
      </tp>
      <tp t="s">
        <v>#N/A N/A</v>
        <stp/>
        <stp>BDP|4940451845108761317</stp>
        <tr r="P834" s="2"/>
      </tp>
      <tp t="s">
        <v>#N/A N/A</v>
        <stp/>
        <stp>BDP|1587845306216190092</stp>
        <tr r="P817" s="2"/>
      </tp>
      <tp t="s">
        <v>#N/A N/A</v>
        <stp/>
        <stp>BDS|5300183974039054501</stp>
        <tr r="I1327" s="2"/>
      </tp>
      <tp t="s">
        <v>#N/A N/A</v>
        <stp/>
        <stp>BDS|6764546957211234896</stp>
        <tr r="I1425" s="2"/>
      </tp>
      <tp t="s">
        <v>#N/A N/A</v>
        <stp/>
        <stp>BDP|8164366372344909737</stp>
        <tr r="H787" s="2"/>
      </tp>
      <tp t="s">
        <v>#N/A N/A</v>
        <stp/>
        <stp>BDP|9099447122382196283</stp>
        <tr r="H330" s="2"/>
      </tp>
      <tp t="s">
        <v>#N/A N/A</v>
        <stp/>
        <stp>BDP|3810002588001625596</stp>
        <tr r="G1241" s="2"/>
      </tp>
      <tp t="s">
        <v>#N/A N/A</v>
        <stp/>
        <stp>BDP|1588329706565978874</stp>
        <tr r="T666" s="2"/>
      </tp>
      <tp t="s">
        <v>#N/A N/A</v>
        <stp/>
        <stp>BDP|8957671347757272243</stp>
        <tr r="T1434" s="2"/>
      </tp>
      <tp t="s">
        <v>#N/A N/A</v>
        <stp/>
        <stp>BDP|2366173044261789988</stp>
        <tr r="T1061" s="2"/>
      </tp>
      <tp t="s">
        <v>#N/A N/A</v>
        <stp/>
        <stp>BDP|1777681283229307902</stp>
        <tr r="C1035" s="2"/>
      </tp>
      <tp t="s">
        <v>#N/A N/A</v>
        <stp/>
        <stp>BDP|9818391346727020683</stp>
        <tr r="Q730" s="2"/>
      </tp>
      <tp t="s">
        <v>#N/A N/A</v>
        <stp/>
        <stp>BDP|1106896066567336719</stp>
        <tr r="H925" s="2"/>
      </tp>
      <tp t="s">
        <v>#N/A N/A</v>
        <stp/>
        <stp>BDP|9561587163541092425</stp>
        <tr r="Q902" s="2"/>
      </tp>
      <tp t="s">
        <v>#N/A N/A</v>
        <stp/>
        <stp>BDP|6143569645440740895</stp>
        <tr r="F630" s="2"/>
      </tp>
      <tp t="s">
        <v>#N/A N/A</v>
        <stp/>
        <stp>BDP|9096203371304419790</stp>
        <tr r="K591" s="2"/>
      </tp>
      <tp t="s">
        <v>#N/A N/A</v>
        <stp/>
        <stp>BDP|1359345281345886023</stp>
        <tr r="E654" s="2"/>
      </tp>
      <tp t="s">
        <v>#N/A N/A</v>
        <stp/>
        <stp>BDP|3293059199307189233</stp>
        <tr r="N1638" s="2"/>
      </tp>
      <tp t="s">
        <v>#N/A N/A</v>
        <stp/>
        <stp>BDP|3060290584457014119</stp>
        <tr r="F1290" s="2"/>
      </tp>
      <tp t="s">
        <v>#N/A N/A</v>
        <stp/>
        <stp>BDP|7315548623866198992</stp>
        <tr r="R42" s="2"/>
      </tp>
      <tp t="s">
        <v>#N/A N/A</v>
        <stp/>
        <stp>BDP|6361436589852419713</stp>
        <tr r="J631" s="2"/>
      </tp>
      <tp t="s">
        <v>#N/A N/A</v>
        <stp/>
        <stp>BDP|7998076749098323480</stp>
        <tr r="S1647" s="2"/>
      </tp>
      <tp t="s">
        <v>#N/A N/A</v>
        <stp/>
        <stp>BDP|6390078561306972908</stp>
        <tr r="G592" s="2"/>
      </tp>
      <tp t="s">
        <v>#N/A N/A</v>
        <stp/>
        <stp>BDP|9612782424045095667</stp>
        <tr r="R687" s="2"/>
      </tp>
      <tp t="s">
        <v>#N/A N/A</v>
        <stp/>
        <stp>BDP|9372384326426932189</stp>
        <tr r="G295" s="2"/>
      </tp>
      <tp t="s">
        <v>#N/A N/A</v>
        <stp/>
        <stp>BDP|5891005140217743937</stp>
        <tr r="P1221" s="2"/>
      </tp>
      <tp t="s">
        <v>#N/A N/A</v>
        <stp/>
        <stp>BDP|6168448442490277990</stp>
        <tr r="D168" s="2"/>
      </tp>
      <tp t="s">
        <v>#N/A N/A</v>
        <stp/>
        <stp>BDP|8468451292282998861</stp>
        <tr r="P481" s="2"/>
      </tp>
      <tp t="s">
        <v>#N/A N/A</v>
        <stp/>
        <stp>BDP|1842541751867635972</stp>
        <tr r="S328" s="2"/>
      </tp>
      <tp t="s">
        <v>#N/A N/A</v>
        <stp/>
        <stp>BDP|2746908878663749042</stp>
        <tr r="P1407" s="2"/>
      </tp>
      <tp t="s">
        <v>#N/A N/A</v>
        <stp/>
        <stp>BDP|4990450290313172511</stp>
        <tr r="G913" s="2"/>
      </tp>
      <tp t="s">
        <v>#N/A N/A</v>
        <stp/>
        <stp>BDP|9912825173249725038</stp>
        <tr r="A1336" s="2"/>
      </tp>
      <tp t="s">
        <v>#N/A N/A</v>
        <stp/>
        <stp>BDP|2534013786227768298</stp>
        <tr r="Q500" s="2"/>
      </tp>
      <tp t="s">
        <v>#N/A N/A</v>
        <stp/>
        <stp>BDP|1487156092104841274</stp>
        <tr r="R1482" s="2"/>
      </tp>
      <tp t="s">
        <v>#N/A N/A</v>
        <stp/>
        <stp>BDP|8667743158585564039</stp>
        <tr r="O1640" s="2"/>
      </tp>
      <tp t="s">
        <v>#N/A N/A</v>
        <stp/>
        <stp>BDS|4718705825938647684</stp>
        <tr r="I1244" s="2"/>
      </tp>
      <tp t="s">
        <v>#N/A N/A</v>
        <stp/>
        <stp>BDP|9684082102516645065</stp>
        <tr r="H1271" s="2"/>
      </tp>
      <tp t="s">
        <v>#N/A N/A</v>
        <stp/>
        <stp>BDP|8917008334616499258</stp>
        <tr r="R1545" s="2"/>
      </tp>
      <tp t="s">
        <v>#N/A N/A</v>
        <stp/>
        <stp>BDP|6531682861570336939</stp>
        <tr r="G1215" s="2"/>
      </tp>
      <tp t="s">
        <v>#N/A N/A</v>
        <stp/>
        <stp>BDP|7707319419449255319</stp>
        <tr r="D303" s="2"/>
      </tp>
      <tp t="s">
        <v>#N/A N/A</v>
        <stp/>
        <stp>BDP|3784433101811927900</stp>
        <tr r="C860" s="2"/>
      </tp>
      <tp t="s">
        <v>#N/A N/A</v>
        <stp/>
        <stp>BDP|5619318647855849844</stp>
        <tr r="A890" s="2"/>
      </tp>
      <tp t="s">
        <v>#N/A N/A</v>
        <stp/>
        <stp>BDP|8469128768473182333</stp>
        <tr r="J1335" s="2"/>
      </tp>
      <tp t="s">
        <v>#N/A N/A</v>
        <stp/>
        <stp>BDP|6094281292626680406</stp>
        <tr r="H1179" s="2"/>
      </tp>
      <tp t="s">
        <v>#N/A N/A</v>
        <stp/>
        <stp>BDP|1242174059563256920</stp>
        <tr r="D620" s="2"/>
      </tp>
      <tp t="s">
        <v>#N/A N/A</v>
        <stp/>
        <stp>BDP|7633471191307848245</stp>
        <tr r="O657" s="2"/>
      </tp>
      <tp t="s">
        <v>#N/A N/A</v>
        <stp/>
        <stp>BDP|9636203658415314416</stp>
        <tr r="F164" s="2"/>
      </tp>
      <tp t="s">
        <v>#N/A N/A</v>
        <stp/>
        <stp>BDP|8747411324522604383</stp>
        <tr r="G562" s="2"/>
      </tp>
      <tp t="s">
        <v>#N/A N/A</v>
        <stp/>
        <stp>BDP|6032138072389590682</stp>
        <tr r="Q1461" s="2"/>
      </tp>
      <tp t="s">
        <v>#N/A N/A</v>
        <stp/>
        <stp>BDP|1285859765759633987</stp>
        <tr r="N610" s="2"/>
      </tp>
      <tp t="s">
        <v>#N/A N/A</v>
        <stp/>
        <stp>BDS|7374874925057875555</stp>
        <tr r="I1616" s="2"/>
      </tp>
      <tp t="s">
        <v>#N/A N/A</v>
        <stp/>
        <stp>BDP|1909970305306041175</stp>
        <tr r="N675" s="2"/>
      </tp>
      <tp t="s">
        <v>#N/A N/A</v>
        <stp/>
        <stp>BDP|3284400882736554698</stp>
        <tr r="Q169" s="2"/>
      </tp>
      <tp t="s">
        <v>#N/A N/A</v>
        <stp/>
        <stp>BDP|5805535724365232810</stp>
        <tr r="E790" s="2"/>
      </tp>
      <tp t="s">
        <v>#N/A N/A</v>
        <stp/>
        <stp>BDP|7100227677375117890</stp>
        <tr r="D649" s="2"/>
      </tp>
      <tp t="s">
        <v>#N/A N/A</v>
        <stp/>
        <stp>BDP|9124451679610469556</stp>
        <tr r="O812" s="2"/>
      </tp>
      <tp t="s">
        <v>#N/A N/A</v>
        <stp/>
        <stp>BDP|3896705680121109258</stp>
        <tr r="O84" s="2"/>
      </tp>
      <tp t="s">
        <v>#N/A N/A</v>
        <stp/>
        <stp>BDP|7692026288369910999</stp>
        <tr r="T1476" s="2"/>
      </tp>
      <tp t="s">
        <v>#N/A N/A</v>
        <stp/>
        <stp>BDP|1362114206306120997</stp>
        <tr r="C150" s="2"/>
      </tp>
      <tp t="s">
        <v>#N/A N/A</v>
        <stp/>
        <stp>BDP|8751354576136127596</stp>
        <tr r="J1504" s="2"/>
      </tp>
      <tp t="s">
        <v>#N/A N/A</v>
        <stp/>
        <stp>BDP|8763240449767521637</stp>
        <tr r="Q453" s="2"/>
      </tp>
      <tp t="s">
        <v>#N/A N/A</v>
        <stp/>
        <stp>BDP|4731157881240671295</stp>
        <tr r="J635" s="2"/>
      </tp>
      <tp t="s">
        <v>#N/A N/A</v>
        <stp/>
        <stp>BDP|9527914909117907883</stp>
        <tr r="A267" s="2"/>
      </tp>
      <tp t="s">
        <v>#N/A N/A</v>
        <stp/>
        <stp>BDP|2424135809409539577</stp>
        <tr r="H638" s="2"/>
      </tp>
      <tp t="s">
        <v>#N/A N/A</v>
        <stp/>
        <stp>BDP|6246852052040985409</stp>
        <tr r="F168" s="2"/>
      </tp>
      <tp t="s">
        <v>#N/A N/A</v>
        <stp/>
        <stp>BDP|8782659315433332381</stp>
        <tr r="A1400" s="2"/>
      </tp>
      <tp t="s">
        <v>#N/A N/A</v>
        <stp/>
        <stp>BDP|3617617809709533375</stp>
        <tr r="S663" s="2"/>
      </tp>
      <tp t="s">
        <v>#N/A N/A</v>
        <stp/>
        <stp>BDP|8206266938272725471</stp>
        <tr r="E1513" s="2"/>
      </tp>
      <tp t="s">
        <v>#N/A N/A</v>
        <stp/>
        <stp>BDP|7217651955829999277</stp>
        <tr r="R552" s="2"/>
      </tp>
      <tp t="s">
        <v>#N/A N/A</v>
        <stp/>
        <stp>BDP|7951304302099756202</stp>
        <tr r="F301" s="2"/>
      </tp>
      <tp t="s">
        <v>#N/A N/A</v>
        <stp/>
        <stp>BDP|3300258488965039324</stp>
        <tr r="R1060" s="2"/>
      </tp>
      <tp t="s">
        <v>#N/A N/A</v>
        <stp/>
        <stp>BDP|4704195786833045150</stp>
        <tr r="A1103" s="2"/>
      </tp>
      <tp t="s">
        <v>#N/A N/A</v>
        <stp/>
        <stp>BDP|6434027175346994877</stp>
        <tr r="D1198" s="2"/>
      </tp>
      <tp t="s">
        <v>#N/A N/A</v>
        <stp/>
        <stp>BDP|6253902002046560689</stp>
        <tr r="T857" s="2"/>
      </tp>
      <tp t="s">
        <v>#N/A N/A</v>
        <stp/>
        <stp>BDP|5880958875480381464</stp>
        <tr r="Q752" s="2"/>
      </tp>
      <tp t="s">
        <v>#N/A N/A</v>
        <stp/>
        <stp>BDS|2803557882515299500</stp>
        <tr r="I1713" s="2"/>
      </tp>
      <tp t="s">
        <v>#N/A N/A</v>
        <stp/>
        <stp>BDP|3509029552480879902</stp>
        <tr r="A853" s="2"/>
      </tp>
      <tp t="s">
        <v>#N/A N/A</v>
        <stp/>
        <stp>BDP|4106980675167399220</stp>
        <tr r="T1310" s="2"/>
      </tp>
      <tp t="s">
        <v>#N/A N/A</v>
        <stp/>
        <stp>BDP|4965078142467285839</stp>
        <tr r="O1492" s="2"/>
      </tp>
      <tp t="s">
        <v>#N/A N/A</v>
        <stp/>
        <stp>BDP|1999744898756076686</stp>
        <tr r="R141" s="2"/>
      </tp>
      <tp t="s">
        <v>#N/A N/A</v>
        <stp/>
        <stp>BDP|3104522800908651185</stp>
        <tr r="R1295" s="2"/>
      </tp>
      <tp t="s">
        <v>#N/A N/A</v>
        <stp/>
        <stp>BDP|7512491491370285521</stp>
        <tr r="E211" s="2"/>
      </tp>
      <tp t="s">
        <v>#N/A N/A</v>
        <stp/>
        <stp>BDP|8752322029405507349</stp>
        <tr r="O1313" s="2"/>
      </tp>
      <tp t="s">
        <v>#N/A N/A</v>
        <stp/>
        <stp>BDP|4993923637098643974</stp>
        <tr r="H1175" s="2"/>
      </tp>
      <tp t="s">
        <v>#N/A N/A</v>
        <stp/>
        <stp>BDP|3285295691801612619</stp>
        <tr r="O379" s="2"/>
      </tp>
      <tp t="s">
        <v>#N/A N/A</v>
        <stp/>
        <stp>BDP|6865923271940480729</stp>
        <tr r="M1116" s="2"/>
      </tp>
      <tp t="s">
        <v>#N/A N/A</v>
        <stp/>
        <stp>BDP|7552256182155969769</stp>
        <tr r="H736" s="2"/>
      </tp>
      <tp t="s">
        <v>#N/A N/A</v>
        <stp/>
        <stp>BDP|8369657754956966262</stp>
        <tr r="G1479" s="2"/>
      </tp>
      <tp t="s">
        <v>#N/A N/A</v>
        <stp/>
        <stp>BDP|5233908154074812235</stp>
        <tr r="M989" s="2"/>
      </tp>
      <tp t="s">
        <v>#N/A N/A</v>
        <stp/>
        <stp>BDP|9767543304031337299</stp>
        <tr r="H1532" s="2"/>
      </tp>
      <tp t="s">
        <v>#N/A N/A</v>
        <stp/>
        <stp>BDP|1932878667371652122</stp>
        <tr r="N152" s="2"/>
      </tp>
      <tp t="s">
        <v>#N/A N/A</v>
        <stp/>
        <stp>BDP|6794556096746941303</stp>
        <tr r="G268" s="2"/>
      </tp>
      <tp t="s">
        <v>#N/A N/A</v>
        <stp/>
        <stp>BDP|9715415380279200399</stp>
        <tr r="O1519" s="2"/>
      </tp>
      <tp t="s">
        <v>#N/A N/A</v>
        <stp/>
        <stp>BDP|6651353943489882755</stp>
        <tr r="K1588" s="2"/>
      </tp>
      <tp t="s">
        <v>#N/A N/A</v>
        <stp/>
        <stp>BDP|7087987910443049350</stp>
        <tr r="M525" s="2"/>
      </tp>
      <tp t="s">
        <v>#N/A N/A</v>
        <stp/>
        <stp>BDP|8553783835443088054</stp>
        <tr r="J1408" s="2"/>
      </tp>
      <tp t="s">
        <v>#N/A N/A</v>
        <stp/>
        <stp>BDP|4580881026692109371</stp>
        <tr r="Q590" s="2"/>
      </tp>
      <tp t="s">
        <v>#N/A N/A</v>
        <stp/>
        <stp>BDP|9658408201975984732</stp>
        <tr r="R1741" s="2"/>
      </tp>
      <tp t="s">
        <v>#N/A N/A</v>
        <stp/>
        <stp>BDP|1122716719201742933</stp>
        <tr r="J1077" s="2"/>
      </tp>
      <tp t="s">
        <v>#N/A N/A</v>
        <stp/>
        <stp>BDP|8166842388533851485</stp>
        <tr r="R26" s="2"/>
      </tp>
      <tp t="s">
        <v>#N/A N/A</v>
        <stp/>
        <stp>BDP|7078961815204943471</stp>
        <tr r="K1624" s="2"/>
      </tp>
      <tp t="s">
        <v>#N/A N/A</v>
        <stp/>
        <stp>BDS|9943105814286028003</stp>
        <tr r="I1129" s="2"/>
      </tp>
      <tp t="s">
        <v>#N/A N/A</v>
        <stp/>
        <stp>BDP|6661775383425855372</stp>
        <tr r="M1095" s="2"/>
      </tp>
      <tp t="s">
        <v>#N/A N/A</v>
        <stp/>
        <stp>BDP|8589426177852509685</stp>
        <tr r="M573" s="2"/>
      </tp>
      <tp t="s">
        <v>#N/A N/A</v>
        <stp/>
        <stp>BDP|7845391859887070959</stp>
        <tr r="O929" s="2"/>
      </tp>
      <tp t="s">
        <v>#N/A N/A</v>
        <stp/>
        <stp>BDP|2959382605197970902</stp>
        <tr r="N940" s="2"/>
      </tp>
      <tp t="s">
        <v>#N/A N/A</v>
        <stp/>
        <stp>BDP|6045985604156246637</stp>
        <tr r="E86" s="2"/>
      </tp>
      <tp t="s">
        <v>#N/A N/A</v>
        <stp/>
        <stp>BDP|5003815458424674325</stp>
        <tr r="K807" s="2"/>
      </tp>
      <tp t="s">
        <v>#N/A N/A</v>
        <stp/>
        <stp>BDP|6921495779623265964</stp>
        <tr r="O1210" s="2"/>
      </tp>
      <tp t="s">
        <v>#N/A N/A</v>
        <stp/>
        <stp>BDP|8862535879332808773</stp>
        <tr r="M497" s="2"/>
      </tp>
      <tp t="s">
        <v>#N/A N/A</v>
        <stp/>
        <stp>BDP|1349906594007990938</stp>
        <tr r="E54" s="2"/>
      </tp>
      <tp t="s">
        <v>#N/A N/A</v>
        <stp/>
        <stp>BDP|1889444301232955898</stp>
        <tr r="Q165" s="2"/>
      </tp>
      <tp t="s">
        <v>#N/A N/A</v>
        <stp/>
        <stp>BDP|6778558191257770299</stp>
        <tr r="Q187" s="2"/>
      </tp>
      <tp t="s">
        <v>#N/A N/A</v>
        <stp/>
        <stp>BDP|6435072374399886729</stp>
        <tr r="J1535" s="2"/>
      </tp>
      <tp t="s">
        <v>#N/A N/A</v>
        <stp/>
        <stp>BDP|3216856456433537295</stp>
        <tr r="M1650" s="2"/>
      </tp>
      <tp t="s">
        <v>#N/A N/A</v>
        <stp/>
        <stp>BDP|6163113194082037393</stp>
        <tr r="E1147" s="2"/>
      </tp>
      <tp t="s">
        <v>#N/A N/A</v>
        <stp/>
        <stp>BDP|8277367000466950205</stp>
        <tr r="H723" s="2"/>
      </tp>
      <tp t="s">
        <v>#N/A N/A</v>
        <stp/>
        <stp>BDP|7024380386155630654</stp>
        <tr r="T1647" s="2"/>
      </tp>
      <tp t="s">
        <v>#N/A N/A</v>
        <stp/>
        <stp>BDP|8863447705096631526</stp>
        <tr r="Q220" s="2"/>
      </tp>
      <tp t="s">
        <v>#N/A N/A</v>
        <stp/>
        <stp>BDP|4138896816093357104</stp>
        <tr r="Q1204" s="2"/>
      </tp>
      <tp t="s">
        <v>#N/A N/A</v>
        <stp/>
        <stp>BDP|8186385815794588146</stp>
        <tr r="F1005" s="2"/>
      </tp>
      <tp t="s">
        <v>#N/A N/A</v>
        <stp/>
        <stp>BDP|8460135858682459164</stp>
        <tr r="D702" s="2"/>
      </tp>
      <tp t="s">
        <v>#N/A N/A</v>
        <stp/>
        <stp>BDP|2558144065439860317</stp>
        <tr r="G930" s="2"/>
      </tp>
      <tp t="s">
        <v>#N/A N/A</v>
        <stp/>
        <stp>BDP|7387213741527682981</stp>
        <tr r="H1293" s="2"/>
      </tp>
      <tp t="s">
        <v>#N/A N/A</v>
        <stp/>
        <stp>BDP|9648202578692567161</stp>
        <tr r="E1207" s="2"/>
      </tp>
      <tp t="s">
        <v>#N/A N/A</v>
        <stp/>
        <stp>BDP|7749676493795613282</stp>
        <tr r="P578" s="2"/>
      </tp>
      <tp t="s">
        <v>#N/A N/A</v>
        <stp/>
        <stp>BDP|4978222727969889292</stp>
        <tr r="J1250" s="2"/>
      </tp>
      <tp t="s">
        <v>#N/A N/A</v>
        <stp/>
        <stp>BDP|9546471603523823144</stp>
        <tr r="D306" s="2"/>
      </tp>
      <tp t="s">
        <v>#N/A N/A</v>
        <stp/>
        <stp>BDP|9788396312317922389</stp>
        <tr r="R768" s="2"/>
      </tp>
      <tp t="s">
        <v>#N/A N/A</v>
        <stp/>
        <stp>BDP|7889142180342818361</stp>
        <tr r="P1293" s="2"/>
      </tp>
      <tp t="s">
        <v>#N/A N/A</v>
        <stp/>
        <stp>BDP|1242259230268609736</stp>
        <tr r="N241" s="2"/>
      </tp>
      <tp t="s">
        <v>#N/A N/A</v>
        <stp/>
        <stp>BDP|6835996051090286504</stp>
        <tr r="Q603" s="2"/>
      </tp>
      <tp t="s">
        <v>#N/A N/A</v>
        <stp/>
        <stp>BDP|3479576031329835389</stp>
        <tr r="K107" s="2"/>
      </tp>
      <tp t="s">
        <v>#N/A N/A</v>
        <stp/>
        <stp>BDP|1391564153629162756</stp>
        <tr r="P742" s="2"/>
      </tp>
      <tp t="s">
        <v>#N/A N/A</v>
        <stp/>
        <stp>BDS|7863199340784108920</stp>
        <tr r="I195" s="2"/>
      </tp>
      <tp t="s">
        <v>#N/A N/A</v>
        <stp/>
        <stp>BDP|8051404860914659146</stp>
        <tr r="M160" s="2"/>
      </tp>
      <tp t="s">
        <v>#N/A N/A</v>
        <stp/>
        <stp>BDP|7159828373125567271</stp>
        <tr r="J195" s="2"/>
      </tp>
      <tp t="s">
        <v>#N/A N/A</v>
        <stp/>
        <stp>BDP|6825917155194999177</stp>
        <tr r="E939" s="2"/>
      </tp>
      <tp t="s">
        <v>#N/A N/A</v>
        <stp/>
        <stp>BDP|3470474794538495915</stp>
        <tr r="D163" s="2"/>
      </tp>
      <tp t="s">
        <v>#N/A N/A</v>
        <stp/>
        <stp>BDP|7825757281317994075</stp>
        <tr r="T1599" s="2"/>
      </tp>
      <tp t="s">
        <v>#N/A N/A</v>
        <stp/>
        <stp>BDP|7134985158800438477</stp>
        <tr r="S48" s="2"/>
      </tp>
      <tp t="s">
        <v>#N/A N/A</v>
        <stp/>
        <stp>BDP|2187061504155101804</stp>
        <tr r="P527" s="2"/>
      </tp>
      <tp t="s">
        <v>#N/A N/A</v>
        <stp/>
        <stp>BDP|9302749236607062535</stp>
        <tr r="P535" s="2"/>
      </tp>
      <tp t="s">
        <v>#N/A N/A</v>
        <stp/>
        <stp>BDP|5079709716225726932</stp>
        <tr r="P1402" s="2"/>
      </tp>
      <tp t="s">
        <v>#N/A N/A</v>
        <stp/>
        <stp>BDP|7552334483826412537</stp>
        <tr r="G113" s="2"/>
      </tp>
      <tp t="s">
        <v>#N/A N/A</v>
        <stp/>
        <stp>BDP|9753615114804644563</stp>
        <tr r="R131" s="2"/>
      </tp>
      <tp t="s">
        <v>#N/A N/A</v>
        <stp/>
        <stp>BDP|2552458862886180912</stp>
        <tr r="E76" s="2"/>
      </tp>
      <tp t="s">
        <v>#N/A N/A</v>
        <stp/>
        <stp>BDP|3841804958839517876</stp>
        <tr r="E659" s="2"/>
      </tp>
      <tp t="s">
        <v>#N/A N/A</v>
        <stp/>
        <stp>BDP|3578608255209147636</stp>
        <tr r="H502" s="2"/>
      </tp>
      <tp t="s">
        <v>#N/A N/A</v>
        <stp/>
        <stp>BDP|4746182977815374896</stp>
        <tr r="E1548" s="2"/>
      </tp>
      <tp t="s">
        <v>#N/A N/A</v>
        <stp/>
        <stp>BDP|4069052067888507552</stp>
        <tr r="O1104" s="2"/>
      </tp>
      <tp t="s">
        <v>#N/A N/A</v>
        <stp/>
        <stp>BDS|8805768554445814000</stp>
        <tr r="I903" s="2"/>
      </tp>
      <tp t="s">
        <v>#N/A N/A</v>
        <stp/>
        <stp>BDP|3942482474118342742</stp>
        <tr r="E1171" s="2"/>
      </tp>
      <tp t="s">
        <v>#N/A N/A</v>
        <stp/>
        <stp>BDP|6241310791520663366</stp>
        <tr r="S1469" s="2"/>
      </tp>
      <tp t="s">
        <v>#N/A N/A</v>
        <stp/>
        <stp>BDP|8120202312520363422</stp>
        <tr r="Q435" s="2"/>
      </tp>
      <tp t="s">
        <v>#N/A N/A</v>
        <stp/>
        <stp>BDP|7237390384092550187</stp>
        <tr r="T1552" s="2"/>
      </tp>
      <tp t="s">
        <v>#N/A N/A</v>
        <stp/>
        <stp>BDP|3041685657168914741</stp>
        <tr r="N757" s="2"/>
      </tp>
      <tp t="s">
        <v>#N/A N/A</v>
        <stp/>
        <stp>BDP|4461136565428470443</stp>
        <tr r="A1076" s="2"/>
      </tp>
      <tp t="s">
        <v>#N/A N/A</v>
        <stp/>
        <stp>BDP|8382722393679090005</stp>
        <tr r="S283" s="2"/>
      </tp>
      <tp t="s">
        <v>#N/A N/A</v>
        <stp/>
        <stp>BDP|1825446199714678714</stp>
        <tr r="P419" s="2"/>
      </tp>
      <tp t="s">
        <v>#N/A N/A</v>
        <stp/>
        <stp>BDP|4098365540424686820</stp>
        <tr r="O269" s="2"/>
      </tp>
      <tp t="s">
        <v>#N/A N/A</v>
        <stp/>
        <stp>BDP|8666851667000579930</stp>
        <tr r="C1636" s="2"/>
      </tp>
      <tp t="s">
        <v>#N/A N/A</v>
        <stp/>
        <stp>BDP|2068058862028647339</stp>
        <tr r="O118" s="2"/>
      </tp>
      <tp t="s">
        <v>#N/A N/A</v>
        <stp/>
        <stp>BDP|7056566240038797139</stp>
        <tr r="F89" s="2"/>
      </tp>
      <tp t="s">
        <v>#N/A N/A</v>
        <stp/>
        <stp>BDP|8140200950034146423</stp>
        <tr r="H1182" s="2"/>
      </tp>
      <tp t="s">
        <v>#N/A N/A</v>
        <stp/>
        <stp>BDP|6739374936699323070</stp>
        <tr r="Q649" s="2"/>
      </tp>
      <tp t="s">
        <v>#N/A N/A</v>
        <stp/>
        <stp>BDS|8917227120171011697</stp>
        <tr r="I86" s="2"/>
      </tp>
      <tp t="s">
        <v>#N/A N/A</v>
        <stp/>
        <stp>BDP|7446054651508073520</stp>
        <tr r="R984" s="2"/>
      </tp>
      <tp t="s">
        <v>#N/A N/A</v>
        <stp/>
        <stp>BDP|7558088098735486430</stp>
        <tr r="P1057" s="2"/>
      </tp>
      <tp t="s">
        <v>#N/A N/A</v>
        <stp/>
        <stp>BDS|4164948911966640502</stp>
        <tr r="I624" s="2"/>
      </tp>
      <tp t="s">
        <v>#N/A N/A</v>
        <stp/>
        <stp>BDP|4054679145901409840</stp>
        <tr r="G88" s="2"/>
      </tp>
      <tp t="s">
        <v>#N/A N/A</v>
        <stp/>
        <stp>BDP|1104266900678631436</stp>
        <tr r="S693" s="2"/>
      </tp>
      <tp t="s">
        <v>#N/A N/A</v>
        <stp/>
        <stp>BDP|5032423432385065820</stp>
        <tr r="K1345" s="2"/>
      </tp>
      <tp t="s">
        <v>#N/A N/A</v>
        <stp/>
        <stp>BDP|1121346433068064646</stp>
        <tr r="D1211" s="2"/>
      </tp>
      <tp t="s">
        <v>#N/A N/A</v>
        <stp/>
        <stp>BDP|7461501800668252540</stp>
        <tr r="J798" s="2"/>
      </tp>
      <tp t="s">
        <v>#N/A N/A</v>
        <stp/>
        <stp>BDP|5075292672419806616</stp>
        <tr r="J1367" s="2"/>
      </tp>
      <tp t="s">
        <v>#N/A N/A</v>
        <stp/>
        <stp>BDP|3927870713397766280</stp>
        <tr r="Q584" s="2"/>
      </tp>
      <tp t="s">
        <v>#N/A N/A</v>
        <stp/>
        <stp>BDP|7264821501160328003</stp>
        <tr r="N1410" s="2"/>
      </tp>
      <tp t="s">
        <v>#N/A N/A</v>
        <stp/>
        <stp>BDP|3138258012356767939</stp>
        <tr r="N1440" s="2"/>
      </tp>
      <tp t="s">
        <v>#N/A N/A</v>
        <stp/>
        <stp>BDP|8946422506033995069</stp>
        <tr r="A270" s="2"/>
      </tp>
      <tp t="s">
        <v>#N/A N/A</v>
        <stp/>
        <stp>BDP|9137937223904133928</stp>
        <tr r="E978" s="2"/>
      </tp>
      <tp t="s">
        <v>#N/A N/A</v>
        <stp/>
        <stp>BDS|5266915758743847515</stp>
        <tr r="I262" s="2"/>
      </tp>
      <tp t="s">
        <v>#N/A N/A</v>
        <stp/>
        <stp>BDP|2073824876643263145</stp>
        <tr r="P327" s="2"/>
      </tp>
      <tp t="s">
        <v>#N/A N/A</v>
        <stp/>
        <stp>BDP|8797032572535076550</stp>
        <tr r="Q778" s="2"/>
      </tp>
      <tp t="s">
        <v>#N/A N/A</v>
        <stp/>
        <stp>BDP|3627816884875035906</stp>
        <tr r="O349" s="2"/>
      </tp>
      <tp t="s">
        <v>#N/A N/A</v>
        <stp/>
        <stp>BDP|3878798540476405962</stp>
        <tr r="H96" s="2"/>
      </tp>
      <tp t="s">
        <v>#N/A N/A</v>
        <stp/>
        <stp>BDS|7219479544371673946</stp>
        <tr r="I712" s="2"/>
      </tp>
      <tp t="s">
        <v>#N/A N/A</v>
        <stp/>
        <stp>BDP|8876507484353991962</stp>
        <tr r="D1336" s="2"/>
      </tp>
      <tp t="s">
        <v>#N/A N/A</v>
        <stp/>
        <stp>BDP|9557508407620816392</stp>
        <tr r="F1277" s="2"/>
      </tp>
      <tp t="s">
        <v>#N/A N/A</v>
        <stp/>
        <stp>BDP|9314937447519430208</stp>
        <tr r="T523" s="2"/>
      </tp>
      <tp t="s">
        <v>#N/A N/A</v>
        <stp/>
        <stp>BDP|8574011980396356948</stp>
        <tr r="R1020" s="2"/>
      </tp>
      <tp t="s">
        <v>#N/A N/A</v>
        <stp/>
        <stp>BDP|2155735622860199829</stp>
        <tr r="F694" s="2"/>
      </tp>
      <tp t="s">
        <v>#N/A N/A</v>
        <stp/>
        <stp>BDP|1592138987457140039</stp>
        <tr r="A990" s="2"/>
      </tp>
      <tp t="s">
        <v>#N/A N/A</v>
        <stp/>
        <stp>BDP|8203858637648316404</stp>
        <tr r="O1572" s="2"/>
      </tp>
      <tp t="s">
        <v>#N/A N/A</v>
        <stp/>
        <stp>BDP|2292327934275422834</stp>
        <tr r="T322" s="2"/>
      </tp>
      <tp t="s">
        <v>#N/A N/A</v>
        <stp/>
        <stp>BDP|4465630942818202144</stp>
        <tr r="K54" s="2"/>
      </tp>
      <tp t="s">
        <v>#N/A N/A</v>
        <stp/>
        <stp>BDP|9403728097700359810</stp>
        <tr r="Q1606" s="2"/>
      </tp>
      <tp t="s">
        <v>#N/A N/A</v>
        <stp/>
        <stp>BDP|4443619382902417708</stp>
        <tr r="S455" s="2"/>
      </tp>
      <tp t="s">
        <v>#N/A N/A</v>
        <stp/>
        <stp>BDP|4523236792939060976</stp>
        <tr r="D694" s="2"/>
      </tp>
      <tp t="s">
        <v>#N/A N/A</v>
        <stp/>
        <stp>BDP|5007421603706290802</stp>
        <tr r="S1107" s="2"/>
      </tp>
      <tp t="s">
        <v>#N/A N/A</v>
        <stp/>
        <stp>BDP|8949556616500821318</stp>
        <tr r="F792" s="2"/>
      </tp>
      <tp t="s">
        <v>#N/A N/A</v>
        <stp/>
        <stp>BDP|5369625520158386617</stp>
        <tr r="F1478" s="2"/>
      </tp>
      <tp t="s">
        <v>#N/A N/A</v>
        <stp/>
        <stp>BDP|1046246729269842768</stp>
        <tr r="G781" s="2"/>
      </tp>
      <tp t="s">
        <v>#N/A N/A</v>
        <stp/>
        <stp>BDP|2630109981746268264</stp>
        <tr r="C1391" s="2"/>
      </tp>
      <tp t="s">
        <v>#N/A N/A</v>
        <stp/>
        <stp>BDP|8792560519240274393</stp>
        <tr r="N209" s="2"/>
      </tp>
      <tp t="s">
        <v>#N/A N/A</v>
        <stp/>
        <stp>BDP|5114925811440688277</stp>
        <tr r="A1269" s="2"/>
      </tp>
      <tp t="s">
        <v>#N/A N/A</v>
        <stp/>
        <stp>BDP|1181948533867053352</stp>
        <tr r="P45" s="2"/>
      </tp>
      <tp t="s">
        <v>#N/A N/A</v>
        <stp/>
        <stp>BDP|5598652370602639951</stp>
        <tr r="Q1351" s="2"/>
      </tp>
      <tp t="s">
        <v>#N/A N/A</v>
        <stp/>
        <stp>BDS|9914788867401160647</stp>
        <tr r="I1597" s="2"/>
      </tp>
      <tp t="s">
        <v>#N/A N/A</v>
        <stp/>
        <stp>BDP|2689182378049741221</stp>
        <tr r="N764" s="2"/>
      </tp>
      <tp t="s">
        <v>#N/A N/A</v>
        <stp/>
        <stp>BDP|7000430990663096600</stp>
        <tr r="D1181" s="2"/>
      </tp>
      <tp t="s">
        <v>#N/A N/A</v>
        <stp/>
        <stp>BDP|6371839127245232661</stp>
        <tr r="R247" s="2"/>
      </tp>
      <tp t="s">
        <v>#N/A N/A</v>
        <stp/>
        <stp>BDP|8037919623718423451</stp>
        <tr r="N945" s="2"/>
      </tp>
      <tp t="s">
        <v>#N/A N/A</v>
        <stp/>
        <stp>BDP|1226342531526028849</stp>
        <tr r="H512" s="2"/>
      </tp>
      <tp t="s">
        <v>#N/A N/A</v>
        <stp/>
        <stp>BDP|4531770487487586331</stp>
        <tr r="A1099" s="2"/>
      </tp>
      <tp t="s">
        <v>#N/A N/A</v>
        <stp/>
        <stp>BDP|9546301327121102605</stp>
        <tr r="N84" s="2"/>
      </tp>
      <tp t="s">
        <v>#N/A N/A</v>
        <stp/>
        <stp>BDP|7017648301737580937</stp>
        <tr r="Q654" s="2"/>
      </tp>
      <tp t="s">
        <v>#N/A N/A</v>
        <stp/>
        <stp>BDP|7860823932213348082</stp>
        <tr r="F863" s="2"/>
      </tp>
      <tp t="s">
        <v>#N/A N/A</v>
        <stp/>
        <stp>BDS|4263703706848362449</stp>
        <tr r="I1518" s="2"/>
      </tp>
      <tp t="s">
        <v>#N/A N/A</v>
        <stp/>
        <stp>BDS|8932513614356892578</stp>
        <tr r="I981" s="2"/>
      </tp>
      <tp t="s">
        <v>#N/A N/A</v>
        <stp/>
        <stp>BDP|6327907938774815702</stp>
        <tr r="T297" s="2"/>
      </tp>
      <tp t="s">
        <v>#N/A N/A</v>
        <stp/>
        <stp>BDP|2203843034385405351</stp>
        <tr r="M221" s="2"/>
      </tp>
      <tp t="s">
        <v>#N/A N/A</v>
        <stp/>
        <stp>BDP|4058945040641734704</stp>
        <tr r="F206" s="2"/>
      </tp>
      <tp t="s">
        <v>#N/A N/A</v>
        <stp/>
        <stp>BDP|2118062264348790379</stp>
        <tr r="G1732" s="2"/>
      </tp>
      <tp t="s">
        <v>#N/A N/A</v>
        <stp/>
        <stp>BDP|2714781574169949415</stp>
        <tr r="H334" s="2"/>
      </tp>
      <tp t="s">
        <v>#N/A N/A</v>
        <stp/>
        <stp>BDP|3819329285805922252</stp>
        <tr r="M1127" s="2"/>
      </tp>
      <tp t="s">
        <v>#N/A N/A</v>
        <stp/>
        <stp>BDS|5373534222455721865</stp>
        <tr r="I170" s="2"/>
      </tp>
      <tp t="s">
        <v>#N/A N/A</v>
        <stp/>
        <stp>BDP|8711395264142167080</stp>
        <tr r="G1143" s="2"/>
      </tp>
      <tp t="s">
        <v>#N/A N/A</v>
        <stp/>
        <stp>BDS|3331894017290738596</stp>
        <tr r="I1274" s="2"/>
      </tp>
      <tp t="s">
        <v>#N/A N/A</v>
        <stp/>
        <stp>BDP|6538973597379148074</stp>
        <tr r="O1384" s="2"/>
      </tp>
      <tp t="s">
        <v>#N/A N/A</v>
        <stp/>
        <stp>BDP|9144442641781724700</stp>
        <tr r="R713" s="2"/>
      </tp>
      <tp t="s">
        <v>#N/A N/A</v>
        <stp/>
        <stp>BDP|6155743825114555860</stp>
        <tr r="R537" s="2"/>
      </tp>
      <tp t="s">
        <v>#N/A N/A</v>
        <stp/>
        <stp>BDP|7615190408181362873</stp>
        <tr r="T1524" s="2"/>
      </tp>
      <tp t="s">
        <v>#N/A N/A</v>
        <stp/>
        <stp>BDP|1319628926112491805</stp>
        <tr r="G1044" s="2"/>
      </tp>
      <tp t="s">
        <v>#N/A N/A</v>
        <stp/>
        <stp>BDP|4370457353462168876</stp>
        <tr r="F1476" s="2"/>
      </tp>
      <tp t="s">
        <v>#N/A N/A</v>
        <stp/>
        <stp>BDP|8328538745932512436</stp>
        <tr r="H1225" s="2"/>
      </tp>
      <tp t="s">
        <v>#N/A N/A</v>
        <stp/>
        <stp>BDP|4037498637408529489</stp>
        <tr r="T1102" s="2"/>
      </tp>
      <tp t="s">
        <v>#N/A N/A</v>
        <stp/>
        <stp>BDP|2432276242633227807</stp>
        <tr r="M534" s="2"/>
      </tp>
      <tp t="s">
        <v>#N/A N/A</v>
        <stp/>
        <stp>BDP|8752105267311066133</stp>
        <tr r="G1511" s="2"/>
      </tp>
      <tp t="s">
        <v>#N/A N/A</v>
        <stp/>
        <stp>BDP|7837864375011084689</stp>
        <tr r="R1406" s="2"/>
      </tp>
      <tp t="s">
        <v>#N/A N/A</v>
        <stp/>
        <stp>BDP|4411232954244241823</stp>
        <tr r="Q530" s="2"/>
      </tp>
      <tp t="s">
        <v>#N/A N/A</v>
        <stp/>
        <stp>BDP|1145749778227944942</stp>
        <tr r="E809" s="2"/>
      </tp>
      <tp t="s">
        <v>#N/A N/A</v>
        <stp/>
        <stp>BDP|7125905429875852603</stp>
        <tr r="G872" s="2"/>
      </tp>
      <tp t="s">
        <v>#N/A N/A</v>
        <stp/>
        <stp>BDP|3880907351574865415</stp>
        <tr r="T177" s="2"/>
      </tp>
      <tp t="s">
        <v>#N/A N/A</v>
        <stp/>
        <stp>BDS|5590830214542465160</stp>
        <tr r="I471" s="2"/>
      </tp>
      <tp t="s">
        <v>#N/A N/A</v>
        <stp/>
        <stp>BDP|6729986105916225686</stp>
        <tr r="P643" s="2"/>
      </tp>
      <tp t="s">
        <v>#N/A N/A</v>
        <stp/>
        <stp>BDP|5319617552758704179</stp>
        <tr r="G1001" s="2"/>
      </tp>
      <tp t="s">
        <v>#N/A N/A</v>
        <stp/>
        <stp>BDP|2302147292451113449</stp>
        <tr r="T67" s="2"/>
      </tp>
      <tp t="s">
        <v>#N/A N/A</v>
        <stp/>
        <stp>BDP|2389559643125789922</stp>
        <tr r="S593" s="2"/>
      </tp>
      <tp t="s">
        <v>#N/A N/A</v>
        <stp/>
        <stp>BDP|4023973110254517728</stp>
        <tr r="N798" s="2"/>
      </tp>
      <tp t="s">
        <v>#N/A N/A</v>
        <stp/>
        <stp>BDP|6255958096498751166</stp>
        <tr r="S1042" s="2"/>
      </tp>
      <tp t="s">
        <v>#N/A N/A</v>
        <stp/>
        <stp>BDP|5650577970169585141</stp>
        <tr r="H1375" s="2"/>
      </tp>
      <tp t="s">
        <v>#N/A N/A</v>
        <stp/>
        <stp>BDP|9519238660472368056</stp>
        <tr r="C1084" s="2"/>
      </tp>
      <tp t="s">
        <v>#N/A N/A</v>
        <stp/>
        <stp>BDP|8230364464600549258</stp>
        <tr r="D1339" s="2"/>
      </tp>
      <tp t="s">
        <v>#N/A N/A</v>
        <stp/>
        <stp>BDP|8401439933394759432</stp>
        <tr r="F154" s="2"/>
      </tp>
      <tp t="s">
        <v>#N/A N/A</v>
        <stp/>
        <stp>BDP|9392260335693320430</stp>
        <tr r="D122" s="2"/>
      </tp>
      <tp t="s">
        <v>#N/A N/A</v>
        <stp/>
        <stp>BDP|5557948366400610514</stp>
        <tr r="M509" s="2"/>
      </tp>
      <tp t="s">
        <v>#N/A N/A</v>
        <stp/>
        <stp>BDP|6076036000850752940</stp>
        <tr r="H1626" s="2"/>
      </tp>
      <tp t="s">
        <v>#N/A N/A</v>
        <stp/>
        <stp>BDP|8691685050787716396</stp>
        <tr r="H1708" s="2"/>
      </tp>
      <tp t="s">
        <v>#N/A N/A</v>
        <stp/>
        <stp>BDP|3350821942974126423</stp>
        <tr r="K1602" s="2"/>
      </tp>
      <tp t="s">
        <v>#N/A N/A</v>
        <stp/>
        <stp>BDP|9901557851204998243</stp>
        <tr r="P1529" s="2"/>
      </tp>
      <tp t="s">
        <v>#N/A N/A</v>
        <stp/>
        <stp>BDP|7362941856236596243</stp>
        <tr r="K411" s="2"/>
      </tp>
      <tp t="s">
        <v>#N/A N/A</v>
        <stp/>
        <stp>BDP|2375430166928190779</stp>
        <tr r="F1257" s="2"/>
      </tp>
      <tp t="s">
        <v>#N/A N/A</v>
        <stp/>
        <stp>BDP|3816434318878361105</stp>
        <tr r="J977" s="2"/>
      </tp>
      <tp t="s">
        <v>#N/A N/A</v>
        <stp/>
        <stp>BDP|6393832448823049689</stp>
        <tr r="N1029" s="2"/>
      </tp>
      <tp t="s">
        <v>#N/A N/A</v>
        <stp/>
        <stp>BDP|4293143813569317260</stp>
        <tr r="K451" s="2"/>
      </tp>
      <tp t="s">
        <v>#N/A N/A</v>
        <stp/>
        <stp>BDP|8384381220840295699</stp>
        <tr r="Q963" s="2"/>
      </tp>
      <tp t="s">
        <v>#N/A N/A</v>
        <stp/>
        <stp>BDP|1433077565920795815</stp>
        <tr r="R846" s="2"/>
      </tp>
      <tp t="s">
        <v>#N/A N/A</v>
        <stp/>
        <stp>BDP|5426702697007672356</stp>
        <tr r="O59" s="2"/>
      </tp>
      <tp t="s">
        <v>#N/A N/A</v>
        <stp/>
        <stp>BDP|8934650582461945872</stp>
        <tr r="E541" s="2"/>
      </tp>
      <tp t="s">
        <v>#N/A N/A</v>
        <stp/>
        <stp>BDP|4601132995584778771</stp>
        <tr r="F581" s="2"/>
      </tp>
      <tp t="s">
        <v>#N/A N/A</v>
        <stp/>
        <stp>BDP|8640929700368599616</stp>
        <tr r="G1717" s="2"/>
      </tp>
      <tp t="s">
        <v>#N/A N/A</v>
        <stp/>
        <stp>BDP|6501733511516774901</stp>
        <tr r="E1484" s="2"/>
      </tp>
      <tp t="s">
        <v>#N/A N/A</v>
        <stp/>
        <stp>BDP|4540618148919467080</stp>
        <tr r="M839" s="2"/>
      </tp>
      <tp t="s">
        <v>#N/A N/A</v>
        <stp/>
        <stp>BDP|7245827763867715149</stp>
        <tr r="A552" s="2"/>
      </tp>
      <tp t="s">
        <v>#N/A N/A</v>
        <stp/>
        <stp>BDS|7938845200362459291</stp>
        <tr r="I1591" s="2"/>
      </tp>
      <tp t="s">
        <v>#N/A N/A</v>
        <stp/>
        <stp>BDP|4852590239299059480</stp>
        <tr r="T355" s="2"/>
      </tp>
      <tp t="s">
        <v>#N/A N/A</v>
        <stp/>
        <stp>BDP|8461287369480628335</stp>
        <tr r="S445" s="2"/>
      </tp>
      <tp t="s">
        <v>#N/A N/A</v>
        <stp/>
        <stp>BDP|6143620606078558703</stp>
        <tr r="N800" s="2"/>
      </tp>
      <tp t="s">
        <v>#N/A N/A</v>
        <stp/>
        <stp>BDP|5967993357937091170</stp>
        <tr r="C845" s="2"/>
      </tp>
      <tp t="s">
        <v>#N/A N/A</v>
        <stp/>
        <stp>BDP|3846474755325371891</stp>
        <tr r="A1698" s="2"/>
      </tp>
      <tp t="s">
        <v>#N/A N/A</v>
        <stp/>
        <stp>BDP|2305526288222089299</stp>
        <tr r="S586" s="2"/>
      </tp>
      <tp t="s">
        <v>#N/A N/A</v>
        <stp/>
        <stp>BDP|5831394538193003993</stp>
        <tr r="Q491" s="2"/>
      </tp>
      <tp t="s">
        <v>#N/A N/A</v>
        <stp/>
        <stp>BDP|7729992319552656215</stp>
        <tr r="H267" s="2"/>
      </tp>
      <tp t="s">
        <v>#N/A N/A</v>
        <stp/>
        <stp>BDP|4116902076433750606</stp>
        <tr r="H1524" s="2"/>
      </tp>
      <tp t="s">
        <v>#N/A N/A</v>
        <stp/>
        <stp>BDP|5722620497706488369</stp>
        <tr r="G1398" s="2"/>
      </tp>
      <tp t="s">
        <v>#N/A N/A</v>
        <stp/>
        <stp>BDS|3576795289337369460</stp>
        <tr r="I314" s="2"/>
      </tp>
      <tp t="s">
        <v>#N/A N/A</v>
        <stp/>
        <stp>BDP|7680350905002241948</stp>
        <tr r="Q1614" s="2"/>
      </tp>
      <tp t="s">
        <v>#N/A N/A</v>
        <stp/>
        <stp>BDS|9280019333035148012</stp>
        <tr r="I963" s="2"/>
      </tp>
      <tp t="s">
        <v>#N/A N/A</v>
        <stp/>
        <stp>BDP|6125521399677356297</stp>
        <tr r="N1062" s="2"/>
      </tp>
      <tp t="s">
        <v>#N/A N/A</v>
        <stp/>
        <stp>BDP|4827448178160580814</stp>
        <tr r="C489" s="2"/>
      </tp>
      <tp t="s">
        <v>#N/A N/A</v>
        <stp/>
        <stp>BDP|5544901259343533592</stp>
        <tr r="S1371" s="2"/>
      </tp>
      <tp t="s">
        <v>#N/A N/A</v>
        <stp/>
        <stp>BDP|6710856362397059006</stp>
        <tr r="K876" s="2"/>
      </tp>
      <tp t="s">
        <v>#N/A N/A</v>
        <stp/>
        <stp>BDP|7301228707883614906</stp>
        <tr r="E1136" s="2"/>
      </tp>
      <tp t="s">
        <v>#N/A N/A</v>
        <stp/>
        <stp>BDP|4529964549707328195</stp>
        <tr r="Q275" s="2"/>
      </tp>
      <tp t="s">
        <v>#N/A N/A</v>
        <stp/>
        <stp>BDP|2605777186413132166</stp>
        <tr r="H1717" s="2"/>
      </tp>
      <tp t="s">
        <v>#N/A N/A</v>
        <stp/>
        <stp>BDP|8125540067625008122</stp>
        <tr r="R1343" s="2"/>
      </tp>
      <tp t="s">
        <v>#N/A N/A</v>
        <stp/>
        <stp>BDP|8231179143977078562</stp>
        <tr r="G1147" s="2"/>
      </tp>
      <tp t="s">
        <v>#N/A N/A</v>
        <stp/>
        <stp>BDP|7865324914913685985</stp>
        <tr r="E792" s="2"/>
      </tp>
      <tp t="s">
        <v>#N/A N/A</v>
        <stp/>
        <stp>BDP|1526604511001369876</stp>
        <tr r="T4" s="2"/>
      </tp>
      <tp t="s">
        <v>#N/A N/A</v>
        <stp/>
        <stp>BDP|1192993815642885452</stp>
        <tr r="S1285" s="2"/>
      </tp>
      <tp t="s">
        <v>#N/A N/A</v>
        <stp/>
        <stp>BDP|8407289558074550405</stp>
        <tr r="O481" s="2"/>
      </tp>
      <tp t="s">
        <v>#N/A N/A</v>
        <stp/>
        <stp>BDP|4640871279054056099</stp>
        <tr r="G964" s="2"/>
      </tp>
      <tp t="s">
        <v>#N/A N/A</v>
        <stp/>
        <stp>BDS|1366413349878210686</stp>
        <tr r="I63" s="2"/>
      </tp>
      <tp t="s">
        <v>#N/A N/A</v>
        <stp/>
        <stp>BDP|1837708331399905311</stp>
        <tr r="M161" s="2"/>
      </tp>
      <tp t="s">
        <v>#N/A N/A</v>
        <stp/>
        <stp>BDP|3602857427001463719</stp>
        <tr r="O856" s="2"/>
      </tp>
      <tp t="s">
        <v>#N/A N/A</v>
        <stp/>
        <stp>BDP|4567524777179687073</stp>
        <tr r="T50" s="2"/>
      </tp>
      <tp t="s">
        <v>#N/A N/A</v>
        <stp/>
        <stp>BDS|3257336432005202908</stp>
        <tr r="I246" s="2"/>
      </tp>
      <tp t="s">
        <v>#N/A N/A</v>
        <stp/>
        <stp>BDP|6728071753018622449</stp>
        <tr r="A794" s="2"/>
      </tp>
      <tp t="s">
        <v>#N/A N/A</v>
        <stp/>
        <stp>BDP|4235198059327429872</stp>
        <tr r="O1070" s="2"/>
      </tp>
      <tp t="s">
        <v>#N/A N/A</v>
        <stp/>
        <stp>BDP|9505643962133090523</stp>
        <tr r="E1232" s="2"/>
      </tp>
      <tp t="s">
        <v>#N/A N/A</v>
        <stp/>
        <stp>BDP|3120786109219956288</stp>
        <tr r="C1076" s="2"/>
      </tp>
      <tp t="s">
        <v>#N/A N/A</v>
        <stp/>
        <stp>BDP|1223490505982739883</stp>
        <tr r="H506" s="2"/>
      </tp>
      <tp t="s">
        <v>#N/A N/A</v>
        <stp/>
        <stp>BDP|4475731680301292547</stp>
        <tr r="O345" s="2"/>
      </tp>
      <tp t="s">
        <v>#N/A N/A</v>
        <stp/>
        <stp>BDP|7511819253214713110</stp>
        <tr r="G77" s="2"/>
      </tp>
      <tp t="s">
        <v>#N/A N/A</v>
        <stp/>
        <stp>BDP|5504274603201348939</stp>
        <tr r="D286" s="2"/>
      </tp>
      <tp t="s">
        <v>#N/A N/A</v>
        <stp/>
        <stp>BDP|3112633415988125372</stp>
        <tr r="O440" s="2"/>
      </tp>
      <tp t="s">
        <v>#N/A N/A</v>
        <stp/>
        <stp>BDP|5388502372518811085</stp>
        <tr r="O9" s="2"/>
      </tp>
      <tp t="s">
        <v>#N/A N/A</v>
        <stp/>
        <stp>BDP|5691741219585360990</stp>
        <tr r="N1466" s="2"/>
      </tp>
      <tp t="s">
        <v>#N/A N/A</v>
        <stp/>
        <stp>BDP|4168316604549084157</stp>
        <tr r="R678" s="2"/>
      </tp>
      <tp t="s">
        <v>#N/A N/A</v>
        <stp/>
        <stp>BDP|6354879225983391036</stp>
        <tr r="T1056" s="2"/>
      </tp>
      <tp t="s">
        <v>#N/A N/A</v>
        <stp/>
        <stp>BDP|8739749374414222346</stp>
        <tr r="R159" s="2"/>
      </tp>
      <tp t="s">
        <v>#N/A N/A</v>
        <stp/>
        <stp>BDP|2928734912859064295</stp>
        <tr r="T1574" s="2"/>
      </tp>
      <tp t="s">
        <v>#N/A N/A</v>
        <stp/>
        <stp>BDP|1247835177606097773</stp>
        <tr r="O1410" s="2"/>
      </tp>
      <tp t="s">
        <v>#N/A N/A</v>
        <stp/>
        <stp>BDP|9617043400684595260</stp>
        <tr r="O678" s="2"/>
      </tp>
      <tp t="s">
        <v>#N/A N/A</v>
        <stp/>
        <stp>BDP|4730188973578946546</stp>
        <tr r="C1504" s="2"/>
      </tp>
      <tp t="s">
        <v>#N/A N/A</v>
        <stp/>
        <stp>BDP|6018608385425691228</stp>
        <tr r="R515" s="2"/>
      </tp>
      <tp t="s">
        <v>#N/A N/A</v>
        <stp/>
        <stp>BDP|3579686592972764191</stp>
        <tr r="C1082" s="2"/>
      </tp>
      <tp t="s">
        <v>#N/A N/A</v>
        <stp/>
        <stp>BDP|3737998616720062494</stp>
        <tr r="S1631" s="2"/>
      </tp>
      <tp t="s">
        <v>#N/A N/A</v>
        <stp/>
        <stp>BDP|8263058156841884380</stp>
        <tr r="N1001" s="2"/>
      </tp>
      <tp t="s">
        <v>#N/A N/A</v>
        <stp/>
        <stp>BDP|2989419846599824478</stp>
        <tr r="R136" s="2"/>
      </tp>
      <tp t="s">
        <v>#N/A N/A</v>
        <stp/>
        <stp>BDP|2276146808925951963</stp>
        <tr r="T999" s="2"/>
      </tp>
      <tp t="s">
        <v>#N/A N/A</v>
        <stp/>
        <stp>BDP|6770884898741336959</stp>
        <tr r="K680" s="2"/>
      </tp>
      <tp t="s">
        <v>#N/A N/A</v>
        <stp/>
        <stp>BDP|2545304306177086928</stp>
        <tr r="D1030" s="2"/>
      </tp>
      <tp t="s">
        <v>#N/A N/A</v>
        <stp/>
        <stp>BDP|1379520824818260168</stp>
        <tr r="Q541" s="2"/>
      </tp>
      <tp t="s">
        <v>#N/A N/A</v>
        <stp/>
        <stp>BDP|8871706271277843007</stp>
        <tr r="H321" s="2"/>
      </tp>
      <tp t="s">
        <v>#N/A N/A</v>
        <stp/>
        <stp>BDP|6602817132765514711</stp>
        <tr r="R294" s="2"/>
      </tp>
      <tp t="s">
        <v>#N/A N/A</v>
        <stp/>
        <stp>BDP|1206608357805569816</stp>
        <tr r="D161" s="2"/>
      </tp>
      <tp t="s">
        <v>#N/A N/A</v>
        <stp/>
        <stp>BDP|2257807004527520226</stp>
        <tr r="Q1081" s="2"/>
      </tp>
      <tp t="s">
        <v>#N/A N/A</v>
        <stp/>
        <stp>BDP|4497680752559983167</stp>
        <tr r="H15" s="2"/>
      </tp>
      <tp t="s">
        <v>#N/A N/A</v>
        <stp/>
        <stp>BDP|9417028003560280667</stp>
        <tr r="J1599" s="2"/>
      </tp>
      <tp t="s">
        <v>#N/A N/A</v>
        <stp/>
        <stp>BDP|8705007307516325123</stp>
        <tr r="G1002" s="2"/>
      </tp>
      <tp t="s">
        <v>#N/A N/A</v>
        <stp/>
        <stp>BDP|3782368120484458942</stp>
        <tr r="Q1294" s="2"/>
      </tp>
      <tp t="s">
        <v>#N/A N/A</v>
        <stp/>
        <stp>BDP|8808592405431463313</stp>
        <tr r="D348" s="2"/>
      </tp>
      <tp t="s">
        <v>#N/A N/A</v>
        <stp/>
        <stp>BDP|1164696484103961345</stp>
        <tr r="T698" s="2"/>
      </tp>
      <tp t="s">
        <v>#N/A N/A</v>
        <stp/>
        <stp>BDP|2258720287763658102</stp>
        <tr r="T406" s="2"/>
      </tp>
      <tp t="s">
        <v>#N/A N/A</v>
        <stp/>
        <stp>BDP|4664931839508578980</stp>
        <tr r="R30" s="2"/>
      </tp>
      <tp t="s">
        <v>#N/A N/A</v>
        <stp/>
        <stp>BDP|8770383363343871155</stp>
        <tr r="O615" s="2"/>
      </tp>
      <tp t="s">
        <v>#N/A N/A</v>
        <stp/>
        <stp>BDP|4526752080305675171</stp>
        <tr r="M1607" s="2"/>
      </tp>
      <tp t="s">
        <v>#N/A N/A</v>
        <stp/>
        <stp>BDP|3635214669578821074</stp>
        <tr r="G513" s="2"/>
      </tp>
      <tp t="s">
        <v>#N/A N/A</v>
        <stp/>
        <stp>BDP|5237941617210466242</stp>
        <tr r="P805" s="2"/>
      </tp>
      <tp t="s">
        <v>#N/A N/A</v>
        <stp/>
        <stp>BDP|1403894857255803631</stp>
        <tr r="Q1166" s="2"/>
      </tp>
      <tp t="s">
        <v>#N/A N/A</v>
        <stp/>
        <stp>BDS|2760866544224158553</stp>
        <tr r="I1222" s="2"/>
      </tp>
      <tp t="s">
        <v>#N/A N/A</v>
        <stp/>
        <stp>BDP|6220230206813386854</stp>
        <tr r="C1144" s="2"/>
      </tp>
      <tp t="s">
        <v>#N/A N/A</v>
        <stp/>
        <stp>BDP|8162516256006216157</stp>
        <tr r="D1399" s="2"/>
      </tp>
      <tp t="s">
        <v>#N/A N/A</v>
        <stp/>
        <stp>BDP|4059408517917770915</stp>
        <tr r="H625" s="2"/>
      </tp>
      <tp t="s">
        <v>#N/A N/A</v>
        <stp/>
        <stp>BDP|7901027864088889669</stp>
        <tr r="C1379" s="2"/>
      </tp>
      <tp t="s">
        <v>#N/A N/A</v>
        <stp/>
        <stp>BDS|6112800035187313564</stp>
        <tr r="I455" s="2"/>
      </tp>
      <tp t="s">
        <v>#N/A N/A</v>
        <stp/>
        <stp>BDP|3349850927501110769</stp>
        <tr r="H1088" s="2"/>
      </tp>
      <tp t="s">
        <v>#N/A N/A</v>
        <stp/>
        <stp>BDP|1134509790591524324</stp>
        <tr r="R562" s="2"/>
      </tp>
      <tp t="s">
        <v>#N/A N/A</v>
        <stp/>
        <stp>BDP|1208689912208934170</stp>
        <tr r="F406" s="2"/>
      </tp>
      <tp t="s">
        <v>#N/A N/A</v>
        <stp/>
        <stp>BDP|1680691269579109714</stp>
        <tr r="P346" s="2"/>
      </tp>
      <tp t="s">
        <v>#N/A N/A</v>
        <stp/>
        <stp>BDP|8021859485287730011</stp>
        <tr r="F532" s="2"/>
      </tp>
      <tp t="s">
        <v>#N/A N/A</v>
        <stp/>
        <stp>BDP|8562073990806126854</stp>
        <tr r="H729" s="2"/>
      </tp>
      <tp t="s">
        <v>#N/A N/A</v>
        <stp/>
        <stp>BDP|2886411328763127866</stp>
        <tr r="R483" s="2"/>
      </tp>
      <tp t="s">
        <v>#N/A N/A</v>
        <stp/>
        <stp>BDP|6489529589916119283</stp>
        <tr r="F458" s="2"/>
      </tp>
      <tp t="s">
        <v>#N/A N/A</v>
        <stp/>
        <stp>BDP|5013244790654780551</stp>
        <tr r="S862" s="2"/>
      </tp>
      <tp t="s">
        <v>#N/A N/A</v>
        <stp/>
        <stp>BDP|1315473184840203240</stp>
        <tr r="E869" s="2"/>
      </tp>
      <tp t="s">
        <v>#N/A N/A</v>
        <stp/>
        <stp>BDP|1678753585705480441</stp>
        <tr r="J704" s="2"/>
      </tp>
      <tp t="s">
        <v>#N/A N/A</v>
        <stp/>
        <stp>BDP|3149510877809309721</stp>
        <tr r="P1631" s="2"/>
      </tp>
      <tp t="s">
        <v>#N/A N/A</v>
        <stp/>
        <stp>BDP|5377963059665379398</stp>
        <tr r="F1658" s="2"/>
      </tp>
      <tp t="s">
        <v>#N/A N/A</v>
        <stp/>
        <stp>BDP|9807564469165996080</stp>
        <tr r="Q1151" s="2"/>
      </tp>
      <tp t="s">
        <v>#N/A N/A</v>
        <stp/>
        <stp>BDP|8856677948834604176</stp>
        <tr r="D816" s="2"/>
      </tp>
      <tp t="s">
        <v>#N/A N/A</v>
        <stp/>
        <stp>BDP|7651835324976342442</stp>
        <tr r="K638" s="2"/>
      </tp>
      <tp t="s">
        <v>#N/A N/A</v>
        <stp/>
        <stp>BDP|4444995305437685582</stp>
        <tr r="J1667" s="2"/>
      </tp>
      <tp t="s">
        <v>#N/A N/A</v>
        <stp/>
        <stp>BDP|3912331507157891837</stp>
        <tr r="O1478" s="2"/>
      </tp>
      <tp t="s">
        <v>#N/A N/A</v>
        <stp/>
        <stp>BDP|5029581806916133996</stp>
        <tr r="O443" s="2"/>
      </tp>
      <tp t="s">
        <v>#N/A N/A</v>
        <stp/>
        <stp>BDP|2036602835951276910</stp>
        <tr r="A1525" s="2"/>
      </tp>
      <tp t="s">
        <v>#N/A N/A</v>
        <stp/>
        <stp>BDP|3034228817946759949</stp>
        <tr r="T1264" s="2"/>
      </tp>
      <tp t="s">
        <v>#N/A N/A</v>
        <stp/>
        <stp>BDP|3362478069657904926</stp>
        <tr r="Q1116" s="2"/>
      </tp>
      <tp t="s">
        <v>#N/A N/A</v>
        <stp/>
        <stp>BDS|9769437763763036718</stp>
        <tr r="I1301" s="2"/>
      </tp>
      <tp t="s">
        <v>#N/A N/A</v>
        <stp/>
        <stp>BDP|4646876617185197714</stp>
        <tr r="P627" s="2"/>
      </tp>
      <tp t="s">
        <v>#N/A N/A</v>
        <stp/>
        <stp>BDP|6080829622287755418</stp>
        <tr r="P1225" s="2"/>
      </tp>
      <tp t="s">
        <v>#N/A N/A</v>
        <stp/>
        <stp>BDP|9784311619075810119</stp>
        <tr r="C1421" s="2"/>
      </tp>
      <tp t="s">
        <v>#N/A N/A</v>
        <stp/>
        <stp>BDP|6236957677750672705</stp>
        <tr r="R608" s="2"/>
      </tp>
      <tp t="s">
        <v>#N/A N/A</v>
        <stp/>
        <stp>BDP|6475991467716942054</stp>
        <tr r="J915" s="2"/>
      </tp>
      <tp t="s">
        <v>#N/A N/A</v>
        <stp/>
        <stp>BDP|7469084667268493698</stp>
        <tr r="G358" s="2"/>
      </tp>
      <tp t="s">
        <v>#N/A N/A</v>
        <stp/>
        <stp>BDS|3404014327737061946</stp>
        <tr r="I1251" s="2"/>
      </tp>
      <tp t="s">
        <v>#N/A N/A</v>
        <stp/>
        <stp>BDP|4312353382268531873</stp>
        <tr r="C1639" s="2"/>
      </tp>
      <tp t="s">
        <v>#N/A N/A</v>
        <stp/>
        <stp>BDP|7383508794530739466</stp>
        <tr r="R650" s="2"/>
      </tp>
      <tp t="s">
        <v>#N/A N/A</v>
        <stp/>
        <stp>BDP|7465858066237858199</stp>
        <tr r="S1051" s="2"/>
      </tp>
      <tp t="s">
        <v>#N/A N/A</v>
        <stp/>
        <stp>BDP|9909421323181720191</stp>
        <tr r="Q325" s="2"/>
      </tp>
      <tp t="s">
        <v>#N/A N/A</v>
        <stp/>
        <stp>BDP|2974412248519744417</stp>
        <tr r="G1368" s="2"/>
      </tp>
      <tp t="s">
        <v>#N/A N/A</v>
        <stp/>
        <stp>BDP|9503224637905678209</stp>
        <tr r="C1328" s="2"/>
      </tp>
      <tp t="s">
        <v>#N/A N/A</v>
        <stp/>
        <stp>BDS|5145828029892474283</stp>
        <tr r="I1658" s="2"/>
      </tp>
      <tp t="s">
        <v>#N/A N/A</v>
        <stp/>
        <stp>BDP|4417669550801576915</stp>
        <tr r="D1564" s="2"/>
      </tp>
      <tp t="s">
        <v>#N/A N/A</v>
        <stp/>
        <stp>BDP|1111211090345702011</stp>
        <tr r="D1134" s="2"/>
      </tp>
      <tp t="s">
        <v>#N/A N/A</v>
        <stp/>
        <stp>BDP|4813595576111434854</stp>
        <tr r="S358" s="2"/>
      </tp>
      <tp t="s">
        <v>#N/A N/A</v>
        <stp/>
        <stp>BDP|2708120391306604341</stp>
        <tr r="S1291" s="2"/>
      </tp>
      <tp t="s">
        <v>#N/A N/A</v>
        <stp/>
        <stp>BDP|9024477281282916894</stp>
        <tr r="J11" s="2"/>
      </tp>
      <tp t="s">
        <v>#N/A N/A</v>
        <stp/>
        <stp>BDP|8297768317367299679</stp>
        <tr r="E1748" s="2"/>
      </tp>
      <tp t="s">
        <v>#N/A N/A</v>
        <stp/>
        <stp>BDP|9040411187138309236</stp>
        <tr r="C1243" s="2"/>
      </tp>
      <tp t="s">
        <v>#N/A N/A</v>
        <stp/>
        <stp>BDP|5588863965245785174</stp>
        <tr r="O1604" s="2"/>
      </tp>
      <tp t="s">
        <v>#N/A N/A</v>
        <stp/>
        <stp>BDP|2696956221836426000</stp>
        <tr r="Q573" s="2"/>
      </tp>
      <tp t="s">
        <v>#N/A N/A</v>
        <stp/>
        <stp>BDP|2996131091255986046</stp>
        <tr r="F861" s="2"/>
      </tp>
      <tp t="s">
        <v>#N/A N/A</v>
        <stp/>
        <stp>BDP|1632596733041392998</stp>
        <tr r="J1707" s="2"/>
      </tp>
      <tp t="s">
        <v>#N/A N/A</v>
        <stp/>
        <stp>BDP|9356711157021439573</stp>
        <tr r="E1157" s="2"/>
      </tp>
      <tp t="s">
        <v>#N/A N/A</v>
        <stp/>
        <stp>BDP|2126947774536123565</stp>
        <tr r="D78" s="2"/>
      </tp>
      <tp t="s">
        <v>#N/A N/A</v>
        <stp/>
        <stp>BDP|9813650400833297397</stp>
        <tr r="S90" s="2"/>
      </tp>
      <tp t="s">
        <v>#N/A N/A</v>
        <stp/>
        <stp>BDP|5202962003587133403</stp>
        <tr r="H75" s="2"/>
      </tp>
      <tp t="s">
        <v>#N/A N/A</v>
        <stp/>
        <stp>BDP|1101861977181274041</stp>
        <tr r="R139" s="2"/>
      </tp>
      <tp t="s">
        <v>#N/A N/A</v>
        <stp/>
        <stp>BDP|9627407456342735513</stp>
        <tr r="K1163" s="2"/>
      </tp>
      <tp t="s">
        <v>#N/A N/A</v>
        <stp/>
        <stp>BDP|3356985961756976556</stp>
        <tr r="K781" s="2"/>
      </tp>
      <tp t="s">
        <v>#N/A N/A</v>
        <stp/>
        <stp>BDP|7056055259784802921</stp>
        <tr r="J1028" s="2"/>
      </tp>
      <tp t="s">
        <v>#N/A N/A</v>
        <stp/>
        <stp>BDP|3962717159896272858</stp>
        <tr r="T246" s="2"/>
      </tp>
      <tp t="s">
        <v>#N/A N/A</v>
        <stp/>
        <stp>BDP|7455483598003395606</stp>
        <tr r="O1397" s="2"/>
      </tp>
      <tp t="s">
        <v>#N/A N/A</v>
        <stp/>
        <stp>BDP|8117315447524882480</stp>
        <tr r="R1246" s="2"/>
      </tp>
      <tp t="s">
        <v>#N/A N/A</v>
        <stp/>
        <stp>BDP|7571229891776922582</stp>
        <tr r="E3" s="2"/>
      </tp>
      <tp t="s">
        <v>#N/A N/A</v>
        <stp/>
        <stp>BDP|4431909805585279741</stp>
        <tr r="C567" s="2"/>
      </tp>
      <tp t="s">
        <v>#N/A N/A</v>
        <stp/>
        <stp>BDP|3366704439441593987</stp>
        <tr r="J824" s="2"/>
      </tp>
      <tp t="s">
        <v>#N/A N/A</v>
        <stp/>
        <stp>BDP|2582932211433965690</stp>
        <tr r="G410" s="2"/>
      </tp>
      <tp t="s">
        <v>#N/A N/A</v>
        <stp/>
        <stp>BDS|4290937844711759757</stp>
        <tr r="I1498" s="2"/>
      </tp>
      <tp t="s">
        <v>#N/A N/A</v>
        <stp/>
        <stp>BDP|8399470149223364495</stp>
        <tr r="M762" s="2"/>
      </tp>
      <tp t="s">
        <v>#N/A N/A</v>
        <stp/>
        <stp>BDP|4184323226942294800</stp>
        <tr r="D542" s="2"/>
      </tp>
      <tp t="s">
        <v>#N/A N/A</v>
        <stp/>
        <stp>BDP|7449876115890867197</stp>
        <tr r="S716" s="2"/>
      </tp>
      <tp t="s">
        <v>#N/A N/A</v>
        <stp/>
        <stp>BDP|1718757983944647500</stp>
        <tr r="C93" s="2"/>
      </tp>
      <tp t="s">
        <v>#N/A N/A</v>
        <stp/>
        <stp>BDP|1792648375858701763</stp>
        <tr r="E24" s="2"/>
      </tp>
      <tp t="s">
        <v>#N/A N/A</v>
        <stp/>
        <stp>BDP|4085957119245875630</stp>
        <tr r="E407" s="2"/>
      </tp>
      <tp t="s">
        <v>#N/A N/A</v>
        <stp/>
        <stp>BDP|6609876957261980586</stp>
        <tr r="C137" s="2"/>
      </tp>
      <tp t="s">
        <v>#N/A N/A</v>
        <stp/>
        <stp>BDP|2097655777795091958</stp>
        <tr r="R385" s="2"/>
      </tp>
      <tp t="s">
        <v>#N/A N/A</v>
        <stp/>
        <stp>BDP|4491270924369376237</stp>
        <tr r="Q16" s="2"/>
      </tp>
      <tp t="s">
        <v>#N/A N/A</v>
        <stp/>
        <stp>BDP|7722662715887227810</stp>
        <tr r="D1225" s="2"/>
      </tp>
      <tp t="s">
        <v>#N/A N/A</v>
        <stp/>
        <stp>BDP|4426929067085408126</stp>
        <tr r="P1322" s="2"/>
      </tp>
      <tp t="s">
        <v>#N/A N/A</v>
        <stp/>
        <stp>BDP|5046299836243134891</stp>
        <tr r="S790" s="2"/>
      </tp>
      <tp t="s">
        <v>#N/A N/A</v>
        <stp/>
        <stp>BDP|4792201080664713573</stp>
        <tr r="C630" s="2"/>
      </tp>
      <tp t="s">
        <v>#N/A N/A</v>
        <stp/>
        <stp>BDP|5339429683502758426</stp>
        <tr r="M600" s="2"/>
      </tp>
      <tp t="s">
        <v>#N/A N/A</v>
        <stp/>
        <stp>BDP|3870134171879440390</stp>
        <tr r="G961" s="2"/>
      </tp>
      <tp t="s">
        <v>#N/A N/A</v>
        <stp/>
        <stp>BDP|1626766685036323719</stp>
        <tr r="F330" s="2"/>
      </tp>
      <tp t="s">
        <v>#N/A N/A</v>
        <stp/>
        <stp>BDP|6445348741316049864</stp>
        <tr r="N258" s="2"/>
      </tp>
      <tp t="s">
        <v>#N/A N/A</v>
        <stp/>
        <stp>BDP|7266439364008442265</stp>
        <tr r="D449" s="2"/>
      </tp>
      <tp t="s">
        <v>#N/A N/A</v>
        <stp/>
        <stp>BDP|4170809507610925384</stp>
        <tr r="D1138" s="2"/>
      </tp>
      <tp t="s">
        <v>#N/A N/A</v>
        <stp/>
        <stp>BDP|8696084087488927775</stp>
        <tr r="S235" s="2"/>
      </tp>
      <tp t="s">
        <v>#N/A N/A</v>
        <stp/>
        <stp>BDP|8887786084258039031</stp>
        <tr r="Q1198" s="2"/>
      </tp>
      <tp t="s">
        <v>#N/A N/A</v>
        <stp/>
        <stp>BDP|1807834369314543402</stp>
        <tr r="E1172" s="2"/>
      </tp>
      <tp t="s">
        <v>#N/A N/A</v>
        <stp/>
        <stp>BDP|4670165915208109331</stp>
        <tr r="A670" s="2"/>
      </tp>
      <tp t="s">
        <v>#N/A N/A</v>
        <stp/>
        <stp>BDP|6322977812283332225</stp>
        <tr r="T895" s="2"/>
      </tp>
      <tp t="s">
        <v>#N/A N/A</v>
        <stp/>
        <stp>BDS|8717805331268562442</stp>
        <tr r="I1715" s="2"/>
      </tp>
      <tp t="s">
        <v>#N/A N/A</v>
        <stp/>
        <stp>BDP|5839880456887529048</stp>
        <tr r="O1096" s="2"/>
      </tp>
      <tp t="s">
        <v>#N/A N/A</v>
        <stp/>
        <stp>BDP|5744446140932438809</stp>
        <tr r="P1128" s="2"/>
      </tp>
      <tp t="s">
        <v>#N/A N/A</v>
        <stp/>
        <stp>BDP|4045514929729947562</stp>
        <tr r="J296" s="2"/>
      </tp>
      <tp t="s">
        <v>#N/A N/A</v>
        <stp/>
        <stp>BDP|1138653671899583670</stp>
        <tr r="R927" s="2"/>
      </tp>
      <tp t="s">
        <v>#N/A N/A</v>
        <stp/>
        <stp>BDP|1107995956995849718</stp>
        <tr r="D1032" s="2"/>
      </tp>
      <tp t="s">
        <v>#N/A N/A</v>
        <stp/>
        <stp>BDP|3856984698339887579</stp>
        <tr r="A733" s="2"/>
      </tp>
      <tp t="s">
        <v>#N/A N/A</v>
        <stp/>
        <stp>BDP|4064412773331124946</stp>
        <tr r="N960" s="2"/>
      </tp>
      <tp t="s">
        <v>#N/A N/A</v>
        <stp/>
        <stp>BDP|9440367724243655477</stp>
        <tr r="T778" s="2"/>
      </tp>
      <tp t="s">
        <v>#N/A N/A</v>
        <stp/>
        <stp>BDP|1491224732278490775</stp>
        <tr r="F227" s="2"/>
      </tp>
      <tp t="s">
        <v>#N/A N/A</v>
        <stp/>
        <stp>BDP|7667077236849180212</stp>
        <tr r="T1424" s="2"/>
      </tp>
      <tp t="s">
        <v>#N/A N/A</v>
        <stp/>
        <stp>BDP|1930599400973681818</stp>
        <tr r="J1731" s="2"/>
      </tp>
      <tp t="s">
        <v>#N/A N/A</v>
        <stp/>
        <stp>BDP|4818860990673904905</stp>
        <tr r="H950" s="2"/>
      </tp>
      <tp t="s">
        <v>#N/A N/A</v>
        <stp/>
        <stp>BDP|5077432664578145016</stp>
        <tr r="T555" s="2"/>
      </tp>
      <tp t="s">
        <v>#N/A N/A</v>
        <stp/>
        <stp>BDS|3834804240009875971</stp>
        <tr r="I1316" s="2"/>
      </tp>
      <tp t="s">
        <v>#N/A N/A</v>
        <stp/>
        <stp>BDP|6579471067448236303</stp>
        <tr r="G173" s="2"/>
      </tp>
      <tp t="s">
        <v>#N/A N/A</v>
        <stp/>
        <stp>BDP|7957477770178113387</stp>
        <tr r="F1131" s="2"/>
      </tp>
      <tp t="s">
        <v>#N/A N/A</v>
        <stp/>
        <stp>BDP|8030707182301441916</stp>
        <tr r="J716" s="2"/>
      </tp>
      <tp t="s">
        <v>#N/A N/A</v>
        <stp/>
        <stp>BDP|5138058473848755573</stp>
        <tr r="G889" s="2"/>
      </tp>
      <tp t="s">
        <v>#N/A N/A</v>
        <stp/>
        <stp>BDP|8042514982962457809</stp>
        <tr r="Q907" s="2"/>
      </tp>
      <tp t="s">
        <v>#N/A N/A</v>
        <stp/>
        <stp>BDP|3674228619256313998</stp>
        <tr r="G1738" s="2"/>
      </tp>
      <tp t="s">
        <v>#N/A N/A</v>
        <stp/>
        <stp>BDP|1434144883083721431</stp>
        <tr r="J384" s="2"/>
      </tp>
      <tp t="s">
        <v>#N/A N/A</v>
        <stp/>
        <stp>BDP|2706972560857367548</stp>
        <tr r="G880" s="2"/>
      </tp>
      <tp t="s">
        <v>#N/A N/A</v>
        <stp/>
        <stp>BDS|3233460190120153120</stp>
        <tr r="I1528" s="2"/>
      </tp>
      <tp t="s">
        <v>#N/A N/A</v>
        <stp/>
        <stp>BDP|2867987464895592764</stp>
        <tr r="A65" s="2"/>
      </tp>
      <tp t="s">
        <v>#N/A N/A</v>
        <stp/>
        <stp>BDP|2129618551909375750</stp>
        <tr r="E1049" s="2"/>
      </tp>
      <tp t="s">
        <v>#N/A N/A</v>
        <stp/>
        <stp>BDP|9139225971115141644</stp>
        <tr r="O1418" s="2"/>
      </tp>
      <tp t="s">
        <v>#N/A N/A</v>
        <stp/>
        <stp>BDP|6001840729774902730</stp>
        <tr r="O510" s="2"/>
      </tp>
      <tp t="s">
        <v>#N/A N/A</v>
        <stp/>
        <stp>BDP|8233628375663785552</stp>
        <tr r="M425" s="2"/>
      </tp>
      <tp t="s">
        <v>#N/A N/A</v>
        <stp/>
        <stp>BDP|7636733516387765932</stp>
        <tr r="H1009" s="2"/>
      </tp>
      <tp t="s">
        <v>#N/A N/A</v>
        <stp/>
        <stp>BDP|4572485083576103181</stp>
        <tr r="P655" s="2"/>
      </tp>
      <tp t="s">
        <v>#N/A N/A</v>
        <stp/>
        <stp>BDP|6561017609360207984</stp>
        <tr r="P798" s="2"/>
      </tp>
      <tp t="s">
        <v>#N/A N/A</v>
        <stp/>
        <stp>BDP|9419736086198086168</stp>
        <tr r="H215" s="2"/>
      </tp>
      <tp t="s">
        <v>#N/A N/A</v>
        <stp/>
        <stp>BDP|3718150105204002905</stp>
        <tr r="T605" s="2"/>
      </tp>
      <tp t="s">
        <v>#N/A N/A</v>
        <stp/>
        <stp>BDP|3529947495069553559</stp>
        <tr r="G237" s="2"/>
      </tp>
      <tp t="s">
        <v>#N/A N/A</v>
        <stp/>
        <stp>BDP|4240556929185387993</stp>
        <tr r="C1217" s="2"/>
      </tp>
      <tp t="s">
        <v>#N/A N/A</v>
        <stp/>
        <stp>BDP|5098641886430351451</stp>
        <tr r="N1473" s="2"/>
      </tp>
      <tp t="s">
        <v>#N/A N/A</v>
        <stp/>
        <stp>BDP|8770038260169237825</stp>
        <tr r="E608" s="2"/>
      </tp>
      <tp t="s">
        <v>#N/A N/A</v>
        <stp/>
        <stp>BDP|2428385388863333534</stp>
        <tr r="A166" s="2"/>
      </tp>
      <tp t="s">
        <v>#N/A N/A</v>
        <stp/>
        <stp>BDP|1556843524915918186</stp>
        <tr r="A422" s="2"/>
      </tp>
      <tp t="s">
        <v>#N/A N/A</v>
        <stp/>
        <stp>BDP|7278740494090751619</stp>
        <tr r="Q647" s="2"/>
      </tp>
      <tp t="s">
        <v>#N/A N/A</v>
        <stp/>
        <stp>BDS|8663540523814110447</stp>
        <tr r="I40" s="2"/>
      </tp>
      <tp t="s">
        <v>#N/A N/A</v>
        <stp/>
        <stp>BDP|2122304395171846688</stp>
        <tr r="F1365" s="2"/>
      </tp>
      <tp t="s">
        <v>#N/A N/A</v>
        <stp/>
        <stp>BDP|5179168184202638115</stp>
        <tr r="D1727" s="2"/>
      </tp>
      <tp t="s">
        <v>#N/A N/A</v>
        <stp/>
        <stp>BDP|5552458372740040964</stp>
        <tr r="Q618" s="2"/>
      </tp>
      <tp t="s">
        <v>#N/A N/A</v>
        <stp/>
        <stp>BDP|4133179387842188040</stp>
        <tr r="D754" s="2"/>
      </tp>
      <tp t="s">
        <v>#N/A N/A</v>
        <stp/>
        <stp>BDP|2968573698208790954</stp>
        <tr r="T1544" s="2"/>
      </tp>
      <tp t="s">
        <v>#N/A N/A</v>
        <stp/>
        <stp>BDP|8499438322660998183</stp>
        <tr r="C247" s="2"/>
      </tp>
      <tp t="s">
        <v>#N/A N/A</v>
        <stp/>
        <stp>BDP|1100939358104844661</stp>
        <tr r="O1347" s="2"/>
      </tp>
      <tp t="s">
        <v>#N/A N/A</v>
        <stp/>
        <stp>BDP|9239031370380742128</stp>
        <tr r="D231" s="2"/>
      </tp>
      <tp t="s">
        <v>#N/A N/A</v>
        <stp/>
        <stp>BDP|4840858951605806307</stp>
        <tr r="H1232" s="2"/>
      </tp>
      <tp t="s">
        <v>#N/A N/A</v>
        <stp/>
        <stp>BDP|4104272693233796365</stp>
        <tr r="M240" s="2"/>
      </tp>
      <tp t="s">
        <v>#N/A N/A</v>
        <stp/>
        <stp>BDP|2796071523158745701</stp>
        <tr r="Q693" s="2"/>
      </tp>
      <tp t="s">
        <v>#N/A N/A</v>
        <stp/>
        <stp>BDP|4646991461055298180</stp>
        <tr r="H289" s="2"/>
      </tp>
      <tp t="s">
        <v>#N/A N/A</v>
        <stp/>
        <stp>BDP|4127317472456164978</stp>
        <tr r="A836" s="2"/>
      </tp>
      <tp t="s">
        <v>#N/A N/A</v>
        <stp/>
        <stp>BDP|6397309837870117916</stp>
        <tr r="K993" s="2"/>
      </tp>
      <tp t="s">
        <v>#N/A N/A</v>
        <stp/>
        <stp>BDP|1393414537210346925</stp>
        <tr r="S462" s="2"/>
      </tp>
      <tp t="s">
        <v>#N/A N/A</v>
        <stp/>
        <stp>BDP|7343070371167212835</stp>
        <tr r="K507" s="2"/>
      </tp>
      <tp t="s">
        <v>#N/A N/A</v>
        <stp/>
        <stp>BDP|4123035086374844781</stp>
        <tr r="P422" s="2"/>
      </tp>
      <tp t="s">
        <v>#N/A N/A</v>
        <stp/>
        <stp>BDP|4468718470563939889</stp>
        <tr r="K746" s="2"/>
      </tp>
      <tp t="s">
        <v>#N/A N/A</v>
        <stp/>
        <stp>BDP|8030332986199513540</stp>
        <tr r="S83" s="2"/>
      </tp>
      <tp t="s">
        <v>#N/A N/A</v>
        <stp/>
        <stp>BDP|2227355920155244913</stp>
        <tr r="O193" s="2"/>
      </tp>
      <tp t="s">
        <v>#N/A N/A</v>
        <stp/>
        <stp>BDS|9626751269453915476</stp>
        <tr r="I714" s="2"/>
      </tp>
      <tp t="s">
        <v>#N/A N/A</v>
        <stp/>
        <stp>BDP|3212152085202534731</stp>
        <tr r="K1554" s="2"/>
      </tp>
      <tp t="s">
        <v>#N/A N/A</v>
        <stp/>
        <stp>BDP|4106636215658136421</stp>
        <tr r="H588" s="2"/>
      </tp>
      <tp t="s">
        <v>#N/A N/A</v>
        <stp/>
        <stp>BDP|1415920112412959492</stp>
        <tr r="T1120" s="2"/>
      </tp>
      <tp t="s">
        <v>#N/A N/A</v>
        <stp/>
        <stp>BDS|2150518290427488600</stp>
        <tr r="I1408" s="2"/>
      </tp>
      <tp t="s">
        <v>#N/A N/A</v>
        <stp/>
        <stp>BDP|7814800518659020840</stp>
        <tr r="F1007" s="2"/>
      </tp>
      <tp t="s">
        <v>#N/A N/A</v>
        <stp/>
        <stp>BDP|6982408051261541993</stp>
        <tr r="P779" s="2"/>
      </tp>
      <tp t="s">
        <v>#N/A N/A</v>
        <stp/>
        <stp>BDP|6714844117733814386</stp>
        <tr r="S1289" s="2"/>
      </tp>
      <tp t="s">
        <v>#N/A N/A</v>
        <stp/>
        <stp>BDP|6738654686297505050</stp>
        <tr r="C902" s="2"/>
      </tp>
      <tp t="s">
        <v>#N/A N/A</v>
        <stp/>
        <stp>BDP|1630005639754229996</stp>
        <tr r="M796" s="2"/>
      </tp>
      <tp t="s">
        <v>#N/A N/A</v>
        <stp/>
        <stp>BDP|4211785490771769490</stp>
        <tr r="Q1412" s="2"/>
      </tp>
      <tp t="s">
        <v>#N/A N/A</v>
        <stp/>
        <stp>BDP|4859134818943343848</stp>
        <tr r="S238" s="2"/>
      </tp>
      <tp t="s">
        <v>#N/A N/A</v>
        <stp/>
        <stp>BDP|9793326132932256417</stp>
        <tr r="T1285" s="2"/>
      </tp>
      <tp t="s">
        <v>#N/A N/A</v>
        <stp/>
        <stp>BDP|1731133196546676006</stp>
        <tr r="C905" s="2"/>
      </tp>
      <tp t="s">
        <v>#N/A N/A</v>
        <stp/>
        <stp>BDP|5681511670150740848</stp>
        <tr r="J1550" s="2"/>
      </tp>
      <tp t="s">
        <v>#N/A N/A</v>
        <stp/>
        <stp>BDP|2736014714599714517</stp>
        <tr r="R207" s="2"/>
      </tp>
      <tp t="s">
        <v>#N/A N/A</v>
        <stp/>
        <stp>BDP|5174996504777026483</stp>
        <tr r="J1544" s="2"/>
      </tp>
      <tp t="s">
        <v>#N/A N/A</v>
        <stp/>
        <stp>BDP|8694239905395534017</stp>
        <tr r="R1455" s="2"/>
      </tp>
      <tp t="s">
        <v>#N/A N/A</v>
        <stp/>
        <stp>BDP|6056439694003422779</stp>
        <tr r="F318" s="2"/>
      </tp>
      <tp t="s">
        <v>#N/A N/A</v>
        <stp/>
        <stp>BDP|5508356276218401663</stp>
        <tr r="J952" s="2"/>
      </tp>
      <tp t="s">
        <v>#N/A N/A</v>
        <stp/>
        <stp>BDP|9590778174722529473</stp>
        <tr r="M781" s="2"/>
      </tp>
      <tp t="s">
        <v>#N/A N/A</v>
        <stp/>
        <stp>BDP|5012724994801320518</stp>
        <tr r="S408" s="2"/>
      </tp>
      <tp t="s">
        <v>#N/A N/A</v>
        <stp/>
        <stp>BDP|9358330419517849352</stp>
        <tr r="N1214" s="2"/>
      </tp>
      <tp t="s">
        <v>#N/A N/A</v>
        <stp/>
        <stp>BDS|8447184689406804891</stp>
        <tr r="I1155" s="2"/>
      </tp>
      <tp t="s">
        <v>#N/A N/A</v>
        <stp/>
        <stp>BDP|8708565608103958147</stp>
        <tr r="P1170" s="2"/>
      </tp>
      <tp t="s">
        <v>#N/A N/A</v>
        <stp/>
        <stp>BDS|9870627060831952778</stp>
        <tr r="I910" s="2"/>
      </tp>
      <tp t="s">
        <v>#N/A N/A</v>
        <stp/>
        <stp>BDP|3875545819471237933</stp>
        <tr r="Q420" s="2"/>
      </tp>
      <tp t="s">
        <v>#N/A N/A</v>
        <stp/>
        <stp>BDP|8174964976141272873</stp>
        <tr r="M547" s="2"/>
      </tp>
      <tp t="s">
        <v>#N/A N/A</v>
        <stp/>
        <stp>BDP|6843990660867020147</stp>
        <tr r="Q873" s="2"/>
      </tp>
      <tp t="s">
        <v>#N/A N/A</v>
        <stp/>
        <stp>BDP|7390858903969556954</stp>
        <tr r="P25" s="2"/>
      </tp>
      <tp t="s">
        <v>#N/A N/A</v>
        <stp/>
        <stp>BDP|9390111611070008661</stp>
        <tr r="K1404" s="2"/>
      </tp>
      <tp t="s">
        <v>#N/A N/A</v>
        <stp/>
        <stp>BDP|5881300398978611838</stp>
        <tr r="C1224" s="2"/>
      </tp>
      <tp t="s">
        <v>#N/A N/A</v>
        <stp/>
        <stp>BDP|1088561940116080938</stp>
        <tr r="T1315" s="2"/>
      </tp>
      <tp t="s">
        <v>#N/A N/A</v>
        <stp/>
        <stp>BDP|3812977001775995020</stp>
        <tr r="Q1730" s="2"/>
      </tp>
      <tp t="s">
        <v>#N/A N/A</v>
        <stp/>
        <stp>BDP|5030052672094593970</stp>
        <tr r="M289" s="2"/>
      </tp>
      <tp t="s">
        <v>#N/A N/A</v>
        <stp/>
        <stp>BDP|9653433373851479471</stp>
        <tr r="F813" s="2"/>
      </tp>
      <tp t="s">
        <v>#N/A N/A</v>
        <stp/>
        <stp>BDP|1418077092925457202</stp>
        <tr r="H1435" s="2"/>
      </tp>
      <tp t="s">
        <v>#N/A N/A</v>
        <stp/>
        <stp>BDP|4040105656999129621</stp>
        <tr r="S567" s="2"/>
      </tp>
      <tp t="s">
        <v>#N/A N/A</v>
        <stp/>
        <stp>BDP|4623790094810614580</stp>
        <tr r="M798" s="2"/>
      </tp>
      <tp t="s">
        <v>#N/A N/A</v>
        <stp/>
        <stp>BDP|1597847362554606400</stp>
        <tr r="G998" s="2"/>
      </tp>
      <tp t="s">
        <v>#N/A N/A</v>
        <stp/>
        <stp>BDP|1719841460395084560</stp>
        <tr r="C1209" s="2"/>
      </tp>
      <tp t="s">
        <v>#N/A N/A</v>
        <stp/>
        <stp>BDP|7989171098029715943</stp>
        <tr r="T1255" s="2"/>
      </tp>
      <tp t="s">
        <v>#N/A N/A</v>
        <stp/>
        <stp>BDP|9081785106113307286</stp>
        <tr r="D307" s="2"/>
      </tp>
      <tp t="s">
        <v>#N/A N/A</v>
        <stp/>
        <stp>BDS|9170180988469581612</stp>
        <tr r="I1267" s="2"/>
      </tp>
      <tp t="s">
        <v>#N/A N/A</v>
        <stp/>
        <stp>BDP|8024270861162782141</stp>
        <tr r="M1619" s="2"/>
      </tp>
      <tp t="s">
        <v>#N/A N/A</v>
        <stp/>
        <stp>BDP|3643525297979462923</stp>
        <tr r="J1271" s="2"/>
      </tp>
      <tp t="s">
        <v>#N/A N/A</v>
        <stp/>
        <stp>BDP|5986189585955643671</stp>
        <tr r="F937" s="2"/>
      </tp>
      <tp t="s">
        <v>#N/A N/A</v>
        <stp/>
        <stp>BDP|4405823315284549638</stp>
        <tr r="N130" s="2"/>
      </tp>
      <tp t="s">
        <v>#N/A N/A</v>
        <stp/>
        <stp>BDP|3391847007201310560</stp>
        <tr r="E1736" s="2"/>
      </tp>
      <tp t="s">
        <v>#N/A N/A</v>
        <stp/>
        <stp>BDP|8412318172443773056</stp>
        <tr r="T648" s="2"/>
      </tp>
      <tp t="s">
        <v>#N/A N/A</v>
        <stp/>
        <stp>BDP|6897061342425006890</stp>
        <tr r="R16" s="2"/>
      </tp>
      <tp t="s">
        <v>#N/A N/A</v>
        <stp/>
        <stp>BDP|6760834276930030674</stp>
        <tr r="Q787" s="2"/>
      </tp>
      <tp t="s">
        <v>#N/A N/A</v>
        <stp/>
        <stp>BDP|2936051923978831724</stp>
        <tr r="P76" s="2"/>
      </tp>
      <tp t="s">
        <v>#N/A N/A</v>
        <stp/>
        <stp>BDP|9467561731558695804</stp>
        <tr r="N271" s="2"/>
      </tp>
      <tp t="s">
        <v>#N/A N/A</v>
        <stp/>
        <stp>BDP|9210657406352322278</stp>
        <tr r="G404" s="2"/>
      </tp>
      <tp t="s">
        <v>#N/A N/A</v>
        <stp/>
        <stp>BDP|8201732858122554799</stp>
        <tr r="E1273" s="2"/>
      </tp>
      <tp t="s">
        <v>#N/A N/A</v>
        <stp/>
        <stp>BDP|3960505858545314978</stp>
        <tr r="C820" s="2"/>
      </tp>
      <tp t="s">
        <v>#N/A N/A</v>
        <stp/>
        <stp>BDP|6303098894284216495</stp>
        <tr r="D911" s="2"/>
      </tp>
      <tp t="s">
        <v>#N/A N/A</v>
        <stp/>
        <stp>BDP|4721438171321845983</stp>
        <tr r="E926" s="2"/>
      </tp>
      <tp t="s">
        <v>#N/A N/A</v>
        <stp/>
        <stp>BDP|2343005351910521824</stp>
        <tr r="G1349" s="2"/>
      </tp>
      <tp t="s">
        <v>#N/A N/A</v>
        <stp/>
        <stp>BDP|1152816040241473317</stp>
        <tr r="F451" s="2"/>
      </tp>
      <tp t="s">
        <v>#N/A N/A</v>
        <stp/>
        <stp>BDP|2969856178687061511</stp>
        <tr r="O482" s="2"/>
      </tp>
      <tp t="s">
        <v>#N/A N/A</v>
        <stp/>
        <stp>BDP|9688015127582713628</stp>
        <tr r="P883" s="2"/>
      </tp>
      <tp t="s">
        <v>#N/A N/A</v>
        <stp/>
        <stp>BDP|6409926740090148423</stp>
        <tr r="S435" s="2"/>
      </tp>
      <tp t="s">
        <v>#N/A N/A</v>
        <stp/>
        <stp>BDP|5548429497926235176</stp>
        <tr r="T752" s="2"/>
      </tp>
      <tp t="s">
        <v>#N/A N/A</v>
        <stp/>
        <stp>BDP|1974153448732571944</stp>
        <tr r="S1489" s="2"/>
      </tp>
      <tp t="s">
        <v>#N/A N/A</v>
        <stp/>
        <stp>BDP|9157927405856324908</stp>
        <tr r="R214" s="2"/>
      </tp>
      <tp t="s">
        <v>#N/A N/A</v>
        <stp/>
        <stp>BDP|6499909671373205423</stp>
        <tr r="S766" s="2"/>
      </tp>
      <tp t="s">
        <v>#N/A N/A</v>
        <stp/>
        <stp>BDP|2309461550179493549</stp>
        <tr r="F1266" s="2"/>
      </tp>
      <tp t="s">
        <v>#N/A N/A</v>
        <stp/>
        <stp>BDP|5066571086557477006</stp>
        <tr r="F1143" s="2"/>
      </tp>
      <tp t="s">
        <v>#N/A N/A</v>
        <stp/>
        <stp>BDP|9116502491239304362</stp>
        <tr r="R85" s="2"/>
      </tp>
      <tp t="s">
        <v>#N/A N/A</v>
        <stp/>
        <stp>BDP|5818104209482505912</stp>
        <tr r="P101" s="2"/>
      </tp>
      <tp t="s">
        <v>#N/A N/A</v>
        <stp/>
        <stp>BDP|6534445915439619570</stp>
        <tr r="J162" s="2"/>
      </tp>
      <tp t="s">
        <v>#N/A N/A</v>
        <stp/>
        <stp>BDP|6981202214813935912</stp>
        <tr r="R1652" s="2"/>
      </tp>
      <tp t="s">
        <v>#N/A N/A</v>
        <stp/>
        <stp>BDP|4605027540489818691</stp>
        <tr r="E1606" s="2"/>
      </tp>
      <tp t="s">
        <v>#N/A N/A</v>
        <stp/>
        <stp>BDP|8068994306129869726</stp>
        <tr r="D265" s="2"/>
      </tp>
      <tp t="s">
        <v>#N/A N/A</v>
        <stp/>
        <stp>BDP|9612283829727609146</stp>
        <tr r="P1354" s="2"/>
      </tp>
      <tp t="s">
        <v>#N/A N/A</v>
        <stp/>
        <stp>BDP|4226776200354723876</stp>
        <tr r="G1299" s="2"/>
      </tp>
      <tp t="s">
        <v>#N/A N/A</v>
        <stp/>
        <stp>BDP|4339782799524140163</stp>
        <tr r="J841" s="2"/>
      </tp>
      <tp t="s">
        <v>#N/A N/A</v>
        <stp/>
        <stp>BDP|8972697842963699612</stp>
        <tr r="F272" s="2"/>
      </tp>
      <tp t="s">
        <v>#N/A N/A</v>
        <stp/>
        <stp>BDP|6927926656765041085</stp>
        <tr r="J1622" s="2"/>
      </tp>
      <tp t="s">
        <v>#N/A N/A</v>
        <stp/>
        <stp>BDP|5843063042719913703</stp>
        <tr r="P708" s="2"/>
      </tp>
      <tp t="s">
        <v>#N/A N/A</v>
        <stp/>
        <stp>BDS|8622182769947110739</stp>
        <tr r="I1478" s="2"/>
      </tp>
      <tp t="s">
        <v>#N/A N/A</v>
        <stp/>
        <stp>BDP|7827456468053565950</stp>
        <tr r="T127" s="2"/>
      </tp>
      <tp t="s">
        <v>#N/A N/A</v>
        <stp/>
        <stp>BDP|8642218886818238565</stp>
        <tr r="N603" s="2"/>
      </tp>
      <tp t="s">
        <v>#N/A N/A</v>
        <stp/>
        <stp>BDP|9694192167703596287</stp>
        <tr r="G833" s="2"/>
      </tp>
      <tp t="s">
        <v>#N/A N/A</v>
        <stp/>
        <stp>BDP|6391983839235691613</stp>
        <tr r="C666" s="2"/>
      </tp>
      <tp t="s">
        <v>#N/A N/A</v>
        <stp/>
        <stp>BDP|1174011476300515961</stp>
        <tr r="H869" s="2"/>
      </tp>
      <tp t="s">
        <v>#N/A N/A</v>
        <stp/>
        <stp>BDP|9722434210627235436</stp>
        <tr r="M468" s="2"/>
      </tp>
      <tp t="s">
        <v>#N/A N/A</v>
        <stp/>
        <stp>BDP|1867891602354476226</stp>
        <tr r="D1749" s="2"/>
      </tp>
      <tp t="s">
        <v>#N/A N/A</v>
        <stp/>
        <stp>BDP|1724007862179725173</stp>
        <tr r="K1518" s="2"/>
      </tp>
      <tp t="s">
        <v>#N/A N/A</v>
        <stp/>
        <stp>BDP|1598972611024398256</stp>
        <tr r="N586" s="2"/>
      </tp>
      <tp t="s">
        <v>#N/A N/A</v>
        <stp/>
        <stp>BDP|8708598812462993101</stp>
        <tr r="D140" s="2"/>
      </tp>
      <tp t="s">
        <v>#N/A N/A</v>
        <stp/>
        <stp>BDP|9970427889203227954</stp>
        <tr r="R1326" s="2"/>
      </tp>
      <tp t="s">
        <v>#N/A N/A</v>
        <stp/>
        <stp>BDP|9610366147447675643</stp>
        <tr r="D707" s="2"/>
      </tp>
      <tp t="s">
        <v>#N/A N/A</v>
        <stp/>
        <stp>BDP|5152550571398913090</stp>
        <tr r="A1639" s="2"/>
      </tp>
      <tp t="s">
        <v>#N/A N/A</v>
        <stp/>
        <stp>BDP|6277632886746053120</stp>
        <tr r="H452" s="2"/>
      </tp>
      <tp t="s">
        <v>#N/A N/A</v>
        <stp/>
        <stp>BDP|1125451626509347144</stp>
        <tr r="N541" s="2"/>
      </tp>
      <tp t="s">
        <v>#N/A N/A</v>
        <stp/>
        <stp>BDP|1999208089483554706</stp>
        <tr r="H754" s="2"/>
      </tp>
      <tp t="s">
        <v>#N/A N/A</v>
        <stp/>
        <stp>BDP|5300826742896589030</stp>
        <tr r="D1684" s="2"/>
      </tp>
      <tp t="s">
        <v>#N/A N/A</v>
        <stp/>
        <stp>BDP|2358331256179126221</stp>
        <tr r="H994" s="2"/>
      </tp>
      <tp t="s">
        <v>#N/A N/A</v>
        <stp/>
        <stp>BDP|3250659399575216161</stp>
        <tr r="F742" s="2"/>
      </tp>
      <tp t="s">
        <v>#N/A N/A</v>
        <stp/>
        <stp>BDP|5451378838564033912</stp>
        <tr r="F816" s="2"/>
      </tp>
      <tp t="s">
        <v>#N/A N/A</v>
        <stp/>
        <stp>BDP|8797240079012288728</stp>
        <tr r="J1358" s="2"/>
      </tp>
      <tp t="s">
        <v>#N/A N/A</v>
        <stp/>
        <stp>BDP|1474704003948929641</stp>
        <tr r="Q819" s="2"/>
      </tp>
      <tp t="s">
        <v>#N/A N/A</v>
        <stp/>
        <stp>BDP|7824150982817236170</stp>
        <tr r="M743" s="2"/>
      </tp>
      <tp t="s">
        <v>#N/A N/A</v>
        <stp/>
        <stp>BDP|2593866986172969860</stp>
        <tr r="C514" s="2"/>
      </tp>
      <tp t="s">
        <v>#N/A N/A</v>
        <stp/>
        <stp>BDP|6418063403417379989</stp>
        <tr r="N856" s="2"/>
      </tp>
      <tp t="s">
        <v>#N/A N/A</v>
        <stp/>
        <stp>BDP|2133641052179882053</stp>
        <tr r="T812" s="2"/>
      </tp>
      <tp t="s">
        <v>#N/A N/A</v>
        <stp/>
        <stp>BDP|7687975329763130731</stp>
        <tr r="A1350" s="2"/>
      </tp>
      <tp t="s">
        <v>#N/A N/A</v>
        <stp/>
        <stp>BDP|9010403065022939169</stp>
        <tr r="T1487" s="2"/>
      </tp>
      <tp t="s">
        <v>#N/A N/A</v>
        <stp/>
        <stp>BDP|5594368199875045206</stp>
        <tr r="G1246" s="2"/>
      </tp>
      <tp t="s">
        <v>#N/A N/A</v>
        <stp/>
        <stp>BDP|2705520589934570335</stp>
        <tr r="D300" s="2"/>
      </tp>
      <tp t="s">
        <v>#N/A N/A</v>
        <stp/>
        <stp>BDP|4913008857160223960</stp>
        <tr r="D172" s="2"/>
      </tp>
      <tp t="s">
        <v>#N/A N/A</v>
        <stp/>
        <stp>BDP|9137581095198081561</stp>
        <tr r="A1728" s="2"/>
      </tp>
      <tp t="s">
        <v>#N/A N/A</v>
        <stp/>
        <stp>BDP|7164915561897230792</stp>
        <tr r="P691" s="2"/>
      </tp>
      <tp t="s">
        <v>#N/A N/A</v>
        <stp/>
        <stp>BDP|1336877918860712010</stp>
        <tr r="P256" s="2"/>
      </tp>
      <tp t="s">
        <v>#N/A N/A</v>
        <stp/>
        <stp>BDP|2976182018842686859</stp>
        <tr r="J1295" s="2"/>
      </tp>
      <tp t="s">
        <v>#N/A N/A</v>
        <stp/>
        <stp>BDP|1714242487643891060</stp>
        <tr r="P1355" s="2"/>
      </tp>
      <tp t="s">
        <v>#N/A N/A</v>
        <stp/>
        <stp>BDP|2898044970925715819</stp>
        <tr r="P998" s="2"/>
      </tp>
      <tp t="s">
        <v>#N/A N/A</v>
        <stp/>
        <stp>BDP|9799190244671651566</stp>
        <tr r="T618" s="2"/>
      </tp>
      <tp t="s">
        <v>#N/A N/A</v>
        <stp/>
        <stp>BDP|1958464793861207545</stp>
        <tr r="P450" s="2"/>
      </tp>
      <tp t="s">
        <v>#N/A N/A</v>
        <stp/>
        <stp>BDP|5651565190681281081</stp>
        <tr r="F1751" s="2"/>
      </tp>
      <tp t="s">
        <v>#N/A N/A</v>
        <stp/>
        <stp>BDP|5872755634811258811</stp>
        <tr r="G317" s="2"/>
      </tp>
      <tp t="s">
        <v>#N/A N/A</v>
        <stp/>
        <stp>BDP|1246298824039041059</stp>
        <tr r="M418" s="2"/>
      </tp>
      <tp t="s">
        <v>#N/A N/A</v>
        <stp/>
        <stp>BDP|1817572983005516133</stp>
        <tr r="T1695" s="2"/>
      </tp>
      <tp t="s">
        <v>#N/A N/A</v>
        <stp/>
        <stp>BDP|1831956936090548341</stp>
        <tr r="K1115" s="2"/>
      </tp>
      <tp t="s">
        <v>#N/A N/A</v>
        <stp/>
        <stp>BDP|5955865029691846641</stp>
        <tr r="R1067" s="2"/>
      </tp>
      <tp t="s">
        <v>#N/A N/A</v>
        <stp/>
        <stp>BDP|1368338038488684140</stp>
        <tr r="M635" s="2"/>
      </tp>
      <tp t="s">
        <v>#N/A N/A</v>
        <stp/>
        <stp>BDP|4736019675042810919</stp>
        <tr r="C300" s="2"/>
      </tp>
      <tp t="s">
        <v>#N/A N/A</v>
        <stp/>
        <stp>BDP|9402253331621812126</stp>
        <tr r="H1714" s="2"/>
      </tp>
      <tp t="s">
        <v>#N/A N/A</v>
        <stp/>
        <stp>BDP|4114396990095219304</stp>
        <tr r="M843" s="2"/>
      </tp>
      <tp t="s">
        <v>#N/A N/A</v>
        <stp/>
        <stp>BDP|3444202552145801942</stp>
        <tr r="S574" s="2"/>
      </tp>
      <tp t="s">
        <v>#N/A N/A</v>
        <stp/>
        <stp>BDP|9913523553239275802</stp>
        <tr r="F1571" s="2"/>
      </tp>
      <tp t="s">
        <v>#N/A N/A</v>
        <stp/>
        <stp>BDP|9392203939731804188</stp>
        <tr r="K1297" s="2"/>
      </tp>
      <tp t="s">
        <v>#N/A N/A</v>
        <stp/>
        <stp>BDP|2646555476291776981</stp>
        <tr r="D1371" s="2"/>
      </tp>
      <tp t="s">
        <v>#N/A N/A</v>
        <stp/>
        <stp>BDP|3299168080872694085</stp>
        <tr r="R183" s="2"/>
      </tp>
      <tp t="s">
        <v>#N/A N/A</v>
        <stp/>
        <stp>BDP|9502490034725213302</stp>
        <tr r="O1412" s="2"/>
      </tp>
      <tp t="s">
        <v>#N/A N/A</v>
        <stp/>
        <stp>BDP|5259450594343818310</stp>
        <tr r="M412" s="2"/>
      </tp>
      <tp t="s">
        <v>#N/A N/A</v>
        <stp/>
        <stp>BDP|5208167525728351682</stp>
        <tr r="P1099" s="2"/>
      </tp>
      <tp t="s">
        <v>#N/A N/A</v>
        <stp/>
        <stp>BDP|4018819608146677258</stp>
        <tr r="R1531" s="2"/>
      </tp>
      <tp t="s">
        <v>#N/A N/A</v>
        <stp/>
        <stp>BDP|1432802765881364689</stp>
        <tr r="M61" s="2"/>
      </tp>
      <tp t="s">
        <v>#N/A N/A</v>
        <stp/>
        <stp>BDP|3111601170028303299</stp>
        <tr r="N833" s="2"/>
      </tp>
      <tp t="s">
        <v>#N/A N/A</v>
        <stp/>
        <stp>BDP|4925004716909738435</stp>
        <tr r="M402" s="2"/>
      </tp>
      <tp t="s">
        <v>#N/A N/A</v>
        <stp/>
        <stp>BDP|1950123625942347863</stp>
        <tr r="D992" s="2"/>
      </tp>
      <tp t="s">
        <v>#N/A N/A</v>
        <stp/>
        <stp>BDP|8874463577835363612</stp>
        <tr r="P1739" s="2"/>
      </tp>
      <tp t="s">
        <v>#N/A N/A</v>
        <stp/>
        <stp>BDP|9674930691405633498</stp>
        <tr r="Q882" s="2"/>
      </tp>
      <tp t="s">
        <v>#N/A N/A</v>
        <stp/>
        <stp>BDP|1456187688039991963</stp>
        <tr r="P379" s="2"/>
      </tp>
      <tp t="s">
        <v>#N/A N/A</v>
        <stp/>
        <stp>BDP|5022653188857750417</stp>
        <tr r="E155" s="2"/>
      </tp>
      <tp t="s">
        <v>#N/A N/A</v>
        <stp/>
        <stp>BDP|2282082045809508719</stp>
        <tr r="C597" s="2"/>
      </tp>
      <tp t="s">
        <v>#N/A N/A</v>
        <stp/>
        <stp>BDP|5668541481482881201</stp>
        <tr r="A395" s="2"/>
      </tp>
      <tp t="s">
        <v>#N/A N/A</v>
        <stp/>
        <stp>BDP|8761291141092057448</stp>
        <tr r="P240" s="2"/>
      </tp>
      <tp t="s">
        <v>#N/A N/A</v>
        <stp/>
        <stp>BDP|3387665955729334183</stp>
        <tr r="P298" s="2"/>
      </tp>
      <tp t="s">
        <v>#N/A N/A</v>
        <stp/>
        <stp>BDP|9305835293970898008</stp>
        <tr r="G804" s="2"/>
      </tp>
      <tp t="s">
        <v>#N/A N/A</v>
        <stp/>
        <stp>BDP|2293941695192006884</stp>
        <tr r="T153" s="2"/>
      </tp>
      <tp t="s">
        <v>#N/A N/A</v>
        <stp/>
        <stp>BDP|8240508324754830354</stp>
        <tr r="F360" s="2"/>
      </tp>
      <tp t="s">
        <v>#N/A N/A</v>
        <stp/>
        <stp>BDP|8004791408461881622</stp>
        <tr r="H1345" s="2"/>
      </tp>
      <tp t="s">
        <v>#N/A N/A</v>
        <stp/>
        <stp>BDP|9890766769302442286</stp>
        <tr r="K653" s="2"/>
      </tp>
      <tp t="s">
        <v>#N/A N/A</v>
        <stp/>
        <stp>BDP|4954553687875249424</stp>
        <tr r="P618" s="2"/>
      </tp>
      <tp t="s">
        <v>#N/A N/A</v>
        <stp/>
        <stp>BDP|2361541408897111850</stp>
        <tr r="D292" s="2"/>
      </tp>
      <tp t="s">
        <v>#N/A N/A</v>
        <stp/>
        <stp>BDS|4735270176920896951</stp>
        <tr r="I1270" s="2"/>
      </tp>
      <tp t="s">
        <v>#N/A N/A</v>
        <stp/>
        <stp>BDP|9935377387208269201</stp>
        <tr r="J877" s="2"/>
      </tp>
      <tp t="s">
        <v>#N/A N/A</v>
        <stp/>
        <stp>BDP|7085328406695762981</stp>
        <tr r="N520" s="2"/>
      </tp>
      <tp t="s">
        <v>#N/A N/A</v>
        <stp/>
        <stp>BDP|7054667539252505810</stp>
        <tr r="N1518" s="2"/>
      </tp>
      <tp t="s">
        <v>#N/A N/A</v>
        <stp/>
        <stp>BDP|8713450537472606586</stp>
        <tr r="C662" s="2"/>
      </tp>
      <tp t="s">
        <v>#N/A N/A</v>
        <stp/>
        <stp>BDP|7942777894089250835</stp>
        <tr r="G1550" s="2"/>
      </tp>
      <tp t="s">
        <v>#N/A N/A</v>
        <stp/>
        <stp>BDP|4480773441287021898</stp>
        <tr r="G66" s="2"/>
      </tp>
      <tp t="s">
        <v>#N/A N/A</v>
        <stp/>
        <stp>BDP|4533554422329854213</stp>
        <tr r="C1662" s="2"/>
      </tp>
      <tp t="s">
        <v>#N/A N/A</v>
        <stp/>
        <stp>BDP|8125412006621518585</stp>
        <tr r="H642" s="2"/>
      </tp>
      <tp t="s">
        <v>#N/A N/A</v>
        <stp/>
        <stp>BDP|1134987683411339921</stp>
        <tr r="N128" s="2"/>
      </tp>
      <tp t="s">
        <v>#N/A N/A</v>
        <stp/>
        <stp>BDP|8632445102457861331</stp>
        <tr r="P952" s="2"/>
      </tp>
      <tp t="s">
        <v>#N/A N/A</v>
        <stp/>
        <stp>BDP|3413194832630058943</stp>
        <tr r="A1437" s="2"/>
      </tp>
      <tp t="s">
        <v>#N/A N/A</v>
        <stp/>
        <stp>BDP|2719931657256022085</stp>
        <tr r="M587" s="2"/>
      </tp>
      <tp t="s">
        <v>#N/A N/A</v>
        <stp/>
        <stp>BDP|6943782577208903640</stp>
        <tr r="S483" s="2"/>
      </tp>
      <tp t="s">
        <v>#N/A N/A</v>
        <stp/>
        <stp>BDP|3702181285856986485</stp>
        <tr r="M296" s="2"/>
      </tp>
      <tp t="s">
        <v>#N/A N/A</v>
        <stp/>
        <stp>BDP|6930178125834358932</stp>
        <tr r="H645" s="2"/>
      </tp>
      <tp t="s">
        <v>#N/A N/A</v>
        <stp/>
        <stp>BDP|8830225673683644640</stp>
        <tr r="H796" s="2"/>
      </tp>
      <tp t="s">
        <v>#N/A N/A</v>
        <stp/>
        <stp>BDP|9287323931526908738</stp>
        <tr r="R579" s="2"/>
      </tp>
      <tp t="s">
        <v>#N/A N/A</v>
        <stp/>
        <stp>BDP|1565219559667417911</stp>
        <tr r="O391" s="2"/>
      </tp>
      <tp t="s">
        <v>#N/A N/A</v>
        <stp/>
        <stp>BDP|5552800628823267472</stp>
        <tr r="M804" s="2"/>
      </tp>
      <tp t="s">
        <v>#N/A N/A</v>
        <stp/>
        <stp>BDP|6330079628694410804</stp>
        <tr r="J1451" s="2"/>
      </tp>
      <tp t="s">
        <v>#N/A N/A</v>
        <stp/>
        <stp>BDP|7698975759533413041</stp>
        <tr r="T1186" s="2"/>
      </tp>
      <tp t="s">
        <v>#N/A N/A</v>
        <stp/>
        <stp>BDP|1881822480091127831</stp>
        <tr r="T985" s="2"/>
      </tp>
      <tp t="s">
        <v>#N/A N/A</v>
        <stp/>
        <stp>BDP|2593707052219955161</stp>
        <tr r="E1747" s="2"/>
      </tp>
      <tp t="s">
        <v>#N/A N/A</v>
        <stp/>
        <stp>BDP|5036969959268219951</stp>
        <tr r="G1655" s="2"/>
      </tp>
      <tp t="s">
        <v>#N/A N/A</v>
        <stp/>
        <stp>BDP|9542630421164753188</stp>
        <tr r="Q1671" s="2"/>
      </tp>
      <tp t="s">
        <v>#N/A N/A</v>
        <stp/>
        <stp>BDP|5872817016883426732</stp>
        <tr r="Q63" s="2"/>
      </tp>
      <tp t="s">
        <v>#N/A N/A</v>
        <stp/>
        <stp>BDP|8536650219587558049</stp>
        <tr r="R1122" s="2"/>
      </tp>
      <tp t="s">
        <v>#N/A N/A</v>
        <stp/>
        <stp>BDP|9133179167657176181</stp>
        <tr r="J290" s="2"/>
      </tp>
      <tp t="s">
        <v>#N/A N/A</v>
        <stp/>
        <stp>BDP|6962729352314112807</stp>
        <tr r="D1637" s="2"/>
      </tp>
      <tp t="s">
        <v>#N/A N/A</v>
        <stp/>
        <stp>BDP|2881666330727538837</stp>
        <tr r="M1705" s="2"/>
      </tp>
      <tp t="s">
        <v>#N/A N/A</v>
        <stp/>
        <stp>BDP|9985301708591893318</stp>
        <tr r="J443" s="2"/>
      </tp>
      <tp t="s">
        <v>#N/A N/A</v>
        <stp/>
        <stp>BDP|4007885343824112420</stp>
        <tr r="Q1452" s="2"/>
      </tp>
      <tp t="s">
        <v>#N/A N/A</v>
        <stp/>
        <stp>BDS|1171449018864712828</stp>
        <tr r="I512" s="2"/>
      </tp>
      <tp t="s">
        <v>#N/A N/A</v>
        <stp/>
        <stp>BDP|6839635203469398134</stp>
        <tr r="H1571" s="2"/>
      </tp>
      <tp t="s">
        <v>#N/A N/A</v>
        <stp/>
        <stp>BDP|2746084105723313919</stp>
        <tr r="S784" s="2"/>
      </tp>
      <tp t="s">
        <v>#N/A N/A</v>
        <stp/>
        <stp>BDP|8223665612504755398</stp>
        <tr r="E956" s="2"/>
      </tp>
      <tp t="s">
        <v>#N/A N/A</v>
        <stp/>
        <stp>BDP|4065311788930552744</stp>
        <tr r="N869" s="2"/>
      </tp>
      <tp t="s">
        <v>#N/A N/A</v>
        <stp/>
        <stp>BDP|3263803331059929928</stp>
        <tr r="A1718" s="2"/>
      </tp>
      <tp t="s">
        <v>#N/A N/A</v>
        <stp/>
        <stp>BDP|9449694640260346369</stp>
        <tr r="T1041" s="2"/>
      </tp>
      <tp t="s">
        <v>#N/A N/A</v>
        <stp/>
        <stp>BDP|2686202306458919010</stp>
        <tr r="M1595" s="2"/>
      </tp>
      <tp t="s">
        <v>#N/A N/A</v>
        <stp/>
        <stp>BDS|9479268036289437983</stp>
        <tr r="I248" s="2"/>
      </tp>
      <tp t="s">
        <v>#N/A N/A</v>
        <stp/>
        <stp>BDP|3594911393223722886</stp>
        <tr r="J960" s="2"/>
      </tp>
      <tp t="s">
        <v>#N/A N/A</v>
        <stp/>
        <stp>BDP|9879420275132089070</stp>
        <tr r="H225" s="2"/>
      </tp>
      <tp t="s">
        <v>#N/A N/A</v>
        <stp/>
        <stp>BDP|8407109749202638736</stp>
        <tr r="A658" s="2"/>
      </tp>
      <tp t="s">
        <v>#N/A N/A</v>
        <stp/>
        <stp>BDP|3684375301149078185</stp>
        <tr r="N667" s="2"/>
      </tp>
      <tp t="s">
        <v>#N/A N/A</v>
        <stp/>
        <stp>BDP|3856979157050419743</stp>
        <tr r="O1452" s="2"/>
      </tp>
      <tp t="s">
        <v>#N/A N/A</v>
        <stp/>
        <stp>BDP|5905810715515252171</stp>
        <tr r="O1261" s="2"/>
      </tp>
      <tp t="s">
        <v>#N/A N/A</v>
        <stp/>
        <stp>BDP|7351752009148706007</stp>
        <tr r="P688" s="2"/>
      </tp>
      <tp t="s">
        <v>#N/A N/A</v>
        <stp/>
        <stp>BDP|5728121893284620182</stp>
        <tr r="H1123" s="2"/>
      </tp>
      <tp t="s">
        <v>#N/A N/A</v>
        <stp/>
        <stp>BDP|8320036419299914886</stp>
        <tr r="D1585" s="2"/>
      </tp>
      <tp t="s">
        <v>#N/A N/A</v>
        <stp/>
        <stp>BDP|1203916426002461090</stp>
        <tr r="M914" s="2"/>
      </tp>
      <tp t="s">
        <v>#N/A N/A</v>
        <stp/>
        <stp>BDP|5672532530193547880</stp>
        <tr r="Q528" s="2"/>
      </tp>
      <tp t="s">
        <v>#N/A N/A</v>
        <stp/>
        <stp>BDP|8710382437574257420</stp>
        <tr r="A132" s="2"/>
      </tp>
      <tp t="s">
        <v>#N/A N/A</v>
        <stp/>
        <stp>BDP|7247943268979494924</stp>
        <tr r="Q116" s="2"/>
      </tp>
      <tp t="s">
        <v>#N/A N/A</v>
        <stp/>
        <stp>BDP|3371773280306871243</stp>
        <tr r="A1079" s="2"/>
      </tp>
      <tp t="s">
        <v>#N/A N/A</v>
        <stp/>
        <stp>BDP|9351226775046418281</stp>
        <tr r="Q1693" s="2"/>
      </tp>
      <tp t="s">
        <v>#N/A N/A</v>
        <stp/>
        <stp>BDP|8360370925574860517</stp>
        <tr r="R82" s="2"/>
      </tp>
      <tp t="s">
        <v>#N/A N/A</v>
        <stp/>
        <stp>BDP|9197630897979428797</stp>
        <tr r="M530" s="2"/>
      </tp>
      <tp t="s">
        <v>#N/A N/A</v>
        <stp/>
        <stp>BDP|5207202926639844445</stp>
        <tr r="G1074" s="2"/>
      </tp>
      <tp t="s">
        <v>#N/A N/A</v>
        <stp/>
        <stp>BDP|6388788001020361913</stp>
        <tr r="O1251" s="2"/>
      </tp>
      <tp t="s">
        <v>#N/A N/A</v>
        <stp/>
        <stp>BDP|1253222016712613885</stp>
        <tr r="P1187" s="2"/>
      </tp>
      <tp t="s">
        <v>#N/A N/A</v>
        <stp/>
        <stp>BDP|8425424669736423437</stp>
        <tr r="E1682" s="2"/>
      </tp>
      <tp t="s">
        <v>#N/A N/A</v>
        <stp/>
        <stp>BDP|8692053025970630287</stp>
        <tr r="C1287" s="2"/>
      </tp>
      <tp t="s">
        <v>#N/A N/A</v>
        <stp/>
        <stp>BDP|5128801355994852448</stp>
        <tr r="R1202" s="2"/>
      </tp>
      <tp t="s">
        <v>#N/A N/A</v>
        <stp/>
        <stp>BDP|5408953065783552196</stp>
        <tr r="A1607" s="2"/>
      </tp>
      <tp t="s">
        <v>#N/A N/A</v>
        <stp/>
        <stp>BDP|9149417301451890419</stp>
        <tr r="O667" s="2"/>
      </tp>
      <tp t="s">
        <v>#N/A N/A</v>
        <stp/>
        <stp>BDP|6558457991510904301</stp>
        <tr r="C475" s="2"/>
      </tp>
      <tp t="s">
        <v>#N/A N/A</v>
        <stp/>
        <stp>BDP|1777725538665725820</stp>
        <tr r="G1706" s="2"/>
      </tp>
      <tp t="s">
        <v>#N/A N/A</v>
        <stp/>
        <stp>BDP|7780785942428496416</stp>
        <tr r="C46" s="2"/>
      </tp>
      <tp t="s">
        <v>#N/A N/A</v>
        <stp/>
        <stp>BDP|9406967689772128224</stp>
        <tr r="S1609" s="2"/>
      </tp>
      <tp t="s">
        <v>#N/A N/A</v>
        <stp/>
        <stp>BDP|9687801284370276194</stp>
        <tr r="M1289" s="2"/>
      </tp>
      <tp t="s">
        <v>#N/A N/A</v>
        <stp/>
        <stp>BDP|7459777459859469475</stp>
        <tr r="D571" s="2"/>
      </tp>
      <tp t="s">
        <v>#N/A N/A</v>
        <stp/>
        <stp>BDP|4770684484496064428</stp>
        <tr r="H900" s="2"/>
      </tp>
      <tp t="s">
        <v>#N/A N/A</v>
        <stp/>
        <stp>BDP|8658774600450190795</stp>
        <tr r="J153" s="2"/>
      </tp>
      <tp t="s">
        <v>#N/A N/A</v>
        <stp/>
        <stp>BDP|8668985443619486404</stp>
        <tr r="J1404" s="2"/>
      </tp>
      <tp t="s">
        <v>#N/A N/A</v>
        <stp/>
        <stp>BDS|5430603527521946839</stp>
        <tr r="I251" s="2"/>
      </tp>
      <tp t="s">
        <v>#N/A N/A</v>
        <stp/>
        <stp>BDP|4391717868215640853</stp>
        <tr r="K1475" s="2"/>
      </tp>
      <tp t="s">
        <v>#N/A N/A</v>
        <stp/>
        <stp>BDP|7502460670654399894</stp>
        <tr r="R457" s="2"/>
      </tp>
      <tp t="s">
        <v>#N/A N/A</v>
        <stp/>
        <stp>BDP|4637239792452971573</stp>
        <tr r="K520" s="2"/>
      </tp>
      <tp t="s">
        <v>#N/A N/A</v>
        <stp/>
        <stp>BDS|6098433364474779890</stp>
        <tr r="I347" s="2"/>
      </tp>
      <tp t="s">
        <v>#N/A N/A</v>
        <stp/>
        <stp>BDP|6406283289821460587</stp>
        <tr r="N1669" s="2"/>
      </tp>
      <tp t="s">
        <v>#N/A N/A</v>
        <stp/>
        <stp>BDP|6878955168992942355</stp>
        <tr r="Q1533" s="2"/>
      </tp>
      <tp t="s">
        <v>#N/A N/A</v>
        <stp/>
        <stp>BDP|8899583003433824626</stp>
        <tr r="K840" s="2"/>
      </tp>
      <tp t="s">
        <v>#N/A N/A</v>
        <stp/>
        <stp>BDP|1369184742954844885</stp>
        <tr r="C398" s="2"/>
      </tp>
      <tp t="s">
        <v>#N/A N/A</v>
        <stp/>
        <stp>BDP|8289605339654375116</stp>
        <tr r="S1674" s="2"/>
      </tp>
      <tp t="s">
        <v>#N/A N/A</v>
        <stp/>
        <stp>BDP|3112113959966779971</stp>
        <tr r="O1618" s="2"/>
      </tp>
      <tp t="s">
        <v>#N/A N/A</v>
        <stp/>
        <stp>BDP|7604239442651820860</stp>
        <tr r="S1394" s="2"/>
      </tp>
      <tp t="s">
        <v>#N/A N/A</v>
        <stp/>
        <stp>BDP|8978771839752787694</stp>
        <tr r="E630" s="2"/>
      </tp>
      <tp t="s">
        <v>#N/A N/A</v>
        <stp/>
        <stp>BDP|4798370100399853612</stp>
        <tr r="P647" s="2"/>
      </tp>
      <tp t="s">
        <v>#N/A N/A</v>
        <stp/>
        <stp>BDP|2715797300504469938</stp>
        <tr r="E1175" s="2"/>
      </tp>
      <tp t="s">
        <v>#N/A N/A</v>
        <stp/>
        <stp>BDP|1847225171588702458</stp>
        <tr r="R1540" s="2"/>
      </tp>
      <tp t="s">
        <v>#N/A N/A</v>
        <stp/>
        <stp>BDP|2264599997055035350</stp>
        <tr r="S1298" s="2"/>
      </tp>
      <tp t="s">
        <v>#N/A N/A</v>
        <stp/>
        <stp>BDP|5135940140728989850</stp>
        <tr r="Q1184" s="2"/>
      </tp>
      <tp t="s">
        <v>#N/A N/A</v>
        <stp/>
        <stp>BDP|7846643041385684820</stp>
        <tr r="M1016" s="2"/>
      </tp>
      <tp t="s">
        <v>#N/A N/A</v>
        <stp/>
        <stp>BDP|4088414390391134093</stp>
        <tr r="E595" s="2"/>
      </tp>
      <tp t="s">
        <v>#N/A N/A</v>
        <stp/>
        <stp>BDP|1890934572910023709</stp>
        <tr r="N1303" s="2"/>
      </tp>
      <tp t="s">
        <v>#N/A N/A</v>
        <stp/>
        <stp>BDP|6124094786530490635</stp>
        <tr r="Q1625" s="2"/>
      </tp>
      <tp t="s">
        <v>#N/A N/A</v>
        <stp/>
        <stp>BDP|6434916958325689720</stp>
        <tr r="K1063" s="2"/>
      </tp>
      <tp t="s">
        <v>#N/A N/A</v>
        <stp/>
        <stp>BDP|6821751562109255649</stp>
        <tr r="K1582" s="2"/>
      </tp>
      <tp t="s">
        <v>#N/A N/A</v>
        <stp/>
        <stp>BDP|1242014550899852523</stp>
        <tr r="F1106" s="2"/>
      </tp>
      <tp t="s">
        <v>#N/A N/A</v>
        <stp/>
        <stp>BDP|7269975294449842602</stp>
        <tr r="Q297" s="2"/>
      </tp>
      <tp t="s">
        <v>#N/A N/A</v>
        <stp/>
        <stp>BDP|2427540074308413090</stp>
        <tr r="D659" s="2"/>
      </tp>
      <tp t="s">
        <v>#N/A N/A</v>
        <stp/>
        <stp>BDP|9362020959484224030</stp>
        <tr r="R786" s="2"/>
      </tp>
      <tp t="s">
        <v>#N/A N/A</v>
        <stp/>
        <stp>BDP|8464624762671938147</stp>
        <tr r="Q1656" s="2"/>
      </tp>
      <tp t="s">
        <v>#N/A N/A</v>
        <stp/>
        <stp>BDP|8952293460401938501</stp>
        <tr r="C833" s="2"/>
      </tp>
      <tp t="s">
        <v>#N/A N/A</v>
        <stp/>
        <stp>BDP|9241879146734818928</stp>
        <tr r="N671" s="2"/>
      </tp>
      <tp t="s">
        <v>#N/A N/A</v>
        <stp/>
        <stp>BDP|9220946499143374250</stp>
        <tr r="C460" s="2"/>
      </tp>
      <tp t="s">
        <v>#N/A N/A</v>
        <stp/>
        <stp>BDP|1722054438623143926</stp>
        <tr r="A688" s="2"/>
      </tp>
      <tp t="s">
        <v>#N/A N/A</v>
        <stp/>
        <stp>BDS|7068102538589814491</stp>
        <tr r="I1235" s="2"/>
      </tp>
      <tp t="s">
        <v>#N/A N/A</v>
        <stp/>
        <stp>BDP|1800113626463714913</stp>
        <tr r="K1039" s="2"/>
      </tp>
      <tp t="s">
        <v>#N/A N/A</v>
        <stp/>
        <stp>BDP|4165997020024303324</stp>
        <tr r="G1647" s="2"/>
      </tp>
      <tp t="s">
        <v>#N/A N/A</v>
        <stp/>
        <stp>BDP|6223194396334437203</stp>
        <tr r="H797" s="2"/>
      </tp>
      <tp t="s">
        <v>#N/A N/A</v>
        <stp/>
        <stp>BDP|9917723256267057440</stp>
        <tr r="R772" s="2"/>
      </tp>
      <tp t="s">
        <v>#N/A N/A</v>
        <stp/>
        <stp>BDP|5641675464828458589</stp>
        <tr r="N527" s="2"/>
      </tp>
      <tp t="s">
        <v>#N/A N/A</v>
        <stp/>
        <stp>BDP|9134559336944839335</stp>
        <tr r="F790" s="2"/>
      </tp>
      <tp t="s">
        <v>#N/A N/A</v>
        <stp/>
        <stp>BDS|9479781356737172420</stp>
        <tr r="I763" s="2"/>
      </tp>
      <tp t="s">
        <v>#N/A N/A</v>
        <stp/>
        <stp>BDP|5478285932325527927</stp>
        <tr r="K385" s="2"/>
      </tp>
      <tp t="s">
        <v>#N/A N/A</v>
        <stp/>
        <stp>BDP|7538917896636956923</stp>
        <tr r="P1120" s="2"/>
      </tp>
      <tp t="s">
        <v>#N/A N/A</v>
        <stp/>
        <stp>BDP|8435477979223019033</stp>
        <tr r="J580" s="2"/>
      </tp>
      <tp t="s">
        <v>#N/A N/A</v>
        <stp/>
        <stp>BDP|7737788007858463051</stp>
        <tr r="P1452" s="2"/>
      </tp>
      <tp t="s">
        <v>#N/A N/A</v>
        <stp/>
        <stp>BDP|1077438444870733993</stp>
        <tr r="Q826" s="2"/>
      </tp>
      <tp t="s">
        <v>#N/A N/A</v>
        <stp/>
        <stp>BDP|7974933815661068663</stp>
        <tr r="R520" s="2"/>
      </tp>
      <tp t="s">
        <v>#N/A N/A</v>
        <stp/>
        <stp>BDS|9798292849372795595</stp>
        <tr r="I844" s="2"/>
      </tp>
      <tp t="s">
        <v>#N/A N/A</v>
        <stp/>
        <stp>BDP|5115097315115328972</stp>
        <tr r="G1119" s="2"/>
      </tp>
      <tp t="s">
        <v>#N/A N/A</v>
        <stp/>
        <stp>BDP|4462673742858987613</stp>
        <tr r="O284" s="2"/>
      </tp>
      <tp t="s">
        <v>#N/A N/A</v>
        <stp/>
        <stp>BDP|3756112833040418980</stp>
        <tr r="T1129" s="2"/>
      </tp>
      <tp t="s">
        <v>#N/A N/A</v>
        <stp/>
        <stp>BDP|9056764479648608901</stp>
        <tr r="R69" s="2"/>
      </tp>
      <tp t="s">
        <v>#N/A N/A</v>
        <stp/>
        <stp>BDP|9494853430368622292</stp>
        <tr r="R810" s="2"/>
      </tp>
      <tp t="s">
        <v>#N/A N/A</v>
        <stp/>
        <stp>BDP|9210782341575097756</stp>
        <tr r="O1450" s="2"/>
      </tp>
      <tp t="s">
        <v>#N/A N/A</v>
        <stp/>
        <stp>BDP|1987732265200608871</stp>
        <tr r="R278" s="2"/>
      </tp>
      <tp t="s">
        <v>#N/A N/A</v>
        <stp/>
        <stp>BDP|1733653700578848748</stp>
        <tr r="S265" s="2"/>
      </tp>
      <tp t="s">
        <v>#N/A N/A</v>
        <stp/>
        <stp>BDP|6337920776152096293</stp>
        <tr r="S1333" s="2"/>
      </tp>
      <tp t="s">
        <v>#N/A N/A</v>
        <stp/>
        <stp>BDP|7602131878269532068</stp>
        <tr r="K659" s="2"/>
      </tp>
      <tp t="s">
        <v>#N/A N/A</v>
        <stp/>
        <stp>BDP|3029278692361910120</stp>
        <tr r="O1089" s="2"/>
      </tp>
      <tp t="s">
        <v>#N/A N/A</v>
        <stp/>
        <stp>BDP|9201682649121403298</stp>
        <tr r="T1052" s="2"/>
      </tp>
      <tp t="s">
        <v>#N/A N/A</v>
        <stp/>
        <stp>BDP|1121651189931491679</stp>
        <tr r="D1750" s="2"/>
      </tp>
      <tp t="s">
        <v>#N/A N/A</v>
        <stp/>
        <stp>BDP|9436185239230295397</stp>
        <tr r="N954" s="2"/>
      </tp>
      <tp t="s">
        <v>#N/A N/A</v>
        <stp/>
        <stp>BDP|2249266197723579288</stp>
        <tr r="H1549" s="2"/>
      </tp>
      <tp t="s">
        <v>#N/A N/A</v>
        <stp/>
        <stp>BDP|1689594456301510824</stp>
        <tr r="D552" s="2"/>
      </tp>
      <tp t="s">
        <v>#N/A N/A</v>
        <stp/>
        <stp>BDP|1173438890526503290</stp>
        <tr r="A37" s="2"/>
      </tp>
      <tp t="s">
        <v>#N/A N/A</v>
        <stp/>
        <stp>BDP|3982421194346644073</stp>
        <tr r="F56" s="2"/>
      </tp>
      <tp t="s">
        <v>#N/A N/A</v>
        <stp/>
        <stp>BDP|2318215312370631989</stp>
        <tr r="M6" s="2"/>
      </tp>
      <tp t="s">
        <v>#N/A N/A</v>
        <stp/>
        <stp>BDP|2774903908711081216</stp>
        <tr r="F93" s="2"/>
      </tp>
      <tp t="s">
        <v>#N/A N/A</v>
        <stp/>
        <stp>BDP|5458914634541911668</stp>
        <tr r="S1182" s="2"/>
      </tp>
      <tp t="s">
        <v>#N/A N/A</v>
        <stp/>
        <stp>BDP|7164837291097949949</stp>
        <tr r="A1380" s="2"/>
      </tp>
      <tp t="s">
        <v>#N/A N/A</v>
        <stp/>
        <stp>BDP|8686796706612470533</stp>
        <tr r="M1318" s="2"/>
      </tp>
      <tp t="s">
        <v>#N/A N/A</v>
        <stp/>
        <stp>BDP|6486990549775216682</stp>
        <tr r="J1169" s="2"/>
      </tp>
      <tp t="s">
        <v>#N/A N/A</v>
        <stp/>
        <stp>BDP|4145192940940049964</stp>
        <tr r="N1391" s="2"/>
      </tp>
      <tp t="s">
        <v>#N/A N/A</v>
        <stp/>
        <stp>BDP|9892772013026253101</stp>
        <tr r="P1193" s="2"/>
      </tp>
      <tp t="s">
        <v>#N/A N/A</v>
        <stp/>
        <stp>BDP|7626518282291350382</stp>
        <tr r="G691" s="2"/>
      </tp>
      <tp t="s">
        <v>#N/A N/A</v>
        <stp/>
        <stp>BDP|4144580693756380675</stp>
        <tr r="R444" s="2"/>
      </tp>
      <tp t="s">
        <v>#N/A N/A</v>
        <stp/>
        <stp>BDP|7250885415562822499</stp>
        <tr r="N1527" s="2"/>
      </tp>
      <tp t="s">
        <v>#N/A N/A</v>
        <stp/>
        <stp>BDP|8147236698969676222</stp>
        <tr r="G1501" s="2"/>
      </tp>
      <tp t="s">
        <v>#N/A N/A</v>
        <stp/>
        <stp>BDP|9786685867714762512</stp>
        <tr r="H992" s="2"/>
      </tp>
      <tp t="s">
        <v>#N/A N/A</v>
        <stp/>
        <stp>BDP|6166107062019969049</stp>
        <tr r="E1017" s="2"/>
      </tp>
      <tp t="s">
        <v>#N/A N/A</v>
        <stp/>
        <stp>BDP|5972628164524828996</stp>
        <tr r="N892" s="2"/>
      </tp>
      <tp t="s">
        <v>#N/A N/A</v>
        <stp/>
        <stp>BDP|7232825947966066597</stp>
        <tr r="Q958" s="2"/>
      </tp>
      <tp t="s">
        <v>#N/A N/A</v>
        <stp/>
        <stp>BDP|6961870224032555613</stp>
        <tr r="E784" s="2"/>
      </tp>
      <tp t="s">
        <v>#N/A N/A</v>
        <stp/>
        <stp>BDP|9739237718285406766</stp>
        <tr r="S706" s="2"/>
      </tp>
      <tp t="s">
        <v>#N/A N/A</v>
        <stp/>
        <stp>BDP|1381644001488991711</stp>
        <tr r="H547" s="2"/>
      </tp>
      <tp t="s">
        <v>#N/A N/A</v>
        <stp/>
        <stp>BDP|8197604068985745500</stp>
        <tr r="K139" s="2"/>
      </tp>
      <tp t="s">
        <v>#N/A N/A</v>
        <stp/>
        <stp>BDP|1175795313109469616</stp>
        <tr r="K166" s="2"/>
      </tp>
      <tp t="s">
        <v>#N/A N/A</v>
        <stp/>
        <stp>BDP|7016577378569338423</stp>
        <tr r="C82" s="2"/>
      </tp>
      <tp t="s">
        <v>#N/A N/A</v>
        <stp/>
        <stp>BDP|7463939676731990063</stp>
        <tr r="A1005" s="2"/>
      </tp>
      <tp t="s">
        <v>#N/A N/A</v>
        <stp/>
        <stp>BDP|8561497375345417631</stp>
        <tr r="R1401" s="2"/>
      </tp>
      <tp t="s">
        <v>#N/A N/A</v>
        <stp/>
        <stp>BDP|1117624487785878227</stp>
        <tr r="A206" s="2"/>
      </tp>
      <tp t="s">
        <v>#N/A N/A</v>
        <stp/>
        <stp>BDP|1004895928262906165</stp>
        <tr r="A835" s="2"/>
      </tp>
      <tp t="s">
        <v>#N/A N/A</v>
        <stp/>
        <stp>BDP|2883033592522099175</stp>
        <tr r="R695" s="2"/>
      </tp>
      <tp t="s">
        <v>#N/A N/A</v>
        <stp/>
        <stp>BDP|8618408647402773288</stp>
        <tr r="F1260" s="2"/>
      </tp>
      <tp t="s">
        <v>#N/A N/A</v>
        <stp/>
        <stp>BDP|1483994011832161337</stp>
        <tr r="E432" s="2"/>
      </tp>
      <tp t="s">
        <v>#N/A N/A</v>
        <stp/>
        <stp>BDP|4645313138824427858</stp>
        <tr r="F1509" s="2"/>
      </tp>
      <tp t="s">
        <v>#N/A N/A</v>
        <stp/>
        <stp>BDP|1316650389482755565</stp>
        <tr r="S701" s="2"/>
      </tp>
      <tp t="s">
        <v>#N/A N/A</v>
        <stp/>
        <stp>BDP|2996579961631727861</stp>
        <tr r="A1234" s="2"/>
      </tp>
      <tp t="s">
        <v>#N/A N/A</v>
        <stp/>
        <stp>BDP|1826320057017207816</stp>
        <tr r="Q802" s="2"/>
      </tp>
      <tp t="s">
        <v>#N/A N/A</v>
        <stp/>
        <stp>BDP|9291496584369200438</stp>
        <tr r="N1575" s="2"/>
      </tp>
      <tp t="s">
        <v>#N/A N/A</v>
        <stp/>
        <stp>BDP|3469081219779844330</stp>
        <tr r="P713" s="2"/>
      </tp>
      <tp t="s">
        <v>#N/A N/A</v>
        <stp/>
        <stp>BDP|8120784375152730253</stp>
        <tr r="O1570" s="2"/>
      </tp>
      <tp t="s">
        <v>#N/A N/A</v>
        <stp/>
        <stp>BDP|3013041422761012881</stp>
        <tr r="E540" s="2"/>
      </tp>
      <tp t="s">
        <v>#N/A N/A</v>
        <stp/>
        <stp>BDP|7276665389662303302</stp>
        <tr r="R988" s="2"/>
      </tp>
      <tp t="s">
        <v>#N/A N/A</v>
        <stp/>
        <stp>BDS|2860965771200787472</stp>
        <tr r="I1429" s="2"/>
      </tp>
      <tp t="s">
        <v>#N/A N/A</v>
        <stp/>
        <stp>BDP|5171549889449502962</stp>
        <tr r="G741" s="2"/>
      </tp>
      <tp t="s">
        <v>#N/A N/A</v>
        <stp/>
        <stp>BDP|3312789985446076213</stp>
        <tr r="C367" s="2"/>
      </tp>
      <tp t="s">
        <v>#N/A N/A</v>
        <stp/>
        <stp>BDP|8262308868017062250</stp>
        <tr r="G974" s="2"/>
      </tp>
      <tp t="s">
        <v>#N/A N/A</v>
        <stp/>
        <stp>BDP|6356296750138389162</stp>
        <tr r="N189" s="2"/>
      </tp>
      <tp t="s">
        <v>#N/A N/A</v>
        <stp/>
        <stp>BDP|7681898204411187657</stp>
        <tr r="H652" s="2"/>
      </tp>
      <tp t="s">
        <v>#N/A N/A</v>
        <stp/>
        <stp>BDP|9911320465627251339</stp>
        <tr r="P712" s="2"/>
      </tp>
      <tp t="s">
        <v>#N/A N/A</v>
        <stp/>
        <stp>BDP|4897920905887231229</stp>
        <tr r="K584" s="2"/>
      </tp>
      <tp t="s">
        <v>#N/A N/A</v>
        <stp/>
        <stp>BDP|4652717112912252885</stp>
        <tr r="M304" s="2"/>
      </tp>
      <tp t="s">
        <v>#N/A N/A</v>
        <stp/>
        <stp>BDP|8768048912979698885</stp>
        <tr r="N762" s="2"/>
      </tp>
      <tp t="s">
        <v>#N/A N/A</v>
        <stp/>
        <stp>BDP|3388831439375593538</stp>
        <tr r="T873" s="2"/>
      </tp>
      <tp t="s">
        <v>#N/A N/A</v>
        <stp/>
        <stp>BDP|7283574048306037826</stp>
        <tr r="T918" s="2"/>
      </tp>
      <tp t="s">
        <v>#N/A N/A</v>
        <stp/>
        <stp>BDP|1167787387884162205</stp>
        <tr r="Q1653" s="2"/>
      </tp>
      <tp t="s">
        <v>#N/A N/A</v>
        <stp/>
        <stp>BDP|5209800028986215175</stp>
        <tr r="D408" s="2"/>
      </tp>
      <tp t="s">
        <v>#N/A N/A</v>
        <stp/>
        <stp>BDP|2180372040688958504</stp>
        <tr r="G1191" s="2"/>
      </tp>
      <tp t="s">
        <v>#N/A N/A</v>
        <stp/>
        <stp>BDP|7234906518300383763</stp>
        <tr r="R1663" s="2"/>
      </tp>
      <tp t="s">
        <v>#N/A N/A</v>
        <stp/>
        <stp>BDP|2927968251631635772</stp>
        <tr r="E212" s="2"/>
      </tp>
      <tp t="s">
        <v>#N/A N/A</v>
        <stp/>
        <stp>BDP|2920200978897956873</stp>
        <tr r="N1541" s="2"/>
      </tp>
      <tp t="s">
        <v>#N/A N/A</v>
        <stp/>
        <stp>BDP|7731992362406509669</stp>
        <tr r="A12" s="2"/>
      </tp>
      <tp t="s">
        <v>#N/A N/A</v>
        <stp/>
        <stp>BDP|2483370418239238166</stp>
        <tr r="G1113" s="2"/>
      </tp>
      <tp t="s">
        <v>#N/A N/A</v>
        <stp/>
        <stp>BDP|2498740662178941343</stp>
        <tr r="M1045" s="2"/>
      </tp>
      <tp t="s">
        <v>#N/A N/A</v>
        <stp/>
        <stp>BDP|8534644989858343644</stp>
        <tr r="C1581" s="2"/>
      </tp>
      <tp t="s">
        <v>#N/A N/A</v>
        <stp/>
        <stp>BDS|9293387355847422049</stp>
        <tr r="I368" s="2"/>
      </tp>
      <tp t="s">
        <v>#N/A N/A</v>
        <stp/>
        <stp>BDP|3040332672548992774</stp>
        <tr r="G1668" s="2"/>
      </tp>
      <tp t="s">
        <v>#N/A N/A</v>
        <stp/>
        <stp>BDP|4167972099908186414</stp>
        <tr r="A1398" s="2"/>
      </tp>
      <tp t="s">
        <v>#N/A N/A</v>
        <stp/>
        <stp>BDP|3970284166079969614</stp>
        <tr r="S1661" s="2"/>
      </tp>
      <tp t="s">
        <v>#N/A N/A</v>
        <stp/>
        <stp>BDP|5508992640174541466</stp>
        <tr r="F193" s="2"/>
      </tp>
      <tp t="s">
        <v>#N/A N/A</v>
        <stp/>
        <stp>BDP|7996033352588190266</stp>
        <tr r="G94" s="2"/>
      </tp>
      <tp t="s">
        <v>#N/A N/A</v>
        <stp/>
        <stp>BDP|5029545452429147487</stp>
        <tr r="T1181" s="2"/>
      </tp>
      <tp t="s">
        <v>#N/A N/A</v>
        <stp/>
        <stp>BDP|4270605190101872257</stp>
        <tr r="J867" s="2"/>
      </tp>
      <tp t="s">
        <v>#N/A N/A</v>
        <stp/>
        <stp>BDP|7293089787495252202</stp>
        <tr r="D1173" s="2"/>
      </tp>
      <tp t="s">
        <v>#N/A N/A</v>
        <stp/>
        <stp>BDP|2067397296131240126</stp>
        <tr r="C1496" s="2"/>
      </tp>
      <tp t="s">
        <v>#N/A N/A</v>
        <stp/>
        <stp>BDP|6217897220075124156</stp>
        <tr r="K1281" s="2"/>
      </tp>
      <tp t="s">
        <v>#N/A N/A</v>
        <stp/>
        <stp>BDP|9540638715991869741</stp>
        <tr r="E122" s="2"/>
      </tp>
      <tp t="s">
        <v>#N/A N/A</v>
        <stp/>
        <stp>BDP|5785585389978854814</stp>
        <tr r="D1752" s="2"/>
      </tp>
      <tp t="s">
        <v>#N/A N/A</v>
        <stp/>
        <stp>BDP|1552327210742195999</stp>
        <tr r="G1604" s="2"/>
      </tp>
      <tp t="s">
        <v>#N/A N/A</v>
        <stp/>
        <stp>BDP|9975453638100822632</stp>
        <tr r="E856" s="2"/>
      </tp>
      <tp t="s">
        <v>#N/A N/A</v>
        <stp/>
        <stp>BDP|4362327895227904127</stp>
        <tr r="O1036" s="2"/>
      </tp>
      <tp t="s">
        <v>#N/A N/A</v>
        <stp/>
        <stp>BDP|7608982536054410137</stp>
        <tr r="G945" s="2"/>
      </tp>
      <tp t="s">
        <v>#N/A N/A</v>
        <stp/>
        <stp>BDP|7420243858458458037</stp>
        <tr r="T1029" s="2"/>
      </tp>
      <tp t="s">
        <v>#N/A N/A</v>
        <stp/>
        <stp>BDP|4605356188824001349</stp>
        <tr r="H556" s="2"/>
      </tp>
      <tp t="s">
        <v>#N/A N/A</v>
        <stp/>
        <stp>BDP|8620666338794452131</stp>
        <tr r="J1201" s="2"/>
      </tp>
      <tp t="s">
        <v>#N/A N/A</v>
        <stp/>
        <stp>BDP|7753394387235468122</stp>
        <tr r="O700" s="2"/>
      </tp>
      <tp t="s">
        <v>#N/A N/A</v>
        <stp/>
        <stp>BDP|6361805900643575594</stp>
        <tr r="G1579" s="2"/>
      </tp>
      <tp t="s">
        <v>#N/A N/A</v>
        <stp/>
        <stp>BDP|3922974370946516377</stp>
        <tr r="G1200" s="2"/>
      </tp>
      <tp t="s">
        <v>#N/A N/A</v>
        <stp/>
        <stp>BDP|3967903147025350318</stp>
        <tr r="F1415" s="2"/>
      </tp>
      <tp t="s">
        <v>#N/A N/A</v>
        <stp/>
        <stp>BDP|3404985926761533139</stp>
        <tr r="C1301" s="2"/>
      </tp>
      <tp t="s">
        <v>#N/A N/A</v>
        <stp/>
        <stp>BDP|8788479696865380899</stp>
        <tr r="A77" s="2"/>
      </tp>
      <tp t="s">
        <v>#N/A N/A</v>
        <stp/>
        <stp>BDP|5822106935767908888</stp>
        <tr r="E557" s="2"/>
      </tp>
      <tp t="s">
        <v>#N/A N/A</v>
        <stp/>
        <stp>BDP|7851487488267321479</stp>
        <tr r="S1195" s="2"/>
      </tp>
      <tp t="s">
        <v>#N/A N/A</v>
        <stp/>
        <stp>BDP|9978332565977544363</stp>
        <tr r="E185" s="2"/>
      </tp>
      <tp t="s">
        <v>#N/A N/A</v>
        <stp/>
        <stp>BDP|3533143717182225988</stp>
        <tr r="P922" s="2"/>
      </tp>
      <tp t="s">
        <v>#N/A N/A</v>
        <stp/>
        <stp>BDP|7108854255915422794</stp>
        <tr r="F1378" s="2"/>
      </tp>
      <tp t="s">
        <v>#N/A N/A</v>
        <stp/>
        <stp>BDP|7814119081214441204</stp>
        <tr r="T842" s="2"/>
      </tp>
      <tp t="s">
        <v>#N/A N/A</v>
        <stp/>
        <stp>BDP|5570920889835145931</stp>
        <tr r="M779" s="2"/>
      </tp>
      <tp t="s">
        <v>#N/A N/A</v>
        <stp/>
        <stp>BDP|1364096322918511315</stp>
        <tr r="N251" s="2"/>
      </tp>
      <tp t="s">
        <v>#N/A N/A</v>
        <stp/>
        <stp>BDP|4939579673217769963</stp>
        <tr r="Q591" s="2"/>
      </tp>
      <tp t="s">
        <v>#N/A N/A</v>
        <stp/>
        <stp>BDP|3103661267979874243</stp>
        <tr r="O699" s="2"/>
      </tp>
      <tp t="s">
        <v>#N/A N/A</v>
        <stp/>
        <stp>BDP|4445451697921902030</stp>
        <tr r="G1430" s="2"/>
      </tp>
      <tp t="s">
        <v>#N/A N/A</v>
        <stp/>
        <stp>BDP|6184292844041051903</stp>
        <tr r="A1568" s="2"/>
      </tp>
      <tp t="s">
        <v>#N/A N/A</v>
        <stp/>
        <stp>BDP|6589084330578327527</stp>
        <tr r="F636" s="2"/>
      </tp>
      <tp t="s">
        <v>#N/A N/A</v>
        <stp/>
        <stp>BDP|1582726535805787891</stp>
        <tr r="Q1177" s="2"/>
      </tp>
      <tp t="s">
        <v>#N/A N/A</v>
        <stp/>
        <stp>BDP|6090218631818439785</stp>
        <tr r="O463" s="2"/>
      </tp>
      <tp t="s">
        <v>#N/A N/A</v>
        <stp/>
        <stp>BDP|3525591885943201575</stp>
        <tr r="T330" s="2"/>
      </tp>
      <tp t="s">
        <v>#N/A N/A</v>
        <stp/>
        <stp>BDP|4885089374952179990</stp>
        <tr r="O1368" s="2"/>
      </tp>
      <tp t="s">
        <v>#N/A N/A</v>
        <stp/>
        <stp>BDP|5011442191707890713</stp>
        <tr r="A948" s="2"/>
      </tp>
      <tp t="s">
        <v>#N/A N/A</v>
        <stp/>
        <stp>BDP|4284867347238969865</stp>
        <tr r="G1156" s="2"/>
      </tp>
      <tp t="s">
        <v>#N/A N/A</v>
        <stp/>
        <stp>BDP|9052441261127966402</stp>
        <tr r="N857" s="2"/>
      </tp>
      <tp t="s">
        <v>#N/A N/A</v>
        <stp/>
        <stp>BDP|1572332369428606450</stp>
        <tr r="M203" s="2"/>
      </tp>
      <tp t="s">
        <v>#N/A N/A</v>
        <stp/>
        <stp>BDP|2095404398817761032</stp>
        <tr r="C1000" s="2"/>
      </tp>
      <tp t="s">
        <v>#N/A N/A</v>
        <stp/>
        <stp>BDP|4841879542209275939</stp>
        <tr r="H571" s="2"/>
      </tp>
      <tp t="s">
        <v>#N/A N/A</v>
        <stp/>
        <stp>BDP|7501233717169843557</stp>
        <tr r="C814" s="2"/>
      </tp>
      <tp t="s">
        <v>#N/A N/A</v>
        <stp/>
        <stp>BDP|4880928785494212914</stp>
        <tr r="O873" s="2"/>
      </tp>
      <tp t="s">
        <v>#N/A N/A</v>
        <stp/>
        <stp>BDP|2889538302078735722</stp>
        <tr r="E1325" s="2"/>
      </tp>
      <tp t="s">
        <v>#N/A N/A</v>
        <stp/>
        <stp>BDP|8148637055341925223</stp>
        <tr r="M1404" s="2"/>
      </tp>
      <tp t="s">
        <v>#N/A N/A</v>
        <stp/>
        <stp>BDP|6987943291326191811</stp>
        <tr r="H536" s="2"/>
      </tp>
      <tp t="s">
        <v>#N/A N/A</v>
        <stp/>
        <stp>BDP|5731642025289832020</stp>
        <tr r="K190" s="2"/>
      </tp>
      <tp t="s">
        <v>#N/A N/A</v>
        <stp/>
        <stp>BDP|3739450088774232344</stp>
        <tr r="T414" s="2"/>
      </tp>
      <tp t="s">
        <v>#N/A N/A</v>
        <stp/>
        <stp>BDP|7979395663132633893</stp>
        <tr r="F1074" s="2"/>
      </tp>
      <tp t="s">
        <v>#N/A N/A</v>
        <stp/>
        <stp>BDP|2135903208596257573</stp>
        <tr r="P1242" s="2"/>
      </tp>
      <tp t="s">
        <v>#N/A N/A</v>
        <stp/>
        <stp>BDP|2950977957921611739</stp>
        <tr r="P210" s="2"/>
      </tp>
      <tp t="s">
        <v>#N/A N/A</v>
        <stp/>
        <stp>BDP|4300724818388525207</stp>
        <tr r="S757" s="2"/>
      </tp>
      <tp t="s">
        <v>#N/A N/A</v>
        <stp/>
        <stp>BDP|8818761964545434424</stp>
        <tr r="C572" s="2"/>
      </tp>
      <tp t="s">
        <v>#N/A N/A</v>
        <stp/>
        <stp>BDP|9775254193569868352</stp>
        <tr r="T929" s="2"/>
      </tp>
      <tp t="s">
        <v>#N/A N/A</v>
        <stp/>
        <stp>BDP|1355923219265480409</stp>
        <tr r="H375" s="2"/>
      </tp>
      <tp t="s">
        <v>#N/A N/A</v>
        <stp/>
        <stp>BDP|4935546142794739945</stp>
        <tr r="O672" s="2"/>
      </tp>
      <tp t="s">
        <v>#N/A N/A</v>
        <stp/>
        <stp>BDS|4157942965180430382</stp>
        <tr r="I1369" s="2"/>
      </tp>
      <tp t="s">
        <v>#N/A N/A</v>
        <stp/>
        <stp>BDP|9910341410374064712</stp>
        <tr r="S1565" s="2"/>
      </tp>
      <tp t="s">
        <v>#N/A N/A</v>
        <stp/>
        <stp>BDP|4964316994786855085</stp>
        <tr r="J1332" s="2"/>
      </tp>
      <tp t="s">
        <v>#N/A N/A</v>
        <stp/>
        <stp>BDP|8630696615442413527</stp>
        <tr r="R273" s="2"/>
      </tp>
      <tp t="s">
        <v>#N/A N/A</v>
        <stp/>
        <stp>BDP|7824726981828580823</stp>
        <tr r="O1660" s="2"/>
      </tp>
      <tp t="s">
        <v>#N/A N/A</v>
        <stp/>
        <stp>BDS|6606391174342053872</stp>
        <tr r="I1020" s="2"/>
      </tp>
      <tp t="s">
        <v>#N/A N/A</v>
        <stp/>
        <stp>BDP|8638532816437697385</stp>
        <tr r="O816" s="2"/>
      </tp>
      <tp t="s">
        <v>#N/A N/A</v>
        <stp/>
        <stp>BDP|8635104704504784583</stp>
        <tr r="J411" s="2"/>
      </tp>
      <tp t="s">
        <v>#N/A N/A</v>
        <stp/>
        <stp>BDP|8572577278146415439</stp>
        <tr r="K1194" s="2"/>
      </tp>
      <tp t="s">
        <v>#N/A N/A</v>
        <stp/>
        <stp>BDP|8324415919985358052</stp>
        <tr r="E1362" s="2"/>
      </tp>
      <tp t="s">
        <v>#N/A N/A</v>
        <stp/>
        <stp>BDS|1486687987355705216</stp>
        <tr r="I1277" s="2"/>
      </tp>
      <tp t="s">
        <v>#N/A N/A</v>
        <stp/>
        <stp>BDP|9151086683558369149</stp>
        <tr r="H1346" s="2"/>
      </tp>
      <tp t="s">
        <v>#N/A N/A</v>
        <stp/>
        <stp>BDP|4187715523661871864</stp>
        <tr r="M514" s="2"/>
      </tp>
      <tp t="s">
        <v>#N/A N/A</v>
        <stp/>
        <stp>BDP|3045916597843938822</stp>
        <tr r="H1356" s="2"/>
      </tp>
      <tp t="s">
        <v>#N/A N/A</v>
        <stp/>
        <stp>BDP|2263466248958539241</stp>
        <tr r="J390" s="2"/>
      </tp>
      <tp t="s">
        <v>#N/A N/A</v>
        <stp/>
        <stp>BDP|9808732517705083217</stp>
        <tr r="N196" s="2"/>
      </tp>
      <tp t="s">
        <v>#N/A N/A</v>
        <stp/>
        <stp>BDP|3418096809388184381</stp>
        <tr r="C184" s="2"/>
      </tp>
      <tp t="s">
        <v>#N/A N/A</v>
        <stp/>
        <stp>BDP|7376469119778736266</stp>
        <tr r="C547" s="2"/>
      </tp>
      <tp t="s">
        <v>#N/A N/A</v>
        <stp/>
        <stp>BDS|2363543239265580960</stp>
        <tr r="I62" s="2"/>
      </tp>
      <tp t="s">
        <v>#N/A N/A</v>
        <stp/>
        <stp>BDP|8881127714647262713</stp>
        <tr r="Q1288" s="2"/>
      </tp>
      <tp t="s">
        <v>#N/A N/A</v>
        <stp/>
        <stp>BDP|8541521593425157988</stp>
        <tr r="H149" s="2"/>
      </tp>
      <tp t="s">
        <v>#N/A N/A</v>
        <stp/>
        <stp>BDP|3858888204306077595</stp>
        <tr r="P1182" s="2"/>
      </tp>
      <tp t="s">
        <v>#N/A N/A</v>
        <stp/>
        <stp>BDP|8403773245862329186</stp>
        <tr r="R451" s="2"/>
      </tp>
      <tp t="s">
        <v>#N/A N/A</v>
        <stp/>
        <stp>BDP|8758130308993479254</stp>
        <tr r="H1745" s="2"/>
      </tp>
      <tp t="s">
        <v>#N/A N/A</v>
        <stp/>
        <stp>BDP|8788261628485006543</stp>
        <tr r="E1560" s="2"/>
      </tp>
      <tp t="s">
        <v>#N/A N/A</v>
        <stp/>
        <stp>BDP|3493929717284928751</stp>
        <tr r="O155" s="2"/>
      </tp>
      <tp t="s">
        <v>#N/A N/A</v>
        <stp/>
        <stp>BDP|7247364982245919122</stp>
        <tr r="Q1716" s="2"/>
      </tp>
      <tp t="s">
        <v>#N/A N/A</v>
        <stp/>
        <stp>BDP|7066186976078495178</stp>
        <tr r="R1505" s="2"/>
      </tp>
      <tp t="s">
        <v>#N/A N/A</v>
        <stp/>
        <stp>BDP|9920107914346543753</stp>
        <tr r="T1725" s="2"/>
      </tp>
      <tp t="s">
        <v>#N/A N/A</v>
        <stp/>
        <stp>BDP|9048248190843904905</stp>
        <tr r="S1268" s="2"/>
      </tp>
      <tp t="s">
        <v>#N/A N/A</v>
        <stp/>
        <stp>BDP|6067852337426867376</stp>
        <tr r="J1391" s="2"/>
      </tp>
      <tp t="s">
        <v>#N/A N/A</v>
        <stp/>
        <stp>BDP|8546701038297752372</stp>
        <tr r="D1488" s="2"/>
      </tp>
      <tp t="s">
        <v>#N/A N/A</v>
        <stp/>
        <stp>BDP|8720763258144678627</stp>
        <tr r="Q701" s="2"/>
      </tp>
      <tp t="s">
        <v>#N/A N/A</v>
        <stp/>
        <stp>BDS|6169684506268504073</stp>
        <tr r="I309" s="2"/>
      </tp>
      <tp t="s">
        <v>#N/A N/A</v>
        <stp/>
        <stp>BDP|8425699996249000669</stp>
        <tr r="E1243" s="2"/>
      </tp>
      <tp t="s">
        <v>#N/A N/A</v>
        <stp/>
        <stp>BDP|2536578869919204042</stp>
        <tr r="K1741" s="2"/>
      </tp>
      <tp t="s">
        <v>#N/A N/A</v>
        <stp/>
        <stp>BDP|5840904946780714045</stp>
        <tr r="T1281" s="2"/>
      </tp>
      <tp t="s">
        <v>#N/A N/A</v>
        <stp/>
        <stp>BDP|6141610746458256496</stp>
        <tr r="T400" s="2"/>
      </tp>
      <tp t="s">
        <v>#N/A N/A</v>
        <stp/>
        <stp>BDP|8394813319851507831</stp>
        <tr r="M1580" s="2"/>
      </tp>
      <tp t="s">
        <v>#N/A N/A</v>
        <stp/>
        <stp>BDP|6888519885840833399</stp>
        <tr r="T1050" s="2"/>
      </tp>
      <tp t="s">
        <v>#N/A N/A</v>
        <stp/>
        <stp>BDP|2395692726126103809</stp>
        <tr r="S915" s="2"/>
      </tp>
      <tp t="s">
        <v>#N/A N/A</v>
        <stp/>
        <stp>BDP|7568281060212628965</stp>
        <tr r="M789" s="2"/>
      </tp>
      <tp t="s">
        <v>#N/A N/A</v>
        <stp/>
        <stp>BDP|6333128568799390077</stp>
        <tr r="T771" s="2"/>
      </tp>
      <tp t="s">
        <v>#N/A N/A</v>
        <stp/>
        <stp>BDP|5727386783230143607</stp>
        <tr r="G987" s="2"/>
      </tp>
      <tp t="s">
        <v>#N/A N/A</v>
        <stp/>
        <stp>BDP|5766130096627815274</stp>
        <tr r="P1168" s="2"/>
      </tp>
      <tp t="s">
        <v>#N/A N/A</v>
        <stp/>
        <stp>BDP|4812130156400816880</stp>
        <tr r="D1730" s="2"/>
      </tp>
      <tp t="s">
        <v>#N/A N/A</v>
        <stp/>
        <stp>BDP|4978399919316206869</stp>
        <tr r="O836" s="2"/>
      </tp>
      <tp t="s">
        <v>#N/A N/A</v>
        <stp/>
        <stp>BDS|9617730727783738782</stp>
        <tr r="I1457" s="2"/>
      </tp>
      <tp t="s">
        <v>#N/A N/A</v>
        <stp/>
        <stp>BDP|6395877273026827728</stp>
        <tr r="K453" s="2"/>
      </tp>
      <tp t="s">
        <v>#N/A N/A</v>
        <stp/>
        <stp>BDP|2304675099115216021</stp>
        <tr r="K143" s="2"/>
      </tp>
      <tp t="s">
        <v>#N/A N/A</v>
        <stp/>
        <stp>BDP|7157285183424778107</stp>
        <tr r="T1514" s="2"/>
      </tp>
      <tp t="s">
        <v>#N/A N/A</v>
        <stp/>
        <stp>BDP|4129124793171967545</stp>
        <tr r="H1622" s="2"/>
      </tp>
      <tp t="s">
        <v>#N/A N/A</v>
        <stp/>
        <stp>BDP|9339977348894299831</stp>
        <tr r="O1146" s="2"/>
      </tp>
      <tp t="s">
        <v>#N/A N/A</v>
        <stp/>
        <stp>BDS|2859079823240231839</stp>
        <tr r="I915" s="2"/>
      </tp>
      <tp t="s">
        <v>#N/A N/A</v>
        <stp/>
        <stp>BDP|4011581386742331303</stp>
        <tr r="J916" s="2"/>
      </tp>
      <tp t="s">
        <v>#N/A N/A</v>
        <stp/>
        <stp>BDP|9655307409170219205</stp>
        <tr r="D1024" s="2"/>
      </tp>
      <tp t="s">
        <v>#N/A N/A</v>
        <stp/>
        <stp>BDP|9640802689355529470</stp>
        <tr r="D547" s="2"/>
      </tp>
      <tp t="s">
        <v>#N/A N/A</v>
        <stp/>
        <stp>BDP|9507106353043894639</stp>
        <tr r="J1415" s="2"/>
      </tp>
      <tp t="s">
        <v>#N/A N/A</v>
        <stp/>
        <stp>BDP|1596178776037923805</stp>
        <tr r="P148" s="2"/>
      </tp>
      <tp t="s">
        <v>#N/A N/A</v>
        <stp/>
        <stp>BDP|4584586897997417730</stp>
        <tr r="E405" s="2"/>
      </tp>
      <tp t="s">
        <v>#N/A N/A</v>
        <stp/>
        <stp>BDP|9165513336703345480</stp>
        <tr r="M380" s="2"/>
      </tp>
      <tp t="s">
        <v>#N/A N/A</v>
        <stp/>
        <stp>BDP|3580240759838249472</stp>
        <tr r="F869" s="2"/>
      </tp>
      <tp t="s">
        <v>#N/A N/A</v>
        <stp/>
        <stp>BDP|8993735926965926081</stp>
        <tr r="A979" s="2"/>
      </tp>
      <tp t="s">
        <v>#N/A N/A</v>
        <stp/>
        <stp>BDP|5951973947137180759</stp>
        <tr r="A489" s="2"/>
      </tp>
      <tp t="s">
        <v>#N/A N/A</v>
        <stp/>
        <stp>BDP|2254272154749414478</stp>
        <tr r="G680" s="2"/>
      </tp>
      <tp t="s">
        <v>#N/A N/A</v>
        <stp/>
        <stp>BDP|4432855324582585422</stp>
        <tr r="N489" s="2"/>
      </tp>
      <tp t="s">
        <v>#N/A N/A</v>
        <stp/>
        <stp>BDP|5695927741041200156</stp>
        <tr r="F953" s="2"/>
      </tp>
      <tp t="s">
        <v>#N/A N/A</v>
        <stp/>
        <stp>BDP|3176235955384707829</stp>
        <tr r="R709" s="2"/>
      </tp>
      <tp t="s">
        <v>#N/A N/A</v>
        <stp/>
        <stp>BDP|5180052007848180501</stp>
        <tr r="O188" s="2"/>
      </tp>
      <tp t="s">
        <v>#N/A N/A</v>
        <stp/>
        <stp>BDP|1563191656124886905</stp>
        <tr r="O794" s="2"/>
      </tp>
      <tp t="s">
        <v>#N/A N/A</v>
        <stp/>
        <stp>BDP|1439206884763315018</stp>
        <tr r="J184" s="2"/>
      </tp>
      <tp t="s">
        <v>#N/A N/A</v>
        <stp/>
        <stp>BDP|2180647431729314652</stp>
        <tr r="K1451" s="2"/>
      </tp>
      <tp t="s">
        <v>#N/A N/A</v>
        <stp/>
        <stp>BDP|8737401467326635448</stp>
        <tr r="F1366" s="2"/>
      </tp>
      <tp t="s">
        <v>#N/A N/A</v>
        <stp/>
        <stp>BDP|1065096820883200892</stp>
        <tr r="P874" s="2"/>
      </tp>
      <tp t="s">
        <v>#N/A N/A</v>
        <stp/>
        <stp>BDP|7396250113608375442</stp>
        <tr r="P548" s="2"/>
      </tp>
      <tp t="s">
        <v>#N/A N/A</v>
        <stp/>
        <stp>BDS|4296823068954330699</stp>
        <tr r="I582" s="2"/>
      </tp>
      <tp t="s">
        <v>#N/A N/A</v>
        <stp/>
        <stp>BDP|3158155965089225518</stp>
        <tr r="S966" s="2"/>
      </tp>
      <tp t="s">
        <v>#N/A N/A</v>
        <stp/>
        <stp>BDP|4003778948479974641</stp>
        <tr r="D1542" s="2"/>
      </tp>
      <tp t="s">
        <v>#N/A N/A</v>
        <stp/>
        <stp>BDS|9794285046202859535</stp>
        <tr r="I973" s="2"/>
      </tp>
      <tp t="s">
        <v>#N/A N/A</v>
        <stp/>
        <stp>BDS|6507769186816489737</stp>
        <tr r="I1743" s="2"/>
      </tp>
      <tp t="s">
        <v>#N/A N/A</v>
        <stp/>
        <stp>BDP|7998123078858582147</stp>
        <tr r="P1538" s="2"/>
      </tp>
      <tp t="s">
        <v>#N/A N/A</v>
        <stp/>
        <stp>BDP|4145646518298781385</stp>
        <tr r="H76" s="2"/>
      </tp>
      <tp t="s">
        <v>#N/A N/A</v>
        <stp/>
        <stp>BDP|3857058603613459883</stp>
        <tr r="M880" s="2"/>
      </tp>
      <tp t="s">
        <v>#N/A N/A</v>
        <stp/>
        <stp>BDP|3431173768818832417</stp>
        <tr r="A418" s="2"/>
      </tp>
      <tp t="s">
        <v>#N/A N/A</v>
        <stp/>
        <stp>BDP|4935291208638291681</stp>
        <tr r="F788" s="2"/>
      </tp>
      <tp t="s">
        <v>#N/A N/A</v>
        <stp/>
        <stp>BDP|3349082844586879958</stp>
        <tr r="F503" s="2"/>
      </tp>
      <tp t="s">
        <v>#N/A N/A</v>
        <stp/>
        <stp>BDP|7899032904536534982</stp>
        <tr r="N1268" s="2"/>
      </tp>
      <tp t="s">
        <v>#N/A N/A</v>
        <stp/>
        <stp>BDP|8039011501128599875</stp>
        <tr r="D1332" s="2"/>
      </tp>
      <tp t="s">
        <v>#N/A N/A</v>
        <stp/>
        <stp>BDP|1750191197498998926</stp>
        <tr r="G1672" s="2"/>
      </tp>
      <tp t="s">
        <v>#N/A N/A</v>
        <stp/>
        <stp>BDP|2298542072839783114</stp>
        <tr r="K1151" s="2"/>
      </tp>
      <tp t="s">
        <v>#N/A N/A</v>
        <stp/>
        <stp>BDP|8707901181859256862</stp>
        <tr r="J924" s="2"/>
      </tp>
      <tp t="s">
        <v>#N/A N/A</v>
        <stp/>
        <stp>BDP|1032237190580299236</stp>
        <tr r="S1516" s="2"/>
      </tp>
      <tp t="s">
        <v>#N/A N/A</v>
        <stp/>
        <stp>BDP|4259870141722298245</stp>
        <tr r="H324" s="2"/>
      </tp>
      <tp t="s">
        <v>#N/A N/A</v>
        <stp/>
        <stp>BDP|2129790359448786040</stp>
        <tr r="E720" s="2"/>
      </tp>
      <tp t="s">
        <v>#N/A N/A</v>
        <stp/>
        <stp>BDP|5535721401672616824</stp>
        <tr r="H297" s="2"/>
      </tp>
      <tp t="s">
        <v>#N/A N/A</v>
        <stp/>
        <stp>BDP|8495559375135284748</stp>
        <tr r="S882" s="2"/>
      </tp>
      <tp t="s">
        <v>#N/A N/A</v>
        <stp/>
        <stp>BDP|9054287388682210904</stp>
        <tr r="S1031" s="2"/>
      </tp>
      <tp t="s">
        <v>#N/A N/A</v>
        <stp/>
        <stp>BDS|3701770815298518521</stp>
        <tr r="I1724" s="2"/>
      </tp>
      <tp t="s">
        <v>#N/A N/A</v>
        <stp/>
        <stp>BDS|5666067223317961887</stp>
        <tr r="I1015" s="2"/>
      </tp>
      <tp t="s">
        <v>#N/A N/A</v>
        <stp/>
        <stp>BDP|1704573034466767911</stp>
        <tr r="K749" s="2"/>
      </tp>
      <tp t="s">
        <v>#N/A N/A</v>
        <stp/>
        <stp>BDP|9913024169717955097</stp>
        <tr r="Q223" s="2"/>
      </tp>
      <tp t="s">
        <v>#N/A N/A</v>
        <stp/>
        <stp>BDP|6709458172814708950</stp>
        <tr r="N1302" s="2"/>
      </tp>
      <tp t="s">
        <v>#N/A N/A</v>
        <stp/>
        <stp>BDP|6252918230280695476</stp>
        <tr r="A192" s="2"/>
      </tp>
      <tp t="s">
        <v>#N/A N/A</v>
        <stp/>
        <stp>BDP|9026663520425169053</stp>
        <tr r="J495" s="2"/>
      </tp>
      <tp t="s">
        <v>#N/A N/A</v>
        <stp/>
        <stp>BDP|6659164265670207957</stp>
        <tr r="G1214" s="2"/>
      </tp>
      <tp t="s">
        <v>#N/A N/A</v>
        <stp/>
        <stp>BDP|6372214526918791610</stp>
        <tr r="F380" s="2"/>
      </tp>
      <tp t="s">
        <v>#N/A N/A</v>
        <stp/>
        <stp>BDP|6135843226076653276</stp>
        <tr r="D1036" s="2"/>
      </tp>
      <tp t="s">
        <v>#N/A N/A</v>
        <stp/>
        <stp>BDP|5410482875659326784</stp>
        <tr r="P698" s="2"/>
      </tp>
      <tp t="s">
        <v>#N/A N/A</v>
        <stp/>
        <stp>BDP|8964417822271870707</stp>
        <tr r="M208" s="2"/>
      </tp>
      <tp t="s">
        <v>#N/A N/A</v>
        <stp/>
        <stp>BDP|8278579901507790210</stp>
        <tr r="P306" s="2"/>
      </tp>
      <tp t="s">
        <v>#N/A N/A</v>
        <stp/>
        <stp>BDP|9742647625590235567</stp>
        <tr r="P257" s="2"/>
      </tp>
      <tp t="s">
        <v>#N/A N/A</v>
        <stp/>
        <stp>BDP|8253766885377439876</stp>
        <tr r="D134" s="2"/>
      </tp>
      <tp t="s">
        <v>#N/A N/A</v>
        <stp/>
        <stp>BDP|1271967526425580759</stp>
        <tr r="T1140" s="2"/>
      </tp>
      <tp t="s">
        <v>#N/A N/A</v>
        <stp/>
        <stp>BDP|2520345681638202904</stp>
        <tr r="P1247" s="2"/>
      </tp>
      <tp t="s">
        <v>#N/A N/A</v>
        <stp/>
        <stp>BDP|8434664752461367210</stp>
        <tr r="O233" s="2"/>
      </tp>
      <tp t="s">
        <v>#N/A N/A</v>
        <stp/>
        <stp>BDP|5371169963493262969</stp>
        <tr r="P307" s="2"/>
      </tp>
      <tp t="s">
        <v>#N/A N/A</v>
        <stp/>
        <stp>BDP|9599453210243781755</stp>
        <tr r="J1267" s="2"/>
      </tp>
      <tp t="s">
        <v>#N/A N/A</v>
        <stp/>
        <stp>BDP|9833633558287140503</stp>
        <tr r="M819" s="2"/>
      </tp>
      <tp t="s">
        <v>#N/A N/A</v>
        <stp/>
        <stp>BDP|4059916018505206193</stp>
        <tr r="J657" s="2"/>
      </tp>
      <tp t="s">
        <v>#N/A N/A</v>
        <stp/>
        <stp>BDP|3272949029898502883</stp>
        <tr r="E347" s="2"/>
      </tp>
      <tp t="s">
        <v>#N/A N/A</v>
        <stp/>
        <stp>BDP|3685058180527747465</stp>
        <tr r="N1007" s="2"/>
      </tp>
      <tp t="s">
        <v>#N/A N/A</v>
        <stp/>
        <stp>BDS|8764519994298426448</stp>
        <tr r="I1142" s="2"/>
      </tp>
      <tp t="s">
        <v>#N/A N/A</v>
        <stp/>
        <stp>BDP|7860193421828090423</stp>
        <tr r="E1511" s="2"/>
      </tp>
      <tp t="s">
        <v>#N/A N/A</v>
        <stp/>
        <stp>BDP|1757379197971708222</stp>
        <tr r="O895" s="2"/>
      </tp>
      <tp t="s">
        <v>#N/A N/A</v>
        <stp/>
        <stp>BDP|4453722436250233800</stp>
        <tr r="S819" s="2"/>
      </tp>
      <tp t="s">
        <v>#N/A N/A</v>
        <stp/>
        <stp>BDP|7438543383717982589</stp>
        <tr r="K61" s="2"/>
      </tp>
      <tp t="s">
        <v>#N/A N/A</v>
        <stp/>
        <stp>BDP|7511336991555757021</stp>
        <tr r="O756" s="2"/>
      </tp>
      <tp t="s">
        <v>#N/A N/A</v>
        <stp/>
        <stp>BDP|3997356138828275359</stp>
        <tr r="Q183" s="2"/>
      </tp>
      <tp t="s">
        <v>#N/A N/A</v>
        <stp/>
        <stp>BDP|8556410295355570878</stp>
        <tr r="N121" s="2"/>
      </tp>
      <tp t="s">
        <v>#N/A N/A</v>
        <stp/>
        <stp>BDP|7150661481525208478</stp>
        <tr r="N1648" s="2"/>
      </tp>
      <tp t="s">
        <v>#N/A N/A</v>
        <stp/>
        <stp>BDS|7353054345948220321</stp>
        <tr r="I606" s="2"/>
      </tp>
      <tp t="s">
        <v>#N/A N/A</v>
        <stp/>
        <stp>BDP|8914718074256924661</stp>
        <tr r="E1434" s="2"/>
      </tp>
      <tp t="s">
        <v>#N/A N/A</v>
        <stp/>
        <stp>BDP|4194626791736931583</stp>
        <tr r="M1587" s="2"/>
      </tp>
      <tp t="s">
        <v>#N/A N/A</v>
        <stp/>
        <stp>BDP|7607930807277126108</stp>
        <tr r="P1164" s="2"/>
      </tp>
      <tp t="s">
        <v>#N/A N/A</v>
        <stp/>
        <stp>BDP|9401717877963226234</stp>
        <tr r="H1570" s="2"/>
      </tp>
      <tp t="s">
        <v>#N/A N/A</v>
        <stp/>
        <stp>BDP|6053742297895832584</stp>
        <tr r="R547" s="2"/>
      </tp>
      <tp t="s">
        <v>#N/A N/A</v>
        <stp/>
        <stp>BDP|1125631867998023163</stp>
        <tr r="J501" s="2"/>
      </tp>
      <tp t="s">
        <v>#N/A N/A</v>
        <stp/>
        <stp>BDP|2392760408545632884</stp>
        <tr r="T1686" s="2"/>
      </tp>
      <tp t="s">
        <v>#N/A N/A</v>
        <stp/>
        <stp>BDP|3103275362537482833</stp>
        <tr r="K83" s="2"/>
      </tp>
      <tp t="s">
        <v>#N/A N/A</v>
        <stp/>
        <stp>BDP|3835211961977987828</stp>
        <tr r="Q671" s="2"/>
      </tp>
      <tp t="s">
        <v>#N/A N/A</v>
        <stp/>
        <stp>BDP|1123105740308672449</stp>
        <tr r="C1172" s="2"/>
      </tp>
      <tp t="s">
        <v>#N/A N/A</v>
        <stp/>
        <stp>BDP|8685603292276762905</stp>
        <tr r="H904" s="2"/>
      </tp>
      <tp t="s">
        <v>#N/A N/A</v>
        <stp/>
        <stp>BDP|1594438572458077278</stp>
        <tr r="Q878" s="2"/>
      </tp>
      <tp t="s">
        <v>#N/A N/A</v>
        <stp/>
        <stp>BDP|7804791523852117802</stp>
        <tr r="S1605" s="2"/>
      </tp>
      <tp t="s">
        <v>#N/A N/A</v>
        <stp/>
        <stp>BDP|8647114634661089304</stp>
        <tr r="D1374" s="2"/>
      </tp>
      <tp t="s">
        <v>#N/A N/A</v>
        <stp/>
        <stp>BDP|8492245721533369315</stp>
        <tr r="N899" s="2"/>
      </tp>
      <tp t="s">
        <v>#N/A N/A</v>
        <stp/>
        <stp>BDP|1797235141679169676</stp>
        <tr r="Q1720" s="2"/>
      </tp>
      <tp t="s">
        <v>#N/A N/A</v>
        <stp/>
        <stp>BDP|8611018740336361271</stp>
        <tr r="E1345" s="2"/>
      </tp>
      <tp t="s">
        <v>#N/A N/A</v>
        <stp/>
        <stp>BDS|9406421812172582626</stp>
        <tr r="I581" s="2"/>
      </tp>
      <tp t="s">
        <v>#N/A N/A</v>
        <stp/>
        <stp>BDP|5271429952555448953</stp>
        <tr r="O229" s="2"/>
      </tp>
      <tp t="s">
        <v>#N/A N/A</v>
        <stp/>
        <stp>BDP|6246511589443993007</stp>
        <tr r="J1663" s="2"/>
      </tp>
      <tp t="s">
        <v>#N/A N/A</v>
        <stp/>
        <stp>BDP|1335431150230182827</stp>
        <tr r="R807" s="2"/>
      </tp>
      <tp t="s">
        <v>#N/A N/A</v>
        <stp/>
        <stp>BDP|4316014594853106642</stp>
        <tr r="H858" s="2"/>
      </tp>
      <tp t="s">
        <v>#N/A N/A</v>
        <stp/>
        <stp>BDP|5990515775128948776</stp>
        <tr r="R1742" s="2"/>
      </tp>
      <tp t="s">
        <v>#N/A N/A</v>
        <stp/>
        <stp>BDP|9806735405885877355</stp>
        <tr r="P1310" s="2"/>
      </tp>
      <tp t="s">
        <v>#N/A N/A</v>
        <stp/>
        <stp>BDP|6743904677283793344</stp>
        <tr r="Q635" s="2"/>
      </tp>
      <tp t="s">
        <v>#N/A N/A</v>
        <stp/>
        <stp>BDP|4922602015002896977</stp>
        <tr r="P1503" s="2"/>
      </tp>
      <tp t="s">
        <v>#N/A N/A</v>
        <stp/>
        <stp>BDP|9016719250692763156</stp>
        <tr r="N1483" s="2"/>
      </tp>
      <tp t="s">
        <v>#N/A N/A</v>
        <stp/>
        <stp>BDP|9512952583652128219</stp>
        <tr r="O106" s="2"/>
      </tp>
      <tp t="s">
        <v>#N/A N/A</v>
        <stp/>
        <stp>BDP|6933489196440771338</stp>
        <tr r="K787" s="2"/>
      </tp>
      <tp t="s">
        <v>#N/A N/A</v>
        <stp/>
        <stp>BDP|9434415653175469510</stp>
        <tr r="S621" s="2"/>
      </tp>
      <tp t="s">
        <v>#N/A N/A</v>
        <stp/>
        <stp>BDP|4971090995325334056</stp>
        <tr r="K1164" s="2"/>
      </tp>
      <tp t="s">
        <v>#N/A N/A</v>
        <stp/>
        <stp>BDP|9263269070580524429</stp>
        <tr r="O149" s="2"/>
      </tp>
      <tp t="s">
        <v>#N/A N/A</v>
        <stp/>
        <stp>BDP|6611583982322630193</stp>
        <tr r="R926" s="2"/>
      </tp>
      <tp t="s">
        <v>#N/A N/A</v>
        <stp/>
        <stp>BDP|6547036297050354717</stp>
        <tr r="G1700" s="2"/>
      </tp>
      <tp t="s">
        <v>#N/A N/A</v>
        <stp/>
        <stp>BDP|9877272992213813966</stp>
        <tr r="E94" s="2"/>
      </tp>
      <tp t="s">
        <v>#N/A N/A</v>
        <stp/>
        <stp>BDP|6699981138161791520</stp>
        <tr r="C1208" s="2"/>
      </tp>
      <tp t="s">
        <v>#N/A N/A</v>
        <stp/>
        <stp>BDP|8152642336231158410</stp>
        <tr r="P90" s="2"/>
      </tp>
      <tp t="s">
        <v>#N/A N/A</v>
        <stp/>
        <stp>BDP|8394268678602836767</stp>
        <tr r="A118" s="2"/>
      </tp>
      <tp t="s">
        <v>#N/A N/A</v>
        <stp/>
        <stp>BDP|6121304735908396645</stp>
        <tr r="P1133" s="2"/>
      </tp>
      <tp t="s">
        <v>#N/A N/A</v>
        <stp/>
        <stp>BDP|3485000124901705842</stp>
        <tr r="P1046" s="2"/>
      </tp>
      <tp t="s">
        <v>#N/A N/A</v>
        <stp/>
        <stp>BDP|1105767173829454039</stp>
        <tr r="D1734" s="2"/>
      </tp>
      <tp t="s">
        <v>#N/A N/A</v>
        <stp/>
        <stp>BDP|5016632853636135825</stp>
        <tr r="S721" s="2"/>
      </tp>
      <tp t="s">
        <v>#N/A N/A</v>
        <stp/>
        <stp>BDP|3658262176509318761</stp>
        <tr r="A393" s="2"/>
      </tp>
      <tp t="s">
        <v>#N/A N/A</v>
        <stp/>
        <stp>BDP|8698048667655137376</stp>
        <tr r="R156" s="2"/>
      </tp>
      <tp t="s">
        <v>#N/A N/A</v>
        <stp/>
        <stp>BDP|2921063489580627234</stp>
        <tr r="K1027" s="2"/>
      </tp>
      <tp t="s">
        <v>#N/A N/A</v>
        <stp/>
        <stp>BDP|7533803407243566441</stp>
        <tr r="K1107" s="2"/>
      </tp>
      <tp t="s">
        <v>#N/A N/A</v>
        <stp/>
        <stp>BDP|9093459750556356655</stp>
        <tr r="F1288" s="2"/>
      </tp>
      <tp t="s">
        <v>#N/A N/A</v>
        <stp/>
        <stp>BDP|5420896765414214794</stp>
        <tr r="J903" s="2"/>
      </tp>
      <tp t="s">
        <v>#N/A N/A</v>
        <stp/>
        <stp>BDP|5884433884496528798</stp>
        <tr r="O1550" s="2"/>
      </tp>
      <tp t="s">
        <v>#N/A N/A</v>
        <stp/>
        <stp>BDS|4060594341808248598</stp>
        <tr r="I429" s="2"/>
      </tp>
      <tp t="s">
        <v>#N/A N/A</v>
        <stp/>
        <stp>BDP|4770957895685175955</stp>
        <tr r="K154" s="2"/>
      </tp>
      <tp t="s">
        <v>#N/A N/A</v>
        <stp/>
        <stp>BDP|5614402850334164842</stp>
        <tr r="N393" s="2"/>
      </tp>
      <tp t="s">
        <v>#N/A N/A</v>
        <stp/>
        <stp>BDP|6267764226028143301</stp>
        <tr r="E421" s="2"/>
      </tp>
      <tp t="s">
        <v>#N/A N/A</v>
        <stp/>
        <stp>BDS|4917887790219575477</stp>
        <tr r="I291" s="2"/>
      </tp>
      <tp t="s">
        <v>#N/A N/A</v>
        <stp/>
        <stp>BDP|7771837983129252663</stp>
        <tr r="S1308" s="2"/>
      </tp>
      <tp t="s">
        <v>#N/A N/A</v>
        <stp/>
        <stp>BDS|4451207627595636960</stp>
        <tr r="I1095" s="2"/>
      </tp>
      <tp t="s">
        <v>#N/A N/A</v>
        <stp/>
        <stp>BDP|7402817462042148354</stp>
        <tr r="N630" s="2"/>
      </tp>
      <tp t="s">
        <v>#N/A N/A</v>
        <stp/>
        <stp>BDP|9257377688628741296</stp>
        <tr r="H366" s="2"/>
      </tp>
      <tp t="s">
        <v>#N/A N/A</v>
        <stp/>
        <stp>BDS|5150770818088468396</stp>
        <tr r="I992" s="2"/>
      </tp>
      <tp t="s">
        <v>#N/A N/A</v>
        <stp/>
        <stp>BDP|8857330832672213284</stp>
        <tr r="P1670" s="2"/>
      </tp>
      <tp t="s">
        <v>#N/A N/A</v>
        <stp/>
        <stp>BDP|9647872168909144682</stp>
        <tr r="F453" s="2"/>
      </tp>
      <tp t="s">
        <v>#N/A N/A</v>
        <stp/>
        <stp>BDS|2154328681526138731</stp>
        <tr r="I344" s="2"/>
      </tp>
      <tp t="s">
        <v>#N/A N/A</v>
        <stp/>
        <stp>BDP|2994873139185656417</stp>
        <tr r="H1601" s="2"/>
      </tp>
      <tp t="s">
        <v>#N/A N/A</v>
        <stp/>
        <stp>BDP|2323178697026276415</stp>
        <tr r="H1631" s="2"/>
      </tp>
      <tp t="s">
        <v>#N/A N/A</v>
        <stp/>
        <stp>BDP|9979528236521505682</stp>
        <tr r="F1479" s="2"/>
      </tp>
      <tp t="s">
        <v>#N/A N/A</v>
        <stp/>
        <stp>BDP|4683172322529346600</stp>
        <tr r="F1389" s="2"/>
      </tp>
      <tp t="s">
        <v>#N/A N/A</v>
        <stp/>
        <stp>BDS|2511399545189898418</stp>
        <tr r="I1311" s="2"/>
      </tp>
      <tp t="s">
        <v>#N/A N/A</v>
        <stp/>
        <stp>BDP|9451866577558044659</stp>
        <tr r="C1168" s="2"/>
      </tp>
      <tp t="s">
        <v>#N/A N/A</v>
        <stp/>
        <stp>BDP|2026188710188869206</stp>
        <tr r="N110" s="2"/>
      </tp>
      <tp t="s">
        <v>#N/A N/A</v>
        <stp/>
        <stp>BDP|3620737071132271968</stp>
        <tr r="F1607" s="2"/>
      </tp>
      <tp t="s">
        <v>#N/A N/A</v>
        <stp/>
        <stp>BDP|3359814328884228580</stp>
        <tr r="E15" s="2"/>
      </tp>
      <tp t="s">
        <v>#N/A N/A</v>
        <stp/>
        <stp>BDP|4320365341918259360</stp>
        <tr r="H1066" s="2"/>
      </tp>
      <tp t="s">
        <v>#N/A N/A</v>
        <stp/>
        <stp>BDP|3104725393417792272</stp>
        <tr r="E1104" s="2"/>
      </tp>
      <tp t="s">
        <v>#N/A N/A</v>
        <stp/>
        <stp>BDP|1489522032787710836</stp>
        <tr r="H107" s="2"/>
      </tp>
      <tp t="s">
        <v>#N/A N/A</v>
        <stp/>
        <stp>BDP|6706878976268690909</stp>
        <tr r="Q209" s="2"/>
      </tp>
      <tp t="s">
        <v>#N/A N/A</v>
        <stp/>
        <stp>BDP|8226229643186513061</stp>
        <tr r="Q410" s="2"/>
      </tp>
      <tp t="s">
        <v>#N/A N/A</v>
        <stp/>
        <stp>BDP|2581851823739319902</stp>
        <tr r="O1239" s="2"/>
      </tp>
      <tp t="s">
        <v>#N/A N/A</v>
        <stp/>
        <stp>BDP|1648349275054337943</stp>
        <tr r="A230" s="2"/>
      </tp>
      <tp t="s">
        <v>#N/A N/A</v>
        <stp/>
        <stp>BDP|9837448719931497517</stp>
        <tr r="T1579" s="2"/>
      </tp>
      <tp t="s">
        <v>#N/A N/A</v>
        <stp/>
        <stp>BDP|1542379501728662250</stp>
        <tr r="J874" s="2"/>
      </tp>
      <tp t="s">
        <v>#N/A N/A</v>
        <stp/>
        <stp>BDP|6872512148716672979</stp>
        <tr r="P1552" s="2"/>
      </tp>
      <tp t="s">
        <v>#N/A N/A</v>
        <stp/>
        <stp>BDP|6826953688808129747</stp>
        <tr r="N1176" s="2"/>
      </tp>
      <tp t="s">
        <v>#N/A N/A</v>
        <stp/>
        <stp>BDS|5766468182459258810</stp>
        <tr r="I1535" s="2"/>
      </tp>
      <tp t="s">
        <v>#N/A N/A</v>
        <stp/>
        <stp>BDP|4592921048427735680</stp>
        <tr r="F656" s="2"/>
      </tp>
      <tp t="s">
        <v>#N/A N/A</v>
        <stp/>
        <stp>BDP|7540159753159047237</stp>
        <tr r="Q398" s="2"/>
      </tp>
      <tp t="s">
        <v>#N/A N/A</v>
        <stp/>
        <stp>BDS|4991382797663116570</stp>
        <tr r="I985" s="2"/>
      </tp>
      <tp t="s">
        <v>#N/A N/A</v>
        <stp/>
        <stp>BDP|8743056527866677432</stp>
        <tr r="E1527" s="2"/>
      </tp>
      <tp t="s">
        <v>#N/A N/A</v>
        <stp/>
        <stp>BDP|8490079031125262608</stp>
        <tr r="K1650" s="2"/>
      </tp>
      <tp t="s">
        <v>#N/A N/A</v>
        <stp/>
        <stp>BDP|2577942566980549527</stp>
        <tr r="F1620" s="2"/>
      </tp>
      <tp t="s">
        <v>#N/A N/A</v>
        <stp/>
        <stp>BDS|8327406951900772156</stp>
        <tr r="I134" s="2"/>
      </tp>
      <tp t="s">
        <v>#N/A N/A</v>
        <stp/>
        <stp>BDP|7790801352420055257</stp>
        <tr r="K188" s="2"/>
      </tp>
      <tp t="s">
        <v>#N/A N/A</v>
        <stp/>
        <stp>BDP|9125620126124692134</stp>
        <tr r="Q994" s="2"/>
      </tp>
      <tp t="s">
        <v>#N/A N/A</v>
        <stp/>
        <stp>BDP|2666946631873502366</stp>
        <tr r="R774" s="2"/>
      </tp>
      <tp t="s">
        <v>#N/A N/A</v>
        <stp/>
        <stp>BDP|1647394798906132564</stp>
        <tr r="D615" s="2"/>
      </tp>
      <tp t="s">
        <v>#N/A N/A</v>
        <stp/>
        <stp>BDP|4041049367852461872</stp>
        <tr r="T279" s="2"/>
      </tp>
      <tp t="s">
        <v>#N/A N/A</v>
        <stp/>
        <stp>BDP|5472731614623644855</stp>
        <tr r="K604" s="2"/>
      </tp>
      <tp t="s">
        <v>#N/A N/A</v>
        <stp/>
        <stp>BDP|7374937136414373153</stp>
        <tr r="Q230" s="2"/>
      </tp>
      <tp t="s">
        <v>#N/A N/A</v>
        <stp/>
        <stp>BDP|5607330688046414091</stp>
        <tr r="J1051" s="2"/>
      </tp>
      <tp t="s">
        <v>#N/A N/A</v>
        <stp/>
        <stp>BDP|7454955260617675771</stp>
        <tr r="Q822" s="2"/>
      </tp>
      <tp t="s">
        <v>#N/A N/A</v>
        <stp/>
        <stp>BDP|5678980558697033661</stp>
        <tr r="E1189" s="2"/>
      </tp>
      <tp t="s">
        <v>#N/A N/A</v>
        <stp/>
        <stp>BDP|8152268071474329158</stp>
        <tr r="K1499" s="2"/>
      </tp>
      <tp t="s">
        <v>#N/A N/A</v>
        <stp/>
        <stp>BDS|5207617785771643205</stp>
        <tr r="I876" s="2"/>
      </tp>
      <tp t="s">
        <v>#N/A N/A</v>
        <stp/>
        <stp>BDP|7553503116663352807</stp>
        <tr r="K321" s="2"/>
      </tp>
      <tp t="s">
        <v>#N/A N/A</v>
        <stp/>
        <stp>BDP|3146573486360159613</stp>
        <tr r="O1549" s="2"/>
      </tp>
      <tp t="s">
        <v>#N/A N/A</v>
        <stp/>
        <stp>BDP|5763910939295678291</stp>
        <tr r="S165" s="2"/>
      </tp>
      <tp t="s">
        <v>#N/A N/A</v>
        <stp/>
        <stp>BDP|9679174231020242325</stp>
        <tr r="S1743" s="2"/>
      </tp>
      <tp t="s">
        <v>#N/A N/A</v>
        <stp/>
        <stp>BDP|8150334096453162956</stp>
        <tr r="N525" s="2"/>
      </tp>
      <tp t="s">
        <v>#N/A N/A</v>
        <stp/>
        <stp>BDP|1683478673853552978</stp>
        <tr r="M421" s="2"/>
      </tp>
      <tp t="s">
        <v>#N/A N/A</v>
        <stp/>
        <stp>BDS|1880184361716187804</stp>
        <tr r="I1017" s="2"/>
      </tp>
      <tp t="s">
        <v>#N/A N/A</v>
        <stp/>
        <stp>BDP|3635212887322838385</stp>
        <tr r="N662" s="2"/>
      </tp>
      <tp t="s">
        <v>#N/A N/A</v>
        <stp/>
        <stp>BDP|8340612742307910590</stp>
        <tr r="C875" s="2"/>
      </tp>
      <tp t="s">
        <v>#N/A N/A</v>
        <stp/>
        <stp>BDP|4229979043734408528</stp>
        <tr r="O207" s="2"/>
      </tp>
      <tp t="s">
        <v>#N/A N/A</v>
        <stp/>
        <stp>BDP|5998249089725054246</stp>
        <tr r="O1035" s="2"/>
      </tp>
      <tp t="s">
        <v>#N/A N/A</v>
        <stp/>
        <stp>BDP|4669674023219557171</stp>
        <tr r="M1201" s="2"/>
      </tp>
      <tp t="s">
        <v>#N/A N/A</v>
        <stp/>
        <stp>BDP|7644823405015368225</stp>
        <tr r="C1344" s="2"/>
      </tp>
      <tp t="s">
        <v>#N/A N/A</v>
        <stp/>
        <stp>BDP|1094389239310362922</stp>
        <tr r="S376" s="2"/>
      </tp>
      <tp t="s">
        <v>#N/A N/A</v>
        <stp/>
        <stp>BDS|9317775866125027523</stp>
        <tr r="I956" s="2"/>
      </tp>
      <tp t="s">
        <v>#N/A N/A</v>
        <stp/>
        <stp>BDP|6226495759669458662</stp>
        <tr r="P1700" s="2"/>
      </tp>
      <tp t="s">
        <v>#N/A N/A</v>
        <stp/>
        <stp>BDP|3414744812544102936</stp>
        <tr r="A1683" s="2"/>
      </tp>
      <tp t="s">
        <v>#N/A N/A</v>
        <stp/>
        <stp>BDP|6366952173655059551</stp>
        <tr r="G912" s="2"/>
      </tp>
      <tp t="s">
        <v>#N/A N/A</v>
        <stp/>
        <stp>BDP|8060917073356727849</stp>
        <tr r="N1495" s="2"/>
      </tp>
      <tp t="s">
        <v>#N/A N/A</v>
        <stp/>
        <stp>BDP|6674565112713387904</stp>
        <tr r="P1058" s="2"/>
      </tp>
      <tp t="s">
        <v>#N/A N/A</v>
        <stp/>
        <stp>BDP|7724159063100070805</stp>
        <tr r="K583" s="2"/>
      </tp>
      <tp t="s">
        <v>#N/A N/A</v>
        <stp/>
        <stp>BDP|5683470431582058810</stp>
        <tr r="P1321" s="2"/>
      </tp>
      <tp t="s">
        <v>#N/A N/A</v>
        <stp/>
        <stp>BDP|7480002481735470202</stp>
        <tr r="M811" s="2"/>
      </tp>
      <tp t="s">
        <v>#N/A N/A</v>
        <stp/>
        <stp>BDP|5040879416372512657</stp>
        <tr r="O1109" s="2"/>
      </tp>
      <tp t="s">
        <v>#N/A N/A</v>
        <stp/>
        <stp>BDP|4916849569885698731</stp>
        <tr r="C565" s="2"/>
      </tp>
      <tp t="s">
        <v>#N/A N/A</v>
        <stp/>
        <stp>BDP|5300119187576235267</stp>
        <tr r="Q1060" s="2"/>
      </tp>
      <tp t="s">
        <v>#N/A N/A</v>
        <stp/>
        <stp>BDP|6768381734458322699</stp>
        <tr r="G468" s="2"/>
      </tp>
      <tp t="s">
        <v>#N/A N/A</v>
        <stp/>
        <stp>BDP|9621446707041048448</stp>
        <tr r="H1339" s="2"/>
      </tp>
      <tp t="s">
        <v>#N/A N/A</v>
        <stp/>
        <stp>BDP|8524705635670425458</stp>
        <tr r="D34" s="2"/>
      </tp>
      <tp t="s">
        <v>#N/A N/A</v>
        <stp/>
        <stp>BDP|8076221470586794341</stp>
        <tr r="M416" s="2"/>
      </tp>
      <tp t="s">
        <v>#N/A N/A</v>
        <stp/>
        <stp>BDP|9944700606855908377</stp>
        <tr r="Q1239" s="2"/>
      </tp>
      <tp t="s">
        <v>#N/A N/A</v>
        <stp/>
        <stp>BDP|5020611187235197662</stp>
        <tr r="E986" s="2"/>
      </tp>
      <tp t="s">
        <v>#N/A N/A</v>
        <stp/>
        <stp>BDP|8550501375874301626</stp>
        <tr r="A1315" s="2"/>
      </tp>
      <tp t="s">
        <v>#N/A N/A</v>
        <stp/>
        <stp>BDP|9844492341239363828</stp>
        <tr r="O116" s="2"/>
      </tp>
      <tp t="s">
        <v>#N/A N/A</v>
        <stp/>
        <stp>BDP|6054935348016937539</stp>
        <tr r="C353" s="2"/>
      </tp>
      <tp t="s">
        <v>#N/A N/A</v>
        <stp/>
        <stp>BDP|4730895518493213659</stp>
        <tr r="A632" s="2"/>
      </tp>
      <tp t="s">
        <v>#N/A N/A</v>
        <stp/>
        <stp>BDP|3404852622424584573</stp>
        <tr r="G883" s="2"/>
      </tp>
      <tp t="s">
        <v>#N/A N/A</v>
        <stp/>
        <stp>BDP|1435835661541097676</stp>
        <tr r="F1570" s="2"/>
      </tp>
      <tp t="s">
        <v>#N/A N/A</v>
        <stp/>
        <stp>BDP|8620576124412383574</stp>
        <tr r="H39" s="2"/>
      </tp>
      <tp t="s">
        <v>#N/A N/A</v>
        <stp/>
        <stp>BDP|6786373908755122882</stp>
        <tr r="G76" s="2"/>
      </tp>
      <tp t="s">
        <v>#N/A N/A</v>
        <stp/>
        <stp>BDP|5513965522611080705</stp>
        <tr r="H632" s="2"/>
      </tp>
      <tp t="s">
        <v>#N/A N/A</v>
        <stp/>
        <stp>BDP|8653148706361262077</stp>
        <tr r="S717" s="2"/>
      </tp>
      <tp t="s">
        <v>#N/A N/A</v>
        <stp/>
        <stp>BDP|1037635239164817838</stp>
        <tr r="N1559" s="2"/>
      </tp>
      <tp t="s">
        <v>#N/A N/A</v>
        <stp/>
        <stp>BDP|5287305542858493252</stp>
        <tr r="H812" s="2"/>
      </tp>
      <tp t="s">
        <v>#N/A N/A</v>
        <stp/>
        <stp>BDP|9529509297474798948</stp>
        <tr r="M1708" s="2"/>
      </tp>
      <tp t="s">
        <v>#N/A N/A</v>
        <stp/>
        <stp>BDP|6008535151676546869</stp>
        <tr r="J1524" s="2"/>
      </tp>
      <tp t="s">
        <v>#N/A N/A</v>
        <stp/>
        <stp>BDP|3342999115560811368</stp>
        <tr r="N423" s="2"/>
      </tp>
      <tp t="s">
        <v>#N/A N/A</v>
        <stp/>
        <stp>BDP|2881681913808098529</stp>
        <tr r="E1568" s="2"/>
      </tp>
      <tp t="s">
        <v>#N/A N/A</v>
        <stp/>
        <stp>BDP|5202657184335429667</stp>
        <tr r="P254" s="2"/>
      </tp>
      <tp t="s">
        <v>#N/A N/A</v>
        <stp/>
        <stp>BDP|9024390125299438993</stp>
        <tr r="C903" s="2"/>
      </tp>
      <tp t="s">
        <v>#N/A N/A</v>
        <stp/>
        <stp>BDP|9413615674016306634</stp>
        <tr r="Q855" s="2"/>
      </tp>
      <tp t="s">
        <v>#N/A N/A</v>
        <stp/>
        <stp>BDP|9632654181846365909</stp>
        <tr r="R1205" s="2"/>
      </tp>
      <tp t="s">
        <v>#N/A N/A</v>
        <stp/>
        <stp>BDP|6211050064200472864</stp>
        <tr r="T1521" s="2"/>
      </tp>
      <tp t="s">
        <v>#N/A N/A</v>
        <stp/>
        <stp>BDS|8967683141266228436</stp>
        <tr r="I1711" s="2"/>
      </tp>
      <tp t="s">
        <v>#N/A N/A</v>
        <stp/>
        <stp>BDP|1052250115428738262</stp>
        <tr r="G1266" s="2"/>
      </tp>
      <tp t="s">
        <v>#N/A N/A</v>
        <stp/>
        <stp>BDP|1365844705228074934</stp>
        <tr r="M258" s="2"/>
      </tp>
      <tp t="s">
        <v>#N/A N/A</v>
        <stp/>
        <stp>BDP|2291699813775178883</stp>
        <tr r="Q106" s="2"/>
      </tp>
      <tp t="s">
        <v>#N/A N/A</v>
        <stp/>
        <stp>BDP|9297413464854256744</stp>
        <tr r="T1007" s="2"/>
      </tp>
      <tp t="s">
        <v>#N/A N/A</v>
        <stp/>
        <stp>BDP|6416953302010757754</stp>
        <tr r="A1413" s="2"/>
      </tp>
      <tp t="s">
        <v>#N/A N/A</v>
        <stp/>
        <stp>BDP|9050654824762917794</stp>
        <tr r="M894" s="2"/>
      </tp>
      <tp t="s">
        <v>#N/A N/A</v>
        <stp/>
        <stp>BDP|1052151950289778432</stp>
        <tr r="D395" s="2"/>
      </tp>
      <tp t="s">
        <v>#N/A N/A</v>
        <stp/>
        <stp>BDP|3344923739414154584</stp>
        <tr r="G1056" s="2"/>
      </tp>
      <tp t="s">
        <v>#N/A N/A</v>
        <stp/>
        <stp>BDP|9998593681005892981</stp>
        <tr r="M636" s="2"/>
      </tp>
      <tp t="s">
        <v>#N/A N/A</v>
        <stp/>
        <stp>BDP|9637920692575518425</stp>
        <tr r="F811" s="2"/>
      </tp>
      <tp t="s">
        <v>#N/A N/A</v>
        <stp/>
        <stp>BDP|4312070387691357510</stp>
        <tr r="R311" s="2"/>
      </tp>
      <tp t="s">
        <v>#N/A N/A</v>
        <stp/>
        <stp>BDP|3149362030078307354</stp>
        <tr r="K724" s="2"/>
      </tp>
      <tp t="s">
        <v>#N/A N/A</v>
        <stp/>
        <stp>BDP|8738644016726540116</stp>
        <tr r="K80" s="2"/>
      </tp>
      <tp t="s">
        <v>#N/A N/A</v>
        <stp/>
        <stp>BDP|3497898520378836944</stp>
        <tr r="D899" s="2"/>
      </tp>
      <tp t="s">
        <v>#N/A N/A</v>
        <stp/>
        <stp>BDP|4679539884832711372</stp>
        <tr r="T1730" s="2"/>
      </tp>
      <tp t="s">
        <v>#N/A N/A</v>
        <stp/>
        <stp>BDP|1430545845950299862</stp>
        <tr r="C1020" s="2"/>
      </tp>
      <tp t="s">
        <v>#N/A N/A</v>
        <stp/>
        <stp>BDP|2771505985654539363</stp>
        <tr r="F1305" s="2"/>
      </tp>
      <tp t="s">
        <v>#N/A N/A</v>
        <stp/>
        <stp>BDP|8956111289381968895</stp>
        <tr r="O400" s="2"/>
      </tp>
      <tp t="s">
        <v>#N/A N/A</v>
        <stp/>
        <stp>BDS|9243209918787371589</stp>
        <tr r="I1502" s="2"/>
      </tp>
      <tp t="s">
        <v>#N/A N/A</v>
        <stp/>
        <stp>BDP|1541970900731534167</stp>
        <tr r="T1242" s="2"/>
      </tp>
      <tp t="s">
        <v>#N/A N/A</v>
        <stp/>
        <stp>BDP|9709279144872235575</stp>
        <tr r="M1206" s="2"/>
      </tp>
      <tp t="s">
        <v>#N/A N/A</v>
        <stp/>
        <stp>BDP|4833940911383546792</stp>
        <tr r="P1478" s="2"/>
      </tp>
      <tp t="s">
        <v>#N/A N/A</v>
        <stp/>
        <stp>BDP|9315377864183787769</stp>
        <tr r="G802" s="2"/>
      </tp>
      <tp t="s">
        <v>#N/A N/A</v>
        <stp/>
        <stp>BDP|7266703589694339496</stp>
        <tr r="K244" s="2"/>
      </tp>
      <tp t="s">
        <v>#N/A N/A</v>
        <stp/>
        <stp>BDP|6509680703531820971</stp>
        <tr r="T1184" s="2"/>
      </tp>
      <tp t="s">
        <v>#N/A N/A</v>
        <stp/>
        <stp>BDP|8777042967674104245</stp>
        <tr r="Q1161" s="2"/>
      </tp>
      <tp t="s">
        <v>#N/A N/A</v>
        <stp/>
        <stp>BDP|8232413374842872196</stp>
        <tr r="T1555" s="2"/>
      </tp>
      <tp t="s">
        <v>#N/A N/A</v>
        <stp/>
        <stp>BDP|1024780694652847529</stp>
        <tr r="T526" s="2"/>
      </tp>
      <tp t="s">
        <v>#N/A N/A</v>
        <stp/>
        <stp>BDP|6616950463899331853</stp>
        <tr r="S98" s="2"/>
      </tp>
      <tp t="s">
        <v>#N/A N/A</v>
        <stp/>
        <stp>BDP|6110476536981779811</stp>
        <tr r="P1471" s="2"/>
      </tp>
      <tp t="s">
        <v>#N/A N/A</v>
        <stp/>
        <stp>BDP|5526909057772523316</stp>
        <tr r="F1755" s="2"/>
      </tp>
      <tp t="s">
        <v>#N/A N/A</v>
        <stp/>
        <stp>BDP|9621129910279402861</stp>
        <tr r="E1128" s="2"/>
      </tp>
      <tp t="s">
        <v>#N/A N/A</v>
        <stp/>
        <stp>BDP|7866363920316980816</stp>
        <tr r="N203" s="2"/>
      </tp>
      <tp t="s">
        <v>#N/A N/A</v>
        <stp/>
        <stp>BDP|1804993803353392371</stp>
        <tr r="R1555" s="2"/>
      </tp>
      <tp t="s">
        <v>#N/A N/A</v>
        <stp/>
        <stp>BDP|7490871679307410781</stp>
        <tr r="K476" s="2"/>
      </tp>
      <tp t="s">
        <v>#N/A N/A</v>
        <stp/>
        <stp>BDP|9113101047972579655</stp>
        <tr r="Q863" s="2"/>
      </tp>
      <tp t="s">
        <v>#N/A N/A</v>
        <stp/>
        <stp>BDP|8741135614179080962</stp>
        <tr r="K927" s="2"/>
      </tp>
      <tp t="s">
        <v>#N/A N/A</v>
        <stp/>
        <stp>BDS|6639387689090646579</stp>
        <tr r="I414" s="2"/>
      </tp>
      <tp t="s">
        <v>#N/A N/A</v>
        <stp/>
        <stp>BDP|3173332173568325748</stp>
        <tr r="G547" s="2"/>
      </tp>
      <tp t="s">
        <v>#N/A N/A</v>
        <stp/>
        <stp>BDP|2039230496207181623</stp>
        <tr r="R1056" s="2"/>
      </tp>
      <tp t="s">
        <v>#N/A N/A</v>
        <stp/>
        <stp>BDP|8224262842676047008</stp>
        <tr r="S536" s="2"/>
      </tp>
      <tp t="s">
        <v>#N/A N/A</v>
        <stp/>
        <stp>BDP|9607493173347398593</stp>
        <tr r="C823" s="2"/>
      </tp>
      <tp t="s">
        <v>#N/A N/A</v>
        <stp/>
        <stp>BDP|9789115364433512512</stp>
        <tr r="K1048" s="2"/>
      </tp>
      <tp t="s">
        <v>#N/A N/A</v>
        <stp/>
        <stp>BDP|3418947053666149149</stp>
        <tr r="N1695" s="2"/>
      </tp>
      <tp t="s">
        <v>#N/A N/A</v>
        <stp/>
        <stp>BDP|2727936173970473457</stp>
        <tr r="S726" s="2"/>
      </tp>
      <tp t="s">
        <v>#N/A N/A</v>
        <stp/>
        <stp>BDP|5930883150301299157</stp>
        <tr r="A1161" s="2"/>
      </tp>
      <tp t="s">
        <v>#N/A N/A</v>
        <stp/>
        <stp>BDP|9603550847088795855</stp>
        <tr r="D1182" s="2"/>
      </tp>
      <tp t="s">
        <v>#N/A N/A</v>
        <stp/>
        <stp>BDP|3262410234675685974</stp>
        <tr r="P460" s="2"/>
      </tp>
      <tp t="s">
        <v>#N/A N/A</v>
        <stp/>
        <stp>BDP|5536789278589750446</stp>
        <tr r="F1580" s="2"/>
      </tp>
      <tp t="s">
        <v>#N/A N/A</v>
        <stp/>
        <stp>BDP|8609279068477992368</stp>
        <tr r="C1409" s="2"/>
      </tp>
      <tp t="s">
        <v>#N/A N/A</v>
        <stp/>
        <stp>BDP|4874333474399191182</stp>
        <tr r="S1598" s="2"/>
      </tp>
      <tp t="s">
        <v>#N/A N/A</v>
        <stp/>
        <stp>BDP|5132031833378145669</stp>
        <tr r="Q224" s="2"/>
      </tp>
      <tp t="s">
        <v>#N/A N/A</v>
        <stp/>
        <stp>BDP|8459089457691842451</stp>
        <tr r="F381" s="2"/>
      </tp>
      <tp t="s">
        <v>#N/A N/A</v>
        <stp/>
        <stp>BDP|2077074186597112568</stp>
        <tr r="P1012" s="2"/>
      </tp>
      <tp t="s">
        <v>#N/A N/A</v>
        <stp/>
        <stp>BDS|9832650986977806856</stp>
        <tr r="I326" s="2"/>
      </tp>
      <tp t="s">
        <v>#N/A N/A</v>
        <stp/>
        <stp>BDP|5066120113614772909</stp>
        <tr r="K1098" s="2"/>
      </tp>
      <tp t="s">
        <v>#N/A N/A</v>
        <stp/>
        <stp>BDP|3549579377030122921</stp>
        <tr r="N1664" s="2"/>
      </tp>
      <tp t="s">
        <v>#N/A N/A</v>
        <stp/>
        <stp>BDP|7319915934391682461</stp>
        <tr r="J1178" s="2"/>
      </tp>
      <tp t="s">
        <v>#N/A N/A</v>
        <stp/>
        <stp>BDP|2754162981133209047</stp>
        <tr r="E419" s="2"/>
      </tp>
      <tp t="s">
        <v>#N/A N/A</v>
        <stp/>
        <stp>BDP|2692336635413638909</stp>
        <tr r="F1242" s="2"/>
      </tp>
      <tp t="s">
        <v>#N/A N/A</v>
        <stp/>
        <stp>BDP|3082136156898518767</stp>
        <tr r="H173" s="2"/>
      </tp>
      <tp t="s">
        <v>#N/A N/A</v>
        <stp/>
        <stp>BDP|1643541367189634357</stp>
        <tr r="S469" s="2"/>
      </tp>
      <tp t="s">
        <v>#N/A N/A</v>
        <stp/>
        <stp>BDS|2326744376323229954</stp>
        <tr r="I153" s="2"/>
      </tp>
      <tp t="s">
        <v>#N/A N/A</v>
        <stp/>
        <stp>BDP|8236504744562673366</stp>
        <tr r="T1267" s="2"/>
      </tp>
      <tp t="s">
        <v>#N/A N/A</v>
        <stp/>
        <stp>BDP|6405251592390575506</stp>
        <tr r="F588" s="2"/>
      </tp>
      <tp t="s">
        <v>#N/A N/A</v>
        <stp/>
        <stp>BDP|8003022736451539276</stp>
        <tr r="M442" s="2"/>
      </tp>
      <tp t="s">
        <v>#N/A N/A</v>
        <stp/>
        <stp>BDP|3416403982342052507</stp>
        <tr r="M653" s="2"/>
      </tp>
      <tp t="s">
        <v>#N/A N/A</v>
        <stp/>
        <stp>BDP|9503920716029232051</stp>
        <tr r="D955" s="2"/>
      </tp>
      <tp t="s">
        <v>#N/A N/A</v>
        <stp/>
        <stp>BDP|9171612770353615305</stp>
        <tr r="E593" s="2"/>
      </tp>
      <tp t="s">
        <v>#N/A N/A</v>
        <stp/>
        <stp>BDP|8176126526501642252</stp>
        <tr r="M15" s="2"/>
      </tp>
      <tp t="s">
        <v>#N/A N/A</v>
        <stp/>
        <stp>BDP|8561320337952256248</stp>
        <tr r="O896" s="2"/>
      </tp>
      <tp t="s">
        <v>#N/A N/A</v>
        <stp/>
        <stp>BDP|2804257646179449590</stp>
        <tr r="O42" s="2"/>
      </tp>
      <tp t="s">
        <v>#N/A N/A</v>
        <stp/>
        <stp>BDP|5610320406398291669</stp>
        <tr r="A616" s="2"/>
      </tp>
      <tp t="s">
        <v>#N/A N/A</v>
        <stp/>
        <stp>BDP|4533440784547409774</stp>
        <tr r="P1412" s="2"/>
      </tp>
      <tp t="s">
        <v>#N/A N/A</v>
        <stp/>
        <stp>BDP|1282122717879306027</stp>
        <tr r="M448" s="2"/>
      </tp>
      <tp t="s">
        <v>#N/A N/A</v>
        <stp/>
        <stp>BDP|3214816879492577691</stp>
        <tr r="C1693" s="2"/>
      </tp>
      <tp t="s">
        <v>#N/A N/A</v>
        <stp/>
        <stp>BDP|3230827982299573214</stp>
        <tr r="A1724" s="2"/>
      </tp>
      <tp t="s">
        <v>#N/A N/A</v>
        <stp/>
        <stp>BDS|3357672683525756060</stp>
        <tr r="I1544" s="2"/>
      </tp>
      <tp t="s">
        <v>#N/A N/A</v>
        <stp/>
        <stp>BDP|7856998470238437938</stp>
        <tr r="G533" s="2"/>
      </tp>
      <tp t="s">
        <v>#N/A N/A</v>
        <stp/>
        <stp>BDP|9931216323502973343</stp>
        <tr r="A281" s="2"/>
      </tp>
      <tp t="s">
        <v>#N/A N/A</v>
        <stp/>
        <stp>BDP|8611503501514326121</stp>
        <tr r="J1573" s="2"/>
      </tp>
      <tp t="s">
        <v>#N/A N/A</v>
        <stp/>
        <stp>BDP|9418948228242866869</stp>
        <tr r="T1143" s="2"/>
      </tp>
      <tp t="s">
        <v>#N/A N/A</v>
        <stp/>
        <stp>BDS|2585058961258262453</stp>
        <tr r="I540" s="2"/>
      </tp>
      <tp t="s">
        <v>#N/A N/A</v>
        <stp/>
        <stp>BDP|2613242632229316257</stp>
        <tr r="K1658" s="2"/>
      </tp>
      <tp t="s">
        <v>#N/A N/A</v>
        <stp/>
        <stp>BDP|3276480578099769136</stp>
        <tr r="Q746" s="2"/>
      </tp>
      <tp t="s">
        <v>#N/A N/A</v>
        <stp/>
        <stp>BDP|5445480197166559687</stp>
        <tr r="A74" s="2"/>
      </tp>
      <tp t="s">
        <v>#N/A N/A</v>
        <stp/>
        <stp>BDP|6632844428823912758</stp>
        <tr r="O881" s="2"/>
      </tp>
      <tp t="s">
        <v>#N/A N/A</v>
        <stp/>
        <stp>BDP|7161948004721385747</stp>
        <tr r="T85" s="2"/>
      </tp>
      <tp t="s">
        <v>#N/A N/A</v>
        <stp/>
        <stp>BDP|9036813005360018924</stp>
        <tr r="J278" s="2"/>
      </tp>
      <tp t="s">
        <v>#N/A N/A</v>
        <stp/>
        <stp>BDP|3993822138236798626</stp>
        <tr r="E1219" s="2"/>
      </tp>
      <tp t="s">
        <v>#N/A N/A</v>
        <stp/>
        <stp>BDP|6498567825939475049</stp>
        <tr r="G850" s="2"/>
      </tp>
      <tp t="s">
        <v>#N/A N/A</v>
        <stp/>
        <stp>BDP|4790817153196666740</stp>
        <tr r="Q849" s="2"/>
      </tp>
      <tp t="s">
        <v>#N/A N/A</v>
        <stp/>
        <stp>BDP|6932983330547550338</stp>
        <tr r="D1736" s="2"/>
      </tp>
      <tp t="s">
        <v>#N/A N/A</v>
        <stp/>
        <stp>BDP|4357976113311901598</stp>
        <tr r="E462" s="2"/>
      </tp>
      <tp t="s">
        <v>#N/A N/A</v>
        <stp/>
        <stp>BDP|7105308192032501710</stp>
        <tr r="P39" s="2"/>
      </tp>
      <tp t="s">
        <v>#N/A N/A</v>
        <stp/>
        <stp>BDP|3022129019053940857</stp>
        <tr r="C599" s="2"/>
      </tp>
      <tp t="s">
        <v>#N/A N/A</v>
        <stp/>
        <stp>BDP|2143811557287186017</stp>
        <tr r="R467" s="2"/>
      </tp>
      <tp t="s">
        <v>#N/A N/A</v>
        <stp/>
        <stp>BDP|1983430090516857253</stp>
        <tr r="P1525" s="2"/>
      </tp>
      <tp t="s">
        <v>#N/A N/A</v>
        <stp/>
        <stp>BDP|4272379691411696758</stp>
        <tr r="H730" s="2"/>
      </tp>
      <tp t="s">
        <v>#N/A N/A</v>
        <stp/>
        <stp>BDP|6243933807912714564</stp>
        <tr r="D1599" s="2"/>
      </tp>
      <tp t="s">
        <v>#N/A N/A</v>
        <stp/>
        <stp>BDP|5564341927849670573</stp>
        <tr r="H936" s="2"/>
      </tp>
      <tp t="s">
        <v>#N/A N/A</v>
        <stp/>
        <stp>BDP|7031361804858648434</stp>
        <tr r="R580" s="2"/>
      </tp>
      <tp t="s">
        <v>#N/A N/A</v>
        <stp/>
        <stp>BDP|8561168835573208136</stp>
        <tr r="A1085" s="2"/>
      </tp>
      <tp t="s">
        <v>#N/A N/A</v>
        <stp/>
        <stp>BDP|2369735416488036419</stp>
        <tr r="N162" s="2"/>
      </tp>
      <tp t="s">
        <v>#N/A N/A</v>
        <stp/>
        <stp>BDP|6616219465482630832</stp>
        <tr r="S900" s="2"/>
      </tp>
      <tp t="s">
        <v>#N/A N/A</v>
        <stp/>
        <stp>BDP|7103959154230642313</stp>
        <tr r="S889" s="2"/>
      </tp>
      <tp t="s">
        <v>#N/A N/A</v>
        <stp/>
        <stp>BDP|2761118149668920715</stp>
        <tr r="N615" s="2"/>
      </tp>
      <tp t="s">
        <v>#N/A N/A</v>
        <stp/>
        <stp>BDP|6586229962398385215</stp>
        <tr r="N1378" s="2"/>
      </tp>
      <tp t="s">
        <v>#N/A N/A</v>
        <stp/>
        <stp>BDP|4991533858904546808</stp>
        <tr r="G932" s="2"/>
      </tp>
      <tp t="s">
        <v>#N/A N/A</v>
        <stp/>
        <stp>BDP|5932839559658636821</stp>
        <tr r="P279" s="2"/>
      </tp>
      <tp t="s">
        <v>#N/A N/A</v>
        <stp/>
        <stp>BDP|5049855377274345669</stp>
        <tr r="M178" s="2"/>
      </tp>
      <tp t="s">
        <v>#N/A N/A</v>
        <stp/>
        <stp>BDP|7402651487134619570</stp>
        <tr r="C375" s="2"/>
      </tp>
      <tp t="s">
        <v>#N/A N/A</v>
        <stp/>
        <stp>BDP|8101500604991684440</stp>
        <tr r="C85" s="2"/>
      </tp>
      <tp t="s">
        <v>#N/A N/A</v>
        <stp/>
        <stp>BDP|5435810368131270285</stp>
        <tr r="G1053" s="2"/>
      </tp>
      <tp t="s">
        <v>#N/A N/A</v>
        <stp/>
        <stp>BDP|5259250787066219154</stp>
        <tr r="Q1107" s="2"/>
      </tp>
      <tp t="s">
        <v>#N/A N/A</v>
        <stp/>
        <stp>BDP|2807250767756827855</stp>
        <tr r="G432" s="2"/>
      </tp>
      <tp t="s">
        <v>#N/A N/A</v>
        <stp/>
        <stp>BDP|6507650728492967862</stp>
        <tr r="M1630" s="2"/>
      </tp>
      <tp t="s">
        <v>#N/A N/A</v>
        <stp/>
        <stp>BDP|9453367660840197440</stp>
        <tr r="M49" s="2"/>
      </tp>
      <tp t="s">
        <v>#N/A N/A</v>
        <stp/>
        <stp>BDP|8200215025372776262</stp>
        <tr r="A1645" s="2"/>
      </tp>
      <tp t="s">
        <v>#N/A N/A</v>
        <stp/>
        <stp>BDS|4056277203138563664</stp>
        <tr r="I263" s="2"/>
      </tp>
      <tp t="s">
        <v>#N/A N/A</v>
        <stp/>
        <stp>BDP|2052135342107431820</stp>
        <tr r="Q140" s="2"/>
      </tp>
      <tp t="s">
        <v>#N/A N/A</v>
        <stp/>
        <stp>BDP|4659360132029648533</stp>
        <tr r="N565" s="2"/>
      </tp>
      <tp t="s">
        <v>#N/A N/A</v>
        <stp/>
        <stp>BDP|7774046429224404996</stp>
        <tr r="T470" s="2"/>
      </tp>
      <tp t="s">
        <v>#N/A N/A</v>
        <stp/>
        <stp>BDP|1498742782783395560</stp>
        <tr r="N390" s="2"/>
      </tp>
      <tp t="s">
        <v>#N/A N/A</v>
        <stp/>
        <stp>BDP|7416390506414884849</stp>
        <tr r="D13" s="2"/>
      </tp>
      <tp t="s">
        <v>#N/A N/A</v>
        <stp/>
        <stp>BDP|4349360923249816490</stp>
        <tr r="N1275" s="2"/>
      </tp>
      <tp t="s">
        <v>#N/A N/A</v>
        <stp/>
        <stp>BDP|5200562757694254966</stp>
        <tr r="D1586" s="2"/>
      </tp>
      <tp t="s">
        <v>#N/A N/A</v>
        <stp/>
        <stp>BDP|3975418213579955759</stp>
        <tr r="H1451" s="2"/>
      </tp>
      <tp t="s">
        <v>#N/A N/A</v>
        <stp/>
        <stp>BDP|9180428149575466495</stp>
        <tr r="D922" s="2"/>
      </tp>
      <tp t="s">
        <v>#N/A N/A</v>
        <stp/>
        <stp>BDP|2427244812041189848</stp>
        <tr r="S15" s="2"/>
      </tp>
      <tp t="s">
        <v>#N/A N/A</v>
        <stp/>
        <stp>BDP|7303614177026102832</stp>
        <tr r="N1674" s="2"/>
      </tp>
      <tp t="s">
        <v>#N/A N/A</v>
        <stp/>
        <stp>BDP|9405997792985815409</stp>
        <tr r="R1052" s="2"/>
      </tp>
      <tp t="s">
        <v>#N/A N/A</v>
        <stp/>
        <stp>BDP|8221494026284860224</stp>
        <tr r="S203" s="2"/>
      </tp>
      <tp t="s">
        <v>#N/A N/A</v>
        <stp/>
        <stp>BDP|9349511328347668189</stp>
        <tr r="H268" s="2"/>
      </tp>
      <tp t="s">
        <v>#N/A N/A</v>
        <stp/>
        <stp>BDP|3477594385993538591</stp>
        <tr r="K294" s="2"/>
      </tp>
      <tp t="s">
        <v>#N/A N/A</v>
        <stp/>
        <stp>BDP|1806825124937344490</stp>
        <tr r="N1014" s="2"/>
      </tp>
      <tp t="s">
        <v>#N/A N/A</v>
        <stp/>
        <stp>BDP|4112865187988775432</stp>
        <tr r="G953" s="2"/>
      </tp>
      <tp t="s">
        <v>#N/A N/A</v>
        <stp/>
        <stp>BDP|2520325448384245998</stp>
        <tr r="E876" s="2"/>
      </tp>
      <tp t="s">
        <v>#N/A N/A</v>
        <stp/>
        <stp>BDP|8337653675997271656</stp>
        <tr r="J1446" s="2"/>
      </tp>
      <tp t="s">
        <v>#N/A N/A</v>
        <stp/>
        <stp>BDP|9474767716771490645</stp>
        <tr r="Q1462" s="2"/>
      </tp>
      <tp t="s">
        <v>#N/A N/A</v>
        <stp/>
        <stp>BDP|3691947732215417406</stp>
        <tr r="Q1668" s="2"/>
      </tp>
      <tp t="s">
        <v>#N/A N/A</v>
        <stp/>
        <stp>BDP|5747856875871386309</stp>
        <tr r="A817" s="2"/>
      </tp>
      <tp t="s">
        <v>#N/A N/A</v>
        <stp/>
        <stp>BDP|7703005402087861898</stp>
        <tr r="A665" s="2"/>
      </tp>
      <tp t="s">
        <v>#N/A N/A</v>
        <stp/>
        <stp>BDP|4194797290745914752</stp>
        <tr r="A862" s="2"/>
      </tp>
      <tp t="s">
        <v>#N/A N/A</v>
        <stp/>
        <stp>BDP|2428333993703880384</stp>
        <tr r="P317" s="2"/>
      </tp>
      <tp t="s">
        <v>#N/A N/A</v>
        <stp/>
        <stp>BDP|9542962123938072242</stp>
        <tr r="O31" s="2"/>
      </tp>
      <tp t="s">
        <v>#N/A N/A</v>
        <stp/>
        <stp>BDP|4136874212842418744</stp>
        <tr r="A983" s="2"/>
      </tp>
      <tp t="s">
        <v>#N/A N/A</v>
        <stp/>
        <stp>BDP|3486321047775558901</stp>
        <tr r="A1731" s="2"/>
      </tp>
      <tp t="s">
        <v>#N/A N/A</v>
        <stp/>
        <stp>BDP|5337803282644248978</stp>
        <tr r="O27" s="2"/>
      </tp>
      <tp t="s">
        <v>#N/A N/A</v>
        <stp/>
        <stp>BDP|4685727772094611844</stp>
        <tr r="P1619" s="2"/>
      </tp>
      <tp t="s">
        <v>#N/A N/A</v>
        <stp/>
        <stp>BDP|4263046324257473928</stp>
        <tr r="P947" s="2"/>
      </tp>
      <tp t="s">
        <v>#N/A N/A</v>
        <stp/>
        <stp>BDS|4541521728802841937</stp>
        <tr r="I959" s="2"/>
      </tp>
      <tp t="s">
        <v>#N/A N/A</v>
        <stp/>
        <stp>BDP|1621725036924238940</stp>
        <tr r="R1266" s="2"/>
      </tp>
      <tp t="s">
        <v>#N/A N/A</v>
        <stp/>
        <stp>BDP|5651648294643421165</stp>
        <tr r="P882" s="2"/>
      </tp>
      <tp t="s">
        <v>#N/A N/A</v>
        <stp/>
        <stp>BDP|5823512596802317385</stp>
        <tr r="R848" s="2"/>
      </tp>
      <tp t="s">
        <v>#N/A N/A</v>
        <stp/>
        <stp>BDP|8504938727338379360</stp>
        <tr r="O1169" s="2"/>
      </tp>
      <tp t="s">
        <v>#N/A N/A</v>
        <stp/>
        <stp>BDP|7310125449219495380</stp>
        <tr r="G1542" s="2"/>
      </tp>
      <tp t="s">
        <v>#N/A N/A</v>
        <stp/>
        <stp>BDP|1584410193631387509</stp>
        <tr r="J1732" s="2"/>
      </tp>
      <tp t="s">
        <v>#N/A N/A</v>
        <stp/>
        <stp>BDS|7669299658040556866</stp>
        <tr r="I93" s="2"/>
      </tp>
      <tp t="s">
        <v>#N/A N/A</v>
        <stp/>
        <stp>BDP|5182797698507640420</stp>
        <tr r="D1716" s="2"/>
      </tp>
      <tp t="s">
        <v>#N/A N/A</v>
        <stp/>
        <stp>BDP|7623937728922811613</stp>
        <tr r="J471" s="2"/>
      </tp>
      <tp t="s">
        <v>#N/A N/A</v>
        <stp/>
        <stp>BDP|5898181763679130363</stp>
        <tr r="C1274" s="2"/>
      </tp>
      <tp t="s">
        <v>#N/A N/A</v>
        <stp/>
        <stp>BDP|9387784118866620117</stp>
        <tr r="O1181" s="2"/>
      </tp>
      <tp t="s">
        <v>#N/A N/A</v>
        <stp/>
        <stp>BDP|7524135672690378937</stp>
        <tr r="O166" s="2"/>
      </tp>
      <tp t="s">
        <v>#N/A N/A</v>
        <stp/>
        <stp>BDP|7829690184063363225</stp>
        <tr r="P250" s="2"/>
      </tp>
      <tp t="s">
        <v>#N/A N/A</v>
        <stp/>
        <stp>BDP|5104419411838739023</stp>
        <tr r="J1746" s="2"/>
      </tp>
      <tp t="s">
        <v>#N/A N/A</v>
        <stp/>
        <stp>BDP|8619341454115418360</stp>
        <tr r="R1676" s="2"/>
      </tp>
      <tp t="s">
        <v>#N/A N/A</v>
        <stp/>
        <stp>BDP|8701368364736474358</stp>
        <tr r="H1164" s="2"/>
      </tp>
      <tp t="s">
        <v>#N/A N/A</v>
        <stp/>
        <stp>BDP|4743859582818444401</stp>
        <tr r="H647" s="2"/>
      </tp>
      <tp t="s">
        <v>#N/A N/A</v>
        <stp/>
        <stp>BDP|5216180482482812644</stp>
        <tr r="D592" s="2"/>
      </tp>
      <tp t="s">
        <v>#N/A N/A</v>
        <stp/>
        <stp>BDP|3032713346961622958</stp>
        <tr r="K600" s="2"/>
      </tp>
      <tp t="s">
        <v>#N/A N/A</v>
        <stp/>
        <stp>BDP|7793710186830316073</stp>
        <tr r="P720" s="2"/>
      </tp>
      <tp t="s">
        <v>#N/A N/A</v>
        <stp/>
        <stp>BDP|6923961829681653443</stp>
        <tr r="R874" s="2"/>
      </tp>
      <tp t="s">
        <v>#N/A N/A</v>
        <stp/>
        <stp>BDS|9361173746417627303</stp>
        <tr r="I456" s="2"/>
      </tp>
      <tp t="s">
        <v>#N/A N/A</v>
        <stp/>
        <stp>BDP|2465997816536827475</stp>
        <tr r="Q984" s="2"/>
      </tp>
      <tp t="s">
        <v>#N/A N/A</v>
        <stp/>
        <stp>BDP|3646529105907700926</stp>
        <tr r="G1394" s="2"/>
      </tp>
      <tp t="s">
        <v>#N/A N/A</v>
        <stp/>
        <stp>BDP|8687535215946056243</stp>
        <tr r="O559" s="2"/>
      </tp>
      <tp t="s">
        <v>#N/A N/A</v>
        <stp/>
        <stp>BDP|1657264797673756140</stp>
        <tr r="J1410" s="2"/>
      </tp>
      <tp t="s">
        <v>#N/A N/A</v>
        <stp/>
        <stp>BDP|2321009698240830378</stp>
        <tr r="A1417" s="2"/>
      </tp>
      <tp t="s">
        <v>#N/A N/A</v>
        <stp/>
        <stp>BDP|1306980466253852513</stp>
        <tr r="O835" s="2"/>
      </tp>
      <tp t="s">
        <v>#N/A N/A</v>
        <stp/>
        <stp>BDS|9020704820561672523</stp>
        <tr r="I1654" s="2"/>
      </tp>
      <tp t="s">
        <v>#N/A N/A</v>
        <stp/>
        <stp>BDP|9315410453599745924</stp>
        <tr r="K824" s="2"/>
      </tp>
      <tp t="s">
        <v>#N/A N/A</v>
        <stp/>
        <stp>BDP|5286593222338888254</stp>
        <tr r="S1120" s="2"/>
      </tp>
      <tp t="s">
        <v>#N/A N/A</v>
        <stp/>
        <stp>BDP|6524258094244698165</stp>
        <tr r="J119" s="2"/>
      </tp>
      <tp t="s">
        <v>#N/A N/A</v>
        <stp/>
        <stp>BDP|7513646989664556590</stp>
        <tr r="D403" s="2"/>
      </tp>
      <tp t="s">
        <v>#N/A N/A</v>
        <stp/>
        <stp>BDP|8850291629163925350</stp>
        <tr r="G1372" s="2"/>
      </tp>
      <tp t="s">
        <v>#N/A N/A</v>
        <stp/>
        <stp>BDP|3390945606651692334</stp>
        <tr r="E1470" s="2"/>
      </tp>
      <tp t="s">
        <v>#N/A N/A</v>
        <stp/>
        <stp>BDP|4115308845783484841</stp>
        <tr r="P94" s="2"/>
      </tp>
      <tp t="s">
        <v>#N/A N/A</v>
        <stp/>
        <stp>BDP|4474158011705773939</stp>
        <tr r="A421" s="2"/>
      </tp>
      <tp t="s">
        <v>#N/A N/A</v>
        <stp/>
        <stp>BDP|1212704617257272836</stp>
        <tr r="E996" s="2"/>
      </tp>
      <tp t="s">
        <v>#N/A N/A</v>
        <stp/>
        <stp>BDP|1614605287306792137</stp>
        <tr r="M274" s="2"/>
      </tp>
      <tp t="s">
        <v>#N/A N/A</v>
        <stp/>
        <stp>BDP|9838717038120585514</stp>
        <tr r="T1356" s="2"/>
      </tp>
      <tp t="s">
        <v>#N/A N/A</v>
        <stp/>
        <stp>BDP|7069967566134507409</stp>
        <tr r="D500" s="2"/>
      </tp>
      <tp t="s">
        <v>#N/A N/A</v>
        <stp/>
        <stp>BDP|7862092984504503358</stp>
        <tr r="P613" s="2"/>
      </tp>
      <tp t="s">
        <v>#N/A N/A</v>
        <stp/>
        <stp>BDP|5791012770883437979</stp>
        <tr r="C412" s="2"/>
      </tp>
      <tp t="s">
        <v>#N/A N/A</v>
        <stp/>
        <stp>BDP|8394676432632766747</stp>
        <tr r="A277" s="2"/>
      </tp>
      <tp t="s">
        <v>#N/A N/A</v>
        <stp/>
        <stp>BDP|3085821451746102076</stp>
        <tr r="T949" s="2"/>
      </tp>
      <tp t="s">
        <v>#N/A N/A</v>
        <stp/>
        <stp>BDP|2962618923447913973</stp>
        <tr r="N1097" s="2"/>
      </tp>
      <tp t="s">
        <v>#N/A N/A</v>
        <stp/>
        <stp>BDP|7419250814995695969</stp>
        <tr r="R431" s="2"/>
      </tp>
      <tp t="s">
        <v>#N/A N/A</v>
        <stp/>
        <stp>BDP|2195640830506247920</stp>
        <tr r="F146" s="2"/>
      </tp>
      <tp t="s">
        <v>#N/A N/A</v>
        <stp/>
        <stp>BDP|1583076771697546934</stp>
        <tr r="R1127" s="2"/>
      </tp>
      <tp t="s">
        <v>#N/A N/A</v>
        <stp/>
        <stp>BDP|6094741698948984802</stp>
        <tr r="E1544" s="2"/>
      </tp>
      <tp t="s">
        <v>#N/A N/A</v>
        <stp/>
        <stp>BDP|7781816200940195725</stp>
        <tr r="M1123" s="2"/>
      </tp>
      <tp t="s">
        <v>#N/A N/A</v>
        <stp/>
        <stp>BDP|7468127192437482056</stp>
        <tr r="A288" s="2"/>
      </tp>
      <tp t="s">
        <v>#N/A N/A</v>
        <stp/>
        <stp>BDP|5642216281741670658</stp>
        <tr r="S1570" s="2"/>
      </tp>
      <tp t="s">
        <v>#N/A N/A</v>
        <stp/>
        <stp>BDP|2788339082190324108</stp>
        <tr r="D332" s="2"/>
      </tp>
      <tp t="s">
        <v>#N/A N/A</v>
        <stp/>
        <stp>BDP|6804990847707149429</stp>
        <tr r="C1510" s="2"/>
      </tp>
      <tp t="s">
        <v>#N/A N/A</v>
        <stp/>
        <stp>BDP|7107200664103290822</stp>
        <tr r="Q1579" s="2"/>
      </tp>
      <tp t="s">
        <v>#N/A N/A</v>
        <stp/>
        <stp>BDP|4247357416869669727</stp>
        <tr r="S1168" s="2"/>
      </tp>
      <tp t="s">
        <v>#N/A N/A</v>
        <stp/>
        <stp>BDP|8636523971952216022</stp>
        <tr r="N1616" s="2"/>
      </tp>
      <tp t="s">
        <v>#N/A N/A</v>
        <stp/>
        <stp>BDP|3558828317067622535</stp>
        <tr r="F664" s="2"/>
      </tp>
      <tp t="s">
        <v>#N/A N/A</v>
        <stp/>
        <stp>BDP|1603575283461044578</stp>
        <tr r="H1486" s="2"/>
      </tp>
      <tp t="s">
        <v>#N/A N/A</v>
        <stp/>
        <stp>BDP|9583459174636382422</stp>
        <tr r="J1710" s="2"/>
      </tp>
      <tp t="s">
        <v>#N/A N/A</v>
        <stp/>
        <stp>BDP|1443360851858792718</stp>
        <tr r="A1449" s="2"/>
      </tp>
      <tp t="s">
        <v>#N/A N/A</v>
        <stp/>
        <stp>BDP|4537773471175293944</stp>
        <tr r="K39" s="2"/>
      </tp>
      <tp t="s">
        <v>#N/A N/A</v>
        <stp/>
        <stp>BDP|5446448085818805988</stp>
        <tr r="M1570" s="2"/>
      </tp>
      <tp t="s">
        <v>#N/A N/A</v>
        <stp/>
        <stp>BDP|9906292064892353723</stp>
        <tr r="G1105" s="2"/>
      </tp>
      <tp t="s">
        <v>#N/A N/A</v>
        <stp/>
        <stp>BDS|4658656895631714248</stp>
        <tr r="I1293" s="2"/>
      </tp>
      <tp t="s">
        <v>#N/A N/A</v>
        <stp/>
        <stp>BDP|5712651676739999581</stp>
        <tr r="R1592" s="2"/>
      </tp>
      <tp t="s">
        <v>#N/A N/A</v>
        <stp/>
        <stp>BDS|2213352602730913998</stp>
        <tr r="I1367" s="2"/>
      </tp>
      <tp t="s">
        <v>#N/A N/A</v>
        <stp/>
        <stp>BDP|8553474814206655358</stp>
        <tr r="G486" s="2"/>
      </tp>
      <tp t="s">
        <v>#N/A N/A</v>
        <stp/>
        <stp>BDP|2407270604929178130</stp>
        <tr r="D636" s="2"/>
      </tp>
      <tp t="s">
        <v>#N/A N/A</v>
        <stp/>
        <stp>BDP|1103786788133562510</stp>
        <tr r="H167" s="2"/>
      </tp>
      <tp t="s">
        <v>#N/A N/A</v>
        <stp/>
        <stp>BDP|8650671797036506965</stp>
        <tr r="Q486" s="2"/>
      </tp>
      <tp t="s">
        <v>#N/A N/A</v>
        <stp/>
        <stp>BDP|2443923452593917582</stp>
        <tr r="S1287" s="2"/>
      </tp>
      <tp t="s">
        <v>#N/A N/A</v>
        <stp/>
        <stp>BDP|9646250637686521641</stp>
        <tr r="N469" s="2"/>
      </tp>
      <tp t="s">
        <v>#N/A N/A</v>
        <stp/>
        <stp>BDP|3169734586077611372</stp>
        <tr r="M1659" s="2"/>
      </tp>
      <tp t="s">
        <v>#N/A N/A</v>
        <stp/>
        <stp>BDP|1756493190492305683</stp>
        <tr r="J1086" s="2"/>
      </tp>
      <tp t="s">
        <v>#N/A N/A</v>
        <stp/>
        <stp>BDP|1042866471703656540</stp>
        <tr r="M531" s="2"/>
      </tp>
      <tp t="s">
        <v>#N/A N/A</v>
        <stp/>
        <stp>BDP|9844308361702527699</stp>
        <tr r="R1697" s="2"/>
      </tp>
      <tp t="s">
        <v>#N/A N/A</v>
        <stp/>
        <stp>BDP|2445916537280603010</stp>
        <tr r="R477" s="2"/>
      </tp>
      <tp t="s">
        <v>#N/A N/A</v>
        <stp/>
        <stp>BDP|1378962994578273164</stp>
        <tr r="G165" s="2"/>
      </tp>
      <tp t="s">
        <v>#N/A N/A</v>
        <stp/>
        <stp>BDP|4161921055324604457</stp>
        <tr r="O659" s="2"/>
      </tp>
      <tp t="s">
        <v>#N/A N/A</v>
        <stp/>
        <stp>BDP|5387162856770389956</stp>
        <tr r="M237" s="2"/>
      </tp>
      <tp t="s">
        <v>#N/A N/A</v>
        <stp/>
        <stp>BDP|5075922909562934670</stp>
        <tr r="M982" s="2"/>
      </tp>
      <tp t="s">
        <v>#N/A N/A</v>
        <stp/>
        <stp>BDP|6154331616284161803</stp>
        <tr r="D1497" s="2"/>
      </tp>
      <tp t="s">
        <v>#N/A N/A</v>
        <stp/>
        <stp>BDP|8256350442856274128</stp>
        <tr r="H165" s="2"/>
      </tp>
      <tp t="s">
        <v>#N/A N/A</v>
        <stp/>
        <stp>BDS|1512162212040311974</stp>
        <tr r="I1717" s="2"/>
      </tp>
      <tp t="s">
        <v>#N/A N/A</v>
        <stp/>
        <stp>BDP|7503557112152311942</stp>
        <tr r="C1153" s="2"/>
      </tp>
      <tp t="s">
        <v>#N/A N/A</v>
        <stp/>
        <stp>BDP|5034641193177102536</stp>
        <tr r="J677" s="2"/>
      </tp>
      <tp t="s">
        <v>#N/A N/A</v>
        <stp/>
        <stp>BDP|4504293528128352422</stp>
        <tr r="R1398" s="2"/>
      </tp>
      <tp t="s">
        <v>#N/A N/A</v>
        <stp/>
        <stp>BDP|2189830169921776593</stp>
        <tr r="H967" s="2"/>
      </tp>
      <tp t="s">
        <v>#N/A N/A</v>
        <stp/>
        <stp>BDS|7759915642846071419</stp>
        <tr r="I868" s="2"/>
      </tp>
      <tp t="s">
        <v>#N/A N/A</v>
        <stp/>
        <stp>BDP|9348270661646071300</stp>
        <tr r="N903" s="2"/>
      </tp>
      <tp t="s">
        <v>#N/A N/A</v>
        <stp/>
        <stp>BDP|2653427612068145722</stp>
        <tr r="O1196" s="2"/>
      </tp>
      <tp t="s">
        <v>#N/A N/A</v>
        <stp/>
        <stp>BDS|3123726381316706200</stp>
        <tr r="I359" s="2"/>
      </tp>
      <tp t="s">
        <v>#N/A N/A</v>
        <stp/>
        <stp>BDP|6750845773000707124</stp>
        <tr r="P1453" s="2"/>
      </tp>
      <tp t="s">
        <v>#N/A N/A</v>
        <stp/>
        <stp>BDP|6999500011978953241</stp>
        <tr r="H1337" s="2"/>
      </tp>
      <tp t="s">
        <v>#N/A N/A</v>
        <stp/>
        <stp>BDP|7311439559389595796</stp>
        <tr r="J600" s="2"/>
      </tp>
      <tp t="s">
        <v>#N/A N/A</v>
        <stp/>
        <stp>BDP|5034770924271427924</stp>
        <tr r="D479" s="2"/>
      </tp>
      <tp t="s">
        <v>#N/A N/A</v>
        <stp/>
        <stp>BDS|9994573551858349992</stp>
        <tr r="I446" s="2"/>
      </tp>
      <tp t="s">
        <v>#N/A N/A</v>
        <stp/>
        <stp>BDP|5990755267994732891</stp>
        <tr r="D631" s="2"/>
      </tp>
      <tp t="s">
        <v>#N/A N/A</v>
        <stp/>
        <stp>BDP|2704229963837255913</stp>
        <tr r="S527" s="2"/>
      </tp>
      <tp t="s">
        <v>#N/A N/A</v>
        <stp/>
        <stp>BDP|6811104747299204280</stp>
        <tr r="K858" s="2"/>
      </tp>
      <tp t="s">
        <v>#N/A N/A</v>
        <stp/>
        <stp>BDP|8311805405028726040</stp>
        <tr r="F1337" s="2"/>
      </tp>
      <tp t="s">
        <v>#N/A N/A</v>
        <stp/>
        <stp>BDP|4133322653812676838</stp>
        <tr r="A1486" s="2"/>
      </tp>
      <tp t="s">
        <v>#N/A N/A</v>
        <stp/>
        <stp>BDP|6315551381636688548</stp>
        <tr r="C491" s="2"/>
      </tp>
      <tp t="s">
        <v>#N/A N/A</v>
        <stp/>
        <stp>BDP|5288478694538052846</stp>
        <tr r="T1243" s="2"/>
      </tp>
      <tp t="s">
        <v>#N/A N/A</v>
        <stp/>
        <stp>BDP|2766896344584293325</stp>
        <tr r="F693" s="2"/>
      </tp>
      <tp t="s">
        <v>#N/A N/A</v>
        <stp/>
        <stp>BDP|9114533728283287420</stp>
        <tr r="H840" s="2"/>
      </tp>
      <tp t="s">
        <v>#N/A N/A</v>
        <stp/>
        <stp>BDP|3985060905173013900</stp>
        <tr r="P1388" s="2"/>
      </tp>
      <tp t="s">
        <v>#N/A N/A</v>
        <stp/>
        <stp>BDS|4284348568900228860</stp>
        <tr r="I85" s="2"/>
      </tp>
      <tp t="s">
        <v>#N/A N/A</v>
        <stp/>
        <stp>BDP|9539234618720737339</stp>
        <tr r="D1011" s="2"/>
      </tp>
      <tp t="s">
        <v>#N/A N/A</v>
        <stp/>
        <stp>BDP|2342013303843304882</stp>
        <tr r="R10" s="2"/>
      </tp>
      <tp t="s">
        <v>#N/A N/A</v>
        <stp/>
        <stp>BDP|9900226629763193395</stp>
        <tr r="P1340" s="2"/>
      </tp>
      <tp t="s">
        <v>#N/A N/A</v>
        <stp/>
        <stp>BDP|1270106324099893245</stp>
        <tr r="A315" s="2"/>
      </tp>
      <tp t="s">
        <v>#N/A N/A</v>
        <stp/>
        <stp>BDP|3527945822812975305</stp>
        <tr r="P1195" s="2"/>
      </tp>
      <tp t="s">
        <v>#N/A N/A</v>
        <stp/>
        <stp>BDP|1314628690747251097</stp>
        <tr r="C785" s="2"/>
      </tp>
      <tp t="s">
        <v>#N/A N/A</v>
        <stp/>
        <stp>BDP|3185671757000933926</stp>
        <tr r="M1375" s="2"/>
      </tp>
      <tp t="s">
        <v>#N/A N/A</v>
        <stp/>
        <stp>BDP|1376823639306089523</stp>
        <tr r="K560" s="2"/>
      </tp>
      <tp t="s">
        <v>#N/A N/A</v>
        <stp/>
        <stp>BDP|4462799887947812588</stp>
        <tr r="A1736" s="2"/>
      </tp>
      <tp t="s">
        <v>#N/A N/A</v>
        <stp/>
        <stp>BDP|2107154378394207948</stp>
        <tr r="O984" s="2"/>
      </tp>
      <tp t="s">
        <v>#N/A N/A</v>
        <stp/>
        <stp>BDP|1081840728834345655</stp>
        <tr r="H1504" s="2"/>
      </tp>
      <tp t="s">
        <v>#N/A N/A</v>
        <stp/>
        <stp>BDP|7467560488673144015</stp>
        <tr r="G128" s="2"/>
      </tp>
      <tp t="s">
        <v>#N/A N/A</v>
        <stp/>
        <stp>BDP|1029835774042556583</stp>
        <tr r="S548" s="2"/>
      </tp>
      <tp t="s">
        <v>#N/A N/A</v>
        <stp/>
        <stp>BDP|8376967377508843701</stp>
        <tr r="Q364" s="2"/>
      </tp>
      <tp t="s">
        <v>#N/A N/A</v>
        <stp/>
        <stp>BDP|1494308528549032067</stp>
        <tr r="R934" s="2"/>
      </tp>
      <tp t="s">
        <v>#N/A N/A</v>
        <stp/>
        <stp>BDP|3653801813191900265</stp>
        <tr r="Q1120" s="2"/>
      </tp>
      <tp t="s">
        <v>#N/A N/A</v>
        <stp/>
        <stp>BDP|7136171682025671285</stp>
        <tr r="K916" s="2"/>
      </tp>
      <tp t="s">
        <v>#N/A N/A</v>
        <stp/>
        <stp>BDP|8011985342684850887</stp>
        <tr r="O1159" s="2"/>
      </tp>
      <tp t="s">
        <v>#N/A N/A</v>
        <stp/>
        <stp>BDS|5039288707858631633</stp>
        <tr r="I886" s="2"/>
      </tp>
      <tp t="s">
        <v>#N/A N/A</v>
        <stp/>
        <stp>BDP|4211407099568053815</stp>
        <tr r="F1117" s="2"/>
      </tp>
      <tp t="s">
        <v>#N/A N/A</v>
        <stp/>
        <stp>BDP|7375319988790387532</stp>
        <tr r="S908" s="2"/>
      </tp>
      <tp t="s">
        <v>#N/A N/A</v>
        <stp/>
        <stp>BDP|9339012955775500084</stp>
        <tr r="R1255" s="2"/>
      </tp>
      <tp t="s">
        <v>#N/A N/A</v>
        <stp/>
        <stp>BDP|5835570587678018926</stp>
        <tr r="R219" s="2"/>
      </tp>
      <tp t="s">
        <v>#N/A N/A</v>
        <stp/>
        <stp>BDP|7285353116004860838</stp>
        <tr r="N1149" s="2"/>
      </tp>
      <tp t="s">
        <v>#N/A N/A</v>
        <stp/>
        <stp>BDS|9333907312068870035</stp>
        <tr r="I1352" s="2"/>
      </tp>
      <tp t="s">
        <v>#N/A N/A</v>
        <stp/>
        <stp>BDP|8585750479588488970</stp>
        <tr r="K1185" s="2"/>
      </tp>
      <tp t="s">
        <v>#N/A N/A</v>
        <stp/>
        <stp>BDP|6893816542114829799</stp>
        <tr r="K1139" s="2"/>
      </tp>
      <tp t="s">
        <v>#N/A N/A</v>
        <stp/>
        <stp>BDP|5191935459779198907</stp>
        <tr r="A1578" s="2"/>
      </tp>
      <tp t="s">
        <v>#N/A N/A</v>
        <stp/>
        <stp>BDP|6760210768108746337</stp>
        <tr r="E1034" s="2"/>
      </tp>
      <tp t="s">
        <v>#N/A N/A</v>
        <stp/>
        <stp>BDP|2258095275654723830</stp>
        <tr r="C910" s="2"/>
      </tp>
      <tp t="s">
        <v>#N/A N/A</v>
        <stp/>
        <stp>BDP|2447184194041738257</stp>
        <tr r="G894" s="2"/>
      </tp>
      <tp t="s">
        <v>#N/A N/A</v>
        <stp/>
        <stp>BDP|2936534752182713953</stp>
        <tr r="R37" s="2"/>
      </tp>
      <tp t="s">
        <v>#N/A N/A</v>
        <stp/>
        <stp>BDP|2195989893963050808</stp>
        <tr r="O1322" s="2"/>
      </tp>
      <tp t="s">
        <v>#N/A N/A</v>
        <stp/>
        <stp>BDP|9900771770770295068</stp>
        <tr r="F1683" s="2"/>
      </tp>
      <tp t="s">
        <v>#N/A N/A</v>
        <stp/>
        <stp>BDP|6065556089641561337</stp>
        <tr r="T1331" s="2"/>
      </tp>
      <tp t="s">
        <v>#N/A N/A</v>
        <stp/>
        <stp>BDP|2285510981173869508</stp>
        <tr r="K806" s="2"/>
      </tp>
      <tp t="s">
        <v>#N/A N/A</v>
        <stp/>
        <stp>BDP|3527911842430891749</stp>
        <tr r="M1282" s="2"/>
      </tp>
      <tp t="s">
        <v>#N/A N/A</v>
        <stp/>
        <stp>BDP|1538367683567256483</stp>
        <tr r="P1505" s="2"/>
      </tp>
      <tp t="s">
        <v>#N/A N/A</v>
        <stp/>
        <stp>BDP|5253738304378608399</stp>
        <tr r="T768" s="2"/>
      </tp>
      <tp t="s">
        <v>#N/A N/A</v>
        <stp/>
        <stp>BDP|5440602228639777111</stp>
        <tr r="H1567" s="2"/>
      </tp>
      <tp t="s">
        <v>#N/A N/A</v>
        <stp/>
        <stp>BDP|6336986001381122712</stp>
        <tr r="F1586" s="2"/>
      </tp>
      <tp t="s">
        <v>#N/A N/A</v>
        <stp/>
        <stp>BDP|6710740884195990550</stp>
        <tr r="C1226" s="2"/>
      </tp>
      <tp t="s">
        <v>#N/A N/A</v>
        <stp/>
        <stp>BDP|4278470646154097986</stp>
        <tr r="S141" s="2"/>
      </tp>
      <tp t="s">
        <v>#N/A N/A</v>
        <stp/>
        <stp>BDP|4617384407438009628</stp>
        <tr r="O1361" s="2"/>
      </tp>
      <tp t="s">
        <v>#N/A N/A</v>
        <stp/>
        <stp>BDP|4486056299446511263</stp>
        <tr r="S146" s="2"/>
      </tp>
      <tp t="s">
        <v>#N/A N/A</v>
        <stp/>
        <stp>BDP|6324459382777869472</stp>
        <tr r="P807" s="2"/>
      </tp>
      <tp t="s">
        <v>#N/A N/A</v>
        <stp/>
        <stp>BDP|2825779966129315313</stp>
        <tr r="C1657" s="2"/>
      </tp>
      <tp t="s">
        <v>#N/A N/A</v>
        <stp/>
        <stp>BDP|6219501785804825642</stp>
        <tr r="F165" s="2"/>
      </tp>
      <tp t="s">
        <v>#N/A N/A</v>
        <stp/>
        <stp>BDP|9401578362696840521</stp>
        <tr r="R302" s="2"/>
      </tp>
      <tp t="s">
        <v>#N/A N/A</v>
        <stp/>
        <stp>BDP|3717409149593139944</stp>
        <tr r="S898" s="2"/>
      </tp>
      <tp t="s">
        <v>#N/A N/A</v>
        <stp/>
        <stp>BDP|1247459933197735885</stp>
        <tr r="N149" s="2"/>
      </tp>
      <tp t="s">
        <v>#N/A N/A</v>
        <stp/>
        <stp>BDP|1919509782500520555</stp>
        <tr r="K803" s="2"/>
      </tp>
      <tp t="s">
        <v>#N/A N/A</v>
        <stp/>
        <stp>BDP|9636358089469338226</stp>
        <tr r="O952" s="2"/>
      </tp>
      <tp t="s">
        <v>#N/A N/A</v>
        <stp/>
        <stp>BDP|9150657328490082473</stp>
        <tr r="R1416" s="2"/>
      </tp>
      <tp t="s">
        <v>#N/A N/A</v>
        <stp/>
        <stp>BDP|2960675567919724254</stp>
        <tr r="J86" s="2"/>
      </tp>
      <tp t="s">
        <v>#N/A N/A</v>
        <stp/>
        <stp>BDP|2579209578738613604</stp>
        <tr r="R1240" s="2"/>
      </tp>
      <tp t="s">
        <v>#N/A N/A</v>
        <stp/>
        <stp>BDP|9583972775977545998</stp>
        <tr r="F1033" s="2"/>
      </tp>
      <tp t="s">
        <v>#N/A N/A</v>
        <stp/>
        <stp>BDP|6986580268425056926</stp>
        <tr r="O676" s="2"/>
      </tp>
      <tp t="s">
        <v>#N/A N/A</v>
        <stp/>
        <stp>BDP|7492963828153403654</stp>
        <tr r="C251" s="2"/>
      </tp>
      <tp t="s">
        <v>#N/A N/A</v>
        <stp/>
        <stp>BDP|8561889397483327326</stp>
        <tr r="E1312" s="2"/>
      </tp>
      <tp t="s">
        <v>#N/A N/A</v>
        <stp/>
        <stp>BDP|8801143901352292246</stp>
        <tr r="F1520" s="2"/>
      </tp>
      <tp t="s">
        <v>#N/A N/A</v>
        <stp/>
        <stp>BDP|3106758418789742504</stp>
        <tr r="M360" s="2"/>
      </tp>
      <tp t="s">
        <v>#N/A N/A</v>
        <stp/>
        <stp>BDP|1821318682986254529</stp>
        <tr r="S782" s="2"/>
      </tp>
      <tp t="s">
        <v>#N/A N/A</v>
        <stp/>
        <stp>BDP|4613257372921979937</stp>
        <tr r="R1044" s="2"/>
      </tp>
      <tp t="s">
        <v>#N/A N/A</v>
        <stp/>
        <stp>BDP|4902960757262253319</stp>
        <tr r="G505" s="2"/>
      </tp>
      <tp t="s">
        <v>#N/A N/A</v>
        <stp/>
        <stp>BDP|5935424078019195690</stp>
        <tr r="J1705" s="2"/>
      </tp>
      <tp t="s">
        <v>#N/A N/A</v>
        <stp/>
        <stp>BDP|4703531597595921418</stp>
        <tr r="O35" s="2"/>
      </tp>
      <tp t="s">
        <v>#N/A N/A</v>
        <stp/>
        <stp>BDP|8054912892650172198</stp>
        <tr r="G906" s="2"/>
      </tp>
      <tp t="s">
        <v>#N/A N/A</v>
        <stp/>
        <stp>BDP|6101464687113960022</stp>
        <tr r="Q391" s="2"/>
      </tp>
      <tp t="s">
        <v>#N/A N/A</v>
        <stp/>
        <stp>BDP|4247568814681380883</stp>
        <tr r="P741" s="2"/>
      </tp>
      <tp t="s">
        <v>#N/A N/A</v>
        <stp/>
        <stp>BDP|6220727689670102032</stp>
        <tr r="Q1187" s="2"/>
      </tp>
      <tp t="s">
        <v>#N/A N/A</v>
        <stp/>
        <stp>BDP|9828710445202505121</stp>
        <tr r="J1326" s="2"/>
      </tp>
      <tp t="s">
        <v>#N/A N/A</v>
        <stp/>
        <stp>BDP|1983889827137995549</stp>
        <tr r="T1018" s="2"/>
      </tp>
      <tp t="s">
        <v>#N/A N/A</v>
        <stp/>
        <stp>BDP|8107720610281877605</stp>
        <tr r="J1745" s="2"/>
      </tp>
      <tp t="s">
        <v>#N/A N/A</v>
        <stp/>
        <stp>BDP|3505182516483957993</stp>
        <tr r="E1287" s="2"/>
      </tp>
      <tp t="s">
        <v>#N/A N/A</v>
        <stp/>
        <stp>BDP|1250613262299843120</stp>
        <tr r="R1204" s="2"/>
      </tp>
      <tp t="s">
        <v>#N/A N/A</v>
        <stp/>
        <stp>BDP|5640470584097864762</stp>
        <tr r="M190" s="2"/>
      </tp>
      <tp t="s">
        <v>#N/A N/A</v>
        <stp/>
        <stp>BDP|5639308139904399878</stp>
        <tr r="C1049" s="2"/>
      </tp>
      <tp t="s">
        <v>#N/A N/A</v>
        <stp/>
        <stp>BDP|1025438877299623298</stp>
        <tr r="H1133" s="2"/>
      </tp>
      <tp t="s">
        <v>#N/A N/A</v>
        <stp/>
        <stp>BDS|2708388368897500991</stp>
        <tr r="I672" s="2"/>
      </tp>
      <tp t="s">
        <v>#N/A N/A</v>
        <stp/>
        <stp>BDP|4078040188343362640</stp>
        <tr r="S180" s="2"/>
      </tp>
      <tp t="s">
        <v>#N/A N/A</v>
        <stp/>
        <stp>BDP|6956943707595237332</stp>
        <tr r="Q135" s="2"/>
      </tp>
      <tp t="s">
        <v>#N/A N/A</v>
        <stp/>
        <stp>BDP|5834083664358951263</stp>
        <tr r="F1315" s="2"/>
      </tp>
      <tp t="s">
        <v>#N/A N/A</v>
        <stp/>
        <stp>BDS|8919671027631367416</stp>
        <tr r="I196" s="2"/>
      </tp>
      <tp t="s">
        <v>#N/A N/A</v>
        <stp/>
        <stp>BDP|1810844004831286111</stp>
        <tr r="D1327" s="2"/>
      </tp>
      <tp t="s">
        <v>#N/A N/A</v>
        <stp/>
        <stp>BDP|3871908839792240288</stp>
        <tr r="M662" s="2"/>
      </tp>
      <tp t="s">
        <v>#N/A N/A</v>
        <stp/>
        <stp>BDP|7663569832788840018</stp>
        <tr r="H1695" s="2"/>
      </tp>
      <tp t="s">
        <v>#N/A N/A</v>
        <stp/>
        <stp>BDP|9677347605784546794</stp>
        <tr r="E1279" s="2"/>
      </tp>
      <tp t="s">
        <v>#N/A N/A</v>
        <stp/>
        <stp>BDP|3836530598284100296</stp>
        <tr r="T113" s="2"/>
      </tp>
      <tp t="s">
        <v>#N/A N/A</v>
        <stp/>
        <stp>BDP|8282089007225150470</stp>
        <tr r="C57" s="2"/>
      </tp>
      <tp t="s">
        <v>#N/A N/A</v>
        <stp/>
        <stp>BDP|2501787292582178753</stp>
        <tr r="D603" s="2"/>
      </tp>
      <tp t="s">
        <v>#N/A N/A</v>
        <stp/>
        <stp>BDS|9998295053543843408</stp>
        <tr r="I789" s="2"/>
      </tp>
      <tp t="s">
        <v>#N/A N/A</v>
        <stp/>
        <stp>BDP|9927901046939478434</stp>
        <tr r="D1428" s="2"/>
      </tp>
      <tp t="s">
        <v>#N/A N/A</v>
        <stp/>
        <stp>BDP|3390417858789445265</stp>
        <tr r="F1164" s="2"/>
      </tp>
      <tp t="s">
        <v>#N/A N/A</v>
        <stp/>
        <stp>BDP|8071129569042445472</stp>
        <tr r="K288" s="2"/>
      </tp>
      <tp t="s">
        <v>#N/A N/A</v>
        <stp/>
        <stp>BDP|7944933631806143223</stp>
        <tr r="O1646" s="2"/>
      </tp>
      <tp t="s">
        <v>#N/A N/A</v>
        <stp/>
        <stp>BDP|5100844058000495116</stp>
        <tr r="P893" s="2"/>
      </tp>
      <tp t="s">
        <v>#N/A N/A</v>
        <stp/>
        <stp>BDP|5173854246804217481</stp>
        <tr r="H1464" s="2"/>
      </tp>
      <tp t="s">
        <v>#N/A N/A</v>
        <stp/>
        <stp>BDP|2569643893791919538</stp>
        <tr r="E641" s="2"/>
      </tp>
      <tp t="s">
        <v>#N/A N/A</v>
        <stp/>
        <stp>BDP|2487067562795151896</stp>
        <tr r="P1523" s="2"/>
      </tp>
      <tp t="s">
        <v>#N/A N/A</v>
        <stp/>
        <stp>BDP|3702514390022675489</stp>
        <tr r="M1637" s="2"/>
      </tp>
      <tp t="s">
        <v>#N/A N/A</v>
        <stp/>
        <stp>BDP|5815614610662782961</stp>
        <tr r="C1587" s="2"/>
      </tp>
      <tp t="s">
        <v>#N/A N/A</v>
        <stp/>
        <stp>BDS|3373473770830470982</stp>
        <tr r="I943" s="2"/>
      </tp>
      <tp t="s">
        <v>#N/A N/A</v>
        <stp/>
        <stp>BDP|1874019327929557338</stp>
        <tr r="Q1663" s="2"/>
      </tp>
      <tp t="s">
        <v>#N/A N/A</v>
        <stp/>
        <stp>BDP|2337815153046950009</stp>
        <tr r="E627" s="2"/>
      </tp>
      <tp t="s">
        <v>#N/A N/A</v>
        <stp/>
        <stp>BDP|9801477163786284462</stp>
        <tr r="M1326" s="2"/>
      </tp>
      <tp t="s">
        <v>#N/A N/A</v>
        <stp/>
        <stp>BDP|4079128556300428983</stp>
        <tr r="E366" s="2"/>
      </tp>
      <tp t="s">
        <v>#N/A N/A</v>
        <stp/>
        <stp>BDP|2512842029859572851</stp>
        <tr r="K549" s="2"/>
      </tp>
      <tp t="s">
        <v>#N/A N/A</v>
        <stp/>
        <stp>BDP|9319639155940585384</stp>
        <tr r="O190" s="2"/>
      </tp>
      <tp t="s">
        <v>#N/A N/A</v>
        <stp/>
        <stp>BDP|6129968901964961279</stp>
        <tr r="H1194" s="2"/>
      </tp>
      <tp t="s">
        <v>#N/A N/A</v>
        <stp/>
        <stp>BDP|4339471286775391490</stp>
        <tr r="Q117" s="2"/>
      </tp>
      <tp t="s">
        <v>#N/A N/A</v>
        <stp/>
        <stp>BDP|4378767539358775138</stp>
        <tr r="T1726" s="2"/>
      </tp>
      <tp t="s">
        <v>#N/A N/A</v>
        <stp/>
        <stp>BDP|2292882837674168445</stp>
        <tr r="J46" s="2"/>
      </tp>
      <tp t="s">
        <v>#N/A N/A</v>
        <stp/>
        <stp>BDP|7254222496101996471</stp>
        <tr r="F1576" s="2"/>
      </tp>
      <tp t="s">
        <v>#N/A N/A</v>
        <stp/>
        <stp>BDS|1928361736800420854</stp>
        <tr r="I779" s="2"/>
      </tp>
      <tp t="s">
        <v>#N/A N/A</v>
        <stp/>
        <stp>BDP|4176356002788707698</stp>
        <tr r="H776" s="2"/>
      </tp>
      <tp t="s">
        <v>#N/A N/A</v>
        <stp/>
        <stp>BDP|9880964196636639667</stp>
        <tr r="H296" s="2"/>
      </tp>
      <tp t="s">
        <v>#N/A N/A</v>
        <stp/>
        <stp>BDP|5877430875786781919</stp>
        <tr r="F1543" s="2"/>
      </tp>
      <tp t="s">
        <v>#N/A N/A</v>
        <stp/>
        <stp>BDP|3975098809068680276</stp>
        <tr r="D1661" s="2"/>
      </tp>
      <tp t="s">
        <v>#N/A N/A</v>
        <stp/>
        <stp>BDP|1131465760468874275</stp>
        <tr r="Q1727" s="2"/>
      </tp>
      <tp t="s">
        <v>#N/A N/A</v>
        <stp/>
        <stp>BDP|9466793264600160105</stp>
        <tr r="G1091" s="2"/>
      </tp>
      <tp t="s">
        <v>#N/A N/A</v>
        <stp/>
        <stp>BDP|9395243157127194092</stp>
        <tr r="M1486" s="2"/>
      </tp>
      <tp t="s">
        <v>#N/A N/A</v>
        <stp/>
        <stp>BDP|4797425873757689983</stp>
        <tr r="Q182" s="2"/>
      </tp>
      <tp t="s">
        <v>#N/A N/A</v>
        <stp/>
        <stp>BDP|8387385229780901039</stp>
        <tr r="C1718" s="2"/>
      </tp>
      <tp t="s">
        <v>#N/A N/A</v>
        <stp/>
        <stp>BDP|5055568659485036979</stp>
        <tr r="M973" s="2"/>
      </tp>
      <tp t="s">
        <v>#N/A N/A</v>
        <stp/>
        <stp>BDP|8517485200166666331</stp>
        <tr r="P1492" s="2"/>
      </tp>
      <tp t="s">
        <v>#N/A N/A</v>
        <stp/>
        <stp>BDP|7963250444628934091</stp>
        <tr r="D1216" s="2"/>
      </tp>
      <tp t="s">
        <v>#N/A N/A</v>
        <stp/>
        <stp>BDP|9467595378894901649</stp>
        <tr r="E1351" s="2"/>
      </tp>
      <tp t="s">
        <v>#N/A N/A</v>
        <stp/>
        <stp>BDP|5182856086239869528</stp>
        <tr r="H1163" s="2"/>
      </tp>
      <tp t="s">
        <v>#N/A N/A</v>
        <stp/>
        <stp>BDS|6106570444896376899</stp>
        <tr r="I95" s="2"/>
      </tp>
      <tp t="s">
        <v>#N/A N/A</v>
        <stp/>
        <stp>BDP|4175028490640382485</stp>
        <tr r="J650" s="2"/>
      </tp>
      <tp t="s">
        <v>#N/A N/A</v>
        <stp/>
        <stp>BDP|2648044777074939847</stp>
        <tr r="G1107" s="2"/>
      </tp>
      <tp t="s">
        <v>#N/A N/A</v>
        <stp/>
        <stp>BDP|5575808757857859626</stp>
        <tr r="K1207" s="2"/>
      </tp>
      <tp t="s">
        <v>#N/A N/A</v>
        <stp/>
        <stp>BDP|1898495467763881967</stp>
        <tr r="S1485" s="2"/>
      </tp>
      <tp t="s">
        <v>#N/A N/A</v>
        <stp/>
        <stp>BDP|6242625727979789284</stp>
        <tr r="N282" s="2"/>
      </tp>
      <tp t="s">
        <v>#N/A N/A</v>
        <stp/>
        <stp>BDP|9335191461881392607</stp>
        <tr r="N1377" s="2"/>
      </tp>
      <tp t="s">
        <v>#N/A N/A</v>
        <stp/>
        <stp>BDP|9866365051587251154</stp>
        <tr r="J1093" s="2"/>
      </tp>
      <tp t="s">
        <v>#N/A N/A</v>
        <stp/>
        <stp>BDP|5147074146558058087</stp>
        <tr r="J1400" s="2"/>
      </tp>
      <tp t="s">
        <v>#N/A N/A</v>
        <stp/>
        <stp>BDP|2451654105348972553</stp>
        <tr r="S1118" s="2"/>
      </tp>
      <tp t="s">
        <v>#N/A N/A</v>
        <stp/>
        <stp>BDP|2842885556526874065</stp>
        <tr r="T1019" s="2"/>
      </tp>
      <tp t="s">
        <v>#N/A N/A</v>
        <stp/>
        <stp>BDP|5868975042528608930</stp>
        <tr r="G183" s="2"/>
      </tp>
      <tp t="s">
        <v>#N/A N/A</v>
        <stp/>
        <stp>BDP|2182525368940085825</stp>
        <tr r="H482" s="2"/>
      </tp>
      <tp t="s">
        <v>#N/A N/A</v>
        <stp/>
        <stp>BDS|3587567643169146280</stp>
        <tr r="I1755" s="2"/>
      </tp>
      <tp t="s">
        <v>#N/A N/A</v>
        <stp/>
        <stp>BDP|5739709498321272347</stp>
        <tr r="S163" s="2"/>
      </tp>
      <tp t="s">
        <v>#N/A N/A</v>
        <stp/>
        <stp>BDP|3401875209011097334</stp>
        <tr r="H1752" s="2"/>
      </tp>
      <tp t="s">
        <v>#N/A N/A</v>
        <stp/>
        <stp>BDP|2418675853228994007</stp>
        <tr r="H1126" s="2"/>
      </tp>
      <tp t="s">
        <v>#N/A N/A</v>
        <stp/>
        <stp>BDP|6287848376592187285</stp>
        <tr r="K1651" s="2"/>
      </tp>
      <tp t="s">
        <v>#N/A N/A</v>
        <stp/>
        <stp>BDP|7786003481216674094</stp>
        <tr r="G1620" s="2"/>
      </tp>
      <tp t="s">
        <v>#N/A N/A</v>
        <stp/>
        <stp>BDP|2250885673304786071</stp>
        <tr r="T1652" s="2"/>
      </tp>
      <tp t="s">
        <v>#N/A N/A</v>
        <stp/>
        <stp>BDP|7226699763017858994</stp>
        <tr r="G1062" s="2"/>
      </tp>
      <tp t="s">
        <v>#N/A N/A</v>
        <stp/>
        <stp>BDP|5185384191757765161</stp>
        <tr r="F45" s="2"/>
      </tp>
      <tp t="s">
        <v>#N/A N/A</v>
        <stp/>
        <stp>BDP|5294301674549667197</stp>
        <tr r="D205" s="2"/>
      </tp>
      <tp t="s">
        <v>#N/A N/A</v>
        <stp/>
        <stp>BDP|8366694335682392651</stp>
        <tr r="J1534" s="2"/>
      </tp>
      <tp t="s">
        <v>#N/A N/A</v>
        <stp/>
        <stp>BDP|8415339308825787717</stp>
        <tr r="S957" s="2"/>
      </tp>
      <tp t="s">
        <v>#N/A N/A</v>
        <stp/>
        <stp>BDP|8651423658819305961</stp>
        <tr r="A1502" s="2"/>
      </tp>
      <tp t="s">
        <v>#N/A N/A</v>
        <stp/>
        <stp>BDP|5999117016494665812</stp>
        <tr r="S592" s="2"/>
      </tp>
      <tp t="s">
        <v>#N/A N/A</v>
        <stp/>
        <stp>BDP|9544488377847134429</stp>
        <tr r="F543" s="2"/>
      </tp>
      <tp t="s">
        <v>#N/A N/A</v>
        <stp/>
        <stp>BDP|9504390562225181064</stp>
        <tr r="N355" s="2"/>
      </tp>
      <tp t="s">
        <v>#N/A N/A</v>
        <stp/>
        <stp>BDP|9049742009740084747</stp>
        <tr r="M1647" s="2"/>
      </tp>
      <tp t="s">
        <v>#N/A N/A</v>
        <stp/>
        <stp>BDP|2308387193550219132</stp>
        <tr r="G757" s="2"/>
      </tp>
      <tp t="s">
        <v>#N/A N/A</v>
        <stp/>
        <stp>BDP|9454540208383120605</stp>
        <tr r="P1557" s="2"/>
      </tp>
      <tp t="s">
        <v>#N/A N/A</v>
        <stp/>
        <stp>BDP|3976540614708868687</stp>
        <tr r="S1727" s="2"/>
      </tp>
      <tp t="s">
        <v>#N/A N/A</v>
        <stp/>
        <stp>BDP|3351858578510005578</stp>
        <tr r="E1042" s="2"/>
      </tp>
      <tp t="s">
        <v>#N/A N/A</v>
        <stp/>
        <stp>BDP|3124995065014416106</stp>
        <tr r="C246" s="2"/>
      </tp>
      <tp t="s">
        <v>#N/A N/A</v>
        <stp/>
        <stp>BDS|6604982299988893761</stp>
        <tr r="I658" s="2"/>
      </tp>
      <tp t="s">
        <v>#N/A N/A</v>
        <stp/>
        <stp>BDP|8246221908175436657</stp>
        <tr r="N1380" s="2"/>
      </tp>
      <tp t="s">
        <v>#N/A N/A</v>
        <stp/>
        <stp>BDP|8909050084581439856</stp>
        <tr r="H742" s="2"/>
      </tp>
      <tp t="s">
        <v>#N/A N/A</v>
        <stp/>
        <stp>BDP|9421470650474917534</stp>
        <tr r="G824" s="2"/>
      </tp>
      <tp t="s">
        <v>#N/A N/A</v>
        <stp/>
        <stp>BDP|5750353154172744880</stp>
        <tr r="C1169" s="2"/>
      </tp>
      <tp t="s">
        <v>#N/A N/A</v>
        <stp/>
        <stp>BDS|7802750824018431343</stp>
        <tr r="I1573" s="2"/>
      </tp>
      <tp t="s">
        <v>#N/A N/A</v>
        <stp/>
        <stp>BDP|3832869847974529253</stp>
        <tr r="R1059" s="2"/>
      </tp>
      <tp t="s">
        <v>#N/A N/A</v>
        <stp/>
        <stp>BDP|6711686124252440963</stp>
        <tr r="H1080" s="2"/>
      </tp>
      <tp t="s">
        <v>#N/A N/A</v>
        <stp/>
        <stp>BDP|2994863534550253008</stp>
        <tr r="D1740" s="2"/>
      </tp>
      <tp t="s">
        <v>#N/A N/A</v>
        <stp/>
        <stp>BDP|2347964185528109287</stp>
        <tr r="R126" s="2"/>
      </tp>
      <tp t="s">
        <v>#N/A N/A</v>
        <stp/>
        <stp>BDP|4901763690445308655</stp>
        <tr r="K465" s="2"/>
      </tp>
      <tp t="s">
        <v>#N/A N/A</v>
        <stp/>
        <stp>BDP|3521026243437524987</stp>
        <tr r="F1484" s="2"/>
      </tp>
      <tp t="s">
        <v>#N/A N/A</v>
        <stp/>
        <stp>BDS|3543154534700930842</stp>
        <tr r="I168" s="2"/>
      </tp>
      <tp t="s">
        <v>#N/A N/A</v>
        <stp/>
        <stp>BDP|6034495285725615635</stp>
        <tr r="R332" s="2"/>
      </tp>
      <tp t="s">
        <v>#N/A N/A</v>
        <stp/>
        <stp>BDP|3258231799521121006</stp>
        <tr r="N1411" s="2"/>
      </tp>
      <tp t="s">
        <v>#N/A N/A</v>
        <stp/>
        <stp>BDP|2969345957344452971</stp>
        <tr r="C1239" s="2"/>
      </tp>
      <tp t="s">
        <v>#N/A N/A</v>
        <stp/>
        <stp>BDP|7759273319199512452</stp>
        <tr r="N1393" s="2"/>
      </tp>
      <tp t="s">
        <v>#N/A N/A</v>
        <stp/>
        <stp>BDP|3232935521715115484</stp>
        <tr r="J1588" s="2"/>
      </tp>
      <tp t="s">
        <v>#N/A N/A</v>
        <stp/>
        <stp>BDP|1366924013680986028</stp>
        <tr r="Q793" s="2"/>
      </tp>
      <tp t="s">
        <v>#N/A N/A</v>
        <stp/>
        <stp>BDP|6109269489825324047</stp>
        <tr r="A1107" s="2"/>
      </tp>
      <tp t="s">
        <v>#N/A N/A</v>
        <stp/>
        <stp>BDP|5950077581116621206</stp>
        <tr r="P837" s="2"/>
      </tp>
      <tp t="s">
        <v>#N/A N/A</v>
        <stp/>
        <stp>BDP|8840655586497301812</stp>
        <tr r="T350" s="2"/>
      </tp>
      <tp t="s">
        <v>#N/A N/A</v>
        <stp/>
        <stp>BDP|2344591366531661930</stp>
        <tr r="N1109" s="2"/>
      </tp>
      <tp t="s">
        <v>#N/A N/A</v>
        <stp/>
        <stp>BDP|6033789285473515319</stp>
        <tr r="R1475" s="2"/>
      </tp>
      <tp t="s">
        <v>#N/A N/A</v>
        <stp/>
        <stp>BDP|1635854937053416090</stp>
        <tr r="D371" s="2"/>
      </tp>
      <tp t="s">
        <v>#N/A N/A</v>
        <stp/>
        <stp>BDP|7775324892172197683</stp>
        <tr r="R239" s="2"/>
      </tp>
      <tp t="s">
        <v>#N/A N/A</v>
        <stp/>
        <stp>BDP|2278725284872802622</stp>
        <tr r="T438" s="2"/>
      </tp>
      <tp t="s">
        <v>#N/A N/A</v>
        <stp/>
        <stp>BDP|5728964748541283053</stp>
        <tr r="G1434" s="2"/>
      </tp>
      <tp t="s">
        <v>#N/A N/A</v>
        <stp/>
        <stp>BDP|8430586866692289063</stp>
        <tr r="A44" s="2"/>
      </tp>
      <tp t="s">
        <v>#N/A N/A</v>
        <stp/>
        <stp>BDP|4216681224659455048</stp>
        <tr r="A499" s="2"/>
      </tp>
      <tp t="s">
        <v>#N/A N/A</v>
        <stp/>
        <stp>BDP|3983772395000421413</stp>
        <tr r="A919" s="2"/>
      </tp>
      <tp t="s">
        <v>#N/A N/A</v>
        <stp/>
        <stp>BDP|3374858337471830072</stp>
        <tr r="K205" s="2"/>
      </tp>
      <tp t="s">
        <v>#N/A N/A</v>
        <stp/>
        <stp>BDP|5082818624824224290</stp>
        <tr r="M1700" s="2"/>
      </tp>
      <tp t="s">
        <v>#N/A N/A</v>
        <stp/>
        <stp>BDP|1076842135803691099</stp>
        <tr r="S758" s="2"/>
      </tp>
      <tp t="s">
        <v>#N/A N/A</v>
        <stp/>
        <stp>BDP|3819031275499085401</stp>
        <tr r="C428" s="2"/>
      </tp>
      <tp t="s">
        <v>#N/A N/A</v>
        <stp/>
        <stp>BDP|9475253149800143675</stp>
        <tr r="J1575" s="2"/>
      </tp>
      <tp t="s">
        <v>#N/A N/A</v>
        <stp/>
        <stp>BDP|5271946699415612978</stp>
        <tr r="J1316" s="2"/>
      </tp>
      <tp t="s">
        <v>#N/A N/A</v>
        <stp/>
        <stp>BDP|8826571300844632074</stp>
        <tr r="P1455" s="2"/>
      </tp>
      <tp t="s">
        <v>#N/A N/A</v>
        <stp/>
        <stp>BDP|7868842252444782774</stp>
        <tr r="N421" s="2"/>
      </tp>
      <tp t="s">
        <v>#N/A N/A</v>
        <stp/>
        <stp>BDP|2563372648879254566</stp>
        <tr r="C56" s="2"/>
      </tp>
      <tp t="s">
        <v>#N/A N/A</v>
        <stp/>
        <stp>BDP|9741801998087497653</stp>
        <tr r="R308" s="2"/>
      </tp>
      <tp t="s">
        <v>#N/A N/A</v>
        <stp/>
        <stp>BDP|9004010578886005177</stp>
        <tr r="M1178" s="2"/>
      </tp>
      <tp t="s">
        <v>#N/A N/A</v>
        <stp/>
        <stp>BDP|6689260868449321250</stp>
        <tr r="P72" s="2"/>
      </tp>
      <tp t="s">
        <v>#N/A N/A</v>
        <stp/>
        <stp>BDP|3604700296213741798</stp>
        <tr r="R322" s="2"/>
      </tp>
      <tp t="s">
        <v>#N/A N/A</v>
        <stp/>
        <stp>BDP|9159481750745799404</stp>
        <tr r="S1488" s="2"/>
      </tp>
      <tp t="s">
        <v>#N/A N/A</v>
        <stp/>
        <stp>BDP|3569126340517985803</stp>
        <tr r="E1262" s="2"/>
      </tp>
      <tp t="s">
        <v>#N/A N/A</v>
        <stp/>
        <stp>BDP|7291210978353117845</stp>
        <tr r="T332" s="2"/>
      </tp>
      <tp t="s">
        <v>#N/A N/A</v>
        <stp/>
        <stp>BDS|7154873806696811063</stp>
        <tr r="I1136" s="2"/>
      </tp>
      <tp t="s">
        <v>#N/A N/A</v>
        <stp/>
        <stp>BDP|7661705568039136611</stp>
        <tr r="Q1453" s="2"/>
      </tp>
      <tp t="s">
        <v>#N/A N/A</v>
        <stp/>
        <stp>BDP|1620232483701860301</stp>
        <tr r="K561" s="2"/>
      </tp>
      <tp t="s">
        <v>#N/A N/A</v>
        <stp/>
        <stp>BDP|5769625107563538995</stp>
        <tr r="G255" s="2"/>
      </tp>
      <tp t="s">
        <v>#N/A N/A</v>
        <stp/>
        <stp>BDP|9955394704364823720</stp>
        <tr r="P1026" s="2"/>
      </tp>
      <tp t="s">
        <v>#N/A N/A</v>
        <stp/>
        <stp>BDP|3667169566739013489</stp>
        <tr r="R888" s="2"/>
      </tp>
      <tp t="s">
        <v>#N/A N/A</v>
        <stp/>
        <stp>BDP|3084740029147083831</stp>
        <tr r="D1470" s="2"/>
      </tp>
      <tp t="s">
        <v>#N/A N/A</v>
        <stp/>
        <stp>BDP|4281986973376595524</stp>
        <tr r="J1647" s="2"/>
      </tp>
      <tp t="s">
        <v>#N/A N/A</v>
        <stp/>
        <stp>BDP|6361364119528334517</stp>
        <tr r="M469" s="2"/>
      </tp>
      <tp t="s">
        <v>#N/A N/A</v>
        <stp/>
        <stp>BDP|1257722828698077565</stp>
        <tr r="C469" s="2"/>
      </tp>
      <tp t="s">
        <v>#N/A N/A</v>
        <stp/>
        <stp>BDP|7385820749611141379</stp>
        <tr r="E843" s="2"/>
      </tp>
      <tp t="s">
        <v>#N/A N/A</v>
        <stp/>
        <stp>BDP|9832347522534058507</stp>
        <tr r="D1720" s="2"/>
      </tp>
      <tp t="s">
        <v>#N/A N/A</v>
        <stp/>
        <stp>BDP|2287658755138566095</stp>
        <tr r="C407" s="2"/>
      </tp>
      <tp t="s">
        <v>#N/A N/A</v>
        <stp/>
        <stp>BDP|5342787793124221642</stp>
        <tr r="K1324" s="2"/>
      </tp>
      <tp t="s">
        <v>#N/A N/A</v>
        <stp/>
        <stp>BDP|2080705989756581220</stp>
        <tr r="O1156" s="2"/>
      </tp>
      <tp t="s">
        <v>#N/A N/A</v>
        <stp/>
        <stp>BDP|2323128296675989606</stp>
        <tr r="G954" s="2"/>
      </tp>
      <tp t="s">
        <v>#N/A N/A</v>
        <stp/>
        <stp>BDP|6686589220931598953</stp>
        <tr r="P977" s="2"/>
      </tp>
      <tp t="s">
        <v>#N/A N/A</v>
        <stp/>
        <stp>BDP|7938068486866229054</stp>
        <tr r="Q1022" s="2"/>
      </tp>
      <tp t="s">
        <v>#N/A N/A</v>
        <stp/>
        <stp>BDP|8932471822007529075</stp>
        <tr r="N368" s="2"/>
      </tp>
      <tp t="s">
        <v>#N/A N/A</v>
        <stp/>
        <stp>BDP|4783981460130659278</stp>
        <tr r="N1629" s="2"/>
      </tp>
      <tp t="s">
        <v>#N/A N/A</v>
        <stp/>
        <stp>BDP|4480612688880465371</stp>
        <tr r="E606" s="2"/>
      </tp>
      <tp t="s">
        <v>#N/A N/A</v>
        <stp/>
        <stp>BDP|7090034649253495902</stp>
        <tr r="J1061" s="2"/>
      </tp>
      <tp t="s">
        <v>#N/A N/A</v>
        <stp/>
        <stp>BDP|7289046639419299437</stp>
        <tr r="C580" s="2"/>
      </tp>
      <tp t="s">
        <v>#N/A N/A</v>
        <stp/>
        <stp>BDP|9395216743064623299</stp>
        <tr r="C1559" s="2"/>
      </tp>
      <tp t="s">
        <v>#N/A N/A</v>
        <stp/>
        <stp>BDP|5903025877758012327</stp>
        <tr r="M389" s="2"/>
      </tp>
      <tp t="s">
        <v>#N/A N/A</v>
        <stp/>
        <stp>BDP|1309505699087367374</stp>
        <tr r="A778" s="2"/>
      </tp>
      <tp t="s">
        <v>#N/A N/A</v>
        <stp/>
        <stp>BDP|3114582790080377643</stp>
        <tr r="F1251" s="2"/>
      </tp>
      <tp t="s">
        <v>#N/A N/A</v>
        <stp/>
        <stp>BDP|7244446329008520046</stp>
        <tr r="E561" s="2"/>
      </tp>
      <tp t="s">
        <v>#N/A N/A</v>
        <stp/>
        <stp>BDP|6244693770298077654</stp>
        <tr r="M658" s="2"/>
      </tp>
      <tp t="s">
        <v>#N/A N/A</v>
        <stp/>
        <stp>BDP|7654511374389462597</stp>
        <tr r="A1601" s="2"/>
      </tp>
      <tp t="s">
        <v>#N/A N/A</v>
        <stp/>
        <stp>BDP|8017573559166383722</stp>
        <tr r="P1555" s="2"/>
      </tp>
      <tp t="s">
        <v>#N/A N/A</v>
        <stp/>
        <stp>BDP|5299885828511571787</stp>
        <tr r="M330" s="2"/>
      </tp>
      <tp t="s">
        <v>#N/A N/A</v>
        <stp/>
        <stp>BDP|1744125389917569667</stp>
        <tr r="S246" s="2"/>
      </tp>
      <tp t="s">
        <v>#N/A N/A</v>
        <stp/>
        <stp>BDP|7001743295017785793</stp>
        <tr r="E119" s="2"/>
      </tp>
      <tp t="s">
        <v>#N/A N/A</v>
        <stp/>
        <stp>BDP|8328732199898377757</stp>
        <tr r="E838" s="2"/>
      </tp>
      <tp t="s">
        <v>#N/A N/A</v>
        <stp/>
        <stp>BDP|5064258868440023820</stp>
        <tr r="C1158" s="2"/>
      </tp>
      <tp t="s">
        <v>#N/A N/A</v>
        <stp/>
        <stp>BDP|8492375254651839602</stp>
        <tr r="T325" s="2"/>
      </tp>
      <tp t="s">
        <v>#N/A N/A</v>
        <stp/>
        <stp>BDP|8286123779357420020</stp>
        <tr r="P1501" s="2"/>
      </tp>
      <tp t="s">
        <v>#N/A N/A</v>
        <stp/>
        <stp>BDP|9592333778960707469</stp>
        <tr r="A1343" s="2"/>
      </tp>
      <tp t="s">
        <v>#N/A N/A</v>
        <stp/>
        <stp>BDP|2108663485985582088</stp>
        <tr r="A296" s="2"/>
      </tp>
      <tp t="s">
        <v>#N/A N/A</v>
        <stp/>
        <stp>BDP|5063902414997367381</stp>
        <tr r="F1711" s="2"/>
      </tp>
      <tp t="s">
        <v>#N/A N/A</v>
        <stp/>
        <stp>BDP|3720969920548677983</stp>
        <tr r="T1073" s="2"/>
      </tp>
      <tp t="s">
        <v>#N/A N/A</v>
        <stp/>
        <stp>BDP|9416070207748928829</stp>
        <tr r="S1027" s="2"/>
      </tp>
      <tp t="s">
        <v>#N/A N/A</v>
        <stp/>
        <stp>BDP|7533386047049202079</stp>
        <tr r="H756" s="2"/>
      </tp>
      <tp t="s">
        <v>#N/A N/A</v>
        <stp/>
        <stp>BDS|6503695664367705809</stp>
        <tr r="I556" s="2"/>
      </tp>
      <tp t="s">
        <v>#N/A N/A</v>
        <stp/>
        <stp>BDP|3054625012215995867</stp>
        <tr r="G666" s="2"/>
      </tp>
      <tp t="s">
        <v>#N/A N/A</v>
        <stp/>
        <stp>BDP|3945695199903716615</stp>
        <tr r="F338" s="2"/>
      </tp>
      <tp t="s">
        <v>#N/A N/A</v>
        <stp/>
        <stp>BDP|7187773713769889128</stp>
        <tr r="K1486" s="2"/>
      </tp>
      <tp t="s">
        <v>#N/A N/A</v>
        <stp/>
        <stp>BDP|4155573364906807850</stp>
        <tr r="O267" s="2"/>
      </tp>
      <tp t="s">
        <v>#N/A N/A</v>
        <stp/>
        <stp>BDP|5518083707565298971</stp>
        <tr r="K1714" s="2"/>
      </tp>
      <tp t="s">
        <v>#N/A N/A</v>
        <stp/>
        <stp>BDP|8858838628428550393</stp>
        <tr r="A1630" s="2"/>
      </tp>
      <tp t="s">
        <v>#N/A N/A</v>
        <stp/>
        <stp>BDS|7897877932271794459</stp>
        <tr r="I468" s="2"/>
      </tp>
      <tp t="s">
        <v>#N/A N/A</v>
        <stp/>
        <stp>BDP|6014868661141023084</stp>
        <tr r="N107" s="2"/>
      </tp>
      <tp t="s">
        <v>#N/A N/A</v>
        <stp/>
        <stp>BDP|8032205535657887726</stp>
        <tr r="R762" s="2"/>
      </tp>
      <tp t="s">
        <v>#N/A N/A</v>
        <stp/>
        <stp>BDP|1586471592410642597</stp>
        <tr r="K797" s="2"/>
      </tp>
      <tp t="s">
        <v>#N/A N/A</v>
        <stp/>
        <stp>BDP|3821791609155283854</stp>
        <tr r="O1426" s="2"/>
      </tp>
      <tp t="s">
        <v>#N/A N/A</v>
        <stp/>
        <stp>BDP|7995496383480500295</stp>
        <tr r="A917" s="2"/>
      </tp>
      <tp t="s">
        <v>#N/A N/A</v>
        <stp/>
        <stp>BDP|6650094840073943895</stp>
        <tr r="S974" s="2"/>
      </tp>
      <tp t="s">
        <v>#N/A N/A</v>
        <stp/>
        <stp>BDP|4364816677337855525</stp>
        <tr r="F483" s="2"/>
      </tp>
      <tp t="s">
        <v>#N/A N/A</v>
        <stp/>
        <stp>BDP|1657284177554328955</stp>
        <tr r="Q1037" s="2"/>
      </tp>
      <tp t="s">
        <v>#N/A N/A</v>
        <stp/>
        <stp>BDP|7927662484672052241</stp>
        <tr r="D1342" s="2"/>
      </tp>
      <tp t="s">
        <v>#N/A N/A</v>
        <stp/>
        <stp>BDP|2732907448011433742</stp>
        <tr r="H517" s="2"/>
      </tp>
      <tp t="s">
        <v>#N/A N/A</v>
        <stp/>
        <stp>BDP|1620419479823560840</stp>
        <tr r="Q694" s="2"/>
      </tp>
      <tp t="s">
        <v>#N/A N/A</v>
        <stp/>
        <stp>BDP|4757600099161641375</stp>
        <tr r="C1150" s="2"/>
      </tp>
      <tp t="s">
        <v>#N/A N/A</v>
        <stp/>
        <stp>BDP|5877945436126340062</stp>
        <tr r="S1220" s="2"/>
      </tp>
      <tp t="s">
        <v>#N/A N/A</v>
        <stp/>
        <stp>BDP|1090517078742346858</stp>
        <tr r="K1664" s="2"/>
      </tp>
      <tp t="s">
        <v>#N/A N/A</v>
        <stp/>
        <stp>BDP|3981793481743713698</stp>
        <tr r="P1589" s="2"/>
      </tp>
      <tp t="s">
        <v>#N/A N/A</v>
        <stp/>
        <stp>BDP|7533791703971880886</stp>
        <tr r="F357" s="2"/>
      </tp>
      <tp t="s">
        <v>#N/A N/A</v>
        <stp/>
        <stp>BDP|9050486627332128417</stp>
        <tr r="T796" s="2"/>
      </tp>
      <tp t="s">
        <v>#N/A N/A</v>
        <stp/>
        <stp>BDP|9720472867401848304</stp>
        <tr r="T1606" s="2"/>
      </tp>
      <tp t="s">
        <v>#N/A N/A</v>
        <stp/>
        <stp>BDP|8702266256230121692</stp>
        <tr r="N982" s="2"/>
      </tp>
      <tp t="s">
        <v>#N/A N/A</v>
        <stp/>
        <stp>BDP|9516225720127890708</stp>
        <tr r="N730" s="2"/>
      </tp>
      <tp t="s">
        <v>#N/A N/A</v>
        <stp/>
        <stp>BDP|8329393843160269642</stp>
        <tr r="C778" s="2"/>
      </tp>
      <tp t="s">
        <v>#N/A N/A</v>
        <stp/>
        <stp>BDS|4339800255486069696</stp>
        <tr r="I752" s="2"/>
      </tp>
      <tp t="s">
        <v>#N/A N/A</v>
        <stp/>
        <stp>BDP|8973597549920583036</stp>
        <tr r="F573" s="2"/>
      </tp>
      <tp t="s">
        <v>#N/A N/A</v>
        <stp/>
        <stp>BDP|3798152735781927919</stp>
        <tr r="K1670" s="2"/>
      </tp>
      <tp t="s">
        <v>#N/A N/A</v>
        <stp/>
        <stp>BDP|9305917089319416802</stp>
        <tr r="M588" s="2"/>
      </tp>
      <tp t="s">
        <v>#N/A N/A</v>
        <stp/>
        <stp>BDP|6952294709569400423</stp>
        <tr r="J970" s="2"/>
      </tp>
      <tp t="s">
        <v>#N/A N/A</v>
        <stp/>
        <stp>BDP|2848063653656166830</stp>
        <tr r="N32" s="2"/>
      </tp>
      <tp t="s">
        <v>#N/A N/A</v>
        <stp/>
        <stp>BDP|3096600816045174889</stp>
        <tr r="Q729" s="2"/>
      </tp>
      <tp t="s">
        <v>#N/A N/A</v>
        <stp/>
        <stp>BDP|3414615098382012721</stp>
        <tr r="P1234" s="2"/>
      </tp>
      <tp t="s">
        <v>#N/A N/A</v>
        <stp/>
        <stp>BDP|8261807529582744937</stp>
        <tr r="R224" s="2"/>
      </tp>
      <tp t="s">
        <v>#N/A N/A</v>
        <stp/>
        <stp>BDP|4307122954310364990</stp>
        <tr r="P1074" s="2"/>
      </tp>
      <tp t="s">
        <v>#N/A N/A</v>
        <stp/>
        <stp>BDP|8400699241567630459</stp>
        <tr r="A941" s="2"/>
      </tp>
      <tp t="s">
        <v>#N/A N/A</v>
        <stp/>
        <stp>BDP|7452932337511705584</stp>
        <tr r="G812" s="2"/>
      </tp>
      <tp t="s">
        <v>#N/A N/A</v>
        <stp/>
        <stp>BDP|6603486254769577700</stp>
        <tr r="E532" s="2"/>
      </tp>
      <tp t="s">
        <v>#N/A N/A</v>
        <stp/>
        <stp>BDS|2541854191552927872</stp>
        <tr r="I631" s="2"/>
      </tp>
      <tp t="s">
        <v>#N/A N/A</v>
        <stp/>
        <stp>BDP|5116095713649506414</stp>
        <tr r="M1249" s="2"/>
      </tp>
      <tp t="s">
        <v>#N/A N/A</v>
        <stp/>
        <stp>BDP|6661144632798742587</stp>
        <tr r="E1731" s="2"/>
      </tp>
      <tp t="s">
        <v>#N/A N/A</v>
        <stp/>
        <stp>BDP|1303311356007368981</stp>
        <tr r="K474" s="2"/>
      </tp>
      <tp t="s">
        <v>#N/A N/A</v>
        <stp/>
        <stp>BDP|4513787932011523852</stp>
        <tr r="O988" s="2"/>
      </tp>
      <tp t="s">
        <v>#N/A N/A</v>
        <stp/>
        <stp>BDP|4097602640437557893</stp>
        <tr r="A1395" s="2"/>
      </tp>
      <tp t="s">
        <v>#N/A N/A</v>
        <stp/>
        <stp>BDP|7435572949827327852</stp>
        <tr r="C722" s="2"/>
      </tp>
      <tp t="s">
        <v>#N/A N/A</v>
        <stp/>
        <stp>BDS|5024758979238604462</stp>
        <tr r="I16" s="2"/>
      </tp>
      <tp t="s">
        <v>#N/A N/A</v>
        <stp/>
        <stp>BDP|3965228866089549742</stp>
        <tr r="F975" s="2"/>
      </tp>
      <tp t="s">
        <v>#N/A N/A</v>
        <stp/>
        <stp>BDP|2919017401043060858</stp>
        <tr r="C1201" s="2"/>
      </tp>
      <tp t="s">
        <v>#N/A N/A</v>
        <stp/>
        <stp>BDP|6299487496925385737</stp>
        <tr r="A599" s="2"/>
      </tp>
      <tp t="s">
        <v>#N/A N/A</v>
        <stp/>
        <stp>BDP|7437117959072589857</stp>
        <tr r="P1684" s="2"/>
      </tp>
      <tp t="s">
        <v>#N/A N/A</v>
        <stp/>
        <stp>BDP|8623090822963901080</stp>
        <tr r="S173" s="2"/>
      </tp>
      <tp t="s">
        <v>#N/A N/A</v>
        <stp/>
        <stp>BDP|6502960415896976134</stp>
        <tr r="C626" s="2"/>
      </tp>
      <tp t="s">
        <v>#N/A N/A</v>
        <stp/>
        <stp>BDP|8494602268545456441</stp>
        <tr r="R906" s="2"/>
      </tp>
      <tp t="s">
        <v>#N/A N/A</v>
        <stp/>
        <stp>BDP|1536435583160043499</stp>
        <tr r="S1286" s="2"/>
      </tp>
      <tp t="s">
        <v>#N/A N/A</v>
        <stp/>
        <stp>BDP|7067328786713112692</stp>
        <tr r="E702" s="2"/>
      </tp>
      <tp t="s">
        <v>#N/A N/A</v>
        <stp/>
        <stp>BDP|3163099043417799908</stp>
        <tr r="A534" s="2"/>
      </tp>
      <tp t="s">
        <v>#N/A N/A</v>
        <stp/>
        <stp>BDP|7768865021643989750</stp>
        <tr r="G156" s="2"/>
      </tp>
      <tp t="s">
        <v>#N/A N/A</v>
        <stp/>
        <stp>BDS|9087875878317341804</stp>
        <tr r="I52" s="2"/>
      </tp>
      <tp t="s">
        <v>#N/A N/A</v>
        <stp/>
        <stp>BDP|7492192393123525574</stp>
        <tr r="R958" s="2"/>
      </tp>
      <tp t="s">
        <v>#N/A N/A</v>
        <stp/>
        <stp>BDS|7173957232974874021</stp>
        <tr r="I146" s="2"/>
      </tp>
      <tp t="s">
        <v>#N/A N/A</v>
        <stp/>
        <stp>BDP|2698416878021337903</stp>
        <tr r="D1404" s="2"/>
      </tp>
      <tp t="s">
        <v>#N/A N/A</v>
        <stp/>
        <stp>BDP|9670403244501695187</stp>
        <tr r="J1024" s="2"/>
      </tp>
      <tp t="s">
        <v>#N/A N/A</v>
        <stp/>
        <stp>BDP|1392527199113040744</stp>
        <tr r="S584" s="2"/>
      </tp>
      <tp t="s">
        <v>#N/A N/A</v>
        <stp/>
        <stp>BDP|5724535866918782799</stp>
        <tr r="J885" s="2"/>
      </tp>
      <tp t="s">
        <v>#N/A N/A</v>
        <stp/>
        <stp>BDP|6089977649154735652</stp>
        <tr r="Q1560" s="2"/>
      </tp>
      <tp t="s">
        <v>#N/A N/A</v>
        <stp/>
        <stp>BDP|5989751131959365129</stp>
        <tr r="D1116" s="2"/>
      </tp>
      <tp t="s">
        <v>#N/A N/A</v>
        <stp/>
        <stp>BDP|9730079869435752324</stp>
        <tr r="C256" s="2"/>
      </tp>
      <tp t="s">
        <v>#N/A N/A</v>
        <stp/>
        <stp>BDP|3939564881636583177</stp>
        <tr r="H656" s="2"/>
      </tp>
      <tp t="s">
        <v>#N/A N/A</v>
        <stp/>
        <stp>BDP|9663265350377975059</stp>
        <tr r="R1496" s="2"/>
      </tp>
      <tp t="s">
        <v>#N/A N/A</v>
        <stp/>
        <stp>BDP|8354693502833231463</stp>
        <tr r="K768" s="2"/>
      </tp>
      <tp t="s">
        <v>#N/A N/A</v>
        <stp/>
        <stp>BDP|1856026250539421425</stp>
        <tr r="J163" s="2"/>
      </tp>
      <tp t="s">
        <v>#N/A N/A</v>
        <stp/>
        <stp>BDP|3277689030957500836</stp>
        <tr r="D3" s="2"/>
      </tp>
      <tp t="s">
        <v>#N/A N/A</v>
        <stp/>
        <stp>BDP|4833180088125372174</stp>
        <tr r="C1295" s="2"/>
      </tp>
      <tp t="s">
        <v>#N/A N/A</v>
        <stp/>
        <stp>BDP|9029435730580602792</stp>
        <tr r="P656" s="2"/>
      </tp>
      <tp t="s">
        <v>#N/A N/A</v>
        <stp/>
        <stp>BDP|2588064677719829509</stp>
        <tr r="Q1407" s="2"/>
      </tp>
      <tp t="s">
        <v>#N/A N/A</v>
        <stp/>
        <stp>BDP|4929091286480825525</stp>
        <tr r="P735" s="2"/>
      </tp>
      <tp t="s">
        <v>#N/A N/A</v>
        <stp/>
        <stp>BDP|9229063380668949010</stp>
        <tr r="R1466" s="2"/>
      </tp>
      <tp t="s">
        <v>#N/A N/A</v>
        <stp/>
        <stp>BDP|6036711383304825460</stp>
        <tr r="A164" s="2"/>
      </tp>
      <tp t="s">
        <v>#N/A N/A</v>
        <stp/>
        <stp>BDP|6923704395883445249</stp>
        <tr r="A1160" s="2"/>
      </tp>
      <tp t="s">
        <v>#N/A N/A</v>
        <stp/>
        <stp>BDP|5011935419087753312</stp>
        <tr r="P303" s="2"/>
      </tp>
      <tp t="s">
        <v>#N/A N/A</v>
        <stp/>
        <stp>BDP|4264067412569879520</stp>
        <tr r="R1714" s="2"/>
      </tp>
      <tp t="s">
        <v>#N/A N/A</v>
        <stp/>
        <stp>BDP|8700492048426338796</stp>
        <tr r="R1562" s="2"/>
      </tp>
      <tp t="s">
        <v>#N/A N/A</v>
        <stp/>
        <stp>BDP|8109964689934587476</stp>
        <tr r="O266" s="2"/>
      </tp>
      <tp t="s">
        <v>#N/A N/A</v>
        <stp/>
        <stp>BDP|6282384554741684841</stp>
        <tr r="J569" s="2"/>
      </tp>
      <tp t="s">
        <v>#N/A N/A</v>
        <stp/>
        <stp>BDP|6772434864645411886</stp>
        <tr r="C77" s="2"/>
      </tp>
      <tp t="s">
        <v>#N/A N/A</v>
        <stp/>
        <stp>BDP|3381950626284415589</stp>
        <tr r="Q947" s="2"/>
      </tp>
      <tp t="s">
        <v>#N/A N/A</v>
        <stp/>
        <stp>BDP|6154587970434535907</stp>
        <tr r="F1466" s="2"/>
      </tp>
      <tp t="s">
        <v>#N/A N/A</v>
        <stp/>
        <stp>BDP|9567202516477963463</stp>
        <tr r="G832" s="2"/>
      </tp>
      <tp t="s">
        <v>#N/A N/A</v>
        <stp/>
        <stp>BDS|5666944571534746685</stp>
        <tr r="I437" s="2"/>
      </tp>
      <tp t="s">
        <v>#N/A N/A</v>
        <stp/>
        <stp>BDP|3373804482649472397</stp>
        <tr r="J470" s="2"/>
      </tp>
      <tp t="s">
        <v>#N/A N/A</v>
        <stp/>
        <stp>BDP|4709089090182083634</stp>
        <tr r="F1569" s="2"/>
      </tp>
      <tp t="s">
        <v>#N/A N/A</v>
        <stp/>
        <stp>BDP|4908411344884091904</stp>
        <tr r="D1219" s="2"/>
      </tp>
      <tp t="s">
        <v>#N/A N/A</v>
        <stp/>
        <stp>BDP|9548715104587418081</stp>
        <tr r="J1164" s="2"/>
      </tp>
      <tp t="s">
        <v>#N/A N/A</v>
        <stp/>
        <stp>BDP|5366295093897185047</stp>
        <tr r="Q1471" s="2"/>
      </tp>
      <tp t="s">
        <v>#N/A N/A</v>
        <stp/>
        <stp>BDP|8651366920710952055</stp>
        <tr r="P961" s="2"/>
      </tp>
      <tp t="s">
        <v>#N/A N/A</v>
        <stp/>
        <stp>BDP|7617264260542970850</stp>
        <tr r="G1130" s="2"/>
      </tp>
      <tp t="s">
        <v>#N/A N/A</v>
        <stp/>
        <stp>BDP|2179940817162908171</stp>
        <tr r="H714" s="2"/>
      </tp>
      <tp t="s">
        <v>#N/A N/A</v>
        <stp/>
        <stp>BDP|1621907204697623686</stp>
        <tr r="N843" s="2"/>
      </tp>
      <tp t="s">
        <v>#N/A N/A</v>
        <stp/>
        <stp>BDP|7227914140635867670</stp>
        <tr r="F1058" s="2"/>
      </tp>
      <tp t="s">
        <v>#N/A N/A</v>
        <stp/>
        <stp>BDP|7848333603235500813</stp>
        <tr r="D823" s="2"/>
      </tp>
      <tp t="s">
        <v>#N/A N/A</v>
        <stp/>
        <stp>BDP|5014350564859995059</stp>
        <tr r="A1137" s="2"/>
      </tp>
      <tp t="s">
        <v>#N/A N/A</v>
        <stp/>
        <stp>BDP|2832963951825568276</stp>
        <tr r="H943" s="2"/>
      </tp>
      <tp t="s">
        <v>#N/A N/A</v>
        <stp/>
        <stp>BDP|5084703815419814306</stp>
        <tr r="O1343" s="2"/>
      </tp>
      <tp t="s">
        <v>#N/A N/A</v>
        <stp/>
        <stp>BDP|6839642291604343438</stp>
        <tr r="N846" s="2"/>
      </tp>
      <tp t="s">
        <v>#N/A N/A</v>
        <stp/>
        <stp>BDP|2169032879298252448</stp>
        <tr r="N1094" s="2"/>
      </tp>
      <tp t="s">
        <v>#N/A N/A</v>
        <stp/>
        <stp>BDP|3681040493067506492</stp>
        <tr r="Q448" s="2"/>
      </tp>
      <tp t="s">
        <v>#N/A N/A</v>
        <stp/>
        <stp>BDP|8924200964615465048</stp>
        <tr r="J557" s="2"/>
      </tp>
      <tp t="s">
        <v>#N/A N/A</v>
        <stp/>
        <stp>BDP|4592217601999986615</stp>
        <tr r="D53" s="2"/>
      </tp>
      <tp t="s">
        <v>#N/A N/A</v>
        <stp/>
        <stp>BDP|4606375648969421303</stp>
        <tr r="N1710" s="2"/>
      </tp>
      <tp t="s">
        <v>#N/A N/A</v>
        <stp/>
        <stp>BDP|9942312191948059247</stp>
        <tr r="D767" s="2"/>
      </tp>
      <tp t="s">
        <v>#N/A N/A</v>
        <stp/>
        <stp>BDP|2681493680192554572</stp>
        <tr r="F606" s="2"/>
      </tp>
      <tp t="s">
        <v>#N/A N/A</v>
        <stp/>
        <stp>BDP|1266873102412343299</stp>
        <tr r="J694" s="2"/>
      </tp>
      <tp t="s">
        <v>#N/A N/A</v>
        <stp/>
        <stp>BDP|5728398846609063256</stp>
        <tr r="C255" s="2"/>
      </tp>
      <tp t="s">
        <v>#N/A N/A</v>
        <stp/>
        <stp>BDP|4040716989650404218</stp>
        <tr r="N1679" s="2"/>
      </tp>
      <tp t="s">
        <v>#N/A N/A</v>
        <stp/>
        <stp>BDP|8938938410811775808</stp>
        <tr r="G1744" s="2"/>
      </tp>
      <tp t="s">
        <v>#N/A N/A</v>
        <stp/>
        <stp>BDP|4120968748059704955</stp>
        <tr r="E1116" s="2"/>
      </tp>
      <tp t="s">
        <v>#N/A N/A</v>
        <stp/>
        <stp>BDP|6525815960743192286</stp>
        <tr r="C96" s="2"/>
      </tp>
      <tp t="s">
        <v>#N/A N/A</v>
        <stp/>
        <stp>BDP|6811844707244489320</stp>
        <tr r="D1420" s="2"/>
      </tp>
      <tp t="s">
        <v>#N/A N/A</v>
        <stp/>
        <stp>BDP|2118809508620618321</stp>
        <tr r="P1003" s="2"/>
      </tp>
      <tp t="s">
        <v>#N/A N/A</v>
        <stp/>
        <stp>BDP|8886305516832630158</stp>
        <tr r="F783" s="2"/>
      </tp>
      <tp t="s">
        <v>#N/A N/A</v>
        <stp/>
        <stp>BDP|3359182046807894888</stp>
        <tr r="E1411" s="2"/>
      </tp>
      <tp t="s">
        <v>#N/A N/A</v>
        <stp/>
        <stp>BDP|6612406908783107821</stp>
        <tr r="J1223" s="2"/>
      </tp>
      <tp t="s">
        <v>#N/A N/A</v>
        <stp/>
        <stp>BDP|4328473310921098990</stp>
        <tr r="M688" s="2"/>
      </tp>
      <tp t="s">
        <v>#N/A N/A</v>
        <stp/>
        <stp>BDP|5988748335179044154</stp>
        <tr r="H1552" s="2"/>
      </tp>
      <tp t="s">
        <v>#N/A N/A</v>
        <stp/>
        <stp>BDS|3409300899218075806</stp>
        <tr r="I730" s="2"/>
      </tp>
      <tp t="s">
        <v>#N/A N/A</v>
        <stp/>
        <stp>BDP|4006864576285857753</stp>
        <tr r="C324" s="2"/>
      </tp>
      <tp t="s">
        <v>#N/A N/A</v>
        <stp/>
        <stp>BDP|9647233739459319822</stp>
        <tr r="M286" s="2"/>
      </tp>
      <tp t="s">
        <v>#N/A N/A</v>
        <stp/>
        <stp>BDP|1339262180246002483</stp>
        <tr r="O1197" s="2"/>
      </tp>
      <tp t="s">
        <v>#N/A N/A</v>
        <stp/>
        <stp>BDP|1131091626483207916</stp>
        <tr r="K434" s="2"/>
      </tp>
      <tp t="s">
        <v>#N/A N/A</v>
        <stp/>
        <stp>BDP|1861096994493939217</stp>
        <tr r="A761" s="2"/>
      </tp>
      <tp t="s">
        <v>#N/A N/A</v>
        <stp/>
        <stp>BDP|6700841168458144972</stp>
        <tr r="O168" s="2"/>
      </tp>
      <tp t="s">
        <v>#N/A N/A</v>
        <stp/>
        <stp>BDP|6371351679193374813</stp>
        <tr r="N1238" s="2"/>
      </tp>
      <tp t="s">
        <v>#N/A N/A</v>
        <stp/>
        <stp>BDS|3247107192157879555</stp>
        <tr r="I82" s="2"/>
      </tp>
      <tp t="s">
        <v>#N/A N/A</v>
        <stp/>
        <stp>BDS|6233391540359473127</stp>
        <tr r="I1512" s="2"/>
      </tp>
      <tp t="s">
        <v>#N/A N/A</v>
        <stp/>
        <stp>BDP|6558677592329941947</stp>
        <tr r="G327" s="2"/>
      </tp>
      <tp t="s">
        <v>#N/A N/A</v>
        <stp/>
        <stp>BDS|7177434874455814837</stp>
        <tr r="I90" s="2"/>
      </tp>
      <tp t="s">
        <v>#N/A N/A</v>
        <stp/>
        <stp>BDP|8755012479690540677</stp>
        <tr r="K1303" s="2"/>
      </tp>
      <tp t="s">
        <v>#N/A N/A</v>
        <stp/>
        <stp>BDP|2587118289193249120</stp>
        <tr r="D504" s="2"/>
      </tp>
      <tp t="s">
        <v>#N/A N/A</v>
        <stp/>
        <stp>BDP|4102886103722561722</stp>
        <tr r="K944" s="2"/>
      </tp>
      <tp t="s">
        <v>#N/A N/A</v>
        <stp/>
        <stp>BDP|5149202187217202191</stp>
        <tr r="J1629" s="2"/>
      </tp>
      <tp t="s">
        <v>#N/A N/A</v>
        <stp/>
        <stp>BDP|7166515357446836820</stp>
        <tr r="E448" s="2"/>
      </tp>
      <tp t="s">
        <v>#N/A N/A</v>
        <stp/>
        <stp>BDS|5214937254462177292</stp>
        <tr r="I848" s="2"/>
      </tp>
      <tp t="s">
        <v>#N/A N/A</v>
        <stp/>
        <stp>BDP|1272834202750735093</stp>
        <tr r="P1526" s="2"/>
      </tp>
      <tp t="s">
        <v>#N/A N/A</v>
        <stp/>
        <stp>BDP|9165361309046360505</stp>
        <tr r="T1460" s="2"/>
      </tp>
      <tp t="s">
        <v>#N/A N/A</v>
        <stp/>
        <stp>BDS|3128876403950136299</stp>
        <tr r="I218" s="2"/>
      </tp>
      <tp t="s">
        <v>#N/A N/A</v>
        <stp/>
        <stp>BDP|2428943845464842206</stp>
        <tr r="K270" s="2"/>
      </tp>
      <tp t="s">
        <v>#N/A N/A</v>
        <stp/>
        <stp>BDP|3801851700160526255</stp>
        <tr r="F1650" s="2"/>
      </tp>
      <tp t="s">
        <v>#N/A N/A</v>
        <stp/>
        <stp>BDP|8403394452907036029</stp>
        <tr r="H383" s="2"/>
      </tp>
      <tp t="s">
        <v>#N/A N/A</v>
        <stp/>
        <stp>BDP|3340512103798515797</stp>
        <tr r="S1104" s="2"/>
      </tp>
      <tp t="s">
        <v>#N/A N/A</v>
        <stp/>
        <stp>BDP|5885531866219142618</stp>
        <tr r="N487" s="2"/>
      </tp>
      <tp t="s">
        <v>#N/A N/A</v>
        <stp/>
        <stp>BDP|7232645940295913923</stp>
        <tr r="A977" s="2"/>
      </tp>
      <tp t="s">
        <v>#N/A N/A</v>
        <stp/>
        <stp>BDP|4322290764668069134</stp>
        <tr r="K930" s="2"/>
      </tp>
      <tp t="s">
        <v>#N/A N/A</v>
        <stp/>
        <stp>BDP|7370895534364558162</stp>
        <tr r="T1488" s="2"/>
      </tp>
      <tp t="s">
        <v>#N/A N/A</v>
        <stp/>
        <stp>BDP|8017109031091149225</stp>
        <tr r="C1027" s="2"/>
      </tp>
      <tp t="s">
        <v>#N/A N/A</v>
        <stp/>
        <stp>BDP|1303628746212035850</stp>
        <tr r="P463" s="2"/>
      </tp>
      <tp t="s">
        <v>#N/A N/A</v>
        <stp/>
        <stp>BDP|2446130582650634218</stp>
        <tr r="F1388" s="2"/>
      </tp>
      <tp t="s">
        <v>#N/A N/A</v>
        <stp/>
        <stp>BDP|1130137558808846401</stp>
        <tr r="A1132" s="2"/>
      </tp>
      <tp t="s">
        <v>#N/A N/A</v>
        <stp/>
        <stp>BDP|6145970666224382417</stp>
        <tr r="S197" s="2"/>
      </tp>
      <tp t="s">
        <v>#N/A N/A</v>
        <stp/>
        <stp>BDP|7395049023909246544</stp>
        <tr r="K1092" s="2"/>
      </tp>
      <tp t="s">
        <v>#N/A N/A</v>
        <stp/>
        <stp>BDP|9557458843548730862</stp>
        <tr r="R613" s="2"/>
      </tp>
      <tp t="s">
        <v>#N/A N/A</v>
        <stp/>
        <stp>BDP|8927174130964906757</stp>
        <tr r="E1621" s="2"/>
      </tp>
      <tp t="s">
        <v>#N/A N/A</v>
        <stp/>
        <stp>BDP|3803069964614956812</stp>
        <tr r="J535" s="2"/>
      </tp>
      <tp t="s">
        <v>#N/A N/A</v>
        <stp/>
        <stp>BDP|9694400310091284469</stp>
        <tr r="K1480" s="2"/>
      </tp>
      <tp t="s">
        <v>#N/A N/A</v>
        <stp/>
        <stp>BDP|9086025148231958511</stp>
        <tr r="T255" s="2"/>
      </tp>
      <tp t="s">
        <v>#N/A N/A</v>
        <stp/>
        <stp>BDP|9295837287166538617</stp>
        <tr r="N925" s="2"/>
      </tp>
      <tp t="s">
        <v>#N/A N/A</v>
        <stp/>
        <stp>BDP|8453015217925221521</stp>
        <tr r="S1439" s="2"/>
      </tp>
      <tp t="s">
        <v>#N/A N/A</v>
        <stp/>
        <stp>BDP|3165949695318186239</stp>
        <tr r="P336" s="2"/>
      </tp>
      <tp t="s">
        <v>#N/A N/A</v>
        <stp/>
        <stp>BDP|5766289473071931871</stp>
        <tr r="R880" s="2"/>
      </tp>
      <tp t="s">
        <v>#N/A N/A</v>
        <stp/>
        <stp>BDP|2651829008275943676</stp>
        <tr r="Q978" s="2"/>
      </tp>
      <tp t="s">
        <v>#N/A N/A</v>
        <stp/>
        <stp>BDP|3228723631289760749</stp>
        <tr r="N922" s="2"/>
      </tp>
      <tp t="s">
        <v>#N/A N/A</v>
        <stp/>
        <stp>BDP|4287092549448707172</stp>
        <tr r="D413" s="2"/>
      </tp>
      <tp t="s">
        <v>#N/A N/A</v>
        <stp/>
        <stp>BDP|6926820769437493643</stp>
        <tr r="E639" s="2"/>
      </tp>
      <tp t="s">
        <v>#N/A N/A</v>
        <stp/>
        <stp>BDP|2751051396945168777</stp>
        <tr r="S1652" s="2"/>
      </tp>
      <tp t="s">
        <v>#N/A N/A</v>
        <stp/>
        <stp>BDP|6731944086106597820</stp>
        <tr r="R1301" s="2"/>
      </tp>
      <tp t="s">
        <v>#N/A N/A</v>
        <stp/>
        <stp>BDP|6218042744998011304</stp>
        <tr r="A1370" s="2"/>
      </tp>
      <tp t="s">
        <v>#N/A N/A</v>
        <stp/>
        <stp>BDP|1405314125459271008</stp>
        <tr r="R1276" s="2"/>
      </tp>
      <tp t="s">
        <v>#N/A N/A</v>
        <stp/>
        <stp>BDP|5252748016498529274</stp>
        <tr r="D1071" s="2"/>
      </tp>
      <tp t="s">
        <v>#N/A N/A</v>
        <stp/>
        <stp>BDP|9368948079219475784</stp>
        <tr r="O329" s="2"/>
      </tp>
      <tp t="s">
        <v>#N/A N/A</v>
        <stp/>
        <stp>BDP|1009261584676903498</stp>
        <tr r="N1364" s="2"/>
      </tp>
      <tp t="s">
        <v>#N/A N/A</v>
        <stp/>
        <stp>BDP|7919648332819582286</stp>
        <tr r="E1174" s="2"/>
      </tp>
      <tp t="s">
        <v>#N/A N/A</v>
        <stp/>
        <stp>BDP|8938705351974805720</stp>
        <tr r="O597" s="2"/>
      </tp>
      <tp t="s">
        <v>#N/A N/A</v>
        <stp/>
        <stp>BDP|2351550881032480412</stp>
        <tr r="F177" s="2"/>
      </tp>
      <tp t="s">
        <v>#N/A N/A</v>
        <stp/>
        <stp>BDP|3234788496765820160</stp>
        <tr r="Q123" s="2"/>
      </tp>
      <tp t="s">
        <v>#N/A N/A</v>
        <stp/>
        <stp>BDP|8643795643371644387</stp>
        <tr r="N401" s="2"/>
      </tp>
      <tp t="s">
        <v>#N/A N/A</v>
        <stp/>
        <stp>BDP|4186879335335639370</stp>
        <tr r="D54" s="2"/>
      </tp>
      <tp t="s">
        <v>#N/A N/A</v>
        <stp/>
        <stp>BDP|9949126543503275681</stp>
        <tr r="H882" s="2"/>
      </tp>
      <tp t="s">
        <v>#N/A N/A</v>
        <stp/>
        <stp>BDP|2638531801496563831</stp>
        <tr r="F549" s="2"/>
      </tp>
      <tp t="s">
        <v>#N/A N/A</v>
        <stp/>
        <stp>BDP|4576605955038768654</stp>
        <tr r="O526" s="2"/>
      </tp>
      <tp t="s">
        <v>#N/A N/A</v>
        <stp/>
        <stp>BDS|5287188058281929993</stp>
        <tr r="I1268" s="2"/>
      </tp>
      <tp t="s">
        <v>#N/A N/A</v>
        <stp/>
        <stp>BDP|5744510301198179142</stp>
        <tr r="H1398" s="2"/>
      </tp>
      <tp t="s">
        <v>#N/A N/A</v>
        <stp/>
        <stp>BDP|7041577670165736921</stp>
        <tr r="C485" s="2"/>
      </tp>
      <tp t="s">
        <v>#N/A N/A</v>
        <stp/>
        <stp>BDP|6314970222251020541</stp>
        <tr r="C709" s="2"/>
      </tp>
      <tp t="s">
        <v>#N/A N/A</v>
        <stp/>
        <stp>BDP|3455407274771408865</stp>
        <tr r="O277" s="2"/>
      </tp>
      <tp t="s">
        <v>#N/A N/A</v>
        <stp/>
        <stp>BDP|8612460645190216151</stp>
        <tr r="S887" s="2"/>
      </tp>
      <tp t="s">
        <v>#N/A N/A</v>
        <stp/>
        <stp>BDP|9565923319439860144</stp>
        <tr r="A1264" s="2"/>
      </tp>
      <tp t="s">
        <v>#N/A N/A</v>
        <stp/>
        <stp>BDP|1012946096009554151</stp>
        <tr r="Q755" s="2"/>
      </tp>
      <tp t="s">
        <v>#N/A N/A</v>
        <stp/>
        <stp>BDP|5420496659215357850</stp>
        <tr r="Q1410" s="2"/>
      </tp>
      <tp t="s">
        <v>#N/A N/A</v>
        <stp/>
        <stp>BDP|7167354965553544860</stp>
        <tr r="K1427" s="2"/>
      </tp>
      <tp t="s">
        <v>#N/A N/A</v>
        <stp/>
        <stp>BDP|4045818003290686565</stp>
        <tr r="R225" s="2"/>
      </tp>
      <tp t="s">
        <v>#N/A N/A</v>
        <stp/>
        <stp>BDP|2511785319158701517</stp>
        <tr r="Q1522" s="2"/>
      </tp>
      <tp t="s">
        <v>#N/A N/A</v>
        <stp/>
        <stp>BDP|9469346577326232272</stp>
        <tr r="Q974" s="2"/>
      </tp>
      <tp t="s">
        <v>#N/A N/A</v>
        <stp/>
        <stp>BDP|6218662197234725461</stp>
        <tr r="J1000" s="2"/>
      </tp>
      <tp t="s">
        <v>#N/A N/A</v>
        <stp/>
        <stp>BDP|4302618140477801889</stp>
        <tr r="P514" s="2"/>
      </tp>
      <tp t="s">
        <v>#N/A N/A</v>
        <stp/>
        <stp>BDP|5966876813792676795</stp>
        <tr r="T1288" s="2"/>
      </tp>
      <tp t="s">
        <v>#N/A N/A</v>
        <stp/>
        <stp>BDP|2810087086650106355</stp>
        <tr r="H140" s="2"/>
      </tp>
      <tp t="s">
        <v>#N/A N/A</v>
        <stp/>
        <stp>BDP|4744560962408862693</stp>
        <tr r="N1053" s="2"/>
      </tp>
      <tp t="s">
        <v>#N/A N/A</v>
        <stp/>
        <stp>BDP|2242172733259539012</stp>
        <tr r="G756" s="2"/>
      </tp>
      <tp t="s">
        <v>#N/A N/A</v>
        <stp/>
        <stp>BDP|4223216539144889808</stp>
        <tr r="G1174" s="2"/>
      </tp>
      <tp t="s">
        <v>#N/A N/A</v>
        <stp/>
        <stp>BDP|8280643463831363041</stp>
        <tr r="D1130" s="2"/>
      </tp>
      <tp t="s">
        <v>#N/A N/A</v>
        <stp/>
        <stp>BDP|8819341328010208044</stp>
        <tr r="G446" s="2"/>
      </tp>
      <tp t="s">
        <v>#N/A N/A</v>
        <stp/>
        <stp>BDP|9006814492358829991</stp>
        <tr r="P1578" s="2"/>
      </tp>
      <tp t="s">
        <v>#N/A N/A</v>
        <stp/>
        <stp>BDP|8408272336065432535</stp>
        <tr r="Q181" s="2"/>
      </tp>
      <tp t="s">
        <v>#N/A N/A</v>
        <stp/>
        <stp>BDP|2064775625059477743</stp>
        <tr r="O588" s="2"/>
      </tp>
      <tp t="s">
        <v>#N/A N/A</v>
        <stp/>
        <stp>BDP|7226541009653933841</stp>
        <tr r="A1141" s="2"/>
      </tp>
      <tp t="s">
        <v>#N/A N/A</v>
        <stp/>
        <stp>BDP|5519029313808159572</stp>
        <tr r="D951" s="2"/>
      </tp>
      <tp t="s">
        <v>#N/A N/A</v>
        <stp/>
        <stp>BDP|7809987033521028517</stp>
        <tr r="S133" s="2"/>
      </tp>
      <tp t="s">
        <v>#N/A N/A</v>
        <stp/>
        <stp>BDP|6793076990032605448</stp>
        <tr r="D1268" s="2"/>
      </tp>
      <tp t="s">
        <v>#N/A N/A</v>
        <stp/>
        <stp>BDP|1274938450401689554</stp>
        <tr r="M1255" s="2"/>
      </tp>
      <tp t="s">
        <v>#N/A N/A</v>
        <stp/>
        <stp>BDP|8750966276727019852</stp>
        <tr r="N1122" s="2"/>
      </tp>
      <tp t="s">
        <v>#N/A N/A</v>
        <stp/>
        <stp>BDP|2869188275094209959</stp>
        <tr r="N211" s="2"/>
      </tp>
      <tp t="s">
        <v>#N/A N/A</v>
        <stp/>
        <stp>BDP|1254868606425996596</stp>
        <tr r="O1659" s="2"/>
      </tp>
      <tp t="s">
        <v>#N/A N/A</v>
        <stp/>
        <stp>BDP|8227062621761781209</stp>
        <tr r="A893" s="2"/>
      </tp>
      <tp t="s">
        <v>#N/A N/A</v>
        <stp/>
        <stp>BDP|1255996483010970932</stp>
        <tr r="O359" s="2"/>
      </tp>
      <tp t="s">
        <v>#N/A N/A</v>
        <stp/>
        <stp>BDP|1643327412633025941</stp>
        <tr r="S992" s="2"/>
      </tp>
      <tp t="s">
        <v>#N/A N/A</v>
        <stp/>
        <stp>BDS|5832395484841580623</stp>
        <tr r="I42" s="2"/>
      </tp>
      <tp t="s">
        <v>#N/A N/A</v>
        <stp/>
        <stp>BDP|4193392164570914866</stp>
        <tr r="O1588" s="2"/>
      </tp>
      <tp t="s">
        <v>#N/A N/A</v>
        <stp/>
        <stp>BDP|9398333255423204547</stp>
        <tr r="D794" s="2"/>
      </tp>
      <tp t="s">
        <v>#N/A N/A</v>
        <stp/>
        <stp>BDP|4802830654526488684</stp>
        <tr r="Q981" s="2"/>
      </tp>
      <tp t="s">
        <v>#N/A N/A</v>
        <stp/>
        <stp>BDP|6385583410283956815</stp>
        <tr r="Q1055" s="2"/>
      </tp>
      <tp t="s">
        <v>#N/A N/A</v>
        <stp/>
        <stp>BDP|2834245195186247688</stp>
        <tr r="O1706" s="2"/>
      </tp>
      <tp t="s">
        <v>#N/A N/A</v>
        <stp/>
        <stp>BDP|2726983539898471915</stp>
        <tr r="M1389" s="2"/>
      </tp>
      <tp t="s">
        <v>#N/A N/A</v>
        <stp/>
        <stp>BDP|5601121507288798570</stp>
        <tr r="P685" s="2"/>
      </tp>
      <tp t="s">
        <v>#N/A N/A</v>
        <stp/>
        <stp>BDS|2177863241755222278</stp>
        <tr r="I1559" s="2"/>
      </tp>
      <tp t="s">
        <v>#N/A N/A</v>
        <stp/>
        <stp>BDP|4191900288114258887</stp>
        <tr r="S1582" s="2"/>
      </tp>
      <tp t="s">
        <v>#N/A N/A</v>
        <stp/>
        <stp>BDP|8232602976175641519</stp>
        <tr r="K1455" s="2"/>
      </tp>
      <tp t="s">
        <v>#N/A N/A</v>
        <stp/>
        <stp>BDP|4538199889403444726</stp>
        <tr r="O483" s="2"/>
      </tp>
      <tp t="s">
        <v>#N/A N/A</v>
        <stp/>
        <stp>BDP|7467866231976225327</stp>
        <tr r="N1096" s="2"/>
      </tp>
      <tp t="s">
        <v>#N/A N/A</v>
        <stp/>
        <stp>BDP|2502973365820151452</stp>
        <tr r="N1454" s="2"/>
      </tp>
      <tp t="s">
        <v>#N/A N/A</v>
        <stp/>
        <stp>BDP|3088126214262450815</stp>
        <tr r="J203" s="2"/>
      </tp>
      <tp t="s">
        <v>#N/A N/A</v>
        <stp/>
        <stp>BDP|9948193359831804523</stp>
        <tr r="D1162" s="2"/>
      </tp>
      <tp t="s">
        <v>#N/A N/A</v>
        <stp/>
        <stp>BDP|4025297947949428291</stp>
        <tr r="E559" s="2"/>
      </tp>
      <tp t="s">
        <v>#N/A N/A</v>
        <stp/>
        <stp>BDP|2147253812859239173</stp>
        <tr r="S1142" s="2"/>
      </tp>
      <tp t="s">
        <v>#N/A N/A</v>
        <stp/>
        <stp>BDS|1994332858666427853</stp>
        <tr r="I724" s="2"/>
      </tp>
      <tp t="s">
        <v>#N/A N/A</v>
        <stp/>
        <stp>BDP|2196582384234920275</stp>
        <tr r="M1184" s="2"/>
      </tp>
      <tp t="s">
        <v>#N/A N/A</v>
        <stp/>
        <stp>BDS|7175249084026030220</stp>
        <tr r="I710" s="2"/>
      </tp>
      <tp t="s">
        <v>#N/A N/A</v>
        <stp/>
        <stp>BDP|4608845818414870018</stp>
        <tr r="O712" s="2"/>
      </tp>
      <tp t="s">
        <v>#N/A N/A</v>
        <stp/>
        <stp>BDP|5627879365616166465</stp>
        <tr r="N1479" s="2"/>
      </tp>
      <tp t="s">
        <v>#N/A N/A</v>
        <stp/>
        <stp>BDP|4395926850742066320</stp>
        <tr r="G1295" s="2"/>
      </tp>
      <tp t="s">
        <v>#N/A N/A</v>
        <stp/>
        <stp>BDP|1082751421865687818</stp>
        <tr r="R1491" s="2"/>
      </tp>
      <tp t="s">
        <v>#N/A N/A</v>
        <stp/>
        <stp>BDP|2296382782176981623</stp>
        <tr r="F282" s="2"/>
      </tp>
      <tp t="s">
        <v>#N/A N/A</v>
        <stp/>
        <stp>BDP|6300107533495250817</stp>
        <tr r="S223" s="2"/>
      </tp>
      <tp t="s">
        <v>#N/A N/A</v>
        <stp/>
        <stp>BDP|9866253979423473637</stp>
        <tr r="N679" s="2"/>
      </tp>
      <tp t="s">
        <v>#N/A N/A</v>
        <stp/>
        <stp>BDP|9058591640163231287</stp>
        <tr r="T1098" s="2"/>
      </tp>
      <tp t="s">
        <v>#N/A N/A</v>
        <stp/>
        <stp>BDP|2009339250755965899</stp>
        <tr r="M651" s="2"/>
      </tp>
      <tp t="s">
        <v>#N/A N/A</v>
        <stp/>
        <stp>BDP|9396577121222391555</stp>
        <tr r="F1506" s="2"/>
      </tp>
      <tp t="s">
        <v>#N/A N/A</v>
        <stp/>
        <stp>BDP|9652740784636142947</stp>
        <tr r="O176" s="2"/>
      </tp>
      <tp t="s">
        <v>#N/A N/A</v>
        <stp/>
        <stp>BDP|7518610693026251764</stp>
        <tr r="P140" s="2"/>
      </tp>
      <tp t="s">
        <v>#N/A N/A</v>
        <stp/>
        <stp>BDP|9917862039763208874</stp>
        <tr r="P277" s="2"/>
      </tp>
      <tp t="s">
        <v>#N/A N/A</v>
        <stp/>
        <stp>BDP|4166720076235563831</stp>
        <tr r="G775" s="2"/>
      </tp>
      <tp t="s">
        <v>#N/A N/A</v>
        <stp/>
        <stp>BDP|1879491731708674755</stp>
        <tr r="O1664" s="2"/>
      </tp>
      <tp t="s">
        <v>#N/A N/A</v>
        <stp/>
        <stp>BDP|4011048776598575248</stp>
        <tr r="F1702" s="2"/>
      </tp>
      <tp t="s">
        <v>#N/A N/A</v>
        <stp/>
        <stp>BDP|9403522354223068315</stp>
        <tr r="F508" s="2"/>
      </tp>
      <tp t="s">
        <v>#N/A N/A</v>
        <stp/>
        <stp>BDP|3236760258879785181</stp>
        <tr r="S1376" s="2"/>
      </tp>
      <tp t="s">
        <v>#N/A N/A</v>
        <stp/>
        <stp>BDP|9738423991774761903</stp>
        <tr r="M1548" s="2"/>
      </tp>
      <tp t="s">
        <v>#N/A N/A</v>
        <stp/>
        <stp>BDP|7352638460869571760</stp>
        <tr r="P921" s="2"/>
      </tp>
      <tp t="s">
        <v>#N/A N/A</v>
        <stp/>
        <stp>BDP|1570031883578092868</stp>
        <tr r="Q206" s="2"/>
      </tp>
      <tp t="s">
        <v>#N/A N/A</v>
        <stp/>
        <stp>BDP|4201213272179665141</stp>
        <tr r="K1093" s="2"/>
      </tp>
      <tp t="s">
        <v>#N/A N/A</v>
        <stp/>
        <stp>BDP|4577672323301245807</stp>
        <tr r="T149" s="2"/>
      </tp>
      <tp t="s">
        <v>#N/A N/A</v>
        <stp/>
        <stp>BDP|8232951995345003414</stp>
        <tr r="S1116" s="2"/>
      </tp>
      <tp t="s">
        <v>#N/A N/A</v>
        <stp/>
        <stp>BDP|9804782296486470814</stp>
        <tr r="Q233" s="2"/>
      </tp>
      <tp t="s">
        <v>#N/A N/A</v>
        <stp/>
        <stp>BDP|3788655795622194757</stp>
        <tr r="M870" s="2"/>
      </tp>
      <tp t="s">
        <v>#N/A N/A</v>
        <stp/>
        <stp>BDP|8262159835915651676</stp>
        <tr r="F845" s="2"/>
      </tp>
      <tp t="s">
        <v>#N/A N/A</v>
        <stp/>
        <stp>BDP|8861622275891911158</stp>
        <tr r="T1232" s="2"/>
      </tp>
      <tp t="s">
        <v>#N/A N/A</v>
        <stp/>
        <stp>BDP|6726367102278616462</stp>
        <tr r="N1069" s="2"/>
      </tp>
      <tp t="s">
        <v>#N/A N/A</v>
        <stp/>
        <stp>BDP|8226707163214260405</stp>
        <tr r="K384" s="2"/>
      </tp>
      <tp t="s">
        <v>#N/A N/A</v>
        <stp/>
        <stp>BDP|7472161166241470837</stp>
        <tr r="C74" s="2"/>
      </tp>
      <tp t="s">
        <v>#N/A N/A</v>
        <stp/>
        <stp>BDP|5663370885862236559</stp>
        <tr r="D644" s="2"/>
      </tp>
      <tp t="s">
        <v>#N/A N/A</v>
        <stp/>
        <stp>BDP|5736801364451196318</stp>
        <tr r="O302" s="2"/>
      </tp>
      <tp t="s">
        <v>#N/A N/A</v>
        <stp/>
        <stp>BDP|2721226595111447176</stp>
        <tr r="G1654" s="2"/>
      </tp>
      <tp t="s">
        <v>#N/A N/A</v>
        <stp/>
        <stp>BDP|6923548116712880902</stp>
        <tr r="J1236" s="2"/>
      </tp>
      <tp t="s">
        <v>#N/A N/A</v>
        <stp/>
        <stp>BDP|2181630812954050833</stp>
        <tr r="M248" s="2"/>
      </tp>
      <tp t="s">
        <v>#N/A N/A</v>
        <stp/>
        <stp>BDP|4171881590318958437</stp>
        <tr r="R510" s="2"/>
      </tp>
      <tp t="s">
        <v>#N/A N/A</v>
        <stp/>
        <stp>BDP|9369452542701171163</stp>
        <tr r="T1755" s="2"/>
      </tp>
      <tp t="s">
        <v>#N/A N/A</v>
        <stp/>
        <stp>BDP|3324067692744543710</stp>
        <tr r="A1646" s="2"/>
      </tp>
      <tp t="s">
        <v>#N/A N/A</v>
        <stp/>
        <stp>BDP|6560868246977085469</stp>
        <tr r="O317" s="2"/>
      </tp>
      <tp t="s">
        <v>#N/A N/A</v>
        <stp/>
        <stp>BDP|4775910440097142745</stp>
        <tr r="E99" s="2"/>
      </tp>
      <tp t="s">
        <v>#N/A N/A</v>
        <stp/>
        <stp>BDP|5394726473248356411</stp>
        <tr r="F764" s="2"/>
      </tp>
      <tp t="s">
        <v>#N/A N/A</v>
        <stp/>
        <stp>BDP|3857810427534883461</stp>
        <tr r="C1178" s="2"/>
      </tp>
      <tp t="s">
        <v>#N/A N/A</v>
        <stp/>
        <stp>BDP|2539858406762107175</stp>
        <tr r="S65" s="2"/>
      </tp>
      <tp t="s">
        <v>#N/A N/A</v>
        <stp/>
        <stp>BDP|5885682964409102557</stp>
        <tr r="G1358" s="2"/>
      </tp>
      <tp t="s">
        <v>#N/A N/A</v>
        <stp/>
        <stp>BDP|2497457856629516320</stp>
        <tr r="N1243" s="2"/>
      </tp>
      <tp t="s">
        <v>#N/A N/A</v>
        <stp/>
        <stp>BDP|7726828730913225679</stp>
        <tr r="P634" s="2"/>
      </tp>
      <tp t="s">
        <v>#N/A N/A</v>
        <stp/>
        <stp>BDP|3900207012808331187</stp>
        <tr r="K1023" s="2"/>
      </tp>
      <tp t="s">
        <v>#N/A N/A</v>
        <stp/>
        <stp>BDP|5730111817909380528</stp>
        <tr r="R1278" s="2"/>
      </tp>
      <tp t="s">
        <v>#N/A N/A</v>
        <stp/>
        <stp>BDP|5207472210841170847</stp>
        <tr r="H85" s="2"/>
      </tp>
      <tp t="s">
        <v>#N/A N/A</v>
        <stp/>
        <stp>BDP|8295328923975608552</stp>
        <tr r="C1196" s="2"/>
      </tp>
      <tp t="s">
        <v>#N/A N/A</v>
        <stp/>
        <stp>BDP|9651403337596713168</stp>
        <tr r="G48" s="2"/>
      </tp>
      <tp t="s">
        <v>#N/A N/A</v>
        <stp/>
        <stp>BDP|6342406842287093814</stp>
        <tr r="F836" s="2"/>
      </tp>
      <tp t="s">
        <v>#N/A N/A</v>
        <stp/>
        <stp>BDP|9348280942452981404</stp>
        <tr r="A90" s="2"/>
      </tp>
      <tp t="s">
        <v>#N/A N/A</v>
        <stp/>
        <stp>BDP|1211058687435587559</stp>
        <tr r="S1606" s="2"/>
      </tp>
      <tp t="s">
        <v>#N/A N/A</v>
        <stp/>
        <stp>BDP|7742270435996708922</stp>
        <tr r="G471" s="2"/>
      </tp>
      <tp t="s">
        <v>#N/A N/A</v>
        <stp/>
        <stp>BDP|9806888163059702747</stp>
        <tr r="G400" s="2"/>
      </tp>
      <tp t="s">
        <v>#N/A N/A</v>
        <stp/>
        <stp>BDP|9574968762259058617</stp>
        <tr r="P493" s="2"/>
      </tp>
      <tp t="s">
        <v>#N/A N/A</v>
        <stp/>
        <stp>BDP|1605720074288655069</stp>
        <tr r="S382" s="2"/>
      </tp>
      <tp t="s">
        <v>#N/A N/A</v>
        <stp/>
        <stp>BDP|6238376182282588621</stp>
        <tr r="E144" s="2"/>
      </tp>
      <tp t="s">
        <v>#N/A N/A</v>
        <stp/>
        <stp>BDP|6417978129286283282</stp>
        <tr r="S994" s="2"/>
      </tp>
      <tp t="s">
        <v>#N/A N/A</v>
        <stp/>
        <stp>BDP|9070216171685454043</stp>
        <tr r="C1368" s="2"/>
      </tp>
      <tp t="s">
        <v>#N/A N/A</v>
        <stp/>
        <stp>BDP|1526617394391303637</stp>
        <tr r="K1132" s="2"/>
      </tp>
      <tp t="s">
        <v>#N/A N/A</v>
        <stp/>
        <stp>BDP|3832188240077538859</stp>
        <tr r="R623" s="2"/>
      </tp>
      <tp t="s">
        <v>#N/A N/A</v>
        <stp/>
        <stp>BDP|9996090910850530153</stp>
        <tr r="M1500" s="2"/>
      </tp>
      <tp t="s">
        <v>#N/A N/A</v>
        <stp/>
        <stp>BDP|2043971430537691619</stp>
        <tr r="P1042" s="2"/>
      </tp>
      <tp t="s">
        <v>#N/A N/A</v>
        <stp/>
        <stp>BDP|3117007489422106092</stp>
        <tr r="F1316" s="2"/>
      </tp>
      <tp t="s">
        <v>#N/A N/A</v>
        <stp/>
        <stp>BDP|7928614708430200822</stp>
        <tr r="K131" s="2"/>
      </tp>
      <tp t="s">
        <v>#N/A N/A</v>
        <stp/>
        <stp>BDP|3199606579343882804</stp>
        <tr r="G720" s="2"/>
      </tp>
      <tp t="s">
        <v>#N/A N/A</v>
        <stp/>
        <stp>BDP|7865341328148158753</stp>
        <tr r="H1460" s="2"/>
      </tp>
      <tp t="s">
        <v>#N/A N/A</v>
        <stp/>
        <stp>BDP|6655849023127490257</stp>
        <tr r="F1628" s="2"/>
      </tp>
      <tp t="s">
        <v>#N/A N/A</v>
        <stp/>
        <stp>BDP|7862614229128670267</stp>
        <tr r="J1621" s="2"/>
      </tp>
      <tp t="s">
        <v>#N/A N/A</v>
        <stp/>
        <stp>BDP|4674887819604558021</stp>
        <tr r="P568" s="2"/>
      </tp>
      <tp t="s">
        <v>#N/A N/A</v>
        <stp/>
        <stp>BDS|5791263812457598866</stp>
        <tr r="I1053" s="2"/>
      </tp>
      <tp t="s">
        <v>#N/A N/A</v>
        <stp/>
        <stp>BDP|8219562751615578400</stp>
        <tr r="O1279" s="2"/>
      </tp>
      <tp t="s">
        <v>#N/A N/A</v>
        <stp/>
        <stp>BDP|8221908681068310809</stp>
        <tr r="P662" s="2"/>
      </tp>
      <tp t="s">
        <v>#N/A N/A</v>
        <stp/>
        <stp>BDP|7053557233449247140</stp>
        <tr r="Q1087" s="2"/>
      </tp>
      <tp t="s">
        <v>#N/A N/A</v>
        <stp/>
        <stp>BDP|3354568426154788946</stp>
        <tr r="S479" s="2"/>
      </tp>
      <tp t="s">
        <v>#N/A N/A</v>
        <stp/>
        <stp>BDP|9869590135735512312</stp>
        <tr r="P28" s="2"/>
      </tp>
      <tp t="s">
        <v>#N/A N/A</v>
        <stp/>
        <stp>BDP|7350367119625877946</stp>
        <tr r="J1101" s="2"/>
      </tp>
      <tp t="s">
        <v>#N/A N/A</v>
        <stp/>
        <stp>BDP|8278817513599861186</stp>
        <tr r="O689" s="2"/>
      </tp>
      <tp t="s">
        <v>#N/A N/A</v>
        <stp/>
        <stp>BDP|9276236626987458738</stp>
        <tr r="O1059" s="2"/>
      </tp>
      <tp t="s">
        <v>#N/A N/A</v>
        <stp/>
        <stp>BDP|8441433826337159004</stp>
        <tr r="C836" s="2"/>
      </tp>
      <tp t="s">
        <v>#N/A N/A</v>
        <stp/>
        <stp>BDP|4847487990422979294</stp>
        <tr r="P265" s="2"/>
      </tp>
      <tp t="s">
        <v>#N/A N/A</v>
        <stp/>
        <stp>BDP|3953942611622921057</stp>
        <tr r="C1556" s="2"/>
      </tp>
      <tp t="s">
        <v>#N/A N/A</v>
        <stp/>
        <stp>BDP|4022642488117448481</stp>
        <tr r="G280" s="2"/>
      </tp>
      <tp t="s">
        <v>#N/A N/A</v>
        <stp/>
        <stp>BDP|4025649982387560439</stp>
        <tr r="H982" s="2"/>
      </tp>
      <tp t="s">
        <v>#N/A N/A</v>
        <stp/>
        <stp>BDP|2240936244641548707</stp>
        <tr r="G606" s="2"/>
      </tp>
      <tp t="s">
        <v>#N/A N/A</v>
        <stp/>
        <stp>BDS|5161068382854268074</stp>
        <tr r="I1673" s="2"/>
      </tp>
      <tp t="s">
        <v>#N/A N/A</v>
        <stp/>
        <stp>BDP|5135968907114455148</stp>
        <tr r="J338" s="2"/>
      </tp>
      <tp t="s">
        <v>#N/A N/A</v>
        <stp/>
        <stp>BDP|9287529345648128942</stp>
        <tr r="E1439" s="2"/>
      </tp>
      <tp t="s">
        <v>#N/A N/A</v>
        <stp/>
        <stp>BDS|7545928090956685818</stp>
        <tr r="I1567" s="2"/>
      </tp>
      <tp t="s">
        <v>#N/A N/A</v>
        <stp/>
        <stp>BDP|1504334361629553421</stp>
        <tr r="C426" s="2"/>
      </tp>
      <tp t="s">
        <v>#N/A N/A</v>
        <stp/>
        <stp>BDP|9509504866041728240</stp>
        <tr r="N424" s="2"/>
      </tp>
      <tp t="s">
        <v>#N/A N/A</v>
        <stp/>
        <stp>BDP|8810693206197051070</stp>
        <tr r="T1218" s="2"/>
      </tp>
      <tp t="s">
        <v>#N/A N/A</v>
        <stp/>
        <stp>BDP|5939629077288476596</stp>
        <tr r="M790" s="2"/>
      </tp>
      <tp t="s">
        <v>#N/A N/A</v>
        <stp/>
        <stp>BDP|1796563400464225925</stp>
        <tr r="M1011" s="2"/>
      </tp>
      <tp t="s">
        <v>#N/A N/A</v>
        <stp/>
        <stp>BDP|8902920191115318489</stp>
        <tr r="M1141" s="2"/>
      </tp>
      <tp t="s">
        <v>#N/A N/A</v>
        <stp/>
        <stp>BDP|5143889699654315922</stp>
        <tr r="H414" s="2"/>
      </tp>
      <tp t="s">
        <v>#N/A N/A</v>
        <stp/>
        <stp>BDP|1747853601775291501</stp>
        <tr r="C240" s="2"/>
      </tp>
      <tp t="s">
        <v>#N/A N/A</v>
        <stp/>
        <stp>BDP|4367097465979834263</stp>
        <tr r="N722" s="2"/>
      </tp>
      <tp t="s">
        <v>#N/A N/A</v>
        <stp/>
        <stp>BDP|8277098489190678951</stp>
        <tr r="S1036" s="2"/>
      </tp>
      <tp t="s">
        <v>#N/A N/A</v>
        <stp/>
        <stp>BDP|5463574917550382867</stp>
        <tr r="N999" s="2"/>
      </tp>
      <tp t="s">
        <v>#N/A N/A</v>
        <stp/>
        <stp>BDP|1216137891673110309</stp>
        <tr r="A1384" s="2"/>
      </tp>
      <tp t="s">
        <v>#N/A N/A</v>
        <stp/>
        <stp>BDP|2693273181544554541</stp>
        <tr r="A112" s="2"/>
      </tp>
      <tp t="s">
        <v>#N/A N/A</v>
        <stp/>
        <stp>BDS|4613120609985460986</stp>
        <tr r="I1093" s="2"/>
      </tp>
      <tp t="s">
        <v>#N/A N/A</v>
        <stp/>
        <stp>BDP|6544119105697863986</stp>
        <tr r="J502" s="2"/>
      </tp>
      <tp t="s">
        <v>#N/A N/A</v>
        <stp/>
        <stp>BDP|9882669065271311198</stp>
        <tr r="G441" s="2"/>
      </tp>
      <tp t="s">
        <v>#N/A N/A</v>
        <stp/>
        <stp>BDP|5460976436137296162</stp>
        <tr r="P87" s="2"/>
      </tp>
      <tp t="s">
        <v>#N/A N/A</v>
        <stp/>
        <stp>BDP|6671809132424543004</stp>
        <tr r="C1289" s="2"/>
      </tp>
      <tp t="s">
        <v>#N/A N/A</v>
        <stp/>
        <stp>BDP|6934944233025888075</stp>
        <tr r="G1524" s="2"/>
      </tp>
      <tp t="s">
        <v>#N/A N/A</v>
        <stp/>
        <stp>BDP|6667542735248749118</stp>
        <tr r="J23" s="2"/>
      </tp>
      <tp t="s">
        <v>#N/A N/A</v>
        <stp/>
        <stp>BDP|2980801720878954919</stp>
        <tr r="O1401" s="2"/>
      </tp>
      <tp t="s">
        <v>#N/A N/A</v>
        <stp/>
        <stp>BDP|2287946753252253564</stp>
        <tr r="H1043" s="2"/>
      </tp>
      <tp t="s">
        <v>#N/A N/A</v>
        <stp/>
        <stp>BDP|9869190864001327679</stp>
        <tr r="C296" s="2"/>
      </tp>
      <tp t="s">
        <v>#N/A N/A</v>
        <stp/>
        <stp>BDP|9990649049575419719</stp>
        <tr r="H884" s="2"/>
      </tp>
      <tp t="s">
        <v>#N/A N/A</v>
        <stp/>
        <stp>BDP|8197596842168841837</stp>
        <tr r="C1738" s="2"/>
      </tp>
      <tp t="s">
        <v>#N/A N/A</v>
        <stp/>
        <stp>BDP|1919928897620861855</stp>
        <tr r="K1006" s="2"/>
      </tp>
      <tp t="s">
        <v>#N/A N/A</v>
        <stp/>
        <stp>BDP|6346752813069287062</stp>
        <tr r="S760" s="2"/>
      </tp>
      <tp t="s">
        <v>#N/A N/A</v>
        <stp/>
        <stp>BDP|9799500374500591279</stp>
        <tr r="O1335" s="2"/>
      </tp>
      <tp t="s">
        <v>#N/A N/A</v>
        <stp/>
        <stp>BDP|8671361376454087175</stp>
        <tr r="G1726" s="2"/>
      </tp>
      <tp t="s">
        <v>#N/A N/A</v>
        <stp/>
        <stp>BDP|5648970575067084553</stp>
        <tr r="Q847" s="2"/>
      </tp>
      <tp t="s">
        <v>#N/A N/A</v>
        <stp/>
        <stp>BDP|3530216701661499905</stp>
        <tr r="A381" s="2"/>
      </tp>
      <tp t="s">
        <v>#N/A N/A</v>
        <stp/>
        <stp>BDP|1020878467671058716</stp>
        <tr r="A304" s="2"/>
      </tp>
      <tp t="s">
        <v>#N/A N/A</v>
        <stp/>
        <stp>BDP|2204502887485590311</stp>
        <tr r="O939" s="2"/>
      </tp>
      <tp t="s">
        <v>#N/A N/A</v>
        <stp/>
        <stp>BDP|3340308802068268124</stp>
        <tr r="D901" s="2"/>
      </tp>
      <tp t="s">
        <v>#N/A N/A</v>
        <stp/>
        <stp>BDP|8162368447784812296</stp>
        <tr r="R1004" s="2"/>
      </tp>
      <tp t="s">
        <v>#N/A N/A</v>
        <stp/>
        <stp>BDP|7407443191091745279</stp>
        <tr r="T1428" s="2"/>
      </tp>
      <tp t="s">
        <v>#N/A N/A</v>
        <stp/>
        <stp>BDP|5360261054519521251</stp>
        <tr r="S653" s="2"/>
      </tp>
      <tp t="s">
        <v>#N/A N/A</v>
        <stp/>
        <stp>BDP|3561509072751485921</stp>
        <tr r="J1555" s="2"/>
      </tp>
      <tp t="s">
        <v>#N/A N/A</v>
        <stp/>
        <stp>BDP|7846892471596363724</stp>
        <tr r="R919" s="2"/>
      </tp>
      <tp t="s">
        <v>#N/A N/A</v>
        <stp/>
        <stp>BDP|8268412577287731525</stp>
        <tr r="H415" s="2"/>
      </tp>
      <tp t="s">
        <v>#N/A N/A</v>
        <stp/>
        <stp>BDP|3439756891426375226</stp>
        <tr r="K198" s="2"/>
      </tp>
      <tp t="s">
        <v>#N/A N/A</v>
        <stp/>
        <stp>BDP|4473042767668545337</stp>
        <tr r="C141" s="2"/>
      </tp>
      <tp t="s">
        <v>#N/A N/A</v>
        <stp/>
        <stp>BDP|5062903175421191358</stp>
        <tr r="D530" s="2"/>
      </tp>
      <tp t="s">
        <v>#N/A N/A</v>
        <stp/>
        <stp>BDP|9428475955063543220</stp>
        <tr r="E489" s="2"/>
      </tp>
      <tp t="s">
        <v>#N/A N/A</v>
        <stp/>
        <stp>BDP|1739033740509709526</stp>
        <tr r="C351" s="2"/>
      </tp>
      <tp t="s">
        <v>#N/A N/A</v>
        <stp/>
        <stp>BDP|3334130036559512124</stp>
        <tr r="T1690" s="2"/>
      </tp>
      <tp t="s">
        <v>#N/A N/A</v>
        <stp/>
        <stp>BDP|2658202803581755834</stp>
        <tr r="J828" s="2"/>
      </tp>
      <tp t="s">
        <v>#N/A N/A</v>
        <stp/>
        <stp>BDP|9705068367105483333</stp>
        <tr r="M1722" s="2"/>
      </tp>
      <tp t="s">
        <v>#N/A N/A</v>
        <stp/>
        <stp>BDP|2831519732829324492</stp>
        <tr r="D339" s="2"/>
      </tp>
      <tp t="s">
        <v>#N/A N/A</v>
        <stp/>
        <stp>BDP|4739669977519035579</stp>
        <tr r="A631" s="2"/>
      </tp>
      <tp t="s">
        <v>#N/A N/A</v>
        <stp/>
        <stp>BDP|4379121334619457600</stp>
        <tr r="Q1418" s="2"/>
      </tp>
      <tp t="s">
        <v>#N/A N/A</v>
        <stp/>
        <stp>BDP|2391267874409177718</stp>
        <tr r="H675" s="2"/>
      </tp>
      <tp t="s">
        <v>#N/A N/A</v>
        <stp/>
        <stp>BDP|5635211046029148313</stp>
        <tr r="Q79" s="2"/>
      </tp>
      <tp t="s">
        <v>#N/A N/A</v>
        <stp/>
        <stp>BDP|1369825414342551310</stp>
        <tr r="F269" s="2"/>
      </tp>
      <tp t="s">
        <v>#N/A N/A</v>
        <stp/>
        <stp>BDP|4396626451127488953</stp>
        <tr r="K1071" s="2"/>
      </tp>
      <tp t="s">
        <v>#N/A N/A</v>
        <stp/>
        <stp>BDP|7466065306399054750</stp>
        <tr r="Q1029" s="2"/>
      </tp>
      <tp t="s">
        <v>#N/A N/A</v>
        <stp/>
        <stp>BDP|9446612947067110522</stp>
        <tr r="A1043" s="2"/>
      </tp>
      <tp t="s">
        <v>#N/A N/A</v>
        <stp/>
        <stp>BDP|4830886315495750131</stp>
        <tr r="O596" s="2"/>
      </tp>
      <tp t="s">
        <v>#N/A N/A</v>
        <stp/>
        <stp>BDP|9230176556394536070</stp>
        <tr r="F1623" s="2"/>
      </tp>
      <tp t="s">
        <v>#N/A N/A</v>
        <stp/>
        <stp>BDP|6336835659601856301</stp>
        <tr r="P1521" s="2"/>
      </tp>
      <tp t="s">
        <v>#N/A N/A</v>
        <stp/>
        <stp>BDP|1605210376765552856</stp>
        <tr r="N19" s="2"/>
      </tp>
      <tp t="s">
        <v>#N/A N/A</v>
        <stp/>
        <stp>BDP|4982995546265333548</stp>
        <tr r="R173" s="2"/>
      </tp>
      <tp t="s">
        <v>#N/A N/A</v>
        <stp/>
        <stp>BDP|1310133373789318710</stp>
        <tr r="H830" s="2"/>
      </tp>
      <tp t="s">
        <v>#N/A N/A</v>
        <stp/>
        <stp>BDP|8409634531581138566</stp>
        <tr r="T866" s="2"/>
      </tp>
      <tp t="s">
        <v>#N/A N/A</v>
        <stp/>
        <stp>BDP|1300340190483327152</stp>
        <tr r="H416" s="2"/>
      </tp>
      <tp t="s">
        <v>#N/A N/A</v>
        <stp/>
        <stp>BDP|9432777370665269500</stp>
        <tr r="S965" s="2"/>
      </tp>
      <tp t="s">
        <v>#N/A N/A</v>
        <stp/>
        <stp>BDP|7429897429213743727</stp>
        <tr r="P1580" s="2"/>
      </tp>
      <tp t="s">
        <v>#N/A N/A</v>
        <stp/>
        <stp>BDP|1556909035887516541</stp>
        <tr r="H444" s="2"/>
      </tp>
      <tp t="s">
        <v>#N/A N/A</v>
        <stp/>
        <stp>BDP|1958626455558889379</stp>
        <tr r="T1519" s="2"/>
      </tp>
      <tp t="s">
        <v>#N/A N/A</v>
        <stp/>
        <stp>BDP|8328803895970367049</stp>
        <tr r="J1591" s="2"/>
      </tp>
      <tp t="s">
        <v>#N/A N/A</v>
        <stp/>
        <stp>BDP|6880476489964338743</stp>
        <tr r="G91" s="2"/>
      </tp>
      <tp t="s">
        <v>#N/A N/A</v>
        <stp/>
        <stp>BDS|3560826389408877276</stp>
        <tr r="I1473" s="2"/>
      </tp>
      <tp t="s">
        <v>#N/A N/A</v>
        <stp/>
        <stp>BDP|3792175206558695316</stp>
        <tr r="C822" s="2"/>
      </tp>
      <tp t="s">
        <v>#N/A N/A</v>
        <stp/>
        <stp>BDP|4024838950980155030</stp>
        <tr r="G1205" s="2"/>
      </tp>
      <tp t="s">
        <v>#N/A N/A</v>
        <stp/>
        <stp>BDP|9503317482672212956</stp>
        <tr r="A487" s="2"/>
      </tp>
      <tp t="s">
        <v>#N/A N/A</v>
        <stp/>
        <stp>BDP|9345494141803998337</stp>
        <tr r="O539" s="2"/>
      </tp>
      <tp t="s">
        <v>#N/A N/A</v>
        <stp/>
        <stp>BDP|9713124968103516493</stp>
        <tr r="T948" s="2"/>
      </tp>
      <tp t="s">
        <v>#N/A N/A</v>
        <stp/>
        <stp>BDP|9794843879037291895</stp>
        <tr r="S841" s="2"/>
      </tp>
      <tp t="s">
        <v>#N/A N/A</v>
        <stp/>
        <stp>BDP|7774792658729681563</stp>
        <tr r="E201" s="2"/>
      </tp>
      <tp t="s">
        <v>#N/A N/A</v>
        <stp/>
        <stp>BDP|3692929520555241408</stp>
        <tr r="G1696" s="2"/>
      </tp>
      <tp t="s">
        <v>#N/A N/A</v>
        <stp/>
        <stp>BDP|9051125146097096220</stp>
        <tr r="Q1429" s="2"/>
      </tp>
      <tp t="s">
        <v>#N/A N/A</v>
        <stp/>
        <stp>BDP|2977726177893276887</stp>
        <tr r="Q1567" s="2"/>
      </tp>
      <tp t="s">
        <v>#N/A N/A</v>
        <stp/>
        <stp>BDP|1291955104609607832</stp>
        <tr r="H1396" s="2"/>
      </tp>
      <tp t="s">
        <v>#N/A N/A</v>
        <stp/>
        <stp>BDP|2414278092523526326</stp>
        <tr r="G206" s="2"/>
      </tp>
      <tp t="s">
        <v>#N/A N/A</v>
        <stp/>
        <stp>BDP|8420326073263774649</stp>
        <tr r="P1559" s="2"/>
      </tp>
      <tp t="s">
        <v>#N/A N/A</v>
        <stp/>
        <stp>BDP|2500883728827570667</stp>
        <tr r="A1231" s="2"/>
      </tp>
      <tp t="s">
        <v>#N/A N/A</v>
        <stp/>
        <stp>BDP|7372116171361783921</stp>
        <tr r="H364" s="2"/>
      </tp>
      <tp t="s">
        <v>#N/A N/A</v>
        <stp/>
        <stp>BDP|9743508760576915583</stp>
        <tr r="N172" s="2"/>
      </tp>
      <tp t="s">
        <v>#N/A N/A</v>
        <stp/>
        <stp>BDP|3882627198167602225</stp>
        <tr r="J1454" s="2"/>
      </tp>
      <tp t="s">
        <v>#N/A N/A</v>
        <stp/>
        <stp>BDP|6611128172541364831</stp>
        <tr r="R175" s="2"/>
      </tp>
      <tp t="s">
        <v>#N/A N/A</v>
        <stp/>
        <stp>BDP|8483938514829050057</stp>
        <tr r="S1262" s="2"/>
      </tp>
      <tp t="s">
        <v>#N/A N/A</v>
        <stp/>
        <stp>BDP|2171899516671030381</stp>
        <tr r="J805" s="2"/>
      </tp>
      <tp t="s">
        <v>#N/A N/A</v>
        <stp/>
        <stp>BDP|6332440821358687162</stp>
        <tr r="C434" s="2"/>
      </tp>
      <tp t="s">
        <v>#N/A N/A</v>
        <stp/>
        <stp>BDP|2600669072438651225</stp>
        <tr r="R55" s="2"/>
      </tp>
      <tp t="s">
        <v>#N/A N/A</v>
        <stp/>
        <stp>BDP|5910727078565677938</stp>
        <tr r="O986" s="2"/>
      </tp>
      <tp t="s">
        <v>#N/A N/A</v>
        <stp/>
        <stp>BDP|1855670388203295531</stp>
        <tr r="Q1499" s="2"/>
      </tp>
      <tp t="s">
        <v>#N/A N/A</v>
        <stp/>
        <stp>BDP|2946700228189323748</stp>
        <tr r="E1052" s="2"/>
      </tp>
      <tp t="s">
        <v>#N/A N/A</v>
        <stp/>
        <stp>BDP|7350913288887483889</stp>
        <tr r="F550" s="2"/>
      </tp>
      <tp t="s">
        <v>#N/A N/A</v>
        <stp/>
        <stp>BDP|2846409675720238896</stp>
        <tr r="P299" s="2"/>
      </tp>
      <tp t="s">
        <v>#N/A N/A</v>
        <stp/>
        <stp>BDP|2295114321571002946</stp>
        <tr r="G800" s="2"/>
      </tp>
      <tp t="s">
        <v>#N/A N/A</v>
        <stp/>
        <stp>BDP|9894766841072824113</stp>
        <tr r="A1569" s="2"/>
      </tp>
      <tp t="s">
        <v>#N/A N/A</v>
        <stp/>
        <stp>BDP|4526736533389482071</stp>
        <tr r="F501" s="2"/>
      </tp>
      <tp t="s">
        <v>#N/A N/A</v>
        <stp/>
        <stp>BDP|1199204134181441879</stp>
        <tr r="F425" s="2"/>
      </tp>
      <tp t="s">
        <v>#N/A N/A</v>
        <stp/>
        <stp>BDP|2575813731376007636</stp>
        <tr r="C1040" s="2"/>
      </tp>
      <tp t="s">
        <v>#N/A N/A</v>
        <stp/>
        <stp>BDP|1817670798017894098</stp>
        <tr r="C532" s="2"/>
      </tp>
      <tp t="s">
        <v>#N/A N/A</v>
        <stp/>
        <stp>BDP|2553654523208011752</stp>
        <tr r="N483" s="2"/>
      </tp>
      <tp t="s">
        <v>#N/A N/A</v>
        <stp/>
        <stp>BDP|6455814938191966526</stp>
        <tr r="T475" s="2"/>
      </tp>
      <tp t="s">
        <v>#N/A N/A</v>
        <stp/>
        <stp>BDP|8113741715474319355</stp>
        <tr r="C880" s="2"/>
      </tp>
      <tp t="s">
        <v>#N/A N/A</v>
        <stp/>
        <stp>BDP|4695075247961964890</stp>
        <tr r="K209" s="2"/>
      </tp>
      <tp t="s">
        <v>#N/A N/A</v>
        <stp/>
        <stp>BDP|3125530194776754073</stp>
        <tr r="F61" s="2"/>
      </tp>
      <tp t="s">
        <v>#N/A N/A</v>
        <stp/>
        <stp>BDP|4288931254505199426</stp>
        <tr r="C80" s="2"/>
      </tp>
      <tp t="s">
        <v>#N/A N/A</v>
        <stp/>
        <stp>BDP|9057264281699108305</stp>
        <tr r="G493" s="2"/>
      </tp>
      <tp t="s">
        <v>#N/A N/A</v>
        <stp/>
        <stp>BDP|6709324444598604013</stp>
        <tr r="H708" s="2"/>
      </tp>
      <tp t="s">
        <v>#N/A N/A</v>
        <stp/>
        <stp>BDP|1458811750592045737</stp>
        <tr r="O750" s="2"/>
      </tp>
      <tp t="s">
        <v>#N/A N/A</v>
        <stp/>
        <stp>BDP|2937336797534929520</stp>
        <tr r="Q483" s="2"/>
      </tp>
      <tp t="s">
        <v>#N/A N/A</v>
        <stp/>
        <stp>BDP|2769772966433578955</stp>
        <tr r="P675" s="2"/>
      </tp>
      <tp t="s">
        <v>#N/A N/A</v>
        <stp/>
        <stp>BDP|6330820722221311465</stp>
        <tr r="T47" s="2"/>
      </tp>
      <tp t="s">
        <v>#N/A N/A</v>
        <stp/>
        <stp>BDP|3111465234118274577</stp>
        <tr r="R1711" s="2"/>
      </tp>
      <tp t="s">
        <v>#N/A N/A</v>
        <stp/>
        <stp>BDP|5761528729943324890</stp>
        <tr r="A1748" s="2"/>
      </tp>
      <tp t="s">
        <v>#N/A N/A</v>
        <stp/>
        <stp>BDP|8277909256905729850</stp>
        <tr r="C1659" s="2"/>
      </tp>
      <tp t="s">
        <v>#N/A N/A</v>
        <stp/>
        <stp>BDP|9343465434806459139</stp>
        <tr r="S396" s="2"/>
      </tp>
      <tp t="s">
        <v>#N/A N/A</v>
        <stp/>
        <stp>BDS|6711104845168424200</stp>
        <tr r="I503" s="2"/>
      </tp>
      <tp t="s">
        <v>#N/A N/A</v>
        <stp/>
        <stp>BDP|3246703007174433971</stp>
        <tr r="E296" s="2"/>
      </tp>
      <tp t="s">
        <v>#N/A N/A</v>
        <stp/>
        <stp>BDP|6840831468580600134</stp>
        <tr r="N594" s="2"/>
      </tp>
      <tp t="s">
        <v>#N/A N/A</v>
        <stp/>
        <stp>BDP|3008993954647920120</stp>
        <tr r="R392" s="2"/>
      </tp>
      <tp t="s">
        <v>#N/A N/A</v>
        <stp/>
        <stp>BDP|8418510793309339436</stp>
        <tr r="M799" s="2"/>
      </tp>
      <tp t="s">
        <v>#N/A N/A</v>
        <stp/>
        <stp>BDP|5370788599654760638</stp>
        <tr r="R1133" s="2"/>
      </tp>
      <tp t="s">
        <v>#N/A N/A</v>
        <stp/>
        <stp>BDP|5516184288517204217</stp>
        <tr r="C332" s="2"/>
      </tp>
      <tp t="s">
        <v>#N/A N/A</v>
        <stp/>
        <stp>BDP|8128979214431513819</stp>
        <tr r="C336" s="2"/>
      </tp>
      <tp t="s">
        <v>#N/A N/A</v>
        <stp/>
        <stp>BDP|4072649874335532939</stp>
        <tr r="O1681" s="2"/>
      </tp>
      <tp t="s">
        <v>#N/A N/A</v>
        <stp/>
        <stp>BDS|5447512395094049467</stp>
        <tr r="I1475" s="2"/>
      </tp>
      <tp t="s">
        <v>#N/A N/A</v>
        <stp/>
        <stp>BDP|6629011141182750971</stp>
        <tr r="M1048" s="2"/>
      </tp>
      <tp t="s">
        <v>#N/A N/A</v>
        <stp/>
        <stp>BDP|8254762245585547720</stp>
        <tr r="H1124" s="2"/>
      </tp>
      <tp t="s">
        <v>#N/A N/A</v>
        <stp/>
        <stp>BDP|5877797188204785793</stp>
        <tr r="P1330" s="2"/>
      </tp>
      <tp t="s">
        <v>#N/A N/A</v>
        <stp/>
        <stp>BDP|4615141187777589376</stp>
        <tr r="M239" s="2"/>
      </tp>
      <tp t="s">
        <v>#N/A N/A</v>
        <stp/>
        <stp>BDP|2276614119149838558</stp>
        <tr r="J1426" s="2"/>
      </tp>
      <tp t="s">
        <v>#N/A N/A</v>
        <stp/>
        <stp>BDP|6304303586057725359</stp>
        <tr r="Q1723" s="2"/>
      </tp>
      <tp t="s">
        <v>#N/A N/A</v>
        <stp/>
        <stp>BDP|2840278233853244998</stp>
        <tr r="F598" s="2"/>
      </tp>
      <tp t="s">
        <v>#N/A N/A</v>
        <stp/>
        <stp>BDP|9659403152891312007</stp>
        <tr r="F510" s="2"/>
      </tp>
      <tp t="s">
        <v>#N/A N/A</v>
        <stp/>
        <stp>BDP|8599842110261432922</stp>
        <tr r="G135" s="2"/>
      </tp>
      <tp t="s">
        <v>#N/A N/A</v>
        <stp/>
        <stp>BDP|1919891467902350434</stp>
        <tr r="Q1651" s="2"/>
      </tp>
      <tp t="s">
        <v>#N/A N/A</v>
        <stp/>
        <stp>BDP|8182657830713703740</stp>
        <tr r="C1400" s="2"/>
      </tp>
      <tp t="s">
        <v>#N/A N/A</v>
        <stp/>
        <stp>BDP|9169562431033497555</stp>
        <tr r="K306" s="2"/>
      </tp>
      <tp t="s">
        <v>#N/A N/A</v>
        <stp/>
        <stp>BDP|5610328992243388528</stp>
        <tr r="S1689" s="2"/>
      </tp>
      <tp t="s">
        <v>#N/A N/A</v>
        <stp/>
        <stp>BDP|2484777393971791404</stp>
        <tr r="T458" s="2"/>
      </tp>
      <tp t="s">
        <v>#N/A N/A</v>
        <stp/>
        <stp>BDP|7923800386907939913</stp>
        <tr r="R1081" s="2"/>
      </tp>
      <tp t="s">
        <v>#N/A N/A</v>
        <stp/>
        <stp>BDP|9104665840505799773</stp>
        <tr r="Q1228" s="2"/>
      </tp>
      <tp t="s">
        <v>#N/A N/A</v>
        <stp/>
        <stp>BDP|5892651516112536990</stp>
        <tr r="T114" s="2"/>
      </tp>
      <tp t="s">
        <v>#N/A N/A</v>
        <stp/>
        <stp>BDP|6910262398903056702</stp>
        <tr r="G638" s="2"/>
      </tp>
      <tp t="s">
        <v>#N/A N/A</v>
        <stp/>
        <stp>BDP|7277775480970549172</stp>
        <tr r="P385" s="2"/>
      </tp>
      <tp t="s">
        <v>#N/A N/A</v>
        <stp/>
        <stp>BDP|8237620962035378468</stp>
        <tr r="S331" s="2"/>
      </tp>
      <tp t="s">
        <v>#N/A N/A</v>
        <stp/>
        <stp>BDP|6869324087900208487</stp>
        <tr r="F173" s="2"/>
      </tp>
      <tp t="s">
        <v>#N/A N/A</v>
        <stp/>
        <stp>BDP|2225569796377407014</stp>
        <tr r="N1718" s="2"/>
      </tp>
      <tp t="s">
        <v>#N/A N/A</v>
        <stp/>
        <stp>BDP|4142998359680059160</stp>
        <tr r="Q1147" s="2"/>
      </tp>
      <tp t="s">
        <v>#N/A N/A</v>
        <stp/>
        <stp>BDP|6693514122329382119</stp>
        <tr r="H598" s="2"/>
      </tp>
      <tp t="s">
        <v>#N/A N/A</v>
        <stp/>
        <stp>BDP|1480962304600720161</stp>
        <tr r="K923" s="2"/>
      </tp>
      <tp t="s">
        <v>#N/A N/A</v>
        <stp/>
        <stp>BDP|3232212190790286161</stp>
        <tr r="C1477" s="2"/>
      </tp>
      <tp t="s">
        <v>#N/A N/A</v>
        <stp/>
        <stp>BDP|7503904310192395413</stp>
        <tr r="M507" s="2"/>
      </tp>
      <tp t="s">
        <v>#N/A N/A</v>
        <stp/>
        <stp>BDP|1176798903578426787</stp>
        <tr r="K1290" s="2"/>
      </tp>
      <tp t="s">
        <v>#N/A N/A</v>
        <stp/>
        <stp>BDP|1120184987885079496</stp>
        <tr r="K358" s="2"/>
      </tp>
      <tp t="s">
        <v>#N/A N/A</v>
        <stp/>
        <stp>BDP|1923040422683925919</stp>
        <tr r="H1091" s="2"/>
      </tp>
      <tp t="s">
        <v>#N/A N/A</v>
        <stp/>
        <stp>BDP|9138733717794382211</stp>
        <tr r="Q288" s="2"/>
      </tp>
      <tp t="s">
        <v>#N/A N/A</v>
        <stp/>
        <stp>BDP|7268462082793396124</stp>
        <tr r="O1563" s="2"/>
      </tp>
      <tp t="s">
        <v>#N/A N/A</v>
        <stp/>
        <stp>BDP|1516575250508298076</stp>
        <tr r="Q1618" s="2"/>
      </tp>
      <tp t="s">
        <v>#N/A N/A</v>
        <stp/>
        <stp>BDP|8085038400363488205</stp>
        <tr r="N1126" s="2"/>
      </tp>
      <tp t="s">
        <v>#N/A N/A</v>
        <stp/>
        <stp>BDP|4603937283619094519</stp>
        <tr r="H1032" s="2"/>
      </tp>
      <tp t="s">
        <v>#N/A N/A</v>
        <stp/>
        <stp>BDP|3272460115277127876</stp>
        <tr r="Q1750" s="2"/>
      </tp>
      <tp t="s">
        <v>#N/A N/A</v>
        <stp/>
        <stp>BDP|9147616587457104917</stp>
        <tr r="T593" s="2"/>
      </tp>
      <tp t="s">
        <v>#N/A N/A</v>
        <stp/>
        <stp>BDP|1068776040579761272</stp>
        <tr r="T388" s="2"/>
      </tp>
      <tp t="s">
        <v>#N/A N/A</v>
        <stp/>
        <stp>BDP|4337590118489171041</stp>
        <tr r="R1429" s="2"/>
      </tp>
      <tp t="s">
        <v>#N/A N/A</v>
        <stp/>
        <stp>BDP|8039386032016950741</stp>
        <tr r="T1616" s="2"/>
      </tp>
      <tp t="s">
        <v>#N/A N/A</v>
        <stp/>
        <stp>BDP|8260261606692098158</stp>
        <tr r="F1008" s="2"/>
      </tp>
      <tp t="s">
        <v>#N/A N/A</v>
        <stp/>
        <stp>BDP|8283812282974118572</stp>
        <tr r="H1074" s="2"/>
      </tp>
      <tp t="s">
        <v>#N/A N/A</v>
        <stp/>
        <stp>BDP|6125456945229026664</stp>
        <tr r="D1414" s="2"/>
      </tp>
      <tp t="s">
        <v>#N/A N/A</v>
        <stp/>
        <stp>BDP|6233361887677028345</stp>
        <tr r="T213" s="2"/>
      </tp>
      <tp t="s">
        <v>#N/A N/A</v>
        <stp/>
        <stp>BDP|2602811635780059050</stp>
        <tr r="E1581" s="2"/>
      </tp>
      <tp t="s">
        <v>#N/A N/A</v>
        <stp/>
        <stp>BDP|8375117736767342400</stp>
        <tr r="K674" s="2"/>
      </tp>
      <tp t="s">
        <v>#N/A N/A</v>
        <stp/>
        <stp>BDP|6616810203032010533</stp>
        <tr r="F171" s="2"/>
      </tp>
      <tp t="s">
        <v>#N/A N/A</v>
        <stp/>
        <stp>BDP|8751769126882475640</stp>
        <tr r="P645" s="2"/>
      </tp>
      <tp t="s">
        <v>#N/A N/A</v>
        <stp/>
        <stp>BDP|9328257753014740352</stp>
        <tr r="T1202" s="2"/>
      </tp>
      <tp t="s">
        <v>#N/A N/A</v>
        <stp/>
        <stp>BDP|3340080789693481119</stp>
        <tr r="D524" s="2"/>
      </tp>
      <tp t="s">
        <v>#N/A N/A</v>
        <stp/>
        <stp>BDP|9729508550951266126</stp>
        <tr r="Q1127" s="2"/>
      </tp>
      <tp t="s">
        <v>#N/A N/A</v>
        <stp/>
        <stp>BDP|9157403846078321837</stp>
        <tr r="A189" s="2"/>
      </tp>
      <tp t="s">
        <v>#N/A N/A</v>
        <stp/>
        <stp>BDP|1498805061462688442</stp>
        <tr r="C4" s="2"/>
      </tp>
      <tp t="s">
        <v>#N/A N/A</v>
        <stp/>
        <stp>BDP|9931681564755536574</stp>
        <tr r="N1111" s="2"/>
      </tp>
      <tp t="s">
        <v>#N/A N/A</v>
        <stp/>
        <stp>BDP|1863532881582463795</stp>
        <tr r="D882" s="2"/>
      </tp>
      <tp t="s">
        <v>#N/A N/A</v>
        <stp/>
        <stp>BDP|9810033050866487380</stp>
        <tr r="T399" s="2"/>
      </tp>
      <tp t="s">
        <v>#N/A N/A</v>
        <stp/>
        <stp>BDP|7445684888819630959</stp>
        <tr r="T1275" s="2"/>
      </tp>
      <tp t="s">
        <v>#N/A N/A</v>
        <stp/>
        <stp>BDP|1702241887667641551</stp>
        <tr r="H48" s="2"/>
      </tp>
      <tp t="s">
        <v>#N/A N/A</v>
        <stp/>
        <stp>BDP|6530048547202898992</stp>
        <tr r="K377" s="2"/>
      </tp>
      <tp t="s">
        <v>#N/A N/A</v>
        <stp/>
        <stp>BDS|2728771695714544171</stp>
        <tr r="I122" s="2"/>
      </tp>
      <tp t="s">
        <v>#N/A N/A</v>
        <stp/>
        <stp>BDP|3927253969727729951</stp>
        <tr r="C385" s="2"/>
      </tp>
      <tp t="s">
        <v>#N/A N/A</v>
        <stp/>
        <stp>BDP|9437550316254041000</stp>
        <tr r="T1455" s="2"/>
      </tp>
      <tp t="s">
        <v>#N/A N/A</v>
        <stp/>
        <stp>BDP|2772467195730028630</stp>
        <tr r="J755" s="2"/>
      </tp>
      <tp t="s">
        <v>#N/A N/A</v>
        <stp/>
        <stp>BDP|6213840834184114045</stp>
        <tr r="F1447" s="2"/>
      </tp>
      <tp t="s">
        <v>#N/A N/A</v>
        <stp/>
        <stp>BDP|9470549630976460035</stp>
        <tr r="N1175" s="2"/>
      </tp>
      <tp t="s">
        <v>#N/A N/A</v>
        <stp/>
        <stp>BDP|4562051245860685943</stp>
        <tr r="F814" s="2"/>
      </tp>
      <tp t="s">
        <v>#N/A N/A</v>
        <stp/>
        <stp>BDP|6105080839779734500</stp>
        <tr r="A158" s="2"/>
      </tp>
      <tp t="s">
        <v>#N/A N/A</v>
        <stp/>
        <stp>BDS|8267422504172013730</stp>
        <tr r="I1649" s="2"/>
      </tp>
      <tp t="s">
        <v>#N/A N/A</v>
        <stp/>
        <stp>BDP|1103991669257242040</stp>
        <tr r="C772" s="2"/>
      </tp>
      <tp t="s">
        <v>#N/A N/A</v>
        <stp/>
        <stp>BDP|2436902475795470026</stp>
        <tr r="G791" s="2"/>
      </tp>
      <tp t="s">
        <v>#N/A N/A</v>
        <stp/>
        <stp>BDP|2574279454084999881</stp>
        <tr r="K189" s="2"/>
      </tp>
      <tp t="s">
        <v>#N/A N/A</v>
        <stp/>
        <stp>BDP|9443606160328502867</stp>
        <tr r="G763" s="2"/>
      </tp>
      <tp t="s">
        <v>#N/A N/A</v>
        <stp/>
        <stp>BDP|9042141146694536106</stp>
        <tr r="J1182" s="2"/>
      </tp>
      <tp t="s">
        <v>#N/A N/A</v>
        <stp/>
        <stp>BDP|6162865573250749043</stp>
        <tr r="N968" s="2"/>
      </tp>
      <tp t="s">
        <v>#N/A N/A</v>
        <stp/>
        <stp>BDP|3196359787760463138</stp>
        <tr r="J598" s="2"/>
      </tp>
      <tp t="s">
        <v>#N/A N/A</v>
        <stp/>
        <stp>BDP|7415025089900805634</stp>
        <tr r="A614" s="2"/>
      </tp>
      <tp t="s">
        <v>#N/A N/A</v>
        <stp/>
        <stp>BDP|8288424468940556399</stp>
        <tr r="M1641" s="2"/>
      </tp>
      <tp t="s">
        <v>#N/A N/A</v>
        <stp/>
        <stp>BDP|8871286315122098010</stp>
        <tr r="S1155" s="2"/>
      </tp>
      <tp t="s">
        <v>#N/A N/A</v>
        <stp/>
        <stp>BDP|9668252209853745191</stp>
        <tr r="T358" s="2"/>
      </tp>
      <tp t="s">
        <v>#N/A N/A</v>
        <stp/>
        <stp>BDP|3870280585252494257</stp>
        <tr r="A1484" s="2"/>
      </tp>
      <tp t="s">
        <v>#N/A N/A</v>
        <stp/>
        <stp>BDP|8153313163990125466</stp>
        <tr r="M1094" s="2"/>
      </tp>
      <tp t="s">
        <v>#N/A N/A</v>
        <stp/>
        <stp>BDP|6313451883782559149</stp>
        <tr r="E440" s="2"/>
      </tp>
      <tp t="s">
        <v>#N/A N/A</v>
        <stp/>
        <stp>BDP|4196512522542621806</stp>
        <tr r="E1486" s="2"/>
      </tp>
      <tp t="s">
        <v>#N/A N/A</v>
        <stp/>
        <stp>BDP|5630926048952813300</stp>
        <tr r="O701" s="2"/>
      </tp>
      <tp t="s">
        <v>#N/A N/A</v>
        <stp/>
        <stp>BDP|9255564160891245220</stp>
        <tr r="K232" s="2"/>
      </tp>
      <tp t="s">
        <v>#N/A N/A</v>
        <stp/>
        <stp>BDP|3064898153015934271</stp>
        <tr r="J1692" s="2"/>
      </tp>
      <tp t="s">
        <v>#N/A N/A</v>
        <stp/>
        <stp>BDP|6099676487492355372</stp>
        <tr r="O328" s="2"/>
      </tp>
      <tp t="s">
        <v>#N/A N/A</v>
        <stp/>
        <stp>BDP|8199110207538585868</stp>
        <tr r="M1458" s="2"/>
      </tp>
      <tp t="s">
        <v>#N/A N/A</v>
        <stp/>
        <stp>BDP|5018326666530664968</stp>
        <tr r="O408" s="2"/>
      </tp>
      <tp t="s">
        <v>#N/A N/A</v>
        <stp/>
        <stp>BDP|8266559968050974227</stp>
        <tr r="H68" s="2"/>
      </tp>
      <tp t="s">
        <v>#N/A N/A</v>
        <stp/>
        <stp>BDP|8608670853412138078</stp>
        <tr r="H662" s="2"/>
      </tp>
      <tp t="s">
        <v>#N/A N/A</v>
        <stp/>
        <stp>BDP|5870158180902880710</stp>
        <tr r="P1548" s="2"/>
      </tp>
      <tp t="s">
        <v>#N/A N/A</v>
        <stp/>
        <stp>BDP|5326963700970068510</stp>
        <tr r="J433" s="2"/>
      </tp>
      <tp t="s">
        <v>#N/A N/A</v>
        <stp/>
        <stp>BDP|1964829046284974004</stp>
        <tr r="P128" s="2"/>
      </tp>
      <tp t="s">
        <v>#N/A N/A</v>
        <stp/>
        <stp>BDP|5129248644648140246</stp>
        <tr r="J997" s="2"/>
      </tp>
      <tp t="s">
        <v>#N/A N/A</v>
        <stp/>
        <stp>BDP|3194877167513580703</stp>
        <tr r="T527" s="2"/>
      </tp>
      <tp t="s">
        <v>#N/A N/A</v>
        <stp/>
        <stp>BDP|4472418062367341808</stp>
        <tr r="N1591" s="2"/>
      </tp>
      <tp t="s">
        <v>#N/A N/A</v>
        <stp/>
        <stp>BDP|3777094548449567771</stp>
        <tr r="C1279" s="2"/>
      </tp>
      <tp t="s">
        <v>#N/A N/A</v>
        <stp/>
        <stp>BDP|4490074281983249640</stp>
        <tr r="N88" s="2"/>
      </tp>
      <tp t="s">
        <v>#N/A N/A</v>
        <stp/>
        <stp>BDP|2959150094240515396</stp>
        <tr r="D164" s="2"/>
      </tp>
      <tp t="s">
        <v>#N/A N/A</v>
        <stp/>
        <stp>BDP|5289826148931973150</stp>
        <tr r="H479" s="2"/>
      </tp>
      <tp t="s">
        <v>#N/A N/A</v>
        <stp/>
        <stp>BDP|7838448878995550857</stp>
        <tr r="G460" s="2"/>
      </tp>
      <tp t="s">
        <v>#N/A N/A</v>
        <stp/>
        <stp>BDP|2687183267769581587</stp>
        <tr r="Q1724" s="2"/>
      </tp>
      <tp t="s">
        <v>#N/A N/A</v>
        <stp/>
        <stp>BDP|4677033427757004860</stp>
        <tr r="M1469" s="2"/>
      </tp>
      <tp t="s">
        <v>#N/A N/A</v>
        <stp/>
        <stp>BDP|6672606564876592933</stp>
        <tr r="J1191" s="2"/>
      </tp>
      <tp t="s">
        <v>#N/A N/A</v>
        <stp/>
        <stp>BDP|7615477281741750337</stp>
        <tr r="M1074" s="2"/>
      </tp>
      <tp t="s">
        <v>#N/A N/A</v>
        <stp/>
        <stp>BDP|3776487929544177831</stp>
        <tr r="G772" s="2"/>
      </tp>
      <tp t="s">
        <v>#N/A N/A</v>
        <stp/>
        <stp>BDP|9342246963636262221</stp>
        <tr r="D1254" s="2"/>
      </tp>
      <tp t="s">
        <v>#N/A N/A</v>
        <stp/>
        <stp>BDP|3843562987091505684</stp>
        <tr r="D1074" s="2"/>
      </tp>
      <tp t="s">
        <v>#N/A N/A</v>
        <stp/>
        <stp>BDP|7523636091737626653</stp>
        <tr r="N392" s="2"/>
      </tp>
      <tp t="s">
        <v>#N/A N/A</v>
        <stp/>
        <stp>BDP|9848677965040752094</stp>
        <tr r="J1263" s="2"/>
      </tp>
      <tp t="s">
        <v>#N/A N/A</v>
        <stp/>
        <stp>BDP|9131252223509402976</stp>
        <tr r="E439" s="2"/>
      </tp>
      <tp t="s">
        <v>#N/A N/A</v>
        <stp/>
        <stp>BDP|4692003476253381972</stp>
        <tr r="G40" s="2"/>
      </tp>
      <tp t="s">
        <v>#N/A N/A</v>
        <stp/>
        <stp>BDP|3834953243152818522</stp>
        <tr r="C163" s="2"/>
      </tp>
      <tp t="s">
        <v>#N/A N/A</v>
        <stp/>
        <stp>BDP|5058164489886252399</stp>
        <tr r="O1294" s="2"/>
      </tp>
      <tp t="s">
        <v>#N/A N/A</v>
        <stp/>
        <stp>BDP|6720344845200084829</stp>
        <tr r="K1605" s="2"/>
      </tp>
      <tp t="s">
        <v>#N/A N/A</v>
        <stp/>
        <stp>BDP|4231555689394810421</stp>
        <tr r="J408" s="2"/>
      </tp>
      <tp t="s">
        <v>#N/A N/A</v>
        <stp/>
        <stp>BDP|2381569975620433901</stp>
        <tr r="H304" s="2"/>
      </tp>
      <tp t="s">
        <v>#N/A N/A</v>
        <stp/>
        <stp>BDP|4761739826991475925</stp>
        <tr r="K1199" s="2"/>
      </tp>
      <tp t="s">
        <v>#N/A N/A</v>
        <stp/>
        <stp>BDP|2417855647534300315</stp>
        <tr r="E1251" s="2"/>
      </tp>
      <tp t="s">
        <v>#N/A N/A</v>
        <stp/>
        <stp>BDP|1803836945423211787</stp>
        <tr r="H1324" s="2"/>
      </tp>
      <tp t="s">
        <v>#N/A N/A</v>
        <stp/>
        <stp>BDP|6323133880766289069</stp>
        <tr r="D1250" s="2"/>
      </tp>
      <tp t="s">
        <v>#N/A N/A</v>
        <stp/>
        <stp>BDP|3863891177161482469</stp>
        <tr r="D986" s="2"/>
      </tp>
      <tp t="s">
        <v>#N/A N/A</v>
        <stp/>
        <stp>BDP|2893589160221077942</stp>
        <tr r="P533" s="2"/>
      </tp>
      <tp t="s">
        <v>#N/A N/A</v>
        <stp/>
        <stp>BDP|8446561509960825479</stp>
        <tr r="C684" s="2"/>
      </tp>
      <tp t="s">
        <v>#N/A N/A</v>
        <stp/>
        <stp>BDP|4330947177652105155</stp>
        <tr r="D1605" s="2"/>
      </tp>
      <tp t="s">
        <v>#N/A N/A</v>
        <stp/>
        <stp>BDP|8962052726487901477</stp>
        <tr r="N1223" s="2"/>
      </tp>
      <tp t="s">
        <v>#N/A N/A</v>
        <stp/>
        <stp>BDS|3727356651628608416</stp>
        <tr r="I108" s="2"/>
      </tp>
      <tp t="s">
        <v>#N/A N/A</v>
        <stp/>
        <stp>BDP|4737092588410737550</stp>
        <tr r="N228" s="2"/>
      </tp>
      <tp t="s">
        <v>#N/A N/A</v>
        <stp/>
        <stp>BDP|1459426230368160730</stp>
        <tr r="F667" s="2"/>
      </tp>
      <tp t="s">
        <v>#N/A N/A</v>
        <stp/>
        <stp>BDP|8984704368687778734</stp>
        <tr r="O580" s="2"/>
      </tp>
      <tp t="s">
        <v>#N/A N/A</v>
        <stp/>
        <stp>BDP|4729678715343053905</stp>
        <tr r="C1632" s="2"/>
      </tp>
      <tp t="s">
        <v>#N/A N/A</v>
        <stp/>
        <stp>BDP|8775417704861411431</stp>
        <tr r="D1714" s="2"/>
      </tp>
      <tp t="s">
        <v>#N/A N/A</v>
        <stp/>
        <stp>BDP|5360018252018165140</stp>
        <tr r="F1497" s="2"/>
      </tp>
      <tp t="s">
        <v>#N/A N/A</v>
        <stp/>
        <stp>BDS|9750738377373027364</stp>
        <tr r="I327" s="2"/>
      </tp>
      <tp t="s">
        <v>#N/A N/A</v>
        <stp/>
        <stp>BDP|1749210532501780862</stp>
        <tr r="S881" s="2"/>
      </tp>
      <tp t="s">
        <v>#N/A N/A</v>
        <stp/>
        <stp>BDP|9517551949945474485</stp>
        <tr r="O46" s="2"/>
      </tp>
      <tp t="s">
        <v>#N/A N/A</v>
        <stp/>
        <stp>BDP|1271987398519394146</stp>
        <tr r="Q1528" s="2"/>
      </tp>
      <tp t="s">
        <v>#N/A N/A</v>
        <stp/>
        <stp>BDS|9341443750400221108</stp>
        <tr r="I869" s="2"/>
      </tp>
      <tp t="s">
        <v>#N/A N/A</v>
        <stp/>
        <stp>BDP|1798964741577549206</stp>
        <tr r="R1025" s="2"/>
      </tp>
      <tp t="s">
        <v>#N/A N/A</v>
        <stp/>
        <stp>BDP|8580962240289448526</stp>
        <tr r="F97" s="2"/>
      </tp>
      <tp t="s">
        <v>#N/A N/A</v>
        <stp/>
        <stp>BDP|2042758803455676955</stp>
        <tr r="R198" s="2"/>
      </tp>
      <tp t="s">
        <v>#N/A N/A</v>
        <stp/>
        <stp>BDP|9195523109493604694</stp>
        <tr r="H1090" s="2"/>
      </tp>
      <tp t="s">
        <v>#N/A N/A</v>
        <stp/>
        <stp>BDP|7580809708531010788</stp>
        <tr r="K655" s="2"/>
      </tp>
      <tp t="s">
        <v>#N/A N/A</v>
        <stp/>
        <stp>BDP|8170114347307694344</stp>
        <tr r="Q775" s="2"/>
      </tp>
      <tp t="s">
        <v>#N/A N/A</v>
        <stp/>
        <stp>BDP|5017638095022455171</stp>
        <tr r="M803" s="2"/>
      </tp>
      <tp t="s">
        <v>#N/A N/A</v>
        <stp/>
        <stp>BDP|9067713204634577358</stp>
        <tr r="H1498" s="2"/>
      </tp>
      <tp t="s">
        <v>#N/A N/A</v>
        <stp/>
        <stp>BDP|2270405606177372828</stp>
        <tr r="H286" s="2"/>
      </tp>
      <tp t="s">
        <v>#N/A N/A</v>
        <stp/>
        <stp>BDP|8783864344709008407</stp>
        <tr r="M1210" s="2"/>
      </tp>
      <tp t="s">
        <v>#N/A N/A</v>
        <stp/>
        <stp>BDP|3427272176679898683</stp>
        <tr r="H905" s="2"/>
      </tp>
      <tp t="s">
        <v>#N/A N/A</v>
        <stp/>
        <stp>BDP|2290964574070199548</stp>
        <tr r="R1705" s="2"/>
      </tp>
      <tp t="s">
        <v>#N/A N/A</v>
        <stp/>
        <stp>BDP|9376663491918441756</stp>
        <tr r="T1038" s="2"/>
      </tp>
      <tp t="s">
        <v>#N/A N/A</v>
        <stp/>
        <stp>BDP|2395964620693915395</stp>
        <tr r="F729" s="2"/>
      </tp>
      <tp t="s">
        <v>#N/A N/A</v>
        <stp/>
        <stp>BDP|4403942950467793620</stp>
        <tr r="F751" s="2"/>
      </tp>
      <tp t="s">
        <v>#N/A N/A</v>
        <stp/>
        <stp>BDP|2766648307094288938</stp>
        <tr r="S291" s="2"/>
      </tp>
      <tp t="s">
        <v>#N/A N/A</v>
        <stp/>
        <stp>BDP|5543964139330984665</stp>
        <tr r="H1682" s="2"/>
      </tp>
      <tp t="s">
        <v>#N/A N/A</v>
        <stp/>
        <stp>BDP|1039277148127888923</stp>
        <tr r="M550" s="2"/>
      </tp>
      <tp t="s">
        <v>#N/A N/A</v>
        <stp/>
        <stp>BDP|5957976209354793157</stp>
        <tr r="T39" s="2"/>
      </tp>
      <tp t="s">
        <v>#N/A N/A</v>
        <stp/>
        <stp>BDP|9802642470129857818</stp>
        <tr r="J299" s="2"/>
      </tp>
      <tp t="s">
        <v>#N/A N/A</v>
        <stp/>
        <stp>BDP|7743173292993304540</stp>
        <tr r="T835" s="2"/>
      </tp>
      <tp t="s">
        <v>#N/A N/A</v>
        <stp/>
        <stp>BDP|6345474446819378641</stp>
        <tr r="E647" s="2"/>
      </tp>
      <tp t="s">
        <v>#N/A N/A</v>
        <stp/>
        <stp>BDP|8530119708789975904</stp>
        <tr r="O1236" s="2"/>
      </tp>
      <tp t="s">
        <v>#N/A N/A</v>
        <stp/>
        <stp>BDP|2321750479712222986</stp>
        <tr r="S975" s="2"/>
      </tp>
      <tp t="s">
        <v>#N/A N/A</v>
        <stp/>
        <stp>BDP|8855671629304454173</stp>
        <tr r="O1206" s="2"/>
      </tp>
      <tp t="s">
        <v>#N/A N/A</v>
        <stp/>
        <stp>BDP|6513648857909744544</stp>
        <tr r="A1441" s="2"/>
      </tp>
      <tp t="s">
        <v>#N/A N/A</v>
        <stp/>
        <stp>BDP|4325355220239040532</stp>
        <tr r="M1732" s="2"/>
      </tp>
      <tp t="s">
        <v>#N/A N/A</v>
        <stp/>
        <stp>BDP|1254870067925173368</stp>
        <tr r="Q341" s="2"/>
      </tp>
      <tp t="s">
        <v>#N/A N/A</v>
        <stp/>
        <stp>BDP|3042872932416246725</stp>
        <tr r="P576" s="2"/>
      </tp>
      <tp t="s">
        <v>#N/A N/A</v>
        <stp/>
        <stp>BDS|2398542127034122849</stp>
        <tr r="I1414" s="2"/>
      </tp>
      <tp t="s">
        <v>#N/A N/A</v>
        <stp/>
        <stp>BDP|3539203383389227913</stp>
        <tr r="M706" s="2"/>
      </tp>
      <tp t="s">
        <v>#N/A N/A</v>
        <stp/>
        <stp>BDP|8807981552109710403</stp>
        <tr r="T160" s="2"/>
      </tp>
      <tp t="s">
        <v>#N/A N/A</v>
        <stp/>
        <stp>BDP|2708827269635825011</stp>
        <tr r="Q1096" s="2"/>
      </tp>
      <tp t="s">
        <v>#N/A N/A</v>
        <stp/>
        <stp>BDP|6353081396590145690</stp>
        <tr r="G1161" s="2"/>
      </tp>
      <tp t="s">
        <v>#N/A N/A</v>
        <stp/>
        <stp>BDP|9775229565696055258</stp>
        <tr r="O558" s="2"/>
      </tp>
      <tp t="s">
        <v>#N/A N/A</v>
        <stp/>
        <stp>BDP|3749903120226297709</stp>
        <tr r="O23" s="2"/>
      </tp>
      <tp t="s">
        <v>#N/A N/A</v>
        <stp/>
        <stp>BDP|8755526525173222574</stp>
        <tr r="D975" s="2"/>
      </tp>
      <tp t="s">
        <v>#N/A N/A</v>
        <stp/>
        <stp>BDP|9462352336017525772</stp>
        <tr r="E1053" s="2"/>
      </tp>
      <tp t="s">
        <v>#N/A N/A</v>
        <stp/>
        <stp>BDP|8292643556350184245</stp>
        <tr r="N1086" s="2"/>
      </tp>
      <tp t="s">
        <v>#N/A N/A</v>
        <stp/>
        <stp>BDP|8393304580919254345</stp>
        <tr r="F889" s="2"/>
      </tp>
      <tp t="s">
        <v>#N/A N/A</v>
        <stp/>
        <stp>BDP|1009367053787259921</stp>
        <tr r="J1351" s="2"/>
      </tp>
      <tp t="s">
        <v>#N/A N/A</v>
        <stp/>
        <stp>BDP|1627824011762131315</stp>
        <tr r="Q891" s="2"/>
      </tp>
      <tp t="s">
        <v>#N/A N/A</v>
        <stp/>
        <stp>BDP|1835990473563528523</stp>
        <tr r="F200" s="2"/>
      </tp>
      <tp t="s">
        <v>#N/A N/A</v>
        <stp/>
        <stp>BDP|6138909143125350749</stp>
        <tr r="D245" s="2"/>
      </tp>
      <tp t="s">
        <v>#N/A N/A</v>
        <stp/>
        <stp>BDP|8655232812822384010</stp>
        <tr r="K801" s="2"/>
      </tp>
      <tp t="s">
        <v>#N/A N/A</v>
        <stp/>
        <stp>BDP|9372591079467122576</stp>
        <tr r="R1721" s="2"/>
      </tp>
      <tp t="s">
        <v>#N/A N/A</v>
        <stp/>
        <stp>BDP|1619251616492151917</stp>
        <tr r="O298" s="2"/>
      </tp>
      <tp t="s">
        <v>#N/A N/A</v>
        <stp/>
        <stp>BDP|7006844466754555420</stp>
        <tr r="K483" s="2"/>
      </tp>
      <tp t="s">
        <v>#N/A N/A</v>
        <stp/>
        <stp>BDP|8359622076291663145</stp>
        <tr r="M1070" s="2"/>
      </tp>
      <tp t="s">
        <v>#N/A N/A</v>
        <stp/>
        <stp>BDS|7527729703880821994</stp>
        <tr r="I588" s="2"/>
      </tp>
      <tp t="s">
        <v>#N/A N/A</v>
        <stp/>
        <stp>BDP|3295315561129913515</stp>
        <tr r="Q1468" s="2"/>
      </tp>
      <tp t="s">
        <v>#N/A N/A</v>
        <stp/>
        <stp>BDP|7593889786684094916</stp>
        <tr r="S149" s="2"/>
      </tp>
      <tp t="s">
        <v>#N/A N/A</v>
        <stp/>
        <stp>BDP|7628778532518166180</stp>
        <tr r="N1644" s="2"/>
      </tp>
      <tp t="s">
        <v>#N/A N/A</v>
        <stp/>
        <stp>BDP|3648078397642839241</stp>
        <tr r="H1236" s="2"/>
      </tp>
      <tp t="s">
        <v>#N/A N/A</v>
        <stp/>
        <stp>BDP|9493468547993645097</stp>
        <tr r="D614" s="2"/>
      </tp>
      <tp t="s">
        <v>#N/A N/A</v>
        <stp/>
        <stp>BDP|8754794147841567065</stp>
        <tr r="T1683" s="2"/>
      </tp>
      <tp t="s">
        <v>#N/A N/A</v>
        <stp/>
        <stp>BDP|7947319948799346394</stp>
        <tr r="M913" s="2"/>
      </tp>
      <tp t="s">
        <v>#N/A N/A</v>
        <stp/>
        <stp>BDP|2737552109895506843</stp>
        <tr r="S100" s="2"/>
      </tp>
      <tp t="s">
        <v>#N/A N/A</v>
        <stp/>
        <stp>BDP|7258833951453986337</stp>
        <tr r="S167" s="2"/>
      </tp>
      <tp t="s">
        <v>#N/A N/A</v>
        <stp/>
        <stp>BDP|4968748796150005013</stp>
        <tr r="J906" s="2"/>
      </tp>
      <tp t="s">
        <v>#N/A N/A</v>
        <stp/>
        <stp>BDP|8645704824067084084</stp>
        <tr r="D1475" s="2"/>
      </tp>
      <tp t="s">
        <v>#N/A N/A</v>
        <stp/>
        <stp>BDP|4885385199344772046</stp>
        <tr r="E1542" s="2"/>
      </tp>
      <tp t="s">
        <v>#N/A N/A</v>
        <stp/>
        <stp>BDP|5322190931049383425</stp>
        <tr r="D433" s="2"/>
      </tp>
      <tp t="s">
        <v>#N/A N/A</v>
        <stp/>
        <stp>BDP|3022982073903126405</stp>
        <tr r="M1203" s="2"/>
      </tp>
      <tp t="s">
        <v>#N/A N/A</v>
        <stp/>
        <stp>BDP|3125998501953580365</stp>
        <tr r="S988" s="2"/>
      </tp>
      <tp t="s">
        <v>#N/A N/A</v>
        <stp/>
        <stp>BDP|7852575360738117648</stp>
        <tr r="O985" s="2"/>
      </tp>
      <tp t="s">
        <v>#N/A N/A</v>
        <stp/>
        <stp>BDP|1969777427899732744</stp>
        <tr r="K1354" s="2"/>
      </tp>
      <tp t="s">
        <v>#N/A N/A</v>
        <stp/>
        <stp>BDP|7535394018166804968</stp>
        <tr r="G593" s="2"/>
      </tp>
      <tp t="s">
        <v>#N/A N/A</v>
        <stp/>
        <stp>BDP|1670088294577135517</stp>
        <tr r="S1019" s="2"/>
      </tp>
      <tp t="s">
        <v>#N/A N/A</v>
        <stp/>
        <stp>BDP|8110203438877233417</stp>
        <tr r="J1100" s="2"/>
      </tp>
      <tp t="s">
        <v>#N/A N/A</v>
        <stp/>
        <stp>BDP|1797295088438467980</stp>
        <tr r="H913" s="2"/>
      </tp>
      <tp t="s">
        <v>#N/A N/A</v>
        <stp/>
        <stp>BDP|9336818028079991093</stp>
        <tr r="Q1607" s="2"/>
      </tp>
      <tp t="s">
        <v>#N/A N/A</v>
        <stp/>
        <stp>BDP|4485963950226188491</stp>
        <tr r="F1156" s="2"/>
      </tp>
      <tp t="s">
        <v>#N/A N/A</v>
        <stp/>
        <stp>BDS|9920654956069359930</stp>
        <tr r="I458" s="2"/>
      </tp>
      <tp t="s">
        <v>#N/A N/A</v>
        <stp/>
        <stp>BDP|5235877377395110596</stp>
        <tr r="D174" s="2"/>
      </tp>
      <tp t="s">
        <v>#N/A N/A</v>
        <stp/>
        <stp>BDP|9746812990717864547</stp>
        <tr r="C606" s="2"/>
      </tp>
      <tp t="s">
        <v>#N/A N/A</v>
        <stp/>
        <stp>BDP|8825363627324593768</stp>
        <tr r="F1653" s="2"/>
      </tp>
      <tp t="s">
        <v>#N/A N/A</v>
        <stp/>
        <stp>BDP|9964051432778448807</stp>
        <tr r="R160" s="2"/>
      </tp>
      <tp t="s">
        <v>#N/A N/A</v>
        <stp/>
        <stp>BDP|3822831702934715549</stp>
        <tr r="R686" s="2"/>
      </tp>
      <tp t="s">
        <v>#N/A N/A</v>
        <stp/>
        <stp>BDP|5440474968245502840</stp>
        <tr r="H712" s="2"/>
      </tp>
      <tp t="s">
        <v>#N/A N/A</v>
        <stp/>
        <stp>BDP|9676240611365095598</stp>
        <tr r="Q1277" s="2"/>
      </tp>
      <tp t="s">
        <v>#N/A N/A</v>
        <stp/>
        <stp>BDP|2265454447699906131</stp>
        <tr r="T474" s="2"/>
      </tp>
      <tp t="s">
        <v>#N/A N/A</v>
        <stp/>
        <stp>BDP|8640003806203957135</stp>
        <tr r="K974" s="2"/>
      </tp>
      <tp t="s">
        <v>#N/A N/A</v>
        <stp/>
        <stp>BDP|9929687314202740686</stp>
        <tr r="D833" s="2"/>
      </tp>
      <tp t="s">
        <v>#N/A N/A</v>
        <stp/>
        <stp>BDP|8096261854436896300</stp>
        <tr r="H817" s="2"/>
      </tp>
      <tp t="s">
        <v>#N/A N/A</v>
        <stp/>
        <stp>BDP|8484644606016511299</stp>
        <tr r="D645" s="2"/>
      </tp>
      <tp t="s">
        <v>#N/A N/A</v>
        <stp/>
        <stp>BDP|1106034559616735866</stp>
        <tr r="E137" s="2"/>
      </tp>
      <tp t="s">
        <v>#N/A N/A</v>
        <stp/>
        <stp>BDP|7867233847623159870</stp>
        <tr r="K976" s="2"/>
      </tp>
      <tp t="s">
        <v>#N/A N/A</v>
        <stp/>
        <stp>BDP|1632535666810190881</stp>
        <tr r="Q70" s="2"/>
      </tp>
      <tp t="s">
        <v>#N/A N/A</v>
        <stp/>
        <stp>BDP|5272482402299689249</stp>
        <tr r="J1262" s="2"/>
      </tp>
      <tp t="s">
        <v>#N/A N/A</v>
        <stp/>
        <stp>BDP|6827653248347746980</stp>
        <tr r="T199" s="2"/>
      </tp>
      <tp t="s">
        <v>#N/A N/A</v>
        <stp/>
        <stp>BDP|2506382297032407044</stp>
        <tr r="C1427" s="2"/>
      </tp>
      <tp t="s">
        <v>#N/A N/A</v>
        <stp/>
        <stp>BDP|4011888628571990533</stp>
        <tr r="J1219" s="2"/>
      </tp>
      <tp t="s">
        <v>#N/A N/A</v>
        <stp/>
        <stp>BDP|2956008893848363935</stp>
        <tr r="D919" s="2"/>
      </tp>
      <tp t="s">
        <v>#N/A N/A</v>
        <stp/>
        <stp>BDP|1892825750457291138</stp>
        <tr r="P378" s="2"/>
      </tp>
      <tp t="s">
        <v>#N/A N/A</v>
        <stp/>
        <stp>BDP|2069733558859948390</stp>
        <tr r="F1413" s="2"/>
      </tp>
      <tp t="s">
        <v>#N/A N/A</v>
        <stp/>
        <stp>BDP|2980403673212616971</stp>
        <tr r="T661" s="2"/>
      </tp>
      <tp t="s">
        <v>#N/A N/A</v>
        <stp/>
        <stp>BDP|9707965009598380201</stp>
        <tr r="H533" s="2"/>
      </tp>
      <tp t="s">
        <v>#N/A N/A</v>
        <stp/>
        <stp>BDP|8390028176906804340</stp>
        <tr r="R1351" s="2"/>
      </tp>
      <tp t="s">
        <v>#N/A N/A</v>
        <stp/>
        <stp>BDP|3387973636300006390</stp>
        <tr r="A1158" s="2"/>
      </tp>
      <tp t="s">
        <v>#N/A N/A</v>
        <stp/>
        <stp>BDP|4486709979196011869</stp>
        <tr r="F657" s="2"/>
      </tp>
      <tp t="s">
        <v>#N/A N/A</v>
        <stp/>
        <stp>BDP|1337316616630999962</stp>
        <tr r="A1432" s="2"/>
      </tp>
      <tp t="s">
        <v>#N/A N/A</v>
        <stp/>
        <stp>BDP|6214733359388594660</stp>
        <tr r="M1208" s="2"/>
      </tp>
      <tp t="s">
        <v>#N/A N/A</v>
        <stp/>
        <stp>BDP|4397804319066726164</stp>
        <tr r="A1492" s="2"/>
      </tp>
      <tp t="s">
        <v>#N/A N/A</v>
        <stp/>
        <stp>BDP|9190706571182909125</stp>
        <tr r="G519" s="2"/>
      </tp>
      <tp t="s">
        <v>#N/A N/A</v>
        <stp/>
        <stp>BDP|2450891356837077200</stp>
        <tr r="F1666" s="2"/>
      </tp>
      <tp t="s">
        <v>#N/A N/A</v>
        <stp/>
        <stp>BDP|4977112426874505907</stp>
        <tr r="K1037" s="2"/>
      </tp>
      <tp t="s">
        <v>#N/A N/A</v>
        <stp/>
        <stp>BDP|4708376810608855438</stp>
        <tr r="F772" s="2"/>
      </tp>
      <tp t="s">
        <v>#N/A N/A</v>
        <stp/>
        <stp>BDP|8575622463933787188</stp>
        <tr r="J1370" s="2"/>
      </tp>
      <tp t="s">
        <v>#N/A N/A</v>
        <stp/>
        <stp>BDP|7866542404468394005</stp>
        <tr r="K1351" s="2"/>
      </tp>
      <tp t="s">
        <v>#N/A N/A</v>
        <stp/>
        <stp>BDP|4121033726169941568</stp>
        <tr r="A1459" s="2"/>
      </tp>
      <tp t="s">
        <v>#N/A N/A</v>
        <stp/>
        <stp>BDP|7584800750333741393</stp>
        <tr r="M1535" s="2"/>
      </tp>
      <tp t="s">
        <v>#N/A N/A</v>
        <stp/>
        <stp>BDP|8803131077816023277</stp>
        <tr r="M606" s="2"/>
      </tp>
      <tp t="s">
        <v>#N/A N/A</v>
        <stp/>
        <stp>BDP|5998635921153989899</stp>
        <tr r="C975" s="2"/>
      </tp>
      <tp t="s">
        <v>#N/A N/A</v>
        <stp/>
        <stp>BDS|7679153693660994524</stp>
        <tr r="I14" s="2"/>
      </tp>
      <tp t="s">
        <v>#N/A N/A</v>
        <stp/>
        <stp>BDP|8476298489690653890</stp>
        <tr r="O950" s="2"/>
      </tp>
      <tp t="s">
        <v>#N/A N/A</v>
        <stp/>
        <stp>BDP|2489187316269415150</stp>
        <tr r="J1094" s="2"/>
      </tp>
      <tp t="s">
        <v>#N/A N/A</v>
        <stp/>
        <stp>BDP|6424029483356926275</stp>
        <tr r="D1628" s="2"/>
      </tp>
      <tp t="s">
        <v>#N/A N/A</v>
        <stp/>
        <stp>BDP|8871310850206483262</stp>
        <tr r="N375" s="2"/>
      </tp>
      <tp t="s">
        <v>#N/A N/A</v>
        <stp/>
        <stp>BDP|2305789198597879105</stp>
        <tr r="J1126" s="2"/>
      </tp>
      <tp t="s">
        <v>#N/A N/A</v>
        <stp/>
        <stp>BDP|4530114721578696585</stp>
        <tr r="M77" s="2"/>
      </tp>
      <tp t="s">
        <v>#N/A N/A</v>
        <stp/>
        <stp>BDP|9598634274393142184</stp>
        <tr r="H978" s="2"/>
      </tp>
      <tp t="s">
        <v>#N/A N/A</v>
        <stp/>
        <stp>BDP|9968454682198158748</stp>
        <tr r="C1352" s="2"/>
      </tp>
      <tp t="s">
        <v>#N/A N/A</v>
        <stp/>
        <stp>BDP|4112408780936812420</stp>
        <tr r="A800" s="2"/>
      </tp>
      <tp t="s">
        <v>#N/A N/A</v>
        <stp/>
        <stp>BDP|2854407240399753145</stp>
        <tr r="C472" s="2"/>
      </tp>
      <tp t="s">
        <v>#N/A N/A</v>
        <stp/>
        <stp>BDP|4422097429209828574</stp>
        <tr r="J1150" s="2"/>
      </tp>
      <tp t="s">
        <v>#N/A N/A</v>
        <stp/>
        <stp>BDP|8342646627284925222</stp>
        <tr r="J54" s="2"/>
      </tp>
      <tp t="s">
        <v>#N/A N/A</v>
        <stp/>
        <stp>BDP|5384278993793411785</stp>
        <tr r="A1632" s="2"/>
      </tp>
      <tp t="s">
        <v>#N/A N/A</v>
        <stp/>
        <stp>BDP|7047347800216978865</stp>
        <tr r="O395" s="2"/>
      </tp>
      <tp t="s">
        <v>#N/A N/A</v>
        <stp/>
        <stp>BDP|9208520139471146433</stp>
        <tr r="H49" s="2"/>
      </tp>
      <tp t="s">
        <v>#N/A N/A</v>
        <stp/>
        <stp>BDP|2026161898832609239</stp>
        <tr r="C1597" s="2"/>
      </tp>
      <tp t="s">
        <v>#N/A N/A</v>
        <stp/>
        <stp>BDP|9195092570533397705</stp>
        <tr r="S257" s="2"/>
      </tp>
      <tp t="s">
        <v>#N/A N/A</v>
        <stp/>
        <stp>BDP|5192679120852880952</stp>
        <tr r="M1381" s="2"/>
      </tp>
      <tp t="s">
        <v>#N/A N/A</v>
        <stp/>
        <stp>BDP|9963440943506057554</stp>
        <tr r="K843" s="2"/>
      </tp>
      <tp t="s">
        <v>#N/A N/A</v>
        <stp/>
        <stp>BDP|2764985455496860293</stp>
        <tr r="O270" s="2"/>
      </tp>
      <tp t="s">
        <v>#N/A N/A</v>
        <stp/>
        <stp>BDP|3134968624923114196</stp>
        <tr r="H1462" s="2"/>
      </tp>
      <tp t="s">
        <v>#N/A N/A</v>
        <stp/>
        <stp>BDP|8960702242011487049</stp>
        <tr r="J473" s="2"/>
      </tp>
      <tp t="s">
        <v>#N/A N/A</v>
        <stp/>
        <stp>BDP|2820397389152263117</stp>
        <tr r="K1365" s="2"/>
      </tp>
      <tp t="s">
        <v>#N/A N/A</v>
        <stp/>
        <stp>BDP|2239830453302921707</stp>
        <tr r="N1731" s="2"/>
      </tp>
      <tp t="s">
        <v>#N/A N/A</v>
        <stp/>
        <stp>BDS|8325614022085866336</stp>
        <tr r="I1292" s="2"/>
      </tp>
      <tp t="s">
        <v>#N/A N/A</v>
        <stp/>
        <stp>BDP|6047067699922597717</stp>
        <tr r="A340" s="2"/>
      </tp>
      <tp t="s">
        <v>#N/A N/A</v>
        <stp/>
        <stp>BDP|5873592342109895709</stp>
        <tr r="J1494" s="2"/>
      </tp>
      <tp t="s">
        <v>#N/A N/A</v>
        <stp/>
        <stp>BDP|9560096562264572101</stp>
        <tr r="T997" s="2"/>
      </tp>
      <tp t="s">
        <v>#N/A N/A</v>
        <stp/>
        <stp>BDP|2636582949471821843</stp>
        <tr r="P1677" s="2"/>
      </tp>
      <tp t="s">
        <v>#N/A N/A</v>
        <stp/>
        <stp>BDP|9417998907863770961</stp>
        <tr r="F1112" s="2"/>
      </tp>
      <tp t="s">
        <v>#N/A N/A</v>
        <stp/>
        <stp>BDP|2539983349341925466</stp>
        <tr r="O887" s="2"/>
      </tp>
      <tp t="s">
        <v>#N/A N/A</v>
        <stp/>
        <stp>BDP|7496315808448383656</stp>
        <tr r="G185" s="2"/>
      </tp>
      <tp t="s">
        <v>#N/A N/A</v>
        <stp/>
        <stp>BDP|5015230093466093285</stp>
        <tr r="K1179" s="2"/>
      </tp>
      <tp t="s">
        <v>#N/A N/A</v>
        <stp/>
        <stp>BDP|9980792739172871595</stp>
        <tr r="M1103" s="2"/>
      </tp>
      <tp t="s">
        <v>#N/A N/A</v>
        <stp/>
        <stp>BDS|4212699160957495972</stp>
        <tr r="I1688" s="2"/>
      </tp>
      <tp t="s">
        <v>#N/A N/A</v>
        <stp/>
        <stp>BDP|9469723438743181473</stp>
        <tr r="A549" s="2"/>
      </tp>
      <tp t="s">
        <v>#N/A N/A</v>
        <stp/>
        <stp>BDP|9267200342751095480</stp>
        <tr r="C1678" s="2"/>
      </tp>
      <tp t="s">
        <v>#N/A N/A</v>
        <stp/>
        <stp>BDP|7671602108913604804</stp>
        <tr r="A555" s="2"/>
      </tp>
      <tp t="s">
        <v>#N/A N/A</v>
        <stp/>
        <stp>BDS|1450113199567519419</stp>
        <tr r="I1642" s="2"/>
      </tp>
      <tp t="s">
        <v>#N/A N/A</v>
        <stp/>
        <stp>BDP|9004185583879329307</stp>
        <tr r="H1496" s="2"/>
      </tp>
      <tp t="s">
        <v>#N/A N/A</v>
        <stp/>
        <stp>BDP|9938412235221285570</stp>
        <tr r="D842" s="2"/>
      </tp>
      <tp t="s">
        <v>#N/A N/A</v>
        <stp/>
        <stp>BDP|4032071696667082096</stp>
        <tr r="R962" s="2"/>
      </tp>
      <tp t="s">
        <v>#N/A N/A</v>
        <stp/>
        <stp>BDP|1917688503565800821</stp>
        <tr r="H749" s="2"/>
      </tp>
      <tp t="s">
        <v>#N/A N/A</v>
        <stp/>
        <stp>BDP|9323618675036636494</stp>
        <tr r="K1646" s="2"/>
      </tp>
      <tp t="s">
        <v>#N/A N/A</v>
        <stp/>
        <stp>BDP|9082723763057028594</stp>
        <tr r="Q1695" s="2"/>
      </tp>
      <tp t="s">
        <v>#N/A N/A</v>
        <stp/>
        <stp>BDP|6026683660194450848</stp>
        <tr r="H1342" s="2"/>
      </tp>
      <tp t="s">
        <v>#N/A N/A</v>
        <stp/>
        <stp>BDP|1317710279303275819</stp>
        <tr r="S1591" s="2"/>
      </tp>
      <tp t="s">
        <v>#N/A N/A</v>
        <stp/>
        <stp>BDS|3319874206258813929</stp>
        <tr r="I599" s="2"/>
      </tp>
      <tp t="s">
        <v>#N/A N/A</v>
        <stp/>
        <stp>BDP|9264521873648262998</stp>
        <tr r="N97" s="2"/>
      </tp>
      <tp t="s">
        <v>#N/A N/A</v>
        <stp/>
        <stp>BDP|1888933332281238035</stp>
        <tr r="E644" s="2"/>
      </tp>
      <tp t="s">
        <v>#N/A N/A</v>
        <stp/>
        <stp>BDP|7007889911131439555</stp>
        <tr r="P964" s="2"/>
      </tp>
      <tp t="s">
        <v>#N/A N/A</v>
        <stp/>
        <stp>BDP|9789646899309020521</stp>
        <tr r="M1734" s="2"/>
      </tp>
      <tp t="s">
        <v>#N/A N/A</v>
        <stp/>
        <stp>BDP|4056914908775569241</stp>
        <tr r="F28" s="2"/>
      </tp>
      <tp t="s">
        <v>#N/A N/A</v>
        <stp/>
        <stp>BDP|6814281469210109803</stp>
        <tr r="H1658" s="2"/>
      </tp>
      <tp t="s">
        <v>#N/A N/A</v>
        <stp/>
        <stp>BDP|3051090743354258902</stp>
        <tr r="K69" s="2"/>
      </tp>
      <tp t="s">
        <v>#N/A N/A</v>
        <stp/>
        <stp>BDP|4231215753630877907</stp>
        <tr r="M382" s="2"/>
      </tp>
      <tp t="s">
        <v>#N/A N/A</v>
        <stp/>
        <stp>BDP|3421387742487163977</stp>
        <tr r="C964" s="2"/>
      </tp>
      <tp t="s">
        <v>#N/A N/A</v>
        <stp/>
        <stp>BDP|5810987018665329232</stp>
        <tr r="G1509" s="2"/>
      </tp>
      <tp t="s">
        <v>#N/A N/A</v>
        <stp/>
        <stp>BDS|6391400409111600948</stp>
        <tr r="I653" s="2"/>
      </tp>
      <tp t="s">
        <v>#N/A N/A</v>
        <stp/>
        <stp>BDP|5374518104228677289</stp>
        <tr r="M1315" s="2"/>
      </tp>
      <tp t="s">
        <v>#N/A N/A</v>
        <stp/>
        <stp>BDP|9251744129831793703</stp>
        <tr r="Q560" s="2"/>
      </tp>
      <tp t="s">
        <v>#N/A N/A</v>
        <stp/>
        <stp>BDP|5590609299915730539</stp>
        <tr r="J1662" s="2"/>
      </tp>
      <tp t="s">
        <v>#N/A N/A</v>
        <stp/>
        <stp>BDS|9912356449913479799</stp>
        <tr r="I443" s="2"/>
      </tp>
      <tp t="s">
        <v>#N/A N/A</v>
        <stp/>
        <stp>BDP|9321598542917323533</stp>
        <tr r="A1651" s="2"/>
      </tp>
      <tp t="s">
        <v>#N/A N/A</v>
        <stp/>
        <stp>BDP|3895647936978616444</stp>
        <tr r="H19" s="2"/>
      </tp>
      <tp t="s">
        <v>#N/A N/A</v>
        <stp/>
        <stp>BDP|2813524465379318245</stp>
        <tr r="N1234" s="2"/>
      </tp>
      <tp t="s">
        <v>#N/A N/A</v>
        <stp/>
        <stp>BDP|5976908675685332478</stp>
        <tr r="S537" s="2"/>
      </tp>
      <tp t="s">
        <v>#N/A N/A</v>
        <stp/>
        <stp>BDP|1792799606635952996</stp>
        <tr r="P1303" s="2"/>
      </tp>
      <tp t="s">
        <v>#N/A N/A</v>
        <stp/>
        <stp>BDP|2459203412543968870</stp>
        <tr r="D1630" s="2"/>
      </tp>
      <tp t="s">
        <v>#N/A N/A</v>
        <stp/>
        <stp>BDP|7509901939090035747</stp>
        <tr r="O435" s="2"/>
      </tp>
      <tp t="s">
        <v>#N/A N/A</v>
        <stp/>
        <stp>BDP|7424953886308812476</stp>
        <tr r="J1035" s="2"/>
      </tp>
      <tp t="s">
        <v>#N/A N/A</v>
        <stp/>
        <stp>BDP|1007689060942675963</stp>
        <tr r="S1538" s="2"/>
      </tp>
      <tp t="s">
        <v>#N/A N/A</v>
        <stp/>
        <stp>BDP|1001586155613561802</stp>
        <tr r="O1599" s="2"/>
      </tp>
      <tp t="s">
        <v>#N/A N/A</v>
        <stp/>
        <stp>BDP|9760552817055553285</stp>
        <tr r="J827" s="2"/>
      </tp>
      <tp t="s">
        <v>#N/A N/A</v>
        <stp/>
        <stp>BDP|8208880177438538500</stp>
        <tr r="Q1298" s="2"/>
      </tp>
      <tp t="s">
        <v>#N/A N/A</v>
        <stp/>
        <stp>BDP|5926925221253018723</stp>
        <tr r="T1345" s="2"/>
      </tp>
      <tp t="s">
        <v>#N/A N/A</v>
        <stp/>
        <stp>BDP|8541303514197084799</stp>
        <tr r="N1332" s="2"/>
      </tp>
      <tp t="s">
        <v>#N/A N/A</v>
        <stp/>
        <stp>BDP|3582753048103998995</stp>
        <tr r="N678" s="2"/>
      </tp>
      <tp t="s">
        <v>#N/A N/A</v>
        <stp/>
        <stp>BDP|1425160743948140696</stp>
        <tr r="N855" s="2"/>
      </tp>
      <tp t="s">
        <v>#N/A N/A</v>
        <stp/>
        <stp>BDP|4833159015599547742</stp>
        <tr r="E35" s="2"/>
      </tp>
      <tp t="s">
        <v>#N/A N/A</v>
        <stp/>
        <stp>BDP|1326912715523759099</stp>
        <tr r="R1126" s="2"/>
      </tp>
      <tp t="s">
        <v>#N/A N/A</v>
        <stp/>
        <stp>BDP|7289086113568125410</stp>
        <tr r="P1586" s="2"/>
      </tp>
      <tp t="s">
        <v>#N/A N/A</v>
        <stp/>
        <stp>BDP|1137350692421664099</stp>
        <tr r="Q1717" s="2"/>
      </tp>
      <tp t="s">
        <v>#N/A N/A</v>
        <stp/>
        <stp>BDP|9286202659965731158</stp>
        <tr r="T157" s="2"/>
      </tp>
      <tp t="s">
        <v>#N/A N/A</v>
        <stp/>
        <stp>BDP|3637281684861619253</stp>
        <tr r="H1245" s="2"/>
      </tp>
      <tp t="s">
        <v>#N/A N/A</v>
        <stp/>
        <stp>BDP|9422047078532698671</stp>
        <tr r="C898" s="2"/>
      </tp>
      <tp t="s">
        <v>#N/A N/A</v>
        <stp/>
        <stp>BDP|8996121066057561215</stp>
        <tr r="N677" s="2"/>
      </tp>
      <tp t="s">
        <v>#N/A N/A</v>
        <stp/>
        <stp>BDP|6506996291905109954</stp>
        <tr r="H106" s="2"/>
      </tp>
      <tp t="s">
        <v>#N/A N/A</v>
        <stp/>
        <stp>BDS|9177599663281536177</stp>
        <tr r="I704" s="2"/>
      </tp>
      <tp t="s">
        <v>#N/A N/A</v>
        <stp/>
        <stp>BDP|6824939652638728874</stp>
        <tr r="A1138" s="2"/>
      </tp>
      <tp t="s">
        <v>#N/A N/A</v>
        <stp/>
        <stp>BDP|3205963589658581017</stp>
        <tr r="H1746" s="2"/>
      </tp>
      <tp t="s">
        <v>#N/A N/A</v>
        <stp/>
        <stp>BDP|5864239774679513332</stp>
        <tr r="A1151" s="2"/>
      </tp>
      <tp t="s">
        <v>#N/A N/A</v>
        <stp/>
        <stp>BDP|1594830558572622413</stp>
        <tr r="P356" s="2"/>
      </tp>
      <tp t="s">
        <v>#N/A N/A</v>
        <stp/>
        <stp>BDP|3290864368022180549</stp>
        <tr r="P47" s="2"/>
      </tp>
      <tp t="s">
        <v>#N/A N/A</v>
        <stp/>
        <stp>BDS|8554582611852515401</stp>
        <tr r="I659" s="2"/>
      </tp>
      <tp t="s">
        <v>#N/A N/A</v>
        <stp/>
        <stp>BDP|6954224595543296451</stp>
        <tr r="C114" s="2"/>
      </tp>
      <tp t="s">
        <v>#N/A N/A</v>
        <stp/>
        <stp>BDP|9049572179294798501</stp>
        <tr r="A965" s="2"/>
      </tp>
      <tp t="s">
        <v>#N/A N/A</v>
        <stp/>
        <stp>BDP|9402235052203997751</stp>
        <tr r="A94" s="2"/>
      </tp>
      <tp t="s">
        <v>#N/A N/A</v>
        <stp/>
        <stp>BDP|9251296058587986331</stp>
        <tr r="M346" s="2"/>
      </tp>
      <tp t="s">
        <v>#N/A N/A</v>
        <stp/>
        <stp>BDP|5092217275842991841</stp>
        <tr r="A226" s="2"/>
      </tp>
      <tp t="s">
        <v>#N/A N/A</v>
        <stp/>
        <stp>BDP|5196017527604844962</stp>
        <tr r="D980" s="2"/>
      </tp>
      <tp t="s">
        <v>#N/A N/A</v>
        <stp/>
        <stp>BDP|4240760888877674635</stp>
        <tr r="J45" s="2"/>
      </tp>
      <tp t="s">
        <v>#N/A N/A</v>
        <stp/>
        <stp>BDP|5086433189880794344</stp>
        <tr r="F468" s="2"/>
      </tp>
      <tp t="s">
        <v>#N/A N/A</v>
        <stp/>
        <stp>BDP|2678212648689072765</stp>
        <tr r="Q1119" s="2"/>
      </tp>
      <tp t="s">
        <v>#N/A N/A</v>
        <stp/>
        <stp>BDP|9831248034062836099</stp>
        <tr r="Q959" s="2"/>
      </tp>
      <tp t="s">
        <v>#N/A N/A</v>
        <stp/>
        <stp>BDP|1103131046288439691</stp>
        <tr r="A138" s="2"/>
      </tp>
      <tp t="s">
        <v>#N/A N/A</v>
        <stp/>
        <stp>BDP|9705485664370570171</stp>
        <tr r="J1157" s="2"/>
      </tp>
      <tp t="s">
        <v>#N/A N/A</v>
        <stp/>
        <stp>BDP|9493808627189818021</stp>
        <tr r="T1117" s="2"/>
      </tp>
      <tp t="s">
        <v>#N/A N/A</v>
        <stp/>
        <stp>BDP|2662116879806798801</stp>
        <tr r="T543" s="2"/>
      </tp>
      <tp t="s">
        <v>#N/A N/A</v>
        <stp/>
        <stp>BDP|3314838705500850149</stp>
        <tr r="R837" s="2"/>
      </tp>
      <tp t="s">
        <v>#N/A N/A</v>
        <stp/>
        <stp>BDP|8629505631843668789</stp>
        <tr r="S1367" s="2"/>
      </tp>
      <tp t="s">
        <v>#N/A N/A</v>
        <stp/>
        <stp>BDP|9693856782407837408</stp>
        <tr r="O753" s="2"/>
      </tp>
      <tp t="s">
        <v>#N/A N/A</v>
        <stp/>
        <stp>BDP|7303857500585716083</stp>
        <tr r="R1405" s="2"/>
      </tp>
      <tp t="s">
        <v>#N/A N/A</v>
        <stp/>
        <stp>BDP|2326884032074518757</stp>
        <tr r="J1650" s="2"/>
      </tp>
      <tp t="s">
        <v>#N/A N/A</v>
        <stp/>
        <stp>BDP|3232122938053764867</stp>
        <tr r="P849" s="2"/>
      </tp>
      <tp t="s">
        <v>#N/A N/A</v>
        <stp/>
        <stp>BDS|4603018695805281298</stp>
        <tr r="I1613" s="2"/>
      </tp>
      <tp t="s">
        <v>#N/A N/A</v>
        <stp/>
        <stp>BDP|8874531981979148628</stp>
        <tr r="Q292" s="2"/>
      </tp>
      <tp t="s">
        <v>#N/A N/A</v>
        <stp/>
        <stp>BDP|9160710582414978826</stp>
        <tr r="C394" s="2"/>
      </tp>
      <tp t="s">
        <v>#N/A N/A</v>
        <stp/>
        <stp>BDP|6088638400053372994</stp>
        <tr r="T500" s="2"/>
      </tp>
      <tp t="s">
        <v>#N/A N/A</v>
        <stp/>
        <stp>BDP|4942304802115748857</stp>
        <tr r="H513" s="2"/>
      </tp>
      <tp t="s">
        <v>#N/A N/A</v>
        <stp/>
        <stp>BDP|1519338044908926420</stp>
        <tr r="N853" s="2"/>
      </tp>
      <tp t="s">
        <v>#N/A N/A</v>
        <stp/>
        <stp>BDP|6359890940645744542</stp>
        <tr r="O129" s="2"/>
      </tp>
      <tp t="s">
        <v>#N/A N/A</v>
        <stp/>
        <stp>BDP|8847023703444902697</stp>
        <tr r="Q190" s="2"/>
      </tp>
      <tp t="s">
        <v>#N/A N/A</v>
        <stp/>
        <stp>BDP|2889849234186504544</stp>
        <tr r="Q336" s="2"/>
      </tp>
      <tp t="s">
        <v>#N/A N/A</v>
        <stp/>
        <stp>BDP|1625905573130503592</stp>
        <tr r="D352" s="2"/>
      </tp>
      <tp t="s">
        <v>#N/A N/A</v>
        <stp/>
        <stp>BDP|8824739486329480404</stp>
        <tr r="T1135" s="2"/>
      </tp>
      <tp t="s">
        <v>#N/A N/A</v>
        <stp/>
        <stp>BDP|9165265292459906150</stp>
        <tr r="M718" s="2"/>
      </tp>
      <tp t="s">
        <v>#N/A N/A</v>
        <stp/>
        <stp>BDP|4902489159319754668</stp>
        <tr r="P1438" s="2"/>
      </tp>
      <tp t="s">
        <v>#N/A N/A</v>
        <stp/>
        <stp>BDP|5377581589211853336</stp>
        <tr r="S1528" s="2"/>
      </tp>
      <tp t="s">
        <v>#N/A N/A</v>
        <stp/>
        <stp>BDP|8278382745572778711</stp>
        <tr r="G478" s="2"/>
      </tp>
      <tp t="s">
        <v>#N/A N/A</v>
        <stp/>
        <stp>BDP|7980969765234547661</stp>
        <tr r="R442" s="2"/>
      </tp>
      <tp t="s">
        <v>#N/A N/A</v>
        <stp/>
        <stp>BDP|8881466602880425612</stp>
        <tr r="K1584" s="2"/>
      </tp>
      <tp t="s">
        <v>#N/A N/A</v>
        <stp/>
        <stp>BDP|7340958120280129695</stp>
        <tr r="K564" s="2"/>
      </tp>
      <tp t="s">
        <v>#N/A N/A</v>
        <stp/>
        <stp>BDP|6379739364448363595</stp>
        <tr r="M916" s="2"/>
      </tp>
      <tp t="s">
        <v>#N/A N/A</v>
        <stp/>
        <stp>BDP|7723195883792299612</stp>
        <tr r="G422" s="2"/>
      </tp>
      <tp t="s">
        <v>#N/A N/A</v>
        <stp/>
        <stp>BDP|1869456714186693812</stp>
        <tr r="S105" s="2"/>
      </tp>
      <tp t="s">
        <v>#N/A N/A</v>
        <stp/>
        <stp>BDP|7675214819096015808</stp>
        <tr r="F298" s="2"/>
      </tp>
      <tp t="s">
        <v>#N/A N/A</v>
        <stp/>
        <stp>BDP|3865610207988933796</stp>
        <tr r="K528" s="2"/>
      </tp>
      <tp t="s">
        <v>#N/A N/A</v>
        <stp/>
        <stp>BDP|6869235787827611140</stp>
        <tr r="E1020" s="2"/>
      </tp>
      <tp t="s">
        <v>#N/A N/A</v>
        <stp/>
        <stp>BDP|7590477219570288879</stp>
        <tr r="P791" s="2"/>
      </tp>
      <tp t="s">
        <v>#N/A N/A</v>
        <stp/>
        <stp>BDP|4360503028470153949</stp>
        <tr r="O226" s="2"/>
      </tp>
      <tp t="s">
        <v>#N/A N/A</v>
        <stp/>
        <stp>BDP|2781091601438032013</stp>
        <tr r="K409" s="2"/>
      </tp>
      <tp t="s">
        <v>#N/A N/A</v>
        <stp/>
        <stp>BDP|1937357188913323393</stp>
        <tr r="G1522" s="2"/>
      </tp>
      <tp t="s">
        <v>#N/A N/A</v>
        <stp/>
        <stp>BDP|8873468204001068745</stp>
        <tr r="Q130" s="2"/>
      </tp>
      <tp t="s">
        <v>#N/A N/A</v>
        <stp/>
        <stp>BDP|9843348437234382769</stp>
        <tr r="G1716" s="2"/>
      </tp>
      <tp t="s">
        <v>#N/A N/A</v>
        <stp/>
        <stp>BDP|6203282614748932799</stp>
        <tr r="H169" s="2"/>
      </tp>
      <tp t="s">
        <v>#N/A N/A</v>
        <stp/>
        <stp>BDP|7174181003665165957</stp>
        <tr r="J722" s="2"/>
      </tp>
      <tp t="s">
        <v>#N/A N/A</v>
        <stp/>
        <stp>BDP|1975154011469363200</stp>
        <tr r="C61" s="2"/>
      </tp>
      <tp t="s">
        <v>#N/A N/A</v>
        <stp/>
        <stp>BDS|7745140259950663929</stp>
        <tr r="I268" s="2"/>
      </tp>
      <tp t="s">
        <v>#N/A N/A</v>
        <stp/>
        <stp>BDP|8192918776224851806</stp>
        <tr r="H159" s="2"/>
      </tp>
      <tp t="s">
        <v>#N/A N/A</v>
        <stp/>
        <stp>BDP|8679301803323854230</stp>
        <tr r="P241" s="2"/>
      </tp>
      <tp t="s">
        <v>#N/A N/A</v>
        <stp/>
        <stp>BDP|9218402354867187593</stp>
        <tr r="S242" s="2"/>
      </tp>
      <tp t="s">
        <v>#N/A N/A</v>
        <stp/>
        <stp>BDP|4353292524598443645</stp>
        <tr r="C87" s="2"/>
      </tp>
      <tp t="s">
        <v>#N/A N/A</v>
        <stp/>
        <stp>BDP|1376188998175487695</stp>
        <tr r="M471" s="2"/>
      </tp>
      <tp t="s">
        <v>#N/A N/A</v>
        <stp/>
        <stp>BDP|4903865462788119821</stp>
        <tr r="K450" s="2"/>
      </tp>
      <tp t="s">
        <v>#N/A N/A</v>
        <stp/>
        <stp>BDS|3104452036119418783</stp>
        <tr r="I1190" s="2"/>
      </tp>
      <tp t="s">
        <v>#N/A N/A</v>
        <stp/>
        <stp>BDP|7370310385754148286</stp>
        <tr r="N351" s="2"/>
      </tp>
      <tp t="s">
        <v>#N/A N/A</v>
        <stp/>
        <stp>BDP|7593328882712301484</stp>
        <tr r="R35" s="2"/>
      </tp>
      <tp t="s">
        <v>#N/A N/A</v>
        <stp/>
        <stp>BDP|6103605698741565221</stp>
        <tr r="K1323" s="2"/>
      </tp>
      <tp t="s">
        <v>#N/A N/A</v>
        <stp/>
        <stp>BDP|2277583117468616454</stp>
        <tr r="E218" s="2"/>
      </tp>
      <tp t="s">
        <v>#N/A N/A</v>
        <stp/>
        <stp>BDP|3470896633804698665</stp>
        <tr r="P856" s="2"/>
      </tp>
      <tp t="s">
        <v>#N/A N/A</v>
        <stp/>
        <stp>BDS|9307782794098500544</stp>
        <tr r="I1217" s="2"/>
      </tp>
      <tp t="s">
        <v>#N/A N/A</v>
        <stp/>
        <stp>BDP|6380820552460499190</stp>
        <tr r="M1250" s="2"/>
      </tp>
      <tp t="s">
        <v>#N/A N/A</v>
        <stp/>
        <stp>BDS|6438455227102189898</stp>
        <tr r="I188" s="2"/>
      </tp>
      <tp t="s">
        <v>#N/A N/A</v>
        <stp/>
        <stp>BDP|3563726820568090498</stp>
        <tr r="H1186" s="2"/>
      </tp>
      <tp t="s">
        <v>#N/A N/A</v>
        <stp/>
        <stp>BDP|1285366791928248997</stp>
        <tr r="S1511" s="2"/>
      </tp>
      <tp t="s">
        <v>#N/A N/A</v>
        <stp/>
        <stp>BDP|3438073475519045785</stp>
        <tr r="D1739" s="2"/>
      </tp>
      <tp t="s">
        <v>#N/A N/A</v>
        <stp/>
        <stp>BDP|9734636778731023327</stp>
        <tr r="O1753" s="2"/>
      </tp>
      <tp t="s">
        <v>#N/A N/A</v>
        <stp/>
        <stp>BDP|4135125590112938443</stp>
        <tr r="O363" s="2"/>
      </tp>
      <tp t="s">
        <v>#N/A N/A</v>
        <stp/>
        <stp>BDP|6965834856117408665</stp>
        <tr r="M1562" s="2"/>
      </tp>
      <tp t="s">
        <v>#N/A N/A</v>
        <stp/>
        <stp>BDP|7694184174198736339</stp>
        <tr r="O93" s="2"/>
      </tp>
      <tp t="s">
        <v>#N/A N/A</v>
        <stp/>
        <stp>BDP|2894151715659711106</stp>
        <tr r="Q1550" s="2"/>
      </tp>
      <tp t="s">
        <v>#N/A N/A</v>
        <stp/>
        <stp>BDP|5511431585122987150</stp>
        <tr r="O1046" s="2"/>
      </tp>
      <tp t="s">
        <v>#N/A N/A</v>
        <stp/>
        <stp>BDP|8021025517316948539</stp>
        <tr r="T1163" s="2"/>
      </tp>
      <tp t="s">
        <v>#N/A N/A</v>
        <stp/>
        <stp>BDP|8861778777877373549</stp>
        <tr r="N447" s="2"/>
      </tp>
      <tp t="s">
        <v>#N/A N/A</v>
        <stp/>
        <stp>BDP|8705446781889947742</stp>
        <tr r="P854" s="2"/>
      </tp>
      <tp t="s">
        <v>#N/A N/A</v>
        <stp/>
        <stp>BDS|4743709498163929395</stp>
        <tr r="I261" s="2"/>
      </tp>
      <tp t="s">
        <v>#N/A N/A</v>
        <stp/>
        <stp>BDP|3266508964028948201</stp>
        <tr r="D143" s="2"/>
      </tp>
      <tp t="s">
        <v>#N/A N/A</v>
        <stp/>
        <stp>BDP|4571137960111983802</stp>
        <tr r="D1641" s="2"/>
      </tp>
      <tp t="s">
        <v>#N/A N/A</v>
        <stp/>
        <stp>BDP|4916459417359433202</stp>
        <tr r="C729" s="2"/>
      </tp>
      <tp t="s">
        <v>#N/A N/A</v>
        <stp/>
        <stp>BDP|5457030680940818707</stp>
        <tr r="H1734" s="2"/>
      </tp>
      <tp t="s">
        <v>#N/A N/A</v>
        <stp/>
        <stp>BDP|8744058861712420683</stp>
        <tr r="Q989" s="2"/>
      </tp>
      <tp t="s">
        <v>#N/A N/A</v>
        <stp/>
        <stp>BDP|1582191821710353811</stp>
        <tr r="N1040" s="2"/>
      </tp>
      <tp t="s">
        <v>#N/A N/A</v>
        <stp/>
        <stp>BDP|7812744727940408806</stp>
        <tr r="K899" s="2"/>
      </tp>
      <tp t="s">
        <v>#N/A N/A</v>
        <stp/>
        <stp>BDS|4794018448058865299</stp>
        <tr r="I180" s="2"/>
      </tp>
      <tp t="s">
        <v>#N/A N/A</v>
        <stp/>
        <stp>BDP|8097990837760214832</stp>
        <tr r="Q308" s="2"/>
      </tp>
      <tp t="s">
        <v>#N/A N/A</v>
        <stp/>
        <stp>BDP|7565681514058434228</stp>
        <tr r="Q1188" s="2"/>
      </tp>
      <tp t="s">
        <v>#N/A N/A</v>
        <stp/>
        <stp>BDP|5581890503170209725</stp>
        <tr r="A148" s="2"/>
      </tp>
      <tp t="s">
        <v>#N/A N/A</v>
        <stp/>
        <stp>BDS|1455798351358609151</stp>
        <tr r="I1350" s="2"/>
      </tp>
      <tp t="s">
        <v>#N/A N/A</v>
        <stp/>
        <stp>BDP|7213811508906302376</stp>
        <tr r="J160" s="2"/>
      </tp>
      <tp t="s">
        <v>#N/A N/A</v>
        <stp/>
        <stp>BDP|3428655291033694591</stp>
        <tr r="C1004" s="2"/>
      </tp>
      <tp t="s">
        <v>#N/A N/A</v>
        <stp/>
        <stp>BDP|7102889331900789607</stp>
        <tr r="D984" s="2"/>
      </tp>
      <tp t="s">
        <v>#N/A N/A</v>
        <stp/>
        <stp>BDP|9555932008922280838</stp>
        <tr r="R642" s="2"/>
      </tp>
      <tp t="s">
        <v>#N/A N/A</v>
        <stp/>
        <stp>BDP|1864357571889705647</stp>
        <tr r="J1548" s="2"/>
      </tp>
      <tp t="s">
        <v>#N/A N/A</v>
        <stp/>
        <stp>BDP|8123697414296616358</stp>
        <tr r="E841" s="2"/>
      </tp>
      <tp t="s">
        <v>#N/A N/A</v>
        <stp/>
        <stp>BDP|2801802328172762084</stp>
        <tr r="F1485" s="2"/>
      </tp>
      <tp t="s">
        <v>#N/A N/A</v>
        <stp/>
        <stp>BDP|1030719585595894137</stp>
        <tr r="Q1449" s="2"/>
      </tp>
      <tp t="s">
        <v>#N/A N/A</v>
        <stp/>
        <stp>BDP|4447733232218241281</stp>
        <tr r="A502" s="2"/>
      </tp>
      <tp t="s">
        <v>#N/A N/A</v>
        <stp/>
        <stp>BDP|8646622555452833361</stp>
        <tr r="P152" s="2"/>
      </tp>
      <tp t="s">
        <v>#N/A N/A</v>
        <stp/>
        <stp>BDP|9143475981608120795</stp>
        <tr r="R381" s="2"/>
      </tp>
      <tp t="s">
        <v>#N/A N/A</v>
        <stp/>
        <stp>BDP|8037811015518207394</stp>
        <tr r="J682" s="2"/>
      </tp>
      <tp t="s">
        <v>#N/A N/A</v>
        <stp/>
        <stp>BDP|1098049188295352604</stp>
        <tr r="T463" s="2"/>
      </tp>
      <tp t="s">
        <v>#N/A N/A</v>
        <stp/>
        <stp>BDP|1414891236375222562</stp>
        <tr r="N1220" s="2"/>
      </tp>
      <tp t="s">
        <v>#N/A N/A</v>
        <stp/>
        <stp>BDP|3399439609165320850</stp>
        <tr r="C463" s="2"/>
      </tp>
      <tp t="s">
        <v>#N/A N/A</v>
        <stp/>
        <stp>BDP|5356183761020529807</stp>
        <tr r="M1463" s="2"/>
      </tp>
      <tp t="s">
        <v>#N/A N/A</v>
        <stp/>
        <stp>BDP|8978372340261526446</stp>
        <tr r="T141" s="2"/>
      </tp>
      <tp t="s">
        <v>#N/A N/A</v>
        <stp/>
        <stp>BDP|8328431243783843142</stp>
        <tr r="M1290" s="2"/>
      </tp>
      <tp t="s">
        <v>#N/A N/A</v>
        <stp/>
        <stp>BDP|8107701659126321640</stp>
        <tr r="S1443" s="2"/>
      </tp>
      <tp t="s">
        <v>#N/A N/A</v>
        <stp/>
        <stp>BDP|5164125171179461096</stp>
        <tr r="N1568" s="2"/>
      </tp>
      <tp t="s">
        <v>#N/A N/A</v>
        <stp/>
        <stp>BDP|5344513080070910244</stp>
        <tr r="C1500" s="2"/>
      </tp>
      <tp t="s">
        <v>#N/A N/A</v>
        <stp/>
        <stp>BDP|6945620975198426555</stp>
        <tr r="G1036" s="2"/>
      </tp>
      <tp t="s">
        <v>#N/A N/A</v>
        <stp/>
        <stp>BDP|7425510121062319881</stp>
        <tr r="A756" s="2"/>
      </tp>
      <tp t="s">
        <v>#N/A N/A</v>
        <stp/>
        <stp>BDP|8474904007209946250</stp>
        <tr r="F299" s="2"/>
      </tp>
      <tp t="s">
        <v>#N/A N/A</v>
        <stp/>
        <stp>BDP|5660854664268938916</stp>
        <tr r="M519" s="2"/>
      </tp>
      <tp t="s">
        <v>#N/A N/A</v>
        <stp/>
        <stp>BDP|8589311959670236408</stp>
        <tr r="N1579" s="2"/>
      </tp>
      <tp t="s">
        <v>#N/A N/A</v>
        <stp/>
        <stp>BDP|9019798540006398657</stp>
        <tr r="T1413" s="2"/>
      </tp>
      <tp t="s">
        <v>#N/A N/A</v>
        <stp/>
        <stp>BDP|1413523159973285824</stp>
        <tr r="Q931" s="2"/>
      </tp>
      <tp t="s">
        <v>#N/A N/A</v>
        <stp/>
        <stp>BDP|4944424790350157351</stp>
        <tr r="C1668" s="2"/>
      </tp>
      <tp t="s">
        <v>#N/A N/A</v>
        <stp/>
        <stp>BDP|7245901683975836968</stp>
        <tr r="Q744" s="2"/>
      </tp>
      <tp t="s">
        <v>#N/A N/A</v>
        <stp/>
        <stp>BDP|2064769422575259898</stp>
        <tr r="C717" s="2"/>
      </tp>
      <tp t="s">
        <v>#N/A N/A</v>
        <stp/>
        <stp>BDP|3091078924443544896</stp>
        <tr r="S864" s="2"/>
      </tp>
      <tp t="s">
        <v>#N/A N/A</v>
        <stp/>
        <stp>BDP|3769186581656742665</stp>
        <tr r="A677" s="2"/>
      </tp>
      <tp t="s">
        <v>#N/A N/A</v>
        <stp/>
        <stp>BDP|3724284880186000501</stp>
        <tr r="N952" s="2"/>
      </tp>
      <tp t="s">
        <v>#N/A N/A</v>
        <stp/>
        <stp>BDP|4214870319242317504</stp>
        <tr r="D857" s="2"/>
      </tp>
      <tp t="s">
        <v>#N/A N/A</v>
        <stp/>
        <stp>BDP|9655529505963735590</stp>
        <tr r="M1195" s="2"/>
      </tp>
      <tp t="s">
        <v>#N/A N/A</v>
        <stp/>
        <stp>BDP|5682888335393404705</stp>
        <tr r="A1022" s="2"/>
      </tp>
      <tp t="s">
        <v>#N/A N/A</v>
        <stp/>
        <stp>BDP|5772395879982316983</stp>
        <tr r="Q968" s="2"/>
      </tp>
      <tp t="s">
        <v>#N/A N/A</v>
        <stp/>
        <stp>BDP|2399412683292967646</stp>
        <tr r="T1086" s="2"/>
      </tp>
      <tp t="s">
        <v>#N/A N/A</v>
        <stp/>
        <stp>BDP|8547394744870383578</stp>
        <tr r="Q1600" s="2"/>
      </tp>
      <tp t="s">
        <v>#N/A N/A</v>
        <stp/>
        <stp>BDP|3189696308497916853</stp>
        <tr r="E905" s="2"/>
      </tp>
      <tp t="s">
        <v>#N/A N/A</v>
        <stp/>
        <stp>BDP|8315290850947101270</stp>
        <tr r="G18" s="2"/>
      </tp>
      <tp t="s">
        <v>#N/A N/A</v>
        <stp/>
        <stp>BDP|6643797788253808039</stp>
        <tr r="E1751" s="2"/>
      </tp>
      <tp t="s">
        <v>#N/A N/A</v>
        <stp/>
        <stp>BDP|3968920111685322459</stp>
        <tr r="F1463" s="2"/>
      </tp>
      <tp t="s">
        <v>#N/A N/A</v>
        <stp/>
        <stp>BDP|7948995193805645896</stp>
        <tr r="P529" s="2"/>
      </tp>
      <tp t="s">
        <v>#N/A N/A</v>
        <stp/>
        <stp>BDP|4097961109256586168</stp>
        <tr r="O205" s="2"/>
      </tp>
      <tp t="s">
        <v>#N/A N/A</v>
        <stp/>
        <stp>BDP|1045520851849659293</stp>
        <tr r="J1626" s="2"/>
      </tp>
      <tp t="s">
        <v>#N/A N/A</v>
        <stp/>
        <stp>BDP|1639886225869365841</stp>
        <tr r="T590" s="2"/>
      </tp>
      <tp t="s">
        <v>#N/A N/A</v>
        <stp/>
        <stp>BDP|2292484915539211413</stp>
        <tr r="T426" s="2"/>
      </tp>
      <tp t="s">
        <v>#N/A N/A</v>
        <stp/>
        <stp>BDP|2647848868620618606</stp>
        <tr r="M1372" s="2"/>
      </tp>
      <tp t="s">
        <v>#N/A N/A</v>
        <stp/>
        <stp>BDS|5397672349508641574</stp>
        <tr r="I561" s="2"/>
      </tp>
      <tp t="s">
        <v>#N/A N/A</v>
        <stp/>
        <stp>BDP|7946307975678395131</stp>
        <tr r="S422" s="2"/>
      </tp>
      <tp t="s">
        <v>#N/A N/A</v>
        <stp/>
        <stp>BDP|2976543260849716261</stp>
        <tr r="K984" s="2"/>
      </tp>
      <tp t="s">
        <v>#N/A N/A</v>
        <stp/>
        <stp>BDP|4947789458435320967</stp>
        <tr r="O600" s="2"/>
      </tp>
      <tp t="s">
        <v>#N/A N/A</v>
        <stp/>
        <stp>BDP|6739199487301202475</stp>
        <tr r="N526" s="2"/>
      </tp>
      <tp t="s">
        <v>#N/A N/A</v>
        <stp/>
        <stp>BDP|2834090122258864278</stp>
        <tr r="G455" s="2"/>
      </tp>
      <tp t="s">
        <v>#N/A N/A</v>
        <stp/>
        <stp>BDP|3437331849849453760</stp>
        <tr r="G372" s="2"/>
      </tp>
      <tp t="s">
        <v>#N/A N/A</v>
        <stp/>
        <stp>BDP|4478693587917565734</stp>
        <tr r="Q1535" s="2"/>
      </tp>
      <tp t="s">
        <v>#N/A N/A</v>
        <stp/>
        <stp>BDP|2942845055311797435</stp>
        <tr r="A1691" s="2"/>
      </tp>
      <tp t="s">
        <v>#N/A N/A</v>
        <stp/>
        <stp>BDP|1004707082934962076</stp>
        <tr r="S1388" s="2"/>
      </tp>
      <tp t="s">
        <v>#N/A N/A</v>
        <stp/>
        <stp>BDS|8585273365503830530</stp>
        <tr r="I212" s="2"/>
      </tp>
      <tp t="s">
        <v>#N/A N/A</v>
        <stp/>
        <stp>BDP|4919896438466556318</stp>
        <tr r="D1147" s="2"/>
      </tp>
      <tp t="s">
        <v>#N/A N/A</v>
        <stp/>
        <stp>BDP|5828238790071751501</stp>
        <tr r="J931" s="2"/>
      </tp>
      <tp t="s">
        <v>#N/A N/A</v>
        <stp/>
        <stp>BDP|7974139785226608252</stp>
        <tr r="T1694" s="2"/>
      </tp>
      <tp t="s">
        <v>#N/A N/A</v>
        <stp/>
        <stp>BDP|6235245534235816864</stp>
        <tr r="G388" s="2"/>
      </tp>
      <tp t="s">
        <v>#N/A N/A</v>
        <stp/>
        <stp>BDS|4062434938959711008</stp>
        <tr r="I492" s="2"/>
      </tp>
      <tp t="s">
        <v>#N/A N/A</v>
        <stp/>
        <stp>BDP|1582383804981664934</stp>
        <tr r="P167" s="2"/>
      </tp>
      <tp t="s">
        <v>#N/A N/A</v>
        <stp/>
        <stp>BDP|1018468678640375818</stp>
        <tr r="K160" s="2"/>
      </tp>
      <tp t="s">
        <v>#N/A N/A</v>
        <stp/>
        <stp>BDP|2219725634469856505</stp>
        <tr r="D1633" s="2"/>
      </tp>
      <tp t="s">
        <v>#N/A N/A</v>
        <stp/>
        <stp>BDP|2100240081391852306</stp>
        <tr r="R861" s="2"/>
      </tp>
      <tp t="s">
        <v>#N/A N/A</v>
        <stp/>
        <stp>BDP|3927920255663306617</stp>
        <tr r="F388" s="2"/>
      </tp>
      <tp t="s">
        <v>#N/A N/A</v>
        <stp/>
        <stp>BDP|2506195185221022056</stp>
        <tr r="M852" s="2"/>
      </tp>
      <tp t="s">
        <v>#N/A N/A</v>
        <stp/>
        <stp>BDP|1401943149627602136</stp>
        <tr r="A1447" s="2"/>
      </tp>
      <tp t="s">
        <v>#N/A N/A</v>
        <stp/>
        <stp>BDP|8463162666197027284</stp>
        <tr r="O1449" s="2"/>
      </tp>
      <tp t="s">
        <v>#N/A N/A</v>
        <stp/>
        <stp>BDP|9752340317709855805</stp>
        <tr r="Q731" s="2"/>
      </tp>
      <tp t="s">
        <v>#N/A N/A</v>
        <stp/>
        <stp>BDP|4050489661845617937</stp>
        <tr r="O433" s="2"/>
      </tp>
      <tp t="s">
        <v>#N/A N/A</v>
        <stp/>
        <stp>BDP|8022288107148006839</stp>
        <tr r="H58" s="2"/>
      </tp>
      <tp t="s">
        <v>#N/A N/A</v>
        <stp/>
        <stp>BDP|3142687303418579732</stp>
        <tr r="O768" s="2"/>
      </tp>
      <tp t="s">
        <v>#N/A N/A</v>
        <stp/>
        <stp>BDP|6532100865552855941</stp>
        <tr r="A96" s="2"/>
      </tp>
      <tp t="s">
        <v>#N/A N/A</v>
        <stp/>
        <stp>BDP|2257981927736836592</stp>
        <tr r="S1364" s="2"/>
      </tp>
      <tp t="s">
        <v>#N/A N/A</v>
        <stp/>
        <stp>BDS|3171953077440971761</stp>
        <tr r="I748" s="2"/>
      </tp>
      <tp t="s">
        <v>#N/A N/A</v>
        <stp/>
        <stp>BDP|4449992156282337042</stp>
        <tr r="J830" s="2"/>
      </tp>
      <tp t="s">
        <v>#N/A N/A</v>
        <stp/>
        <stp>BDP|6724664178055672834</stp>
        <tr r="F1214" s="2"/>
      </tp>
      <tp t="s">
        <v>#N/A N/A</v>
        <stp/>
        <stp>BDP|1057555238179701464</stp>
        <tr r="P1102" s="2"/>
      </tp>
      <tp t="s">
        <v>#N/A N/A</v>
        <stp/>
        <stp>BDP|8913365841187000220</stp>
        <tr r="H1676" s="2"/>
      </tp>
      <tp t="s">
        <v>#N/A N/A</v>
        <stp/>
        <stp>BDP|7440586104739218161</stp>
        <tr r="C221" s="2"/>
      </tp>
      <tp t="s">
        <v>#N/A N/A</v>
        <stp/>
        <stp>BDS|5316490799575961765</stp>
        <tr r="I475" s="2"/>
      </tp>
      <tp t="s">
        <v>#N/A N/A</v>
        <stp/>
        <stp>BDP|7217166659049365025</stp>
        <tr r="T516" s="2"/>
      </tp>
      <tp t="s">
        <v>#N/A N/A</v>
        <stp/>
        <stp>BDP|1859974741763114533</stp>
        <tr r="P673" s="2"/>
      </tp>
      <tp t="s">
        <v>#N/A N/A</v>
        <stp/>
        <stp>BDP|1004768639669791640</stp>
        <tr r="E1145" s="2"/>
      </tp>
      <tp t="s">
        <v>#N/A N/A</v>
        <stp/>
        <stp>BDS|2879687938314610926</stp>
        <tr r="I964" s="2"/>
      </tp>
      <tp t="s">
        <v>#N/A N/A</v>
        <stp/>
        <stp>BDP|2653157270747666994</stp>
        <tr r="D888" s="2"/>
      </tp>
      <tp t="s">
        <v>#N/A N/A</v>
        <stp/>
        <stp>BDP|4163283495191465445</stp>
        <tr r="M813" s="2"/>
      </tp>
      <tp t="s">
        <v>#N/A N/A</v>
        <stp/>
        <stp>BDP|7512320546428543287</stp>
        <tr r="N1279" s="2"/>
      </tp>
      <tp t="s">
        <v>#N/A N/A</v>
        <stp/>
        <stp>BDP|3315352281264221695</stp>
        <tr r="P1389" s="2"/>
      </tp>
      <tp t="s">
        <v>#N/A N/A</v>
        <stp/>
        <stp>BDP|4087632186529897910</stp>
        <tr r="K791" s="2"/>
      </tp>
      <tp t="s">
        <v>#N/A N/A</v>
        <stp/>
        <stp>BDP|5835247894264170057</stp>
        <tr r="J797" s="2"/>
      </tp>
      <tp t="s">
        <v>#N/A N/A</v>
        <stp/>
        <stp>BDP|9915308771225165244</stp>
        <tr r="P819" s="2"/>
      </tp>
      <tp t="s">
        <v>#N/A N/A</v>
        <stp/>
        <stp>BDP|3853927122887028551</stp>
        <tr r="N1475" s="2"/>
      </tp>
      <tp t="s">
        <v>#N/A N/A</v>
        <stp/>
        <stp>BDP|6714931996375933969</stp>
        <tr r="H806" s="2"/>
      </tp>
      <tp t="s">
        <v>#N/A N/A</v>
        <stp/>
        <stp>BDP|6681832308347040305</stp>
        <tr r="R222" s="2"/>
      </tp>
      <tp t="s">
        <v>#N/A N/A</v>
        <stp/>
        <stp>BDP|7409109849789956193</stp>
        <tr r="N980" s="2"/>
      </tp>
      <tp t="s">
        <v>#N/A N/A</v>
        <stp/>
        <stp>BDP|2763783851558514269</stp>
        <tr r="F1557" s="2"/>
      </tp>
      <tp t="s">
        <v>#N/A N/A</v>
        <stp/>
        <stp>BDP|8343965265859546486</stp>
        <tr r="O1237" s="2"/>
      </tp>
      <tp t="s">
        <v>#N/A N/A</v>
        <stp/>
        <stp>BDP|7698184740179234114</stp>
        <tr r="C1670" s="2"/>
      </tp>
      <tp t="s">
        <v>#N/A N/A</v>
        <stp/>
        <stp>BDP|6602597062836063903</stp>
        <tr r="M764" s="2"/>
      </tp>
      <tp t="s">
        <v>#N/A N/A</v>
        <stp/>
        <stp>BDP|8912121490399702319</stp>
        <tr r="A407" s="2"/>
      </tp>
      <tp t="s">
        <v>#N/A N/A</v>
        <stp/>
        <stp>BDP|4291380484771526461</stp>
        <tr r="S1435" s="2"/>
      </tp>
      <tp t="s">
        <v>#N/A N/A</v>
        <stp/>
        <stp>BDP|8984664061545619755</stp>
        <tr r="E332" s="2"/>
      </tp>
      <tp t="s">
        <v>#N/A N/A</v>
        <stp/>
        <stp>BDP|8474322079515695345</stp>
        <tr r="G1499" s="2"/>
      </tp>
      <tp t="s">
        <v>#N/A N/A</v>
        <stp/>
        <stp>BDP|8798280820846145439</stp>
        <tr r="D1409" s="2"/>
      </tp>
      <tp t="s">
        <v>#N/A N/A</v>
        <stp/>
        <stp>BDP|5309869793759938721</stp>
        <tr r="O1375" s="2"/>
      </tp>
      <tp t="s">
        <v>#N/A N/A</v>
        <stp/>
        <stp>BDP|3201155993550151189</stp>
        <tr r="A579" s="2"/>
      </tp>
      <tp t="s">
        <v>#N/A N/A</v>
        <stp/>
        <stp>BDP|9858166706545084752</stp>
        <tr r="P1138" s="2"/>
      </tp>
      <tp t="s">
        <v>#N/A N/A</v>
        <stp/>
        <stp>BDP|1868981844286091090</stp>
        <tr r="J329" s="2"/>
      </tp>
      <tp t="s">
        <v>#N/A N/A</v>
        <stp/>
        <stp>BDP|5285420526560276995</stp>
        <tr r="A316" s="2"/>
      </tp>
      <tp t="s">
        <v>#N/A N/A</v>
        <stp/>
        <stp>BDP|5734868428940583514</stp>
        <tr r="P1315" s="2"/>
      </tp>
      <tp t="s">
        <v>#N/A N/A</v>
        <stp/>
        <stp>BDP|9614593642097785574</stp>
        <tr r="S1056" s="2"/>
      </tp>
      <tp t="s">
        <v>#N/A N/A</v>
        <stp/>
        <stp>BDP|3550822413078117887</stp>
        <tr r="A1368" s="2"/>
      </tp>
      <tp t="s">
        <v>#N/A N/A</v>
        <stp/>
        <stp>BDP|1760989735334746509</stp>
        <tr r="J1542" s="2"/>
      </tp>
      <tp t="s">
        <v>#N/A N/A</v>
        <stp/>
        <stp>BDP|7064633707353817817</stp>
        <tr r="H906" s="2"/>
      </tp>
      <tp t="s">
        <v>#N/A N/A</v>
        <stp/>
        <stp>BDP|1154175485344757696</stp>
        <tr r="O721" s="2"/>
      </tp>
      <tp t="s">
        <v>#N/A N/A</v>
        <stp/>
        <stp>BDP|7621747416522074997</stp>
        <tr r="H56" s="2"/>
      </tp>
      <tp t="s">
        <v>#N/A N/A</v>
        <stp/>
        <stp>BDS|3735584088662350697</stp>
        <tr r="I733" s="2"/>
      </tp>
      <tp t="s">
        <v>#N/A N/A</v>
        <stp/>
        <stp>BDP|9745099667685000048</stp>
        <tr r="H1244" s="2"/>
      </tp>
      <tp t="s">
        <v>#N/A N/A</v>
        <stp/>
        <stp>BDP|2932822613452625335</stp>
        <tr r="D613" s="2"/>
      </tp>
      <tp t="s">
        <v>#N/A N/A</v>
        <stp/>
        <stp>BDP|1418704524467467992</stp>
        <tr r="K237" s="2"/>
      </tp>
      <tp t="s">
        <v>#N/A N/A</v>
        <stp/>
        <stp>BDP|7513107419395206830</stp>
        <tr r="N1032" s="2"/>
      </tp>
      <tp t="s">
        <v>#N/A N/A</v>
        <stp/>
        <stp>BDP|3656886570061161721</stp>
        <tr r="T932" s="2"/>
      </tp>
      <tp t="s">
        <v>#N/A N/A</v>
        <stp/>
        <stp>BDP|5803416203118576327</stp>
        <tr r="F1394" s="2"/>
      </tp>
      <tp t="s">
        <v>#N/A N/A</v>
        <stp/>
        <stp>BDP|9262337819139739824</stp>
        <tr r="J584" s="2"/>
      </tp>
      <tp t="s">
        <v>#N/A N/A</v>
        <stp/>
        <stp>BDP|1025948828944158401</stp>
        <tr r="E17" s="2"/>
      </tp>
      <tp t="s">
        <v>#N/A N/A</v>
        <stp/>
        <stp>BDP|5128751686611836171</stp>
        <tr r="K603" s="2"/>
      </tp>
      <tp t="s">
        <v>#N/A N/A</v>
        <stp/>
        <stp>BDP|4569534423298921114</stp>
        <tr r="A1185" s="2"/>
      </tp>
      <tp t="s">
        <v>#N/A N/A</v>
        <stp/>
        <stp>BDP|3963043083764322506</stp>
        <tr r="O613" s="2"/>
      </tp>
      <tp t="s">
        <v>#N/A N/A</v>
        <stp/>
        <stp>BDP|6937896836606688122</stp>
        <tr r="D1582" s="2"/>
      </tp>
      <tp t="s">
        <v>#N/A N/A</v>
        <stp/>
        <stp>BDS|1083447213347704926</stp>
        <tr r="I27" s="2"/>
      </tp>
      <tp t="s">
        <v>#N/A N/A</v>
        <stp/>
        <stp>BDP|1263811813204389614</stp>
        <tr r="E785" s="2"/>
      </tp>
      <tp t="s">
        <v>#N/A N/A</v>
        <stp/>
        <stp>BDP|5758949645383078141</stp>
        <tr r="N1237" s="2"/>
      </tp>
      <tp t="s">
        <v>#N/A N/A</v>
        <stp/>
        <stp>BDP|4503742694852139260</stp>
        <tr r="J140" s="2"/>
      </tp>
      <tp t="s">
        <v>#N/A N/A</v>
        <stp/>
        <stp>BDP|5165017096863274566</stp>
        <tr r="E1732" s="2"/>
      </tp>
      <tp t="s">
        <v>#N/A N/A</v>
        <stp/>
        <stp>BDP|4452215634916695958</stp>
        <tr r="G649" s="2"/>
      </tp>
      <tp t="s">
        <v>#N/A N/A</v>
        <stp/>
        <stp>BDP|3276941147344250018</stp>
        <tr r="F559" s="2"/>
      </tp>
      <tp t="s">
        <v>#N/A N/A</v>
        <stp/>
        <stp>BDP|6104616527759517108</stp>
        <tr r="J734" s="2"/>
      </tp>
      <tp t="s">
        <v>#N/A N/A</v>
        <stp/>
        <stp>BDP|9365896898652596057</stp>
        <tr r="H949" s="2"/>
      </tp>
      <tp t="s">
        <v>#N/A N/A</v>
        <stp/>
        <stp>BDP|9757414333842077675</stp>
        <tr r="G4" s="2"/>
      </tp>
      <tp t="s">
        <v>#N/A N/A</v>
        <stp/>
        <stp>BDP|1370552043948719206</stp>
        <tr r="C1479" s="2"/>
      </tp>
      <tp t="s">
        <v>#N/A N/A</v>
        <stp/>
        <stp>BDP|8840834827441966979</stp>
        <tr r="G591" s="2"/>
      </tp>
      <tp t="s">
        <v>#N/A N/A</v>
        <stp/>
        <stp>BDP|8571268912051256011</stp>
        <tr r="K457" s="2"/>
      </tp>
      <tp t="s">
        <v>#N/A N/A</v>
        <stp/>
        <stp>BDP|8208921282092186113</stp>
        <tr r="M548" s="2"/>
      </tp>
      <tp t="s">
        <v>#N/A N/A</v>
        <stp/>
        <stp>BDP|3191103662249221730</stp>
        <tr r="D19" s="2"/>
      </tp>
      <tp t="s">
        <v>#N/A N/A</v>
        <stp/>
        <stp>BDS|3158638263558327103</stp>
        <tr r="I1698" s="2"/>
      </tp>
      <tp t="s">
        <v>#N/A N/A</v>
        <stp/>
        <stp>BDS|2693372790682565062</stp>
        <tr r="I157" s="2"/>
      </tp>
      <tp t="s">
        <v>#N/A N/A</v>
        <stp/>
        <stp>BDP|6469454797680093140</stp>
        <tr r="R1360" s="2"/>
      </tp>
      <tp t="s">
        <v>#N/A N/A</v>
        <stp/>
        <stp>BDP|8967582743271422249</stp>
        <tr r="A467" s="2"/>
      </tp>
      <tp t="s">
        <v>#N/A N/A</v>
        <stp/>
        <stp>BDS|7985599091704110529</stp>
        <tr r="I1199" s="2"/>
      </tp>
      <tp t="s">
        <v>#N/A N/A</v>
        <stp/>
        <stp>BDP|3906359918383027865</stp>
        <tr r="R1292" s="2"/>
      </tp>
      <tp t="s">
        <v>#N/A N/A</v>
        <stp/>
        <stp>BDP|2409267774069239469</stp>
        <tr r="A351" s="2"/>
      </tp>
      <tp t="s">
        <v>#N/A N/A</v>
        <stp/>
        <stp>BDP|4908899200216049022</stp>
        <tr r="R155" s="2"/>
      </tp>
      <tp t="s">
        <v>#N/A N/A</v>
        <stp/>
        <stp>BDP|9566838485212261137</stp>
        <tr r="T432" s="2"/>
      </tp>
      <tp t="s">
        <v>#N/A N/A</v>
        <stp/>
        <stp>BDP|1377100449317081981</stp>
        <tr r="F393" s="2"/>
      </tp>
      <tp t="s">
        <v>#N/A N/A</v>
        <stp/>
        <stp>BDP|9000110725855335557</stp>
        <tr r="P579" s="2"/>
      </tp>
      <tp t="s">
        <v>#N/A N/A</v>
        <stp/>
        <stp>BDP|7375789139228568156</stp>
        <tr r="T301" s="2"/>
      </tp>
      <tp t="s">
        <v>#N/A N/A</v>
        <stp/>
        <stp>BDP|5059679125779070200</stp>
        <tr r="F1050" s="2"/>
      </tp>
      <tp t="s">
        <v>#N/A N/A</v>
        <stp/>
        <stp>BDP|6786595151665838954</stp>
        <tr r="G1135" s="2"/>
      </tp>
      <tp t="s">
        <v>#N/A N/A</v>
        <stp/>
        <stp>BDP|8349475161535402538</stp>
        <tr r="E1374" s="2"/>
      </tp>
      <tp t="s">
        <v>#N/A N/A</v>
        <stp/>
        <stp>BDP|6735438919199731086</stp>
        <tr r="G1043" s="2"/>
      </tp>
      <tp t="s">
        <v>#N/A N/A</v>
        <stp/>
        <stp>BDP|9281800783573644056</stp>
        <tr r="T1561" s="2"/>
      </tp>
      <tp t="s">
        <v>#N/A N/A</v>
        <stp/>
        <stp>BDP|3545039198744933456</stp>
        <tr r="H1448" s="2"/>
      </tp>
      <tp t="s">
        <v>#N/A N/A</v>
        <stp/>
        <stp>BDP|8340670669793693195</stp>
        <tr r="N389" s="2"/>
      </tp>
      <tp t="s">
        <v>#N/A N/A</v>
        <stp/>
        <stp>BDS|7010909585734009872</stp>
        <tr r="I609" s="2"/>
      </tp>
      <tp t="s">
        <v>#N/A N/A</v>
        <stp/>
        <stp>BDP|5076134447703507935</stp>
        <tr r="E1586" s="2"/>
      </tp>
      <tp t="s">
        <v>#N/A N/A</v>
        <stp/>
        <stp>BDP|4863877945032088089</stp>
        <tr r="K1746" s="2"/>
      </tp>
      <tp t="s">
        <v>#N/A N/A</v>
        <stp/>
        <stp>BDP|7511085061542676986</stp>
        <tr r="A860" s="2"/>
      </tp>
      <tp t="s">
        <v>#N/A N/A</v>
        <stp/>
        <stp>BDP|1212571607349545754</stp>
        <tr r="S359" s="2"/>
      </tp>
      <tp t="s">
        <v>#N/A N/A</v>
        <stp/>
        <stp>BDP|4517451497754533707</stp>
        <tr r="C892" s="2"/>
      </tp>
      <tp t="s">
        <v>#N/A N/A</v>
        <stp/>
        <stp>BDS|5957249707669183492</stp>
        <tr r="I1428" s="2"/>
      </tp>
      <tp t="s">
        <v>#N/A N/A</v>
        <stp/>
        <stp>BDP|7271575182377210773</stp>
        <tr r="F864" s="2"/>
      </tp>
      <tp t="s">
        <v>#N/A N/A</v>
        <stp/>
        <stp>BDP|4061257457540213926</stp>
        <tr r="Q338" s="2"/>
      </tp>
      <tp t="s">
        <v>#N/A N/A</v>
        <stp/>
        <stp>BDP|8753438566729086901</stp>
        <tr r="A799" s="2"/>
      </tp>
      <tp t="s">
        <v>#N/A N/A</v>
        <stp/>
        <stp>BDP|3640234895751211305</stp>
        <tr r="J1658" s="2"/>
      </tp>
      <tp t="s">
        <v>#N/A N/A</v>
        <stp/>
        <stp>BDP|3899196256808077553</stp>
        <tr r="T1486" s="2"/>
      </tp>
      <tp t="s">
        <v>#N/A N/A</v>
        <stp/>
        <stp>BDP|6450934310586242273</stp>
        <tr r="E1387" s="2"/>
      </tp>
      <tp t="s">
        <v>#N/A N/A</v>
        <stp/>
        <stp>BDP|5141736991604132504</stp>
        <tr r="C1064" s="2"/>
      </tp>
      <tp t="s">
        <v>#N/A N/A</v>
        <stp/>
        <stp>BDP|8568119616063294124</stp>
        <tr r="G210" s="2"/>
      </tp>
      <tp t="s">
        <v>#N/A N/A</v>
        <stp/>
        <stp>BDP|1214802852141526772</stp>
        <tr r="T1546" s="2"/>
      </tp>
      <tp t="s">
        <v>#N/A N/A</v>
        <stp/>
        <stp>BDP|5578153981683596569</stp>
        <tr r="Q1217" s="2"/>
      </tp>
      <tp t="s">
        <v>#N/A N/A</v>
        <stp/>
        <stp>BDP|3383834223892000116</stp>
        <tr r="S1110" s="2"/>
      </tp>
      <tp t="s">
        <v>#N/A N/A</v>
        <stp/>
        <stp>BDP|6442617188780975266</stp>
        <tr r="P1562" s="2"/>
      </tp>
      <tp t="s">
        <v>#N/A N/A</v>
        <stp/>
        <stp>BDP|6856286286465708332</stp>
        <tr r="R200" s="2"/>
      </tp>
      <tp t="s">
        <v>#N/A N/A</v>
        <stp/>
        <stp>BDP|6465063226397779915</stp>
        <tr r="M891" s="2"/>
      </tp>
      <tp t="s">
        <v>#N/A N/A</v>
        <stp/>
        <stp>BDP|9691024368067917278</stp>
        <tr r="R617" s="2"/>
      </tp>
      <tp t="s">
        <v>#N/A N/A</v>
        <stp/>
        <stp>BDP|5795621752529384562</stp>
        <tr r="G1513" s="2"/>
      </tp>
      <tp t="s">
        <v>#N/A N/A</v>
        <stp/>
        <stp>BDP|7686926525453452578</stp>
        <tr r="D219" s="2"/>
      </tp>
      <tp t="s">
        <v>#N/A N/A</v>
        <stp/>
        <stp>BDS|6860210410217381888</stp>
        <tr r="I1749" s="2"/>
      </tp>
      <tp t="s">
        <v>#N/A N/A</v>
        <stp/>
        <stp>BDP|2111463164702356827</stp>
        <tr r="C86" s="2"/>
      </tp>
      <tp t="s">
        <v>#N/A N/A</v>
        <stp/>
        <stp>BDP|8187237309275136588</stp>
        <tr r="T1391" s="2"/>
      </tp>
      <tp t="s">
        <v>#N/A N/A</v>
        <stp/>
        <stp>BDP|9773937318453850867</stp>
        <tr r="S1261" s="2"/>
      </tp>
      <tp t="s">
        <v>#N/A N/A</v>
        <stp/>
        <stp>BDP|9507742633381650662</stp>
        <tr r="H915" s="2"/>
      </tp>
      <tp t="s">
        <v>#N/A N/A</v>
        <stp/>
        <stp>BDP|5662807011827065146</stp>
        <tr r="O727" s="2"/>
      </tp>
      <tp t="s">
        <v>#N/A N/A</v>
        <stp/>
        <stp>BDS|8623659657000635112</stp>
        <tr r="I1716" s="2"/>
      </tp>
      <tp t="s">
        <v>#N/A N/A</v>
        <stp/>
        <stp>BDP|3059939605268604837</stp>
        <tr r="D394" s="2"/>
      </tp>
      <tp t="s">
        <v>#N/A N/A</v>
        <stp/>
        <stp>BDP|4030414262724319838</stp>
        <tr r="A1668" s="2"/>
      </tp>
      <tp t="s">
        <v>#N/A N/A</v>
        <stp/>
        <stp>BDP|6400908015592320616</stp>
        <tr r="G23" s="2"/>
      </tp>
      <tp t="s">
        <v>#N/A N/A</v>
        <stp/>
        <stp>BDP|6262409581540725070</stp>
        <tr r="R801" s="2"/>
      </tp>
      <tp t="s">
        <v>#N/A N/A</v>
        <stp/>
        <stp>BDP|7585055303074559950</stp>
        <tr r="N1210" s="2"/>
      </tp>
      <tp t="s">
        <v>#N/A N/A</v>
        <stp/>
        <stp>BDP|2330789005156471997</stp>
        <tr r="M235" s="2"/>
      </tp>
      <tp t="s">
        <v>#N/A N/A</v>
        <stp/>
        <stp>BDP|7244313907999246751</stp>
        <tr r="Q58" s="2"/>
      </tp>
      <tp t="s">
        <v>#N/A N/A</v>
        <stp/>
        <stp>BDP|9397842273388159467</stp>
        <tr r="M593" s="2"/>
      </tp>
      <tp t="s">
        <v>#N/A N/A</v>
        <stp/>
        <stp>BDP|4037146797030705678</stp>
        <tr r="K261" s="2"/>
      </tp>
      <tp t="s">
        <v>#N/A N/A</v>
        <stp/>
        <stp>BDP|5046910321344327009</stp>
        <tr r="O225" s="2"/>
      </tp>
      <tp t="s">
        <v>#N/A N/A</v>
        <stp/>
        <stp>BDP|6500850256820037157</stp>
        <tr r="D1065" s="2"/>
      </tp>
      <tp t="s">
        <v>#N/A N/A</v>
        <stp/>
        <stp>BDP|6392945342266476725</stp>
        <tr r="M302" s="2"/>
      </tp>
      <tp t="s">
        <v>#N/A N/A</v>
        <stp/>
        <stp>BDS|8663989996490952221</stp>
        <tr r="I502" s="2"/>
      </tp>
      <tp t="s">
        <v>#N/A N/A</v>
        <stp/>
        <stp>BDP|4470934950502789031</stp>
        <tr r="J1742" s="2"/>
      </tp>
      <tp t="s">
        <v>#N/A N/A</v>
        <stp/>
        <stp>BDP|8243519571667263732</stp>
        <tr r="G33" s="2"/>
      </tp>
      <tp t="s">
        <v>#N/A N/A</v>
        <stp/>
        <stp>BDP|1015840927915765471</stp>
        <tr r="E471" s="2"/>
      </tp>
      <tp t="s">
        <v>#N/A N/A</v>
        <stp/>
        <stp>BDP|2126548458479851165</stp>
        <tr r="A1102" s="2"/>
      </tp>
      <tp t="s">
        <v>#N/A N/A</v>
        <stp/>
        <stp>BDP|5583032527764441967</stp>
        <tr r="R203" s="2"/>
      </tp>
      <tp t="s">
        <v>#N/A N/A</v>
        <stp/>
        <stp>BDP|7491880178735011771</stp>
        <tr r="J575" s="2"/>
      </tp>
      <tp t="s">
        <v>#N/A N/A</v>
        <stp/>
        <stp>BDP|1197506716287776834</stp>
        <tr r="P1166" s="2"/>
      </tp>
      <tp t="s">
        <v>#N/A N/A</v>
        <stp/>
        <stp>BDP|4010703825523785811</stp>
        <tr r="M309" s="2"/>
      </tp>
      <tp t="s">
        <v>#N/A N/A</v>
        <stp/>
        <stp>BDP|4717214061882716832</stp>
        <tr r="T72" s="2"/>
      </tp>
      <tp t="s">
        <v>#N/A N/A</v>
        <stp/>
        <stp>BDP|8314730613526339239</stp>
        <tr r="R1629" s="2"/>
      </tp>
      <tp t="s">
        <v>#N/A N/A</v>
        <stp/>
        <stp>BDP|5655982437891972436</stp>
        <tr r="M1452" s="2"/>
      </tp>
      <tp t="s">
        <v>#N/A N/A</v>
        <stp/>
        <stp>BDP|7345304741023367927</stp>
        <tr r="D1680" s="2"/>
      </tp>
      <tp t="s">
        <v>#N/A N/A</v>
        <stp/>
        <stp>BDP|7868135327648710685</stp>
        <tr r="S199" s="2"/>
      </tp>
      <tp t="s">
        <v>#N/A N/A</v>
        <stp/>
        <stp>BDP|2013265602082109864</stp>
        <tr r="R717" s="2"/>
      </tp>
      <tp t="s">
        <v>#N/A N/A</v>
        <stp/>
        <stp>BDP|8038275582389343151</stp>
        <tr r="O16" s="2"/>
      </tp>
      <tp t="s">
        <v>#N/A N/A</v>
        <stp/>
        <stp>BDP|1062646597513267723</stp>
        <tr r="J294" s="2"/>
      </tp>
      <tp t="s">
        <v>#N/A N/A</v>
        <stp/>
        <stp>BDP|1046226096287666716</stp>
        <tr r="A1128" s="2"/>
      </tp>
      <tp t="s">
        <v>#N/A N/A</v>
        <stp/>
        <stp>BDP|2429643629235378997</stp>
        <tr r="P672" s="2"/>
      </tp>
      <tp t="s">
        <v>#N/A N/A</v>
        <stp/>
        <stp>BDS|6877089401365050928</stp>
        <tr r="I161" s="2"/>
      </tp>
      <tp t="s">
        <v>#N/A N/A</v>
        <stp/>
        <stp>BDP|8514534043127320455</stp>
        <tr r="H413" s="2"/>
      </tp>
      <tp t="s">
        <v>#N/A N/A</v>
        <stp/>
        <stp>BDP|8165609941199542969</stp>
        <tr r="H1297" s="2"/>
      </tp>
      <tp t="s">
        <v>#N/A N/A</v>
        <stp/>
        <stp>BDP|8704992655968087680</stp>
        <tr r="J1675" s="2"/>
      </tp>
      <tp t="s">
        <v>#N/A N/A</v>
        <stp/>
        <stp>BDP|7328855109307904257</stp>
        <tr r="G96" s="2"/>
      </tp>
      <tp t="s">
        <v>#N/A N/A</v>
        <stp/>
        <stp>BDP|8159511601441166635</stp>
        <tr r="A1626" s="2"/>
      </tp>
      <tp t="s">
        <v>#N/A N/A</v>
        <stp/>
        <stp>BDP|9279731042108003804</stp>
        <tr r="T1369" s="2"/>
      </tp>
      <tp t="s">
        <v>#N/A N/A</v>
        <stp/>
        <stp>BDP|1600793446181968936</stp>
        <tr r="N7" s="2"/>
      </tp>
      <tp t="s">
        <v>#N/A N/A</v>
        <stp/>
        <stp>BDP|3584518756819996083</stp>
        <tr r="N21" s="2"/>
      </tp>
      <tp t="s">
        <v>#N/A N/A</v>
        <stp/>
        <stp>BDP|1477914746560904694</stp>
        <tr r="T837" s="2"/>
      </tp>
      <tp t="s">
        <v>#N/A N/A</v>
        <stp/>
        <stp>BDP|2668580482771979464</stp>
        <tr r="Q1629" s="2"/>
      </tp>
      <tp t="s">
        <v>#N/A N/A</v>
        <stp/>
        <stp>BDP|2388731046642241979</stp>
        <tr r="M774" s="2"/>
      </tp>
      <tp t="s">
        <v>#N/A N/A</v>
        <stp/>
        <stp>BDP|4264468945217488961</stp>
        <tr r="R1693" s="2"/>
      </tp>
      <tp t="s">
        <v>#N/A N/A</v>
        <stp/>
        <stp>BDP|9713161726185039547</stp>
        <tr r="N1162" s="2"/>
      </tp>
      <tp t="s">
        <v>#N/A N/A</v>
        <stp/>
        <stp>BDP|8476774205444616133</stp>
        <tr r="K1322" s="2"/>
      </tp>
      <tp t="s">
        <v>#N/A N/A</v>
        <stp/>
        <stp>BDP|7551643365775265852</stp>
        <tr r="E607" s="2"/>
      </tp>
      <tp t="s">
        <v>#N/A N/A</v>
        <stp/>
        <stp>BDP|3802253444237219885</stp>
        <tr r="J706" s="2"/>
      </tp>
      <tp t="s">
        <v>#N/A N/A</v>
        <stp/>
        <stp>BDP|9855508920313891732</stp>
        <tr r="K1184" s="2"/>
      </tp>
      <tp t="s">
        <v>#N/A N/A</v>
        <stp/>
        <stp>BDP|1059636597753627713</stp>
        <tr r="M30" s="2"/>
      </tp>
      <tp t="s">
        <v>#N/A N/A</v>
        <stp/>
        <stp>BDP|8441904492457058554</stp>
        <tr r="N1002" s="2"/>
      </tp>
      <tp t="s">
        <v>#N/A N/A</v>
        <stp/>
        <stp>BDP|6904442251259759480</stp>
        <tr r="N963" s="2"/>
      </tp>
      <tp t="s">
        <v>#N/A N/A</v>
        <stp/>
        <stp>BDP|7210538454684596933</stp>
        <tr r="S475" s="2"/>
      </tp>
      <tp t="s">
        <v>#N/A N/A</v>
        <stp/>
        <stp>BDP|3029806690008443074</stp>
        <tr r="G1737" s="2"/>
      </tp>
      <tp t="s">
        <v>#N/A N/A</v>
        <stp/>
        <stp>BDP|4984230429537980992</stp>
        <tr r="K1166" s="2"/>
      </tp>
      <tp t="s">
        <v>#N/A N/A</v>
        <stp/>
        <stp>BDP|8814078408921047342</stp>
        <tr r="A628" s="2"/>
      </tp>
      <tp t="s">
        <v>#N/A N/A</v>
        <stp/>
        <stp>BDP|2878963936246877437</stp>
        <tr r="T1136" s="2"/>
      </tp>
      <tp t="s">
        <v>#N/A N/A</v>
        <stp/>
        <stp>BDP|8791370576817519106</stp>
        <tr r="A244" s="2"/>
      </tp>
      <tp t="s">
        <v>#N/A N/A</v>
        <stp/>
        <stp>BDP|6860891224461722728</stp>
        <tr r="N1602" s="2"/>
      </tp>
      <tp t="s">
        <v>#N/A N/A</v>
        <stp/>
        <stp>BDP|7257856571213504138</stp>
        <tr r="A1333" s="2"/>
      </tp>
      <tp t="s">
        <v>#N/A N/A</v>
        <stp/>
        <stp>BDP|4995795703248337104</stp>
        <tr r="A1056" s="2"/>
      </tp>
      <tp t="s">
        <v>#N/A N/A</v>
        <stp/>
        <stp>BDP|5081163099035919263</stp>
        <tr r="O409" s="2"/>
      </tp>
      <tp t="s">
        <v>#N/A N/A</v>
        <stp/>
        <stp>BDP|9974409186067637895</stp>
        <tr r="G218" s="2"/>
      </tp>
      <tp t="s">
        <v>#N/A N/A</v>
        <stp/>
        <stp>BDP|9177008640043953482</stp>
        <tr r="M1115" s="2"/>
      </tp>
      <tp t="s">
        <v>#N/A N/A</v>
        <stp/>
        <stp>BDP|1770824736138589862</stp>
        <tr r="A110" s="2"/>
      </tp>
      <tp t="s">
        <v>#N/A N/A</v>
        <stp/>
        <stp>BDP|9788048191228513278</stp>
        <tr r="S1441" s="2"/>
      </tp>
      <tp t="s">
        <v>#N/A N/A</v>
        <stp/>
        <stp>BDP|1538645385974077143</stp>
        <tr r="Q1305" s="2"/>
      </tp>
      <tp t="s">
        <v>#N/A N/A</v>
        <stp/>
        <stp>BDP|3605482258211484922</stp>
        <tr r="R543" s="2"/>
      </tp>
      <tp t="s">
        <v>#N/A N/A</v>
        <stp/>
        <stp>BDP|5682153781567039127</stp>
        <tr r="Q342" s="2"/>
      </tp>
      <tp t="s">
        <v>#N/A N/A</v>
        <stp/>
        <stp>BDP|6076454550945503807</stp>
        <tr r="Q306" s="2"/>
      </tp>
      <tp t="s">
        <v>#N/A N/A</v>
        <stp/>
        <stp>BDP|1980521570311921825</stp>
        <tr r="A1706" s="2"/>
      </tp>
      <tp t="s">
        <v>#N/A N/A</v>
        <stp/>
        <stp>BDP|6797972217207600314</stp>
        <tr r="E85" s="2"/>
      </tp>
      <tp t="s">
        <v>#N/A N/A</v>
        <stp/>
        <stp>BDP|5590174555548707305</stp>
        <tr r="T42" s="2"/>
      </tp>
      <tp t="s">
        <v>#N/A N/A</v>
        <stp/>
        <stp>BDP|2148224506802403815</stp>
        <tr r="P1035" s="2"/>
      </tp>
      <tp t="s">
        <v>#N/A N/A</v>
        <stp/>
        <stp>BDP|2784202506862779868</stp>
        <tr r="K1531" s="2"/>
      </tp>
      <tp t="s">
        <v>#N/A N/A</v>
        <stp/>
        <stp>BDP|4404133684996425175</stp>
        <tr r="D353" s="2"/>
      </tp>
      <tp t="s">
        <v>#N/A N/A</v>
        <stp/>
        <stp>BDP|8309631295648596503</stp>
        <tr r="P91" s="2"/>
      </tp>
      <tp t="s">
        <v>#N/A N/A</v>
        <stp/>
        <stp>BDP|8390626047292398258</stp>
        <tr r="O1084" s="2"/>
      </tp>
      <tp t="s">
        <v>#N/A N/A</v>
        <stp/>
        <stp>BDP|4566478695085254657</stp>
        <tr r="T629" s="2"/>
      </tp>
      <tp t="s">
        <v>#N/A N/A</v>
        <stp/>
        <stp>BDP|9008274428023683090</stp>
        <tr r="P1587" s="2"/>
      </tp>
      <tp t="s">
        <v>#N/A N/A</v>
        <stp/>
        <stp>BDP|3696859347060049548</stp>
        <tr r="A1552" s="2"/>
      </tp>
      <tp t="s">
        <v>#N/A N/A</v>
        <stp/>
        <stp>BDS|9325822524918452110</stp>
        <tr r="I944" s="2"/>
      </tp>
      <tp t="s">
        <v>#N/A N/A</v>
        <stp/>
        <stp>BDP|7242600830511487967</stp>
        <tr r="H1686" s="2"/>
      </tp>
      <tp t="s">
        <v>#N/A N/A</v>
        <stp/>
        <stp>BDP|1169083866718872574</stp>
        <tr r="Q461" s="2"/>
      </tp>
      <tp t="s">
        <v>#N/A N/A</v>
        <stp/>
        <stp>BDP|8664168468536181392</stp>
        <tr r="S45" s="2"/>
      </tp>
      <tp t="s">
        <v>#N/A N/A</v>
        <stp/>
        <stp>BDP|4017026610216103934</stp>
        <tr r="C749" s="2"/>
      </tp>
      <tp t="s">
        <v>#N/A N/A</v>
        <stp/>
        <stp>BDP|8032900186437723414</stp>
        <tr r="Q1268" s="2"/>
      </tp>
      <tp t="s">
        <v>#N/A N/A</v>
        <stp/>
        <stp>BDP|5370809975732616209</stp>
        <tr r="S14" s="2"/>
      </tp>
      <tp t="s">
        <v>#N/A N/A</v>
        <stp/>
        <stp>BDP|8567020244593537561</stp>
        <tr r="K982" s="2"/>
      </tp>
      <tp t="s">
        <v>#N/A N/A</v>
        <stp/>
        <stp>BDP|6729202724794510866</stp>
        <tr r="O355" s="2"/>
      </tp>
      <tp t="s">
        <v>#N/A N/A</v>
        <stp/>
        <stp>BDP|8301223161651872782</stp>
        <tr r="A1592" s="2"/>
      </tp>
      <tp t="s">
        <v>#N/A N/A</v>
        <stp/>
        <stp>BDP|6730477526359670300</stp>
        <tr r="A745" s="2"/>
      </tp>
      <tp t="s">
        <v>#N/A N/A</v>
        <stp/>
        <stp>BDP|9951340337423341095</stp>
        <tr r="Q1077" s="2"/>
      </tp>
      <tp t="s">
        <v>#N/A N/A</v>
        <stp/>
        <stp>BDP|9983370005748388887</stp>
        <tr r="K1032" s="2"/>
      </tp>
      <tp t="s">
        <v>#N/A N/A</v>
        <stp/>
        <stp>BDP|7333256049193603894</stp>
        <tr r="H572" s="2"/>
      </tp>
      <tp t="s">
        <v>#N/A N/A</v>
        <stp/>
        <stp>BDP|7532609661219121459</stp>
        <tr r="N63" s="2"/>
      </tp>
      <tp t="s">
        <v>#N/A N/A</v>
        <stp/>
        <stp>BDS|6884058089140064447</stp>
        <tr r="I258" s="2"/>
      </tp>
      <tp t="s">
        <v>#N/A N/A</v>
        <stp/>
        <stp>BDP|1229175881973787135</stp>
        <tr r="C508" s="2"/>
      </tp>
      <tp t="s">
        <v>#N/A N/A</v>
        <stp/>
        <stp>BDS|7983251791284920249</stp>
        <tr r="I519" s="2"/>
      </tp>
      <tp t="s">
        <v>#N/A N/A</v>
        <stp/>
        <stp>BDP|5449403674375622965</stp>
        <tr r="S1347" s="2"/>
      </tp>
      <tp t="s">
        <v>#N/A N/A</v>
        <stp/>
        <stp>BDP|3815780982051329711</stp>
        <tr r="C1108" s="2"/>
      </tp>
      <tp t="s">
        <v>#N/A N/A</v>
        <stp/>
        <stp>BDP|5094919531492724774</stp>
        <tr r="D872" s="2"/>
      </tp>
      <tp t="s">
        <v>#N/A N/A</v>
        <stp/>
        <stp>BDP|8191679118653678683</stp>
        <tr r="K1699" s="2"/>
      </tp>
      <tp t="s">
        <v>#N/A N/A</v>
        <stp/>
        <stp>BDS|6506717723009684019</stp>
        <tr r="I808" s="2"/>
      </tp>
      <tp t="s">
        <v>#N/A N/A</v>
        <stp/>
        <stp>BDP|6130547034343846996</stp>
        <tr r="Q927" s="2"/>
      </tp>
      <tp t="s">
        <v>#N/A N/A</v>
        <stp/>
        <stp>BDP|6065035660473367904</stp>
        <tr r="G281" s="2"/>
      </tp>
      <tp t="s">
        <v>#N/A N/A</v>
        <stp/>
        <stp>BDP|3291059962928791725</stp>
        <tr r="S365" s="2"/>
      </tp>
      <tp t="s">
        <v>#N/A N/A</v>
        <stp/>
        <stp>BDP|8587401532996270352</stp>
        <tr r="G158" s="2"/>
      </tp>
      <tp t="s">
        <v>#N/A N/A</v>
        <stp/>
        <stp>BDP|8333628869795194791</stp>
        <tr r="A720" s="2"/>
      </tp>
      <tp t="s">
        <v>#N/A N/A</v>
        <stp/>
        <stp>BDP|3895985425105292770</stp>
        <tr r="E158" s="2"/>
      </tp>
      <tp t="s">
        <v>#N/A N/A</v>
        <stp/>
        <stp>BDP|4634316517755277921</stp>
        <tr r="M1438" s="2"/>
      </tp>
      <tp t="s">
        <v>#N/A N/A</v>
        <stp/>
        <stp>BDP|4752201994062441774</stp>
        <tr r="P1646" s="2"/>
      </tp>
      <tp t="s">
        <v>#N/A N/A</v>
        <stp/>
        <stp>BDP|6103766483296701530</stp>
        <tr r="R1143" s="2"/>
      </tp>
      <tp t="s">
        <v>#N/A N/A</v>
        <stp/>
        <stp>BDP|6968533133918880210</stp>
        <tr r="Q872" s="2"/>
      </tp>
      <tp t="s">
        <v>#N/A N/A</v>
        <stp/>
        <stp>BDP|5968582325731339977</stp>
        <tr r="H45" s="2"/>
      </tp>
      <tp t="s">
        <v>#N/A N/A</v>
        <stp/>
        <stp>BDP|6708925667037430461</stp>
        <tr r="K14" s="2"/>
      </tp>
      <tp t="s">
        <v>#N/A N/A</v>
        <stp/>
        <stp>BDP|7077614577655568934</stp>
        <tr r="O1511" s="2"/>
      </tp>
      <tp t="s">
        <v>#N/A N/A</v>
        <stp/>
        <stp>BDP|2135044653795703817</stp>
        <tr r="Q861" s="2"/>
      </tp>
      <tp t="s">
        <v>#N/A N/A</v>
        <stp/>
        <stp>BDP|8535791648540522113</stp>
        <tr r="K938" s="2"/>
      </tp>
      <tp t="s">
        <v>#N/A N/A</v>
        <stp/>
        <stp>BDP|5215453471904547839</stp>
        <tr r="S1207" s="2"/>
      </tp>
      <tp t="s">
        <v>#N/A N/A</v>
        <stp/>
        <stp>BDP|8809274358636218355</stp>
        <tr r="A327" s="2"/>
      </tp>
      <tp t="s">
        <v>#N/A N/A</v>
        <stp/>
        <stp>BDS|7209098641759938039</stp>
        <tr r="I1240" s="2"/>
      </tp>
      <tp t="s">
        <v>#N/A N/A</v>
        <stp/>
        <stp>BDS|7536815476294652644</stp>
        <tr r="I12" s="2"/>
      </tp>
      <tp t="s">
        <v>#N/A N/A</v>
        <stp/>
        <stp>BDP|6047931345743100269</stp>
        <tr r="C1652" s="2"/>
      </tp>
      <tp t="s">
        <v>#N/A N/A</v>
        <stp/>
        <stp>BDP|5031978933286642336</stp>
        <tr r="C627" s="2"/>
      </tp>
      <tp t="s">
        <v>#N/A N/A</v>
        <stp/>
        <stp>BDP|9077518661053036317</stp>
        <tr r="P993" s="2"/>
      </tp>
      <tp t="s">
        <v>#N/A N/A</v>
        <stp/>
        <stp>BDP|6868012599500732569</stp>
        <tr r="T1130" s="2"/>
      </tp>
      <tp t="s">
        <v>#N/A N/A</v>
        <stp/>
        <stp>BDP|3528512609185427989</stp>
        <tr r="R862" s="2"/>
      </tp>
      <tp t="s">
        <v>#N/A N/A</v>
        <stp/>
        <stp>BDP|8883342511188972851</stp>
        <tr r="T1624" s="2"/>
      </tp>
      <tp t="s">
        <v>#N/A N/A</v>
        <stp/>
        <stp>BDP|8757904812028643228</stp>
        <tr r="H1723" s="2"/>
      </tp>
      <tp t="s">
        <v>#N/A N/A</v>
        <stp/>
        <stp>BDP|7454744606932219854</stp>
        <tr r="O1144" s="2"/>
      </tp>
      <tp t="s">
        <v>#N/A N/A</v>
        <stp/>
        <stp>BDP|8286078935828925987</stp>
        <tr r="E874" s="2"/>
      </tp>
      <tp t="s">
        <v>#N/A N/A</v>
        <stp/>
        <stp>BDP|2234899903644162487</stp>
        <tr r="H355" s="2"/>
      </tp>
      <tp t="s">
        <v>#N/A N/A</v>
        <stp/>
        <stp>BDP|5240021365261336878</stp>
        <tr r="D1255" s="2"/>
      </tp>
      <tp t="s">
        <v>#N/A N/A</v>
        <stp/>
        <stp>BDP|6344733683811740257</stp>
        <tr r="P476" s="2"/>
      </tp>
      <tp t="s">
        <v>#N/A N/A</v>
        <stp/>
        <stp>BDP|2013349216102451873</stp>
        <tr r="T1681" s="2"/>
      </tp>
      <tp t="s">
        <v>#N/A N/A</v>
        <stp/>
        <stp>BDP|3999864120392993178</stp>
        <tr r="R673" s="2"/>
      </tp>
      <tp t="s">
        <v>#N/A N/A</v>
        <stp/>
        <stp>BDP|2956704291964111287</stp>
        <tr r="M1138" s="2"/>
      </tp>
      <tp t="s">
        <v>#N/A N/A</v>
        <stp/>
        <stp>BDP|6293507435182576836</stp>
        <tr r="S251" s="2"/>
      </tp>
      <tp t="s">
        <v>#N/A N/A</v>
        <stp/>
        <stp>BDP|6517932040025429430</stp>
        <tr r="D1725" s="2"/>
      </tp>
      <tp t="s">
        <v>#N/A N/A</v>
        <stp/>
        <stp>BDP|1698787650239750088</stp>
        <tr r="T670" s="2"/>
      </tp>
      <tp t="s">
        <v>#N/A N/A</v>
        <stp/>
        <stp>BDP|9735145937845485417</stp>
        <tr r="M451" s="2"/>
      </tp>
      <tp t="s">
        <v>#N/A N/A</v>
        <stp/>
        <stp>BDP|9253374479886986140</stp>
        <tr r="T437" s="2"/>
      </tp>
      <tp t="s">
        <v>#N/A N/A</v>
        <stp/>
        <stp>BDP|8090258671162360566</stp>
        <tr r="R1218" s="2"/>
      </tp>
      <tp t="s">
        <v>#N/A N/A</v>
        <stp/>
        <stp>BDP|3301576977283231807</stp>
        <tr r="J1242" s="2"/>
      </tp>
      <tp t="s">
        <v>#N/A N/A</v>
        <stp/>
        <stp>BDP|3881792320728963498</stp>
        <tr r="J222" s="2"/>
      </tp>
      <tp t="s">
        <v>#N/A N/A</v>
        <stp/>
        <stp>BDP|2679822684850386826</stp>
        <tr r="M1166" s="2"/>
      </tp>
      <tp t="s">
        <v>#N/A N/A</v>
        <stp/>
        <stp>BDP|9788245653115572148</stp>
        <tr r="F1020" s="2"/>
      </tp>
      <tp t="s">
        <v>#N/A N/A</v>
        <stp/>
        <stp>BDP|9231509800792569468</stp>
        <tr r="T795" s="2"/>
      </tp>
      <tp t="s">
        <v>#N/A N/A</v>
        <stp/>
        <stp>BDP|2198621473901706862</stp>
        <tr r="F83" s="2"/>
      </tp>
      <tp t="s">
        <v>#N/A N/A</v>
        <stp/>
        <stp>BDP|9524178256157417018</stp>
        <tr r="P700" s="2"/>
      </tp>
      <tp t="s">
        <v>#N/A N/A</v>
        <stp/>
        <stp>BDP|1545114622429760100</stp>
        <tr r="T1565" s="2"/>
      </tp>
      <tp t="s">
        <v>#N/A N/A</v>
        <stp/>
        <stp>BDS|3591545580944268022</stp>
        <tr r="I1504" s="2"/>
      </tp>
      <tp t="s">
        <v>#N/A N/A</v>
        <stp/>
        <stp>BDS|7318726058537122891</stp>
        <tr r="I1735" s="2"/>
      </tp>
      <tp t="s">
        <v>#N/A N/A</v>
        <stp/>
        <stp>BDP|4260577417478294219</stp>
        <tr r="N978" s="2"/>
      </tp>
      <tp t="s">
        <v>#N/A N/A</v>
        <stp/>
        <stp>BDP|7826048748608381161</stp>
        <tr r="G392" s="2"/>
      </tp>
      <tp t="s">
        <v>#N/A N/A</v>
        <stp/>
        <stp>BDP|1038857577382604652</stp>
        <tr r="N1289" s="2"/>
      </tp>
      <tp t="s">
        <v>#N/A N/A</v>
        <stp/>
        <stp>BDP|3301365126490438866</stp>
        <tr r="D1742" s="2"/>
      </tp>
      <tp t="s">
        <v>#N/A N/A</v>
        <stp/>
        <stp>BDP|4300927951314386628</stp>
        <tr r="O1568" s="2"/>
      </tp>
      <tp t="s">
        <v>#N/A N/A</v>
        <stp/>
        <stp>BDP|2958594686036679311</stp>
        <tr r="S856" s="2"/>
      </tp>
      <tp t="s">
        <v>#N/A N/A</v>
        <stp/>
        <stp>BDP|9805222829585720652</stp>
        <tr r="C1415" s="2"/>
      </tp>
      <tp t="s">
        <v>#N/A N/A</v>
        <stp/>
        <stp>BDP|9509269504987423624</stp>
        <tr r="F1721" s="2"/>
      </tp>
      <tp t="s">
        <v>#N/A N/A</v>
        <stp/>
        <stp>BDP|4703956462548270932</stp>
        <tr r="R981" s="2"/>
      </tp>
      <tp t="s">
        <v>#N/A N/A</v>
        <stp/>
        <stp>BDP|4412209491116768339</stp>
        <tr r="K1443" s="2"/>
      </tp>
      <tp t="s">
        <v>#N/A N/A</v>
        <stp/>
        <stp>BDP|6234613205588377244</stp>
        <tr r="R242" s="2"/>
      </tp>
      <tp t="s">
        <v>#N/A N/A</v>
        <stp/>
        <stp>BDP|3420054185723769221</stp>
        <tr r="A959" s="2"/>
      </tp>
      <tp t="s">
        <v>#N/A N/A</v>
        <stp/>
        <stp>BDP|1303993118003382072</stp>
        <tr r="N1340" s="2"/>
      </tp>
      <tp t="s">
        <v>#N/A N/A</v>
        <stp/>
        <stp>BDP|5288776756068314566</stp>
        <tr r="M809" s="2"/>
      </tp>
      <tp t="s">
        <v>#N/A N/A</v>
        <stp/>
        <stp>BDP|9041648155710278055</stp>
        <tr r="M1151" s="2"/>
      </tp>
      <tp t="s">
        <v>#N/A N/A</v>
        <stp/>
        <stp>BDP|8246566954451090366</stp>
        <tr r="G529" s="2"/>
      </tp>
      <tp t="s">
        <v>#N/A N/A</v>
        <stp/>
        <stp>BDP|7394077774668534233</stp>
        <tr r="H1321" s="2"/>
      </tp>
      <tp t="s">
        <v>#N/A N/A</v>
        <stp/>
        <stp>BDP|6374089010188422595</stp>
        <tr r="H777" s="2"/>
      </tp>
      <tp t="s">
        <v>#N/A N/A</v>
        <stp/>
        <stp>BDP|5938009201676620984</stp>
        <tr r="G1108" s="2"/>
      </tp>
      <tp t="s">
        <v>#N/A N/A</v>
        <stp/>
        <stp>BDP|4498205153831871899</stp>
        <tr r="S1058" s="2"/>
      </tp>
      <tp t="s">
        <v>#N/A N/A</v>
        <stp/>
        <stp>BDP|9029928405132939885</stp>
        <tr r="J651" s="2"/>
      </tp>
      <tp t="s">
        <v>#N/A N/A</v>
        <stp/>
        <stp>BDP|6409929209486940304</stp>
        <tr r="F802" s="2"/>
      </tp>
      <tp t="s">
        <v>#N/A N/A</v>
        <stp/>
        <stp>BDP|6569616882025186714</stp>
        <tr r="J1108" s="2"/>
      </tp>
      <tp t="s">
        <v>#N/A N/A</v>
        <stp/>
        <stp>BDP|1406112077838143552</stp>
        <tr r="Q254" s="2"/>
      </tp>
      <tp t="s">
        <v>#N/A N/A</v>
        <stp/>
        <stp>BDP|1349024499552788091</stp>
        <tr r="C1146" s="2"/>
      </tp>
      <tp t="s">
        <v>#N/A N/A</v>
        <stp/>
        <stp>BDP|1032368581400164005</stp>
        <tr r="A129" s="2"/>
      </tp>
      <tp t="s">
        <v>#N/A N/A</v>
        <stp/>
        <stp>BDP|3954938155156083398</stp>
        <tr r="R408" s="2"/>
      </tp>
      <tp t="s">
        <v>#N/A N/A</v>
        <stp/>
        <stp>BDP|3692395793556874521</stp>
        <tr r="F23" s="2"/>
      </tp>
      <tp t="s">
        <v>#N/A N/A</v>
        <stp/>
        <stp>BDP|1270318746059297519</stp>
        <tr r="Q767" s="2"/>
      </tp>
      <tp t="s">
        <v>#N/A N/A</v>
        <stp/>
        <stp>BDP|1396857139343833311</stp>
        <tr r="R1077" s="2"/>
      </tp>
      <tp t="s">
        <v>#N/A N/A</v>
        <stp/>
        <stp>BDP|5603271109898657583</stp>
        <tr r="R1661" s="2"/>
      </tp>
      <tp t="s">
        <v>#N/A N/A</v>
        <stp/>
        <stp>BDP|6475960097378088433</stp>
        <tr r="T185" s="2"/>
      </tp>
      <tp t="s">
        <v>#N/A N/A</v>
        <stp/>
        <stp>BDP|2094579642498224118</stp>
        <tr r="R462" s="2"/>
      </tp>
      <tp t="s">
        <v>#N/A N/A</v>
        <stp/>
        <stp>BDP|6766431416261131857</stp>
        <tr r="S1491" s="2"/>
      </tp>
      <tp t="s">
        <v>#N/A N/A</v>
        <stp/>
        <stp>BDP|9378985080347482598</stp>
        <tr r="E673" s="2"/>
      </tp>
      <tp t="s">
        <v>#N/A N/A</v>
        <stp/>
        <stp>BDP|7364886462301818273</stp>
        <tr r="A1658" s="2"/>
      </tp>
      <tp t="s">
        <v>#N/A N/A</v>
        <stp/>
        <stp>BDS|2573069485426105619</stp>
        <tr r="I44" s="2"/>
      </tp>
      <tp t="s">
        <v>#N/A N/A</v>
        <stp/>
        <stp>BDP|8728235133030048313</stp>
        <tr r="G1621" s="2"/>
      </tp>
      <tp t="s">
        <v>#N/A N/A</v>
        <stp/>
        <stp>BDP|7217599608211193943</stp>
        <tr r="F158" s="2"/>
      </tp>
      <tp t="s">
        <v>#N/A N/A</v>
        <stp/>
        <stp>BDP|5465914539363398698</stp>
        <tr r="S125" s="2"/>
      </tp>
      <tp t="s">
        <v>#N/A N/A</v>
        <stp/>
        <stp>BDP|3337871551387310300</stp>
        <tr r="H605" s="2"/>
      </tp>
      <tp t="s">
        <v>#N/A N/A</v>
        <stp/>
        <stp>BDP|4512666134182527947</stp>
        <tr r="D988" s="2"/>
      </tp>
      <tp t="s">
        <v>#N/A N/A</v>
        <stp/>
        <stp>BDP|1543433352662701853</stp>
        <tr r="A145" s="2"/>
      </tp>
      <tp t="s">
        <v>#N/A N/A</v>
        <stp/>
        <stp>BDP|6245659713812277907</stp>
        <tr r="D1447" s="2"/>
      </tp>
      <tp t="s">
        <v>#N/A N/A</v>
        <stp/>
        <stp>BDP|2400250024610374804</stp>
        <tr r="A562" s="2"/>
      </tp>
      <tp t="s">
        <v>#N/A N/A</v>
        <stp/>
        <stp>BDP|3177358244107780913</stp>
        <tr r="R1041" s="2"/>
      </tp>
      <tp t="s">
        <v>#N/A N/A</v>
        <stp/>
        <stp>BDP|9998289722681364265</stp>
        <tr r="S269" s="2"/>
      </tp>
      <tp t="s">
        <v>#N/A N/A</v>
        <stp/>
        <stp>BDP|9720656908070513590</stp>
        <tr r="A213" s="2"/>
      </tp>
      <tp t="s">
        <v>#N/A N/A</v>
        <stp/>
        <stp>BDS|5262881358330017242</stp>
        <tr r="I1325" s="2"/>
      </tp>
      <tp t="s">
        <v>#N/A N/A</v>
        <stp/>
        <stp>BDP|2376835155301316404</stp>
        <tr r="R832" s="2"/>
      </tp>
      <tp t="s">
        <v>#N/A N/A</v>
        <stp/>
        <stp>BDP|3455361778505443881</stp>
        <tr r="O1652" s="2"/>
      </tp>
      <tp t="s">
        <v>#N/A N/A</v>
        <stp/>
        <stp>BDP|8555472355936324528</stp>
        <tr r="Q948" s="2"/>
      </tp>
      <tp t="s">
        <v>#N/A N/A</v>
        <stp/>
        <stp>BDP|7207924620741151771</stp>
        <tr r="Q534" s="2"/>
      </tp>
      <tp t="s">
        <v>#N/A N/A</v>
        <stp/>
        <stp>BDP|8651024887912399866</stp>
        <tr r="O749" s="2"/>
      </tp>
      <tp t="s">
        <v>#N/A N/A</v>
        <stp/>
        <stp>BDP|2558567685672076704</stp>
        <tr r="N1520" s="2"/>
      </tp>
      <tp t="s">
        <v>#N/A N/A</v>
        <stp/>
        <stp>BDP|8300432725612079634</stp>
        <tr r="C1524" s="2"/>
      </tp>
      <tp t="s">
        <v>#N/A N/A</v>
        <stp/>
        <stp>BDP|7003124524578173610</stp>
        <tr r="D1652" s="2"/>
      </tp>
      <tp t="s">
        <v>#N/A N/A</v>
        <stp/>
        <stp>BDP|9641113631485203425</stp>
        <tr r="R61" s="2"/>
      </tp>
      <tp t="s">
        <v>#N/A N/A</v>
        <stp/>
        <stp>BDP|3341871278767348190</stp>
        <tr r="A1150" s="2"/>
      </tp>
      <tp t="s">
        <v>#N/A N/A</v>
        <stp/>
        <stp>BDP|1618895312636262492</stp>
        <tr r="Q452" s="2"/>
      </tp>
      <tp t="s">
        <v>#N/A N/A</v>
        <stp/>
        <stp>BDP|9857682202185780027</stp>
        <tr r="P598" s="2"/>
      </tp>
      <tp t="s">
        <v>#N/A N/A</v>
        <stp/>
        <stp>BDP|4632188570270028892</stp>
        <tr r="O167" s="2"/>
      </tp>
      <tp t="s">
        <v>#N/A N/A</v>
        <stp/>
        <stp>BDP|7666340919607815848</stp>
        <tr r="G1663" s="2"/>
      </tp>
      <tp t="s">
        <v>#N/A N/A</v>
        <stp/>
        <stp>BDP|3200496513815610997</stp>
        <tr r="O1137" s="2"/>
      </tp>
      <tp t="s">
        <v>#N/A N/A</v>
        <stp/>
        <stp>BDS|6365508199526542684</stp>
        <tr r="I154" s="2"/>
      </tp>
      <tp t="s">
        <v>#N/A N/A</v>
        <stp/>
        <stp>BDP|7743783095853963041</stp>
        <tr r="K744" s="2"/>
      </tp>
      <tp t="s">
        <v>#N/A N/A</v>
        <stp/>
        <stp>BDP|7430170283753185764</stp>
        <tr r="C1199" s="2"/>
      </tp>
      <tp t="s">
        <v>#N/A N/A</v>
        <stp/>
        <stp>BDP|9266805601113123858</stp>
        <tr r="H362" s="2"/>
      </tp>
      <tp t="s">
        <v>#N/A N/A</v>
        <stp/>
        <stp>BDP|3210866530534635659</stp>
        <tr r="H237" s="2"/>
      </tp>
      <tp t="s">
        <v>#N/A N/A</v>
        <stp/>
        <stp>BDP|8870963125879465082</stp>
        <tr r="A1713" s="2"/>
      </tp>
      <tp t="s">
        <v>#N/A N/A</v>
        <stp/>
        <stp>BDP|7750930478284861739</stp>
        <tr r="S1385" s="2"/>
      </tp>
      <tp t="s">
        <v>#N/A N/A</v>
        <stp/>
        <stp>BDP|3317925911996508725</stp>
        <tr r="H1001" s="2"/>
      </tp>
      <tp t="s">
        <v>#N/A N/A</v>
        <stp/>
        <stp>BDP|9569921189301878318</stp>
        <tr r="Q792" s="2"/>
      </tp>
      <tp t="s">
        <v>#N/A N/A</v>
        <stp/>
        <stp>BDP|3493855700141452023</stp>
        <tr r="P372" s="2"/>
      </tp>
      <tp t="s">
        <v>#N/A N/A</v>
        <stp/>
        <stp>BDP|5308838830967025378</stp>
        <tr r="O1112" s="2"/>
      </tp>
      <tp t="s">
        <v>#N/A N/A</v>
        <stp/>
        <stp>BDP|3660303690590085313</stp>
        <tr r="R915" s="2"/>
      </tp>
      <tp t="s">
        <v>#N/A N/A</v>
        <stp/>
        <stp>BDP|8744443377947125626</stp>
        <tr r="J108" s="2"/>
      </tp>
      <tp t="s">
        <v>#N/A N/A</v>
        <stp/>
        <stp>BDS|3657994169922533442</stp>
        <tr r="I30" s="2"/>
      </tp>
      <tp t="s">
        <v>#N/A N/A</v>
        <stp/>
        <stp>BDP|6438778899533952141</stp>
        <tr r="E470" s="2"/>
      </tp>
      <tp t="s">
        <v>#N/A N/A</v>
        <stp/>
        <stp>BDP|1311756223728332619</stp>
        <tr r="K1504" s="2"/>
      </tp>
      <tp t="s">
        <v>#N/A N/A</v>
        <stp/>
        <stp>BDP|7432958030373726410</stp>
        <tr r="G1415" s="2"/>
      </tp>
      <tp t="s">
        <v>#N/A N/A</v>
        <stp/>
        <stp>BDP|1433379694419528856</stp>
        <tr r="C1439" s="2"/>
      </tp>
      <tp t="s">
        <v>#N/A N/A</v>
        <stp/>
        <stp>BDP|2501863526527459569</stp>
        <tr r="Q1042" s="2"/>
      </tp>
      <tp t="s">
        <v>#N/A N/A</v>
        <stp/>
        <stp>BDP|3471608064871420838</stp>
        <tr r="Q763" s="2"/>
      </tp>
      <tp t="s">
        <v>#N/A N/A</v>
        <stp/>
        <stp>BDP|6813751742049191694</stp>
        <tr r="J17" s="2"/>
      </tp>
      <tp t="s">
        <v>#N/A N/A</v>
        <stp/>
        <stp>BDP|9715357740144589002</stp>
        <tr r="D389" s="2"/>
      </tp>
      <tp t="s">
        <v>#N/A N/A</v>
        <stp/>
        <stp>BDP|4621837471168695951</stp>
        <tr r="M165" s="2"/>
      </tp>
      <tp t="s">
        <v>#N/A N/A</v>
        <stp/>
        <stp>BDS|8324698519545102050</stp>
        <tr r="I1191" s="2"/>
      </tp>
      <tp t="s">
        <v>#N/A N/A</v>
        <stp/>
        <stp>BDP|9700938088500222293</stp>
        <tr r="E567" s="2"/>
      </tp>
      <tp t="s">
        <v>#N/A N/A</v>
        <stp/>
        <stp>BDP|5171745295322086376</stp>
        <tr r="T639" s="2"/>
      </tp>
      <tp t="s">
        <v>#N/A N/A</v>
        <stp/>
        <stp>BDP|3182313366658915483</stp>
        <tr r="C907" s="2"/>
      </tp>
      <tp t="s">
        <v>#N/A N/A</v>
        <stp/>
        <stp>BDP|3886436128698060741</stp>
        <tr r="H20" s="2"/>
      </tp>
      <tp t="s">
        <v>#N/A N/A</v>
        <stp/>
        <stp>BDP|8272268951034368117</stp>
        <tr r="A863" s="2"/>
      </tp>
      <tp t="s">
        <v>#N/A N/A</v>
        <stp/>
        <stp>BDP|1658266746785457850</stp>
        <tr r="N182" s="2"/>
      </tp>
      <tp t="s">
        <v>#N/A N/A</v>
        <stp/>
        <stp>BDP|7454518286838765832</stp>
        <tr r="T345" s="2"/>
      </tp>
      <tp t="s">
        <v>#N/A N/A</v>
        <stp/>
        <stp>BDP|3775129316818506117</stp>
        <tr r="Q1321" s="2"/>
      </tp>
      <tp t="s">
        <v>#N/A N/A</v>
        <stp/>
        <stp>BDP|1335620116395515950</stp>
        <tr r="D640" s="2"/>
      </tp>
      <tp t="s">
        <v>#N/A N/A</v>
        <stp/>
        <stp>BDP|4558713206721432813</stp>
        <tr r="M1436" s="2"/>
      </tp>
      <tp t="s">
        <v>#N/A N/A</v>
        <stp/>
        <stp>BDP|3511800046267502213</stp>
        <tr r="E1524" s="2"/>
      </tp>
      <tp t="s">
        <v>#N/A N/A</v>
        <stp/>
        <stp>BDP|4515401749728836634</stp>
        <tr r="N122" s="2"/>
      </tp>
      <tp t="s">
        <v>#N/A N/A</v>
        <stp/>
        <stp>BDP|6606837442266105615</stp>
        <tr r="D382" s="2"/>
      </tp>
      <tp t="s">
        <v>#N/A N/A</v>
        <stp/>
        <stp>BDP|6608171397722815697</stp>
        <tr r="S1703" s="2"/>
      </tp>
      <tp t="s">
        <v>#N/A N/A</v>
        <stp/>
        <stp>BDP|7810295790735208343</stp>
        <tr r="R1088" s="2"/>
      </tp>
      <tp t="s">
        <v>#N/A N/A</v>
        <stp/>
        <stp>BDP|4411707182458141905</stp>
        <tr r="O574" s="2"/>
      </tp>
      <tp t="s">
        <v>#N/A N/A</v>
        <stp/>
        <stp>BDP|9376162306541567315</stp>
        <tr r="F46" s="2"/>
      </tp>
      <tp t="s">
        <v>#N/A N/A</v>
        <stp/>
        <stp>BDP|6456955282148470505</stp>
        <tr r="Q1646" s="2"/>
      </tp>
      <tp t="s">
        <v>#N/A N/A</v>
        <stp/>
        <stp>BDP|7754031015334337857</stp>
        <tr r="A509" s="2"/>
      </tp>
      <tp t="s">
        <v>#N/A N/A</v>
        <stp/>
        <stp>BDP|5172573195055567611</stp>
        <tr r="R1393" s="2"/>
      </tp>
      <tp t="s">
        <v>#N/A N/A</v>
        <stp/>
        <stp>BDP|9174369259271886416</stp>
        <tr r="N275" s="2"/>
      </tp>
      <tp t="s">
        <v>#N/A N/A</v>
        <stp/>
        <stp>BDP|8302727776533504150</stp>
        <tr r="C99" s="2"/>
      </tp>
      <tp t="s">
        <v>#N/A N/A</v>
        <stp/>
        <stp>BDP|6284363235085612908</stp>
        <tr r="A412" s="2"/>
      </tp>
      <tp t="s">
        <v>#N/A N/A</v>
        <stp/>
        <stp>BDP|1496881877223805748</stp>
        <tr r="H241" s="2"/>
      </tp>
      <tp t="s">
        <v>#N/A N/A</v>
        <stp/>
        <stp>BDP|3305902098720560996</stp>
        <tr r="A1203" s="2"/>
      </tp>
      <tp t="s">
        <v>#N/A N/A</v>
        <stp/>
        <stp>BDP|2942871578990113708</stp>
        <tr r="R689" s="2"/>
      </tp>
      <tp t="s">
        <v>#N/A N/A</v>
        <stp/>
        <stp>BDP|4363948576096384653</stp>
        <tr r="G891" s="2"/>
      </tp>
      <tp t="s">
        <v>#N/A N/A</v>
        <stp/>
        <stp>BDP|3672989028942102003</stp>
        <tr r="M424" s="2"/>
      </tp>
      <tp t="s">
        <v>#N/A N/A</v>
        <stp/>
        <stp>BDP|5284950674271383076</stp>
        <tr r="Q468" s="2"/>
      </tp>
      <tp t="s">
        <v>#N/A N/A</v>
        <stp/>
        <stp>BDP|6685495939292095912</stp>
        <tr r="N1145" s="2"/>
      </tp>
      <tp t="s">
        <v>#N/A N/A</v>
        <stp/>
        <stp>BDP|7543694063434920912</stp>
        <tr r="Q1006" s="2"/>
      </tp>
      <tp t="s">
        <v>#N/A N/A</v>
        <stp/>
        <stp>BDP|3725968906433530359</stp>
        <tr r="N1263" s="2"/>
      </tp>
      <tp t="s">
        <v>#N/A N/A</v>
        <stp/>
        <stp>BDP|9510655372356502400</stp>
        <tr r="C121" s="2"/>
      </tp>
      <tp t="s">
        <v>#N/A N/A</v>
        <stp/>
        <stp>BDP|9556923286255470724</stp>
        <tr r="A283" s="2"/>
      </tp>
      <tp t="s">
        <v>#N/A N/A</v>
        <stp/>
        <stp>BDP|5483840113916610027</stp>
        <tr r="P1345" s="2"/>
      </tp>
      <tp t="s">
        <v>#N/A N/A</v>
        <stp/>
        <stp>BDP|3238571794391719417</stp>
        <tr r="S404" s="2"/>
      </tp>
      <tp t="s">
        <v>#N/A N/A</v>
        <stp/>
        <stp>BDP|9441045949671917671</stp>
        <tr r="C982" s="2"/>
      </tp>
      <tp t="s">
        <v>#N/A N/A</v>
        <stp/>
        <stp>BDP|2129831891411314870</stp>
        <tr r="F39" s="2"/>
      </tp>
      <tp t="s">
        <v>#N/A N/A</v>
        <stp/>
        <stp>BDP|7524612818472229890</stp>
        <tr r="T1564" s="2"/>
      </tp>
      <tp t="s">
        <v>#N/A N/A</v>
        <stp/>
        <stp>BDP|9468459456867273526</stp>
        <tr r="E1099" s="2"/>
      </tp>
      <tp t="s">
        <v>#N/A N/A</v>
        <stp/>
        <stp>BDS|1418416519239205790</stp>
        <tr r="I1036" s="2"/>
      </tp>
      <tp t="s">
        <v>#N/A N/A</v>
        <stp/>
        <stp>BDP|4283773280949485853</stp>
        <tr r="M963" s="2"/>
      </tp>
      <tp t="s">
        <v>#N/A N/A</v>
        <stp/>
        <stp>BDP|8052313526623586061</stp>
        <tr r="O913" s="2"/>
      </tp>
      <tp t="s">
        <v>#N/A N/A</v>
        <stp/>
        <stp>BDP|9270680699878572421</stp>
        <tr r="G1575" s="2"/>
      </tp>
      <tp t="s">
        <v>#N/A N/A</v>
        <stp/>
        <stp>BDP|5386485720581637892</stp>
        <tr r="M1336" s="2"/>
      </tp>
      <tp t="s">
        <v>#N/A N/A</v>
        <stp/>
        <stp>BDP|2027329411563607916</stp>
        <tr r="M1144" s="2"/>
      </tp>
      <tp t="s">
        <v>#N/A N/A</v>
        <stp/>
        <stp>BDP|6788120757360475824</stp>
        <tr r="C756" s="2"/>
      </tp>
      <tp t="s">
        <v>#N/A N/A</v>
        <stp/>
        <stp>BDP|5470554896913016033</stp>
        <tr r="M1234" s="2"/>
      </tp>
      <tp t="s">
        <v>#N/A N/A</v>
        <stp/>
        <stp>BDP|7398519903379180140</stp>
        <tr r="E110" s="2"/>
      </tp>
      <tp t="s">
        <v>#N/A N/A</v>
        <stp/>
        <stp>BDP|9372258714071654101</stp>
        <tr r="K213" s="2"/>
      </tp>
      <tp t="s">
        <v>#N/A N/A</v>
        <stp/>
        <stp>BDP|6749479745555828991</stp>
        <tr r="F1040" s="2"/>
      </tp>
      <tp t="s">
        <v>#N/A N/A</v>
        <stp/>
        <stp>BDP|3305280799415198776</stp>
        <tr r="A174" s="2"/>
      </tp>
      <tp t="s">
        <v>#N/A N/A</v>
        <stp/>
        <stp>BDP|4660933956873604117</stp>
        <tr r="C598" s="2"/>
      </tp>
      <tp t="s">
        <v>#N/A N/A</v>
        <stp/>
        <stp>BDP|3537027374869742705</stp>
        <tr r="H332" s="2"/>
      </tp>
      <tp t="s">
        <v>#N/A N/A</v>
        <stp/>
        <stp>BDP|3759175924899269323</stp>
        <tr r="T1397" s="2"/>
      </tp>
      <tp t="s">
        <v>#N/A N/A</v>
        <stp/>
        <stp>BDP|1051244773998611654</stp>
        <tr r="C3" s="2"/>
      </tp>
      <tp t="s">
        <v>#N/A N/A</v>
        <stp/>
        <stp>BDP|1422929137285545400</stp>
        <tr r="H1415" s="2"/>
      </tp>
      <tp t="s">
        <v>#N/A N/A</v>
        <stp/>
        <stp>BDP|9691075105382022100</stp>
        <tr r="E851" s="2"/>
      </tp>
      <tp t="s">
        <v>#N/A N/A</v>
        <stp/>
        <stp>BDS|2312302597531283321</stp>
        <tr r="I296" s="2"/>
      </tp>
      <tp t="s">
        <v>#N/A N/A</v>
        <stp/>
        <stp>BDP|9100424664683482276</stp>
        <tr r="C257" s="2"/>
      </tp>
      <tp t="s">
        <v>#N/A N/A</v>
        <stp/>
        <stp>BDP|9494181188589533352</stp>
        <tr r="F1128" s="2"/>
      </tp>
      <tp t="s">
        <v>#N/A N/A</v>
        <stp/>
        <stp>BDP|7243310907708975698</stp>
        <tr r="R254" s="2"/>
      </tp>
      <tp t="s">
        <v>#N/A N/A</v>
        <stp/>
        <stp>BDP|4766541493714584617</stp>
        <tr r="T1498" s="2"/>
      </tp>
      <tp t="s">
        <v>#N/A N/A</v>
        <stp/>
        <stp>BDP|9665211442877849295</stp>
        <tr r="E475" s="2"/>
      </tp>
      <tp t="s">
        <v>#N/A N/A</v>
        <stp/>
        <stp>BDP|9585494321410080591</stp>
        <tr r="H1205" s="2"/>
      </tp>
      <tp t="s">
        <v>#N/A N/A</v>
        <stp/>
        <stp>BDP|2859400192492603780</stp>
        <tr r="T59" s="2"/>
      </tp>
      <tp t="s">
        <v>#N/A N/A</v>
        <stp/>
        <stp>BDP|5018141182544531277</stp>
        <tr r="P1652" s="2"/>
      </tp>
      <tp t="s">
        <v>#N/A N/A</v>
        <stp/>
        <stp>BDP|5097612769799997654</stp>
        <tr r="F174" s="2"/>
      </tp>
      <tp t="s">
        <v>#N/A N/A</v>
        <stp/>
        <stp>BDP|9013554169082022286</stp>
        <tr r="N1444" s="2"/>
      </tp>
      <tp t="s">
        <v>#N/A N/A</v>
        <stp/>
        <stp>BDP|6470472308529798188</stp>
        <tr r="F1161" s="2"/>
      </tp>
      <tp t="s">
        <v>#N/A N/A</v>
        <stp/>
        <stp>BDP|5588514889932928006</stp>
        <tr r="R920" s="2"/>
      </tp>
      <tp t="s">
        <v>#N/A N/A</v>
        <stp/>
        <stp>BDP|5900105308669241777</stp>
        <tr r="N763" s="2"/>
      </tp>
      <tp t="s">
        <v>#N/A N/A</v>
        <stp/>
        <stp>BDP|7303923584748834497</stp>
        <tr r="J1487" s="2"/>
      </tp>
      <tp t="s">
        <v>#N/A N/A</v>
        <stp/>
        <stp>BDP|9443130276022075753</stp>
        <tr r="P200" s="2"/>
      </tp>
      <tp t="s">
        <v>#N/A N/A</v>
        <stp/>
        <stp>BDP|6740467005209163117</stp>
        <tr r="E27" s="2"/>
      </tp>
      <tp t="s">
        <v>#N/A N/A</v>
        <stp/>
        <stp>BDP|6640930345682107352</stp>
        <tr r="C1198" s="2"/>
      </tp>
      <tp t="s">
        <v>#N/A N/A</v>
        <stp/>
        <stp>BDS|2834546258580711872</stp>
        <tr r="I1739" s="2"/>
      </tp>
      <tp t="s">
        <v>#N/A N/A</v>
        <stp/>
        <stp>BDP|5842030207266863902</stp>
        <tr r="K820" s="2"/>
      </tp>
      <tp t="s">
        <v>#N/A N/A</v>
        <stp/>
        <stp>BDP|7052540284146151653</stp>
        <tr r="D1550" s="2"/>
      </tp>
      <tp t="s">
        <v>#N/A N/A</v>
        <stp/>
        <stp>BDP|4302055722774070807</stp>
        <tr r="M278" s="2"/>
      </tp>
      <tp t="s">
        <v>#N/A N/A</v>
        <stp/>
        <stp>BDP|6561960535185471362</stp>
        <tr r="O1208" s="2"/>
      </tp>
      <tp t="s">
        <v>#N/A N/A</v>
        <stp/>
        <stp>BDS|1257297861468951772</stp>
        <tr r="I783" s="2"/>
      </tp>
      <tp t="s">
        <v>#N/A N/A</v>
        <stp/>
        <stp>BDP|9551491312531342790</stp>
        <tr r="P1339" s="2"/>
      </tp>
      <tp t="s">
        <v>#N/A N/A</v>
        <stp/>
        <stp>BDP|1539269351855626905</stp>
        <tr r="H318" s="2"/>
      </tp>
      <tp t="s">
        <v>#N/A N/A</v>
        <stp/>
        <stp>BDP|7812669713292875818</stp>
        <tr r="C913" s="2"/>
      </tp>
      <tp t="s">
        <v>#N/A N/A</v>
        <stp/>
        <stp>BDP|4767603183652816286</stp>
        <tr r="T1005" s="2"/>
      </tp>
      <tp t="s">
        <v>#N/A N/A</v>
        <stp/>
        <stp>BDP|6234858427356193055</stp>
        <tr r="D1653" s="2"/>
      </tp>
      <tp t="s">
        <v>#N/A N/A</v>
        <stp/>
        <stp>BDP|1737818266497286263</stp>
        <tr r="Q1609" s="2"/>
      </tp>
      <tp t="s">
        <v>#N/A N/A</v>
        <stp/>
        <stp>BDP|4424646140499636527</stp>
        <tr r="G1628" s="2"/>
      </tp>
      <tp t="s">
        <v>#N/A N/A</v>
        <stp/>
        <stp>BDP|7257656788325246693</stp>
        <tr r="E92" s="2"/>
      </tp>
      <tp t="s">
        <v>#N/A N/A</v>
        <stp/>
        <stp>BDP|7247808174266585471</stp>
        <tr r="D582" s="2"/>
      </tp>
      <tp t="s">
        <v>#N/A N/A</v>
        <stp/>
        <stp>BDP|8516569872888426815</stp>
        <tr r="H1309" s="2"/>
      </tp>
      <tp t="s">
        <v>#N/A N/A</v>
        <stp/>
        <stp>BDP|6002170565499141277</stp>
        <tr r="R654" s="2"/>
      </tp>
      <tp t="s">
        <v>#N/A N/A</v>
        <stp/>
        <stp>BDP|6494499291411108093</stp>
        <tr r="M1526" s="2"/>
      </tp>
      <tp t="s">
        <v>#N/A N/A</v>
        <stp/>
        <stp>BDS|7129608655206287824</stp>
        <tr r="I1236" s="2"/>
      </tp>
      <tp t="s">
        <v>#N/A N/A</v>
        <stp/>
        <stp>BDP|4949347295091969552</stp>
        <tr r="P114" s="2"/>
      </tp>
      <tp t="s">
        <v>#N/A N/A</v>
        <stp/>
        <stp>BDP|9613280138832297006</stp>
        <tr r="N992" s="2"/>
      </tp>
      <tp t="s">
        <v>#N/A N/A</v>
        <stp/>
        <stp>BDP|7415112323109401764</stp>
        <tr r="E1350" s="2"/>
      </tp>
      <tp t="s">
        <v>#N/A N/A</v>
        <stp/>
        <stp>BDP|5115804376018057836</stp>
        <tr r="S1404" s="2"/>
      </tp>
      <tp t="s">
        <v>#N/A N/A</v>
        <stp/>
        <stp>BDP|2690553007848620579</stp>
        <tr r="G75" s="2"/>
      </tp>
      <tp t="s">
        <v>#N/A N/A</v>
        <stp/>
        <stp>BDS|6887416045579912500</stp>
        <tr r="I1266" s="2"/>
      </tp>
      <tp t="s">
        <v>#N/A N/A</v>
        <stp/>
        <stp>BDP|5578387969072205839</stp>
        <tr r="E284" s="2"/>
      </tp>
      <tp t="s">
        <v>#N/A N/A</v>
        <stp/>
        <stp>BDP|2408073686541066109</stp>
        <tr r="G1385" s="2"/>
      </tp>
      <tp t="s">
        <v>#N/A N/A</v>
        <stp/>
        <stp>BDP|3605556964499499362</stp>
        <tr r="P1059" s="2"/>
      </tp>
      <tp t="s">
        <v>#N/A N/A</v>
        <stp/>
        <stp>BDP|7540486657378917468</stp>
        <tr r="F759" s="2"/>
      </tp>
      <tp t="s">
        <v>#N/A N/A</v>
        <stp/>
        <stp>BDP|5121954043191569379</stp>
        <tr r="D953" s="2"/>
      </tp>
      <tp t="s">
        <v>#N/A N/A</v>
        <stp/>
        <stp>BDP|2617675407696228818</stp>
        <tr r="A1755" s="2"/>
      </tp>
      <tp t="s">
        <v>#N/A N/A</v>
        <stp/>
        <stp>BDP|5639701682895114503</stp>
        <tr r="O19" s="2"/>
      </tp>
      <tp t="s">
        <v>#N/A N/A</v>
        <stp/>
        <stp>BDP|6985256791670045787</stp>
        <tr r="G188" s="2"/>
      </tp>
      <tp t="s">
        <v>#N/A N/A</v>
        <stp/>
        <stp>BDP|9096440072016616653</stp>
        <tr r="C1123" s="2"/>
      </tp>
      <tp t="s">
        <v>#N/A N/A</v>
        <stp/>
        <stp>BDP|7064006282972113763</stp>
        <tr r="K1555" s="2"/>
      </tp>
      <tp t="s">
        <v>#N/A N/A</v>
        <stp/>
        <stp>BDP|3147618977541179935</stp>
        <tr r="H676" s="2"/>
      </tp>
      <tp t="s">
        <v>#N/A N/A</v>
        <stp/>
        <stp>BDP|9074971870468496560</stp>
        <tr r="A880" s="2"/>
      </tp>
      <tp t="s">
        <v>#N/A N/A</v>
        <stp/>
        <stp>BDP|2450922710045582565</stp>
        <tr r="K943" s="2"/>
      </tp>
      <tp t="s">
        <v>#N/A N/A</v>
        <stp/>
        <stp>BDS|9112577066274644439</stp>
        <tr r="I1214" s="2"/>
      </tp>
      <tp t="s">
        <v>#N/A N/A</v>
        <stp/>
        <stp>BDP|9332238114114600470</stp>
        <tr r="D1432" s="2"/>
      </tp>
      <tp t="s">
        <v>#N/A N/A</v>
        <stp/>
        <stp>BDP|5496612873956797841</stp>
        <tr r="H937" s="2"/>
      </tp>
      <tp t="s">
        <v>#N/A N/A</v>
        <stp/>
        <stp>BDS|6945989346372239304</stp>
        <tr r="I1697" s="2"/>
      </tp>
      <tp t="s">
        <v>#N/A N/A</v>
        <stp/>
        <stp>BDP|9847676207924823154</stp>
        <tr r="D1141" s="2"/>
      </tp>
      <tp t="s">
        <v>#N/A N/A</v>
        <stp/>
        <stp>BDP|1101854873882713650</stp>
        <tr r="Q708" s="2"/>
      </tp>
      <tp t="s">
        <v>#N/A N/A</v>
        <stp/>
        <stp>BDP|3897605554243908903</stp>
        <tr r="Q1154" s="2"/>
      </tp>
      <tp t="s">
        <v>#N/A N/A</v>
        <stp/>
        <stp>BDP|3153139345794351813</stp>
        <tr r="H769" s="2"/>
      </tp>
      <tp t="s">
        <v>#N/A N/A</v>
        <stp/>
        <stp>BDP|4425038890031206607</stp>
        <tr r="E213" s="2"/>
      </tp>
      <tp t="s">
        <v>#N/A N/A</v>
        <stp/>
        <stp>BDP|7268618996113534150</stp>
        <tr r="Q1649" s="2"/>
      </tp>
      <tp t="s">
        <v>#N/A N/A</v>
        <stp/>
        <stp>BDP|8416749354551995188</stp>
        <tr r="F1049" s="2"/>
      </tp>
      <tp t="s">
        <v>#N/A N/A</v>
        <stp/>
        <stp>BDP|9771012325645180477</stp>
        <tr r="C265" s="2"/>
      </tp>
      <tp t="s">
        <v>#N/A N/A</v>
        <stp/>
        <stp>BDS|9693616003633013617</stp>
        <tr r="I988" s="2"/>
      </tp>
      <tp t="s">
        <v>#N/A N/A</v>
        <stp/>
        <stp>BDP|9620702996255664838</stp>
        <tr r="E573" s="2"/>
      </tp>
      <tp t="s">
        <v>#N/A N/A</v>
        <stp/>
        <stp>BDP|9590343693108050170</stp>
        <tr r="Q1304" s="2"/>
      </tp>
      <tp t="s">
        <v>#N/A N/A</v>
        <stp/>
        <stp>BDP|6706375452852147867</stp>
        <tr r="H610" s="2"/>
      </tp>
      <tp t="s">
        <v>#N/A N/A</v>
        <stp/>
        <stp>BDP|8565234490008343108</stp>
        <tr r="G576" s="2"/>
      </tp>
      <tp t="s">
        <v>#N/A N/A</v>
        <stp/>
        <stp>BDP|5701897128592692755</stp>
        <tr r="A1704" s="2"/>
      </tp>
      <tp t="s">
        <v>#N/A N/A</v>
        <stp/>
        <stp>BDP|4591798089557415644</stp>
        <tr r="J528" s="2"/>
      </tp>
      <tp t="s">
        <v>#N/A N/A</v>
        <stp/>
        <stp>BDP|1447150476378734554</stp>
        <tr r="T1732" s="2"/>
      </tp>
      <tp t="s">
        <v>#N/A N/A</v>
        <stp/>
        <stp>BDP|3610079067418251719</stp>
        <tr r="R1645" s="2"/>
      </tp>
      <tp t="s">
        <v>#N/A N/A</v>
        <stp/>
        <stp>BDS|8128262082501808986</stp>
        <tr r="I330" s="2"/>
      </tp>
      <tp t="s">
        <v>#N/A N/A</v>
        <stp/>
        <stp>BDP|8971157646250660794</stp>
        <tr r="H1525" s="2"/>
      </tp>
      <tp t="s">
        <v>#N/A N/A</v>
        <stp/>
        <stp>BDP|1085807810301690336</stp>
        <tr r="K992" s="2"/>
      </tp>
      <tp t="s">
        <v>#N/A N/A</v>
        <stp/>
        <stp>BDP|4382964517454094273</stp>
        <tr r="R90" s="2"/>
      </tp>
      <tp t="s">
        <v>#N/A N/A</v>
        <stp/>
        <stp>BDP|6302077323658062625</stp>
        <tr r="E265" s="2"/>
      </tp>
      <tp t="s">
        <v>#N/A N/A</v>
        <stp/>
        <stp>BDP|9490606916386483236</stp>
        <tr r="S1345" s="2"/>
      </tp>
      <tp t="s">
        <v>#N/A N/A</v>
        <stp/>
        <stp>BDP|6261001597110428546</stp>
        <tr r="K1643" s="2"/>
      </tp>
      <tp t="s">
        <v>#N/A N/A</v>
        <stp/>
        <stp>BDP|5818257793263818730</stp>
        <tr r="J667" s="2"/>
      </tp>
      <tp t="s">
        <v>#N/A N/A</v>
        <stp/>
        <stp>BDP|8776763437720253613</stp>
        <tr r="M87" s="2"/>
      </tp>
      <tp t="s">
        <v>#N/A N/A</v>
        <stp/>
        <stp>BDP|1665972115213432051</stp>
        <tr r="S576" s="2"/>
      </tp>
      <tp t="s">
        <v>#N/A N/A</v>
        <stp/>
        <stp>BDP|8564251875425559252</stp>
        <tr r="F527" s="2"/>
      </tp>
      <tp t="s">
        <v>#N/A N/A</v>
        <stp/>
        <stp>BDP|9672416228260871520</stp>
        <tr r="H1604" s="2"/>
      </tp>
      <tp t="s">
        <v>#N/A N/A</v>
        <stp/>
        <stp>BDP|5924594134869823098</stp>
        <tr r="O47" s="2"/>
      </tp>
      <tp t="s">
        <v>#N/A N/A</v>
        <stp/>
        <stp>BDP|1692564207038491660</stp>
        <tr r="P511" s="2"/>
      </tp>
      <tp t="s">
        <v>#N/A N/A</v>
        <stp/>
        <stp>BDP|4375709586923751276</stp>
        <tr r="Q1002" s="2"/>
      </tp>
      <tp t="s">
        <v>#N/A N/A</v>
        <stp/>
        <stp>BDP|4888998214076357031</stp>
        <tr r="D443" s="2"/>
      </tp>
      <tp t="s">
        <v>#N/A N/A</v>
        <stp/>
        <stp>BDP|2568717280794537342</stp>
        <tr r="H702" s="2"/>
      </tp>
      <tp t="s">
        <v>#N/A N/A</v>
        <stp/>
        <stp>BDP|5714261447469137020</stp>
        <tr r="T790" s="2"/>
      </tp>
      <tp t="s">
        <v>#N/A N/A</v>
        <stp/>
        <stp>BDP|2699442679698928378</stp>
        <tr r="D778" s="2"/>
      </tp>
      <tp t="s">
        <v>#N/A N/A</v>
        <stp/>
        <stp>BDP|8079742146748332946</stp>
        <tr r="P63" s="2"/>
      </tp>
      <tp t="s">
        <v>#N/A N/A</v>
        <stp/>
        <stp>BDP|4448322676012595808</stp>
        <tr r="O97" s="2"/>
      </tp>
      <tp t="s">
        <v>#N/A N/A</v>
        <stp/>
        <stp>BDP|6250349991846277004</stp>
        <tr r="C1015" s="2"/>
      </tp>
      <tp t="s">
        <v>#N/A N/A</v>
        <stp/>
        <stp>BDP|1619720182102324604</stp>
        <tr r="K1228" s="2"/>
      </tp>
      <tp t="s">
        <v>#N/A N/A</v>
        <stp/>
        <stp>BDP|6131884397694276990</stp>
        <tr r="F1616" s="2"/>
      </tp>
      <tp t="s">
        <v>#N/A N/A</v>
        <stp/>
        <stp>BDP|4532928643070189305</stp>
        <tr r="M777" s="2"/>
      </tp>
      <tp t="s">
        <v>#N/A N/A</v>
        <stp/>
        <stp>BDP|3781595284516886389</stp>
        <tr r="K428" s="2"/>
      </tp>
      <tp t="s">
        <v>#N/A N/A</v>
        <stp/>
        <stp>BDP|6527247208049745648</stp>
        <tr r="N446" s="2"/>
      </tp>
      <tp t="s">
        <v>#N/A N/A</v>
        <stp/>
        <stp>BDP|7885742591400150262</stp>
        <tr r="H1612" s="2"/>
      </tp>
      <tp t="s">
        <v>#N/A N/A</v>
        <stp/>
        <stp>BDP|4329189640433569941</stp>
        <tr r="R167" s="2"/>
      </tp>
      <tp t="s">
        <v>#N/A N/A</v>
        <stp/>
        <stp>BDP|7532372423164286990</stp>
        <tr r="J1443" s="2"/>
      </tp>
      <tp t="s">
        <v>#N/A N/A</v>
        <stp/>
        <stp>BDP|7543705689877513430</stp>
        <tr r="A1215" s="2"/>
      </tp>
      <tp t="s">
        <v>#N/A N/A</v>
        <stp/>
        <stp>BDP|8758053574556499282</stp>
        <tr r="P1296" s="2"/>
      </tp>
      <tp t="s">
        <v>#N/A N/A</v>
        <stp/>
        <stp>BDP|1497775791577094388</stp>
        <tr r="A1190" s="2"/>
      </tp>
      <tp t="s">
        <v>#N/A N/A</v>
        <stp/>
        <stp>BDP|4962108333785066807</stp>
        <tr r="E1540" s="2"/>
      </tp>
      <tp t="s">
        <v>#N/A N/A</v>
        <stp/>
        <stp>BDP|3978779593513114562</stp>
        <tr r="H747" s="2"/>
      </tp>
      <tp t="s">
        <v>#N/A N/A</v>
        <stp/>
        <stp>BDP|3522942016992401291</stp>
        <tr r="P608" s="2"/>
      </tp>
      <tp t="s">
        <v>#N/A N/A</v>
        <stp/>
        <stp>BDP|4052058916229002797</stp>
        <tr r="E1743" s="2"/>
      </tp>
      <tp t="s">
        <v>#N/A N/A</v>
        <stp/>
        <stp>BDP|7179241456648089393</stp>
        <tr r="R532" s="2"/>
      </tp>
      <tp t="s">
        <v>#N/A N/A</v>
        <stp/>
        <stp>BDP|4805569776919197433</stp>
        <tr r="A1154" s="2"/>
      </tp>
      <tp t="s">
        <v>#N/A N/A</v>
        <stp/>
        <stp>BDP|8162376309826053657</stp>
        <tr r="R226" s="2"/>
      </tp>
      <tp t="s">
        <v>#N/A N/A</v>
        <stp/>
        <stp>BDP|4305938539750636556</stp>
        <tr r="S585" s="2"/>
      </tp>
      <tp t="s">
        <v>#N/A N/A</v>
        <stp/>
        <stp>BDP|2979079210770130850</stp>
        <tr r="G430" s="2"/>
      </tp>
      <tp t="s">
        <v>#N/A N/A</v>
        <stp/>
        <stp>BDP|4464993282239194743</stp>
        <tr r="P249" s="2"/>
      </tp>
      <tp t="s">
        <v>#N/A N/A</v>
        <stp/>
        <stp>BDP|1739206190640973149</stp>
        <tr r="O1199" s="2"/>
      </tp>
      <tp t="s">
        <v>#N/A N/A</v>
        <stp/>
        <stp>BDP|8338149761585822141</stp>
        <tr r="S569" s="2"/>
      </tp>
      <tp t="s">
        <v>#N/A N/A</v>
        <stp/>
        <stp>BDP|9394934680420846321</stp>
        <tr r="E1235" s="2"/>
      </tp>
      <tp t="s">
        <v>#N/A N/A</v>
        <stp/>
        <stp>BDP|2231931239901151232</stp>
        <tr r="N568" s="2"/>
      </tp>
      <tp t="s">
        <v>#N/A N/A</v>
        <stp/>
        <stp>BDP|6990316703576453853</stp>
        <tr r="H1384" s="2"/>
      </tp>
      <tp t="s">
        <v>#N/A N/A</v>
        <stp/>
        <stp>BDP|2131709857568513392</stp>
        <tr r="P1624" s="2"/>
      </tp>
      <tp t="s">
        <v>#N/A N/A</v>
        <stp/>
        <stp>BDS|1569480885800419660</stp>
        <tr r="I372" s="2"/>
      </tp>
      <tp t="s">
        <v>#N/A N/A</v>
        <stp/>
        <stp>BDP|8719780604023684775</stp>
        <tr r="E798" s="2"/>
      </tp>
      <tp t="s">
        <v>#N/A N/A</v>
        <stp/>
        <stp>BDP|6063855343956853740</stp>
        <tr r="M1363" s="2"/>
      </tp>
      <tp t="s">
        <v>#N/A N/A</v>
        <stp/>
        <stp>BDP|4599325968149469314</stp>
        <tr r="M1376" s="2"/>
      </tp>
      <tp t="s">
        <v>#N/A N/A</v>
        <stp/>
        <stp>BDP|5113717978969799758</stp>
        <tr r="N1035" s="2"/>
      </tp>
      <tp t="s">
        <v>#N/A N/A</v>
        <stp/>
        <stp>BDP|7131750412318596297</stp>
        <tr r="H685" s="2"/>
      </tp>
      <tp t="s">
        <v>#N/A N/A</v>
        <stp/>
        <stp>BDP|9513859991161276290</stp>
        <tr r="H1728" s="2"/>
      </tp>
      <tp t="s">
        <v>#N/A N/A</v>
        <stp/>
        <stp>BDP|7258073235989291687</stp>
        <tr r="Q36" s="2"/>
      </tp>
      <tp t="s">
        <v>#N/A N/A</v>
        <stp/>
        <stp>BDP|9474372354361527584</stp>
        <tr r="K1177" s="2"/>
      </tp>
      <tp t="s">
        <v>#N/A N/A</v>
        <stp/>
        <stp>BDP|7370226209467455960</stp>
        <tr r="Q159" s="2"/>
      </tp>
      <tp t="s">
        <v>#N/A N/A</v>
        <stp/>
        <stp>BDP|8387170933662879359</stp>
        <tr r="T1308" s="2"/>
      </tp>
      <tp t="s">
        <v>#N/A N/A</v>
        <stp/>
        <stp>BDP|4118404123230939914</stp>
        <tr r="M1088" s="2"/>
      </tp>
      <tp t="s">
        <v>#N/A N/A</v>
        <stp/>
        <stp>BDS|9642750992415339980</stp>
        <tr r="I1220" s="2"/>
      </tp>
      <tp t="s">
        <v>#N/A N/A</v>
        <stp/>
        <stp>BDP|2375619796486624088</stp>
        <tr r="P1218" s="2"/>
      </tp>
      <tp t="s">
        <v>#N/A N/A</v>
        <stp/>
        <stp>BDP|5165360452911796985</stp>
        <tr r="S627" s="2"/>
      </tp>
      <tp t="s">
        <v>#N/A N/A</v>
        <stp/>
        <stp>BDP|9740752578100974293</stp>
        <tr r="N1432" s="2"/>
      </tp>
      <tp t="s">
        <v>#N/A N/A</v>
        <stp/>
        <stp>BDS|9466383424336370511</stp>
        <tr r="I473" s="2"/>
      </tp>
      <tp t="s">
        <v>#N/A N/A</v>
        <stp/>
        <stp>BDP|1739613396104978135</stp>
        <tr r="N490" s="2"/>
      </tp>
      <tp t="s">
        <v>#N/A N/A</v>
        <stp/>
        <stp>BDP|4541891367135102407</stp>
        <tr r="H530" s="2"/>
      </tp>
      <tp t="s">
        <v>#N/A N/A</v>
        <stp/>
        <stp>BDP|5585054193583936409</stp>
        <tr r="C1595" s="2"/>
      </tp>
      <tp t="s">
        <v>#N/A N/A</v>
        <stp/>
        <stp>BDP|5935619382551056108</stp>
        <tr r="S109" s="2"/>
      </tp>
      <tp t="s">
        <v>#N/A N/A</v>
        <stp/>
        <stp>BDP|5815001226519611526</stp>
        <tr r="P1573" s="2"/>
      </tp>
      <tp t="s">
        <v>#N/A N/A</v>
        <stp/>
        <stp>BDP|2704448590467998307</stp>
        <tr r="M510" s="2"/>
      </tp>
      <tp t="s">
        <v>#N/A N/A</v>
        <stp/>
        <stp>BDP|6499078963729901233</stp>
        <tr r="T792" s="2"/>
      </tp>
      <tp t="s">
        <v>#N/A N/A</v>
        <stp/>
        <stp>BDP|2058333296007607493</stp>
        <tr r="S409" s="2"/>
      </tp>
      <tp t="s">
        <v>#N/A N/A</v>
        <stp/>
        <stp>BDP|9199637155696449799</stp>
        <tr r="R1296" s="2"/>
      </tp>
      <tp t="s">
        <v>#N/A N/A</v>
        <stp/>
        <stp>BDP|4978885430126857233</stp>
        <tr r="F396" s="2"/>
      </tp>
      <tp t="s">
        <v>#N/A N/A</v>
        <stp/>
        <stp>BDP|9015720542739940836</stp>
        <tr r="F1698" s="2"/>
      </tp>
      <tp t="s">
        <v>#N/A N/A</v>
        <stp/>
        <stp>BDP|8511667518880521448</stp>
        <tr r="E247" s="2"/>
      </tp>
      <tp t="s">
        <v>#N/A N/A</v>
        <stp/>
        <stp>BDP|6220848310493832749</stp>
        <tr r="Q109" s="2"/>
      </tp>
      <tp t="s">
        <v>#N/A N/A</v>
        <stp/>
        <stp>BDP|3003087823269687379</stp>
        <tr r="A541" s="2"/>
      </tp>
      <tp t="s">
        <v>#N/A N/A</v>
        <stp/>
        <stp>BDP|6381110702178384496</stp>
        <tr r="O314" s="2"/>
      </tp>
      <tp t="s">
        <v>#N/A N/A</v>
        <stp/>
        <stp>BDP|2372538583533145789</stp>
        <tr r="F332" s="2"/>
      </tp>
      <tp t="s">
        <v>#N/A N/A</v>
        <stp/>
        <stp>BDP|2922811733242023014</stp>
        <tr r="R1730" s="2"/>
      </tp>
      <tp t="s">
        <v>#N/A N/A</v>
        <stp/>
        <stp>BDP|7220483331332814995</stp>
        <tr r="K424" s="2"/>
      </tp>
      <tp t="s">
        <v>#N/A N/A</v>
        <stp/>
        <stp>BDP|8346157006146374493</stp>
        <tr r="C1387" s="2"/>
      </tp>
      <tp t="s">
        <v>#N/A N/A</v>
        <stp/>
        <stp>BDS|2585969568367855192</stp>
        <tr r="I1608" s="2"/>
      </tp>
      <tp t="s">
        <v>#N/A N/A</v>
        <stp/>
        <stp>BDP|8327182017723649005</stp>
        <tr r="N868" s="2"/>
      </tp>
      <tp t="s">
        <v>#N/A N/A</v>
        <stp/>
        <stp>BDP|5939439284001156359</stp>
        <tr r="S1223" s="2"/>
      </tp>
      <tp t="s">
        <v>#N/A N/A</v>
        <stp/>
        <stp>BDP|9686041148870811699</stp>
        <tr r="H427" s="2"/>
      </tp>
      <tp t="s">
        <v>#N/A N/A</v>
        <stp/>
        <stp>BDP|2369196263278098623</stp>
        <tr r="O946" s="2"/>
      </tp>
      <tp t="s">
        <v>#N/A N/A</v>
        <stp/>
        <stp>BDP|7700060384241831569</stp>
        <tr r="J209" s="2"/>
      </tp>
      <tp t="s">
        <v>#N/A N/A</v>
        <stp/>
        <stp>BDP|2162865684871032880</stp>
        <tr r="M1294" s="2"/>
      </tp>
      <tp t="s">
        <v>#N/A N/A</v>
        <stp/>
        <stp>BDS|6182148322656456888</stp>
        <tr r="I1228" s="2"/>
      </tp>
      <tp t="s">
        <v>#N/A N/A</v>
        <stp/>
        <stp>BDP|9510669663154338682</stp>
        <tr r="T564" s="2"/>
      </tp>
      <tp t="s">
        <v>#N/A N/A</v>
        <stp/>
        <stp>BDP|4711771648129635558</stp>
        <tr r="C307" s="2"/>
      </tp>
      <tp t="s">
        <v>#N/A N/A</v>
        <stp/>
        <stp>BDP|1868181407868857340</stp>
        <tr r="F1544" s="2"/>
      </tp>
      <tp t="s">
        <v>#N/A N/A</v>
        <stp/>
        <stp>BDP|8788203775774178286</stp>
        <tr r="C551" s="2"/>
      </tp>
      <tp t="s">
        <v>#N/A N/A</v>
        <stp/>
        <stp>BDP|9592114179842086660</stp>
        <tr r="N1312" s="2"/>
      </tp>
      <tp t="s">
        <v>#N/A N/A</v>
        <stp/>
        <stp>BDP|4383834690366941826</stp>
        <tr r="G1743" s="2"/>
      </tp>
      <tp t="s">
        <v>#N/A N/A</v>
        <stp/>
        <stp>BDP|4018495656357226968</stp>
        <tr r="R341" s="2"/>
      </tp>
      <tp t="s">
        <v>#N/A N/A</v>
        <stp/>
        <stp>BDP|8867979954356311930</stp>
        <tr r="O909" s="2"/>
      </tp>
      <tp t="s">
        <v>#N/A N/A</v>
        <stp/>
        <stp>BDP|9384191113795275705</stp>
        <tr r="O1051" s="2"/>
      </tp>
      <tp t="s">
        <v>#N/A N/A</v>
        <stp/>
        <stp>BDP|4841994571151392087</stp>
        <tr r="D214" s="2"/>
      </tp>
      <tp t="s">
        <v>#N/A N/A</v>
        <stp/>
        <stp>BDP|7735741489564491750</stp>
        <tr r="F804" s="2"/>
      </tp>
      <tp t="s">
        <v>#N/A N/A</v>
        <stp/>
        <stp>BDP|9880141036105256533</stp>
        <tr r="K65" s="2"/>
      </tp>
      <tp t="s">
        <v>#N/A N/A</v>
        <stp/>
        <stp>BDP|9548613652318998943</stp>
        <tr r="Q465" s="2"/>
      </tp>
      <tp t="s">
        <v>#N/A N/A</v>
        <stp/>
        <stp>BDP|5976544785640796342</stp>
        <tr r="M125" s="2"/>
      </tp>
      <tp t="s">
        <v>#N/A N/A</v>
        <stp/>
        <stp>BDP|3186997932161180308</stp>
        <tr r="M1296" s="2"/>
      </tp>
      <tp t="s">
        <v>#N/A N/A</v>
        <stp/>
        <stp>BDP|9159177351090545697</stp>
        <tr r="A887" s="2"/>
      </tp>
      <tp t="s">
        <v>#N/A N/A</v>
        <stp/>
        <stp>BDP|9613257268944876289</stp>
        <tr r="H328" s="2"/>
      </tp>
      <tp t="s">
        <v>#N/A N/A</v>
        <stp/>
        <stp>BDP|6007580796565279473</stp>
        <tr r="K1706" s="2"/>
      </tp>
      <tp t="s">
        <v>#N/A N/A</v>
        <stp/>
        <stp>BDP|7810832772604260703</stp>
        <tr r="T175" s="2"/>
      </tp>
      <tp t="s">
        <v>#N/A N/A</v>
        <stp/>
        <stp>BDP|7080865249544516419</stp>
        <tr r="F303" s="2"/>
      </tp>
      <tp t="s">
        <v>#N/A N/A</v>
        <stp/>
        <stp>BDP|4717847734975843148</stp>
        <tr r="G1624" s="2"/>
      </tp>
      <tp t="s">
        <v>#N/A N/A</v>
        <stp/>
        <stp>BDP|4241115586320611680</stp>
        <tr r="T1405" s="2"/>
      </tp>
      <tp t="s">
        <v>#N/A N/A</v>
        <stp/>
        <stp>BDP|3134914617967955758</stp>
        <tr r="P1654" s="2"/>
      </tp>
      <tp t="s">
        <v>#N/A N/A</v>
        <stp/>
        <stp>BDP|6547127179452107945</stp>
        <tr r="E1094" s="2"/>
      </tp>
      <tp t="s">
        <v>#N/A N/A</v>
        <stp/>
        <stp>BDP|6777012992625618190</stp>
        <tr r="A233" s="2"/>
      </tp>
      <tp t="s">
        <v>#N/A N/A</v>
        <stp/>
        <stp>BDP|3737229349849481738</stp>
        <tr r="F645" s="2"/>
      </tp>
      <tp t="s">
        <v>#N/A N/A</v>
        <stp/>
        <stp>BDP|3804823550273357626</stp>
        <tr r="S1065" s="2"/>
      </tp>
      <tp t="s">
        <v>#N/A N/A</v>
        <stp/>
        <stp>BDP|8782531747900144296</stp>
        <tr r="S1515" s="2"/>
      </tp>
      <tp t="s">
        <v>#N/A N/A</v>
        <stp/>
        <stp>BDP|6738191683630610407</stp>
        <tr r="J1302" s="2"/>
      </tp>
      <tp t="s">
        <v>#N/A N/A</v>
        <stp/>
        <stp>BDP|8443722988629366564</stp>
        <tr r="C1183" s="2"/>
      </tp>
      <tp t="s">
        <v>#N/A N/A</v>
        <stp/>
        <stp>BDP|5795832205781380796</stp>
        <tr r="A657" s="2"/>
      </tp>
      <tp t="s">
        <v>#N/A N/A</v>
        <stp/>
        <stp>BDP|2351373175258313590</stp>
        <tr r="S1045" s="2"/>
      </tp>
      <tp t="s">
        <v>#N/A N/A</v>
        <stp/>
        <stp>BDP|4924459738279746188</stp>
        <tr r="M259" s="2"/>
      </tp>
      <tp t="s">
        <v>#N/A N/A</v>
        <stp/>
        <stp>BDP|7995670127149158138</stp>
        <tr r="D1648" s="2"/>
      </tp>
      <tp t="s">
        <v>#N/A N/A</v>
        <stp/>
        <stp>BDP|5769010314256868916</stp>
        <tr r="E460" s="2"/>
      </tp>
      <tp t="s">
        <v>#N/A N/A</v>
        <stp/>
        <stp>BDP|6937134366103725900</stp>
        <tr r="F807" s="2"/>
      </tp>
      <tp t="s">
        <v>#N/A N/A</v>
        <stp/>
        <stp>BDP|7921321195133501506</stp>
        <tr r="M363" s="2"/>
      </tp>
      <tp t="s">
        <v>#N/A N/A</v>
        <stp/>
        <stp>BDP|7582948163091039297</stp>
        <tr r="Q1573" s="2"/>
      </tp>
      <tp t="s">
        <v>#N/A N/A</v>
        <stp/>
        <stp>BDP|9598132439914512417</stp>
        <tr r="P1252" s="2"/>
      </tp>
      <tp t="s">
        <v>#N/A N/A</v>
        <stp/>
        <stp>BDP|7079044869488748214</stp>
        <tr r="E770" s="2"/>
      </tp>
      <tp t="s">
        <v>#N/A N/A</v>
        <stp/>
        <stp>BDS|9030962813113875963</stp>
        <tr r="I306" s="2"/>
      </tp>
      <tp t="s">
        <v>#N/A N/A</v>
        <stp/>
        <stp>BDP|5181815619510076729</stp>
        <tr r="F255" s="2"/>
      </tp>
      <tp t="s">
        <v>#N/A N/A</v>
        <stp/>
        <stp>BDP|2694040762448931717</stp>
        <tr r="A490" s="2"/>
      </tp>
      <tp t="s">
        <v>#N/A N/A</v>
        <stp/>
        <stp>BDP|6596581143128676407</stp>
        <tr r="M1334" s="2"/>
      </tp>
      <tp t="s">
        <v>#N/A N/A</v>
        <stp/>
        <stp>BDP|7993150440789037044</stp>
        <tr r="J1125" s="2"/>
      </tp>
      <tp t="s">
        <v>#N/A N/A</v>
        <stp/>
        <stp>BDP|9157359511403464396</stp>
        <tr r="J1523" s="2"/>
      </tp>
      <tp t="s">
        <v>#N/A N/A</v>
        <stp/>
        <stp>BDP|7603779230229153186</stp>
        <tr r="M727" s="2"/>
      </tp>
      <tp t="s">
        <v>#N/A N/A</v>
        <stp/>
        <stp>BDP|9898565595346623855</stp>
        <tr r="G678" s="2"/>
      </tp>
      <tp t="s">
        <v>#N/A N/A</v>
        <stp/>
        <stp>BDP|2388896054093036766</stp>
        <tr r="A39" s="2"/>
      </tp>
      <tp t="s">
        <v>#N/A N/A</v>
        <stp/>
        <stp>BDP|5586340769163645866</stp>
        <tr r="H403" s="2"/>
      </tp>
      <tp t="s">
        <v>#N/A N/A</v>
        <stp/>
        <stp>BDP|2800744885872631475</stp>
        <tr r="G745" s="2"/>
      </tp>
      <tp t="s">
        <v>#N/A N/A</v>
        <stp/>
        <stp>BDP|5234244659821656817</stp>
        <tr r="T1451" s="2"/>
      </tp>
      <tp t="s">
        <v>#N/A N/A</v>
        <stp/>
        <stp>BDP|2992364097174974796</stp>
        <tr r="E102" s="2"/>
      </tp>
      <tp t="s">
        <v>#N/A N/A</v>
        <stp/>
        <stp>BDP|7770524043224693985</stp>
        <tr r="T1298" s="2"/>
      </tp>
      <tp t="s">
        <v>#N/A N/A</v>
        <stp/>
        <stp>BDP|8735132848904350270</stp>
        <tr r="O446" s="2"/>
      </tp>
      <tp t="s">
        <v>#N/A N/A</v>
        <stp/>
        <stp>BDP|6178914022967966131</stp>
        <tr r="A1182" s="2"/>
      </tp>
      <tp t="s">
        <v>#N/A N/A</v>
        <stp/>
        <stp>BDP|9425338668692722503</stp>
        <tr r="N981" s="2"/>
      </tp>
      <tp t="s">
        <v>#N/A N/A</v>
        <stp/>
        <stp>BDP|1023064101818972265</stp>
        <tr r="C444" s="2"/>
      </tp>
      <tp t="s">
        <v>#N/A N/A</v>
        <stp/>
        <stp>BDP|8514424264237287693</stp>
        <tr r="E768" s="2"/>
      </tp>
      <tp t="s">
        <v>#N/A N/A</v>
        <stp/>
        <stp>BDP|5899801786059677703</stp>
        <tr r="O1040" s="2"/>
      </tp>
      <tp t="s">
        <v>#N/A N/A</v>
        <stp/>
        <stp>BDP|9565965986920426394</stp>
        <tr r="P1566" s="2"/>
      </tp>
      <tp t="s">
        <v>#N/A N/A</v>
        <stp/>
        <stp>BDP|1858980831735956508</stp>
        <tr r="M193" s="2"/>
      </tp>
      <tp t="s">
        <v>#N/A N/A</v>
        <stp/>
        <stp>BDP|9493050230461032091</stp>
        <tr r="K716" s="2"/>
      </tp>
      <tp t="s">
        <v>#N/A N/A</v>
        <stp/>
        <stp>BDP|5820466716089589253</stp>
        <tr r="A765" s="2"/>
      </tp>
      <tp t="s">
        <v>#N/A N/A</v>
        <stp/>
        <stp>BDP|4305802529857762253</stp>
        <tr r="A746" s="2"/>
      </tp>
      <tp t="s">
        <v>#N/A N/A</v>
        <stp/>
        <stp>BDP|3066686575430631938</stp>
        <tr r="S80" s="2"/>
      </tp>
      <tp t="s">
        <v>#N/A N/A</v>
        <stp/>
        <stp>BDP|8974758936075788258</stp>
        <tr r="Q1051" s="2"/>
      </tp>
      <tp t="s">
        <v>#N/A N/A</v>
        <stp/>
        <stp>BDP|2201789889015374381</stp>
        <tr r="E1473" s="2"/>
      </tp>
      <tp t="s">
        <v>#N/A N/A</v>
        <stp/>
        <stp>BDP|8789966041336822800</stp>
        <tr r="K1563" s="2"/>
      </tp>
      <tp t="s">
        <v>#N/A N/A</v>
        <stp/>
        <stp>BDP|2979157586909032924</stp>
        <tr r="R912" s="2"/>
      </tp>
      <tp t="s">
        <v>#N/A N/A</v>
        <stp/>
        <stp>BDP|2474808153981986560</stp>
        <tr r="D1549" s="2"/>
      </tp>
      <tp t="s">
        <v>#N/A N/A</v>
        <stp/>
        <stp>BDP|4835685193478388884</stp>
        <tr r="E733" s="2"/>
      </tp>
      <tp t="s">
        <v>#N/A N/A</v>
        <stp/>
        <stp>BDP|8127087707234605706</stp>
        <tr r="C10" s="2"/>
      </tp>
      <tp t="s">
        <v>#N/A N/A</v>
        <stp/>
        <stp>BDP|9831135877773049744</stp>
        <tr r="M844" s="2"/>
      </tp>
      <tp t="s">
        <v>#N/A N/A</v>
        <stp/>
        <stp>BDP|4960103796834745308</stp>
        <tr r="T1509" s="2"/>
      </tp>
      <tp t="s">
        <v>#N/A N/A</v>
        <stp/>
        <stp>BDP|3822332194502549020</stp>
        <tr r="H867" s="2"/>
      </tp>
      <tp t="s">
        <v>#N/A N/A</v>
        <stp/>
        <stp>BDP|9644231879412086549</stp>
        <tr r="J263" s="2"/>
      </tp>
      <tp t="s">
        <v>#N/A N/A</v>
        <stp/>
        <stp>BDS|9169971630490850866</stp>
        <tr r="I1011" s="2"/>
      </tp>
      <tp t="s">
        <v>#N/A N/A</v>
        <stp/>
        <stp>BDP|9374537869041019012</stp>
        <tr r="C120" s="2"/>
      </tp>
      <tp t="s">
        <v>#N/A N/A</v>
        <stp/>
        <stp>BDP|7892550752745692914</stp>
        <tr r="P1623" s="2"/>
      </tp>
      <tp t="s">
        <v>#N/A N/A</v>
        <stp/>
        <stp>BDP|9535440932262817733</stp>
        <tr r="E877" s="2"/>
      </tp>
      <tp t="s">
        <v>#N/A N/A</v>
        <stp/>
        <stp>BDP|1051523222849948419</stp>
        <tr r="N1184" s="2"/>
      </tp>
      <tp t="s">
        <v>#N/A N/A</v>
        <stp/>
        <stp>BDP|5458081275199409056</stp>
        <tr r="H266" s="2"/>
      </tp>
      <tp t="s">
        <v>#N/A N/A</v>
        <stp/>
        <stp>BDP|7568127438827785902</stp>
        <tr r="Q1492" s="2"/>
      </tp>
      <tp t="s">
        <v>#N/A N/A</v>
        <stp/>
        <stp>BDP|9164596786016356957</stp>
        <tr r="M1001" s="2"/>
      </tp>
      <tp t="s">
        <v>#N/A N/A</v>
        <stp/>
        <stp>BDP|5358759279298455639</stp>
        <tr r="P575" s="2"/>
      </tp>
      <tp t="s">
        <v>#N/A N/A</v>
        <stp/>
        <stp>BDP|1947986878092886698</stp>
        <tr r="F107" s="2"/>
      </tp>
      <tp t="s">
        <v>#N/A N/A</v>
        <stp/>
        <stp>BDP|3167203498054493759</stp>
        <tr r="P1301" s="2"/>
      </tp>
      <tp t="s">
        <v>#N/A N/A</v>
        <stp/>
        <stp>BDP|6384916830191932639</stp>
        <tr r="E985" s="2"/>
      </tp>
      <tp t="s">
        <v>#N/A N/A</v>
        <stp/>
        <stp>BDP|7476082349350432890</stp>
        <tr r="H193" s="2"/>
      </tp>
      <tp t="s">
        <v>#N/A N/A</v>
        <stp/>
        <stp>BDP|2076614179771758974</stp>
        <tr r="N542" s="2"/>
      </tp>
      <tp t="s">
        <v>#N/A N/A</v>
        <stp/>
        <stp>BDP|4229406849197780848</stp>
        <tr r="G688" s="2"/>
      </tp>
      <tp t="s">
        <v>#N/A N/A</v>
        <stp/>
        <stp>BDP|1688544623744971909</stp>
        <tr r="T1091" s="2"/>
      </tp>
      <tp t="s">
        <v>#N/A N/A</v>
        <stp/>
        <stp>BDP|8093608048116952791</stp>
        <tr r="T317" s="2"/>
      </tp>
      <tp t="s">
        <v>#N/A N/A</v>
        <stp/>
        <stp>BDP|2217973653282717795</stp>
        <tr r="E1661" s="2"/>
      </tp>
      <tp t="s">
        <v>#N/A N/A</v>
        <stp/>
        <stp>BDP|6242731954646550982</stp>
        <tr r="Q1465" s="2"/>
      </tp>
      <tp t="s">
        <v>#N/A N/A</v>
        <stp/>
        <stp>BDP|9856361342470065541</stp>
        <tr r="N684" s="2"/>
      </tp>
      <tp t="s">
        <v>#N/A N/A</v>
        <stp/>
        <stp>BDS|6393078377719836331</stp>
        <tr r="I484" s="2"/>
      </tp>
      <tp t="s">
        <v>#N/A N/A</v>
        <stp/>
        <stp>BDP|2476507297602328783</stp>
        <tr r="T783" s="2"/>
      </tp>
      <tp t="s">
        <v>#N/A N/A</v>
        <stp/>
        <stp>BDP|9019605739336430153</stp>
        <tr r="J1079" s="2"/>
      </tp>
      <tp t="s">
        <v>#N/A N/A</v>
        <stp/>
        <stp>BDP|6294773909159790335</stp>
        <tr r="M1479" s="2"/>
      </tp>
      <tp t="s">
        <v>#N/A N/A</v>
        <stp/>
        <stp>BDP|4596027965199892020</stp>
        <tr r="G1069" s="2"/>
      </tp>
      <tp t="s">
        <v>#N/A N/A</v>
        <stp/>
        <stp>BDP|8629192817844071716</stp>
        <tr r="C211" s="2"/>
      </tp>
      <tp t="s">
        <v>#N/A N/A</v>
        <stp/>
        <stp>BDP|1790833318323614031</stp>
        <tr r="C1221" s="2"/>
      </tp>
      <tp t="s">
        <v>#N/A N/A</v>
        <stp/>
        <stp>BDS|8720060500971077286</stp>
        <tr r="I1564" s="2"/>
      </tp>
      <tp t="s">
        <v>#N/A N/A</v>
        <stp/>
        <stp>BDP|2441492343939513027</stp>
        <tr r="G985" s="2"/>
      </tp>
      <tp t="s">
        <v>#N/A N/A</v>
        <stp/>
        <stp>BDP|9086704273674810622</stp>
        <tr r="F760" s="2"/>
      </tp>
      <tp t="s">
        <v>#N/A N/A</v>
        <stp/>
        <stp>BDP|7045551986795239488</stp>
        <tr r="G138" s="2"/>
      </tp>
      <tp t="s">
        <v>#N/A N/A</v>
        <stp/>
        <stp>BDP|7201342451969847367</stp>
        <tr r="P1387" s="2"/>
      </tp>
      <tp t="s">
        <v>#N/A N/A</v>
        <stp/>
        <stp>BDP|9802039336221219062</stp>
        <tr r="J787" s="2"/>
      </tp>
      <tp t="s">
        <v>#N/A N/A</v>
        <stp/>
        <stp>BDP|8065892169844165981</stp>
        <tr r="J437" s="2"/>
      </tp>
      <tp t="s">
        <v>#N/A N/A</v>
        <stp/>
        <stp>BDS|9363784497435599907</stp>
        <tr r="I1049" s="2"/>
      </tp>
      <tp t="s">
        <v>#N/A N/A</v>
        <stp/>
        <stp>BDP|1809121636960406813</stp>
        <tr r="F448" s="2"/>
      </tp>
      <tp t="s">
        <v>#N/A N/A</v>
        <stp/>
        <stp>BDP|3114877203909914954</stp>
        <tr r="G1317" s="2"/>
      </tp>
      <tp t="s">
        <v>#N/A N/A</v>
        <stp/>
        <stp>BDP|2999793504669409796</stp>
        <tr r="G526" s="2"/>
      </tp>
      <tp t="s">
        <v>#N/A N/A</v>
        <stp/>
        <stp>BDP|2070711059189297234</stp>
        <tr r="C1651" s="2"/>
      </tp>
      <tp t="s">
        <v>#N/A N/A</v>
        <stp/>
        <stp>BDP|3908225490741073229</stp>
        <tr r="G67" s="2"/>
      </tp>
      <tp t="s">
        <v>#N/A N/A</v>
        <stp/>
        <stp>BDP|2564884523521404238</stp>
        <tr r="O1608" s="2"/>
      </tp>
      <tp t="s">
        <v>#N/A N/A</v>
        <stp/>
        <stp>BDP|7087365575011274985</stp>
        <tr r="F407" s="2"/>
      </tp>
      <tp t="s">
        <v>#N/A N/A</v>
        <stp/>
        <stp>BDP|5771392801844463924</stp>
        <tr r="R142" s="2"/>
      </tp>
      <tp t="s">
        <v>#N/A N/A</v>
        <stp/>
        <stp>BDP|2118992174683666432</stp>
        <tr r="Q942" s="2"/>
      </tp>
      <tp t="s">
        <v>#N/A N/A</v>
        <stp/>
        <stp>BDP|6975965707940724468</stp>
        <tr r="M232" s="2"/>
      </tp>
      <tp t="s">
        <v>#N/A N/A</v>
        <stp/>
        <stp>BDS|3718250385403808167</stp>
        <tr r="I766" s="2"/>
      </tp>
      <tp t="s">
        <v>#N/A N/A</v>
        <stp/>
        <stp>BDP|6238783366154116840</stp>
        <tr r="K40" s="2"/>
      </tp>
      <tp t="s">
        <v>#N/A N/A</v>
        <stp/>
        <stp>BDP|7708687414832097926</stp>
        <tr r="A1047" s="2"/>
      </tp>
      <tp t="s">
        <v>#N/A N/A</v>
        <stp/>
        <stp>BDP|1869590248472482949</stp>
        <tr r="G1745" s="2"/>
      </tp>
      <tp t="s">
        <v>#N/A N/A</v>
        <stp/>
        <stp>BDP|5955003041299445353</stp>
        <tr r="K52" s="2"/>
      </tp>
      <tp t="s">
        <v>#N/A N/A</v>
        <stp/>
        <stp>BDP|2301785680594655246</stp>
        <tr r="G136" s="2"/>
      </tp>
      <tp t="s">
        <v>#N/A N/A</v>
        <stp/>
        <stp>BDP|4952012841188437347</stp>
        <tr r="F1347" s="2"/>
      </tp>
      <tp t="s">
        <v>#N/A N/A</v>
        <stp/>
        <stp>BDP|3637241162765907907</stp>
        <tr r="Q1235" s="2"/>
      </tp>
      <tp t="s">
        <v>#N/A N/A</v>
        <stp/>
        <stp>BDP|9543530616685823312</stp>
        <tr r="R1457" s="2"/>
      </tp>
      <tp t="s">
        <v>#N/A N/A</v>
        <stp/>
        <stp>BDP|6172885644578047946</stp>
        <tr r="Q753" s="2"/>
      </tp>
      <tp t="s">
        <v>#N/A N/A</v>
        <stp/>
        <stp>BDP|1853267162476414812</stp>
        <tr r="A1149" s="2"/>
      </tp>
      <tp t="s">
        <v>#N/A N/A</v>
        <stp/>
        <stp>BDP|3945767176920060808</stp>
        <tr r="N1735" s="2"/>
      </tp>
      <tp t="s">
        <v>#N/A N/A</v>
        <stp/>
        <stp>BDP|4277891603161610672</stp>
        <tr r="G764" s="2"/>
      </tp>
      <tp t="s">
        <v>#N/A N/A</v>
        <stp/>
        <stp>BDP|1266852576424969112</stp>
        <tr r="P1239" s="2"/>
      </tp>
      <tp t="s">
        <v>#N/A N/A</v>
        <stp/>
        <stp>BDP|8513090153091461723</stp>
        <tr r="G1144" s="2"/>
      </tp>
      <tp t="s">
        <v>#N/A N/A</v>
        <stp/>
        <stp>BDP|1851134099533921121</stp>
        <tr r="P1551" s="2"/>
      </tp>
      <tp t="s">
        <v>#N/A N/A</v>
        <stp/>
        <stp>BDP|3646057111728936120</stp>
        <tr r="O677" s="2"/>
      </tp>
      <tp t="s">
        <v>#N/A N/A</v>
        <stp/>
        <stp>BDP|8162498334533258779</stp>
        <tr r="S387" s="2"/>
      </tp>
      <tp t="s">
        <v>#N/A N/A</v>
        <stp/>
        <stp>BDP|7827081105538572497</stp>
        <tr r="K323" s="2"/>
      </tp>
      <tp t="s">
        <v>#N/A N/A</v>
        <stp/>
        <stp>BDS|2498662267821964850</stp>
        <tr r="I559" s="2"/>
      </tp>
      <tp t="s">
        <v>#N/A N/A</v>
        <stp/>
        <stp>BDP|2918755204676065812</stp>
        <tr r="M925" s="2"/>
      </tp>
      <tp t="s">
        <v>#N/A N/A</v>
        <stp/>
        <stp>BDP|7889839409222806635</stp>
        <tr r="J1444" s="2"/>
      </tp>
      <tp t="s">
        <v>#N/A N/A</v>
        <stp/>
        <stp>BDS|2753358559547472815</stp>
        <tr r="I256" s="2"/>
      </tp>
      <tp t="s">
        <v>#N/A N/A</v>
        <stp/>
        <stp>BDP|3988900830687431534</stp>
        <tr r="S1239" s="2"/>
      </tp>
      <tp t="s">
        <v>#N/A N/A</v>
        <stp/>
        <stp>BDP|5768861397317190894</stp>
        <tr r="A964" s="2"/>
      </tp>
      <tp t="s">
        <v>#N/A N/A</v>
        <stp/>
        <stp>BDP|1892670621149880788</stp>
        <tr r="D629" s="2"/>
      </tp>
      <tp t="s">
        <v>#N/A N/A</v>
        <stp/>
        <stp>BDP|3800481298972124772</stp>
        <tr r="K1174" s="2"/>
      </tp>
      <tp t="s">
        <v>#N/A N/A</v>
        <stp/>
        <stp>BDP|3552654158489347259</stp>
        <tr r="C1648" s="2"/>
      </tp>
      <tp t="s">
        <v>#N/A N/A</v>
        <stp/>
        <stp>BDP|4507860893859626782</stp>
        <tr r="R1253" s="2"/>
      </tp>
      <tp t="s">
        <v>#N/A N/A</v>
        <stp/>
        <stp>BDP|7922975940919735875</stp>
        <tr r="A1638" s="2"/>
      </tp>
      <tp t="s">
        <v>#N/A N/A</v>
        <stp/>
        <stp>BDP|9324981592864513621</stp>
        <tr r="G228" s="2"/>
      </tp>
      <tp t="s">
        <v>#N/A N/A</v>
        <stp/>
        <stp>BDP|6841927245876523642</stp>
        <tr r="J213" s="2"/>
      </tp>
      <tp t="s">
        <v>#N/A N/A</v>
        <stp/>
        <stp>BDP|8190575528630671466</stp>
        <tr r="Q1592" s="2"/>
      </tp>
      <tp t="s">
        <v>#N/A N/A</v>
        <stp/>
        <stp>BDP|8871588027180137486</stp>
        <tr r="R1129" s="2"/>
      </tp>
      <tp t="s">
        <v>#N/A N/A</v>
        <stp/>
        <stp>BDP|1923722480992261774</stp>
        <tr r="R1279" s="2"/>
      </tp>
      <tp t="s">
        <v>#N/A N/A</v>
        <stp/>
        <stp>BDS|3926213634221486865</stp>
        <tr r="I236" s="2"/>
      </tp>
      <tp t="s">
        <v>#N/A N/A</v>
        <stp/>
        <stp>BDP|4096509179918221556</stp>
        <tr r="K1343" s="2"/>
      </tp>
      <tp t="s">
        <v>#N/A N/A</v>
        <stp/>
        <stp>BDP|6856843406714081144</stp>
        <tr r="S1140" s="2"/>
      </tp>
      <tp t="s">
        <v>#N/A N/A</v>
        <stp/>
        <stp>BDP|6333330478850141972</stp>
        <tr r="K1597" s="2"/>
      </tp>
      <tp t="s">
        <v>#N/A N/A</v>
        <stp/>
        <stp>BDP|9476699043503412346</stp>
        <tr r="R1045" s="2"/>
      </tp>
      <tp t="s">
        <v>#N/A N/A</v>
        <stp/>
        <stp>BDP|2708443619718191451</stp>
        <tr r="K1585" s="2"/>
      </tp>
      <tp t="s">
        <v>#N/A N/A</v>
        <stp/>
        <stp>BDP|1596373426129919236</stp>
        <tr r="F1525" s="2"/>
      </tp>
      <tp t="s">
        <v>#N/A N/A</v>
        <stp/>
        <stp>BDP|2515555065508363288</stp>
        <tr r="C1606" s="2"/>
      </tp>
      <tp t="s">
        <v>#N/A N/A</v>
        <stp/>
        <stp>BDP|6885928364330743278</stp>
        <tr r="O216" s="2"/>
      </tp>
      <tp t="s">
        <v>#N/A N/A</v>
        <stp/>
        <stp>BDP|7191675793055341687</stp>
        <tr r="D541" s="2"/>
      </tp>
      <tp t="s">
        <v>#N/A N/A</v>
        <stp/>
        <stp>BDP|9979638394154360937</stp>
        <tr r="A789" s="2"/>
      </tp>
      <tp t="s">
        <v>#N/A N/A</v>
        <stp/>
        <stp>BDP|8133279608341717076</stp>
        <tr r="G1725" s="2"/>
      </tp>
      <tp t="s">
        <v>#N/A N/A</v>
        <stp/>
        <stp>BDP|2161934827231205391</stp>
        <tr r="C783" s="2"/>
      </tp>
      <tp t="s">
        <v>#N/A N/A</v>
        <stp/>
        <stp>BDP|1744097882707228506</stp>
        <tr r="Q918" s="2"/>
      </tp>
      <tp t="s">
        <v>#N/A N/A</v>
        <stp/>
        <stp>BDP|8729162969257115373</stp>
        <tr r="Q620" s="2"/>
      </tp>
      <tp t="s">
        <v>#N/A N/A</v>
        <stp/>
        <stp>BDP|2439275918083109946</stp>
        <tr r="A257" s="2"/>
      </tp>
      <tp t="s">
        <v>#N/A N/A</v>
        <stp/>
        <stp>BDS|8712407060413092298</stp>
        <tr r="I1023" s="2"/>
      </tp>
      <tp t="s">
        <v>#N/A N/A</v>
        <stp/>
        <stp>BDP|6055274407748636785</stp>
        <tr r="M1672" s="2"/>
      </tp>
      <tp t="s">
        <v>#N/A N/A</v>
        <stp/>
        <stp>BDP|1449590689742865525</stp>
        <tr r="N575" s="2"/>
      </tp>
      <tp t="s">
        <v>#N/A N/A</v>
        <stp/>
        <stp>BDP|5330693154929292423</stp>
        <tr r="Q1586" s="2"/>
      </tp>
      <tp t="s">
        <v>#N/A N/A</v>
        <stp/>
        <stp>BDP|8020585906617770175</stp>
        <tr r="K904" s="2"/>
      </tp>
      <tp t="s">
        <v>#N/A N/A</v>
        <stp/>
        <stp>BDP|4105961908232194409</stp>
        <tr r="M1329" s="2"/>
      </tp>
      <tp t="s">
        <v>#N/A N/A</v>
        <stp/>
        <stp>BDP|5840436485714335634</stp>
        <tr r="T53" s="2"/>
      </tp>
      <tp t="s">
        <v>#N/A N/A</v>
        <stp/>
        <stp>BDS|1806342331958083232</stp>
        <tr r="I144" s="2"/>
      </tp>
      <tp t="s">
        <v>#N/A N/A</v>
        <stp/>
        <stp>BDP|7529567247589249486</stp>
        <tr r="O1093" s="2"/>
      </tp>
      <tp t="s">
        <v>#N/A N/A</v>
        <stp/>
        <stp>BDP|5312815951110559385</stp>
        <tr r="D619" s="2"/>
      </tp>
      <tp t="s">
        <v>#N/A N/A</v>
        <stp/>
        <stp>BDP|2457229898853227122</stp>
        <tr r="E1584" s="2"/>
      </tp>
      <tp t="s">
        <v>#N/A N/A</v>
        <stp/>
        <stp>BDP|5699532930801805934</stp>
        <tr r="R46" s="2"/>
      </tp>
      <tp t="s">
        <v>#N/A N/A</v>
        <stp/>
        <stp>BDP|9682560213371990745</stp>
        <tr r="D1139" s="2"/>
      </tp>
      <tp t="s">
        <v>#N/A N/A</v>
        <stp/>
        <stp>BDP|4276556187767608581</stp>
        <tr r="S730" s="2"/>
      </tp>
      <tp t="s">
        <v>#N/A N/A</v>
        <stp/>
        <stp>BDP|1916661448391806915</stp>
        <tr r="P703" s="2"/>
      </tp>
      <tp t="s">
        <v>#N/A N/A</v>
        <stp/>
        <stp>BDP|7867873757155168474</stp>
        <tr r="N460" s="2"/>
      </tp>
      <tp t="s">
        <v>#N/A N/A</v>
        <stp/>
        <stp>BDP|7453758852079568792</stp>
        <tr r="K159" s="2"/>
      </tp>
      <tp t="s">
        <v>#N/A N/A</v>
        <stp/>
        <stp>BDP|4950029606758662744</stp>
        <tr r="E1714" s="2"/>
      </tp>
      <tp t="s">
        <v>#N/A N/A</v>
        <stp/>
        <stp>BDP|7690582730932039818</stp>
        <tr r="E824" s="2"/>
      </tp>
      <tp t="s">
        <v>#N/A N/A</v>
        <stp/>
        <stp>BDP|4664704220243907908</stp>
        <tr r="J656" s="2"/>
      </tp>
      <tp t="s">
        <v>#N/A N/A</v>
        <stp/>
        <stp>BDP|3291067558694623952</stp>
        <tr r="P403" s="2"/>
      </tp>
      <tp t="s">
        <v>#N/A N/A</v>
        <stp/>
        <stp>BDP|1096163006069958267</stp>
        <tr r="F635" s="2"/>
      </tp>
      <tp t="s">
        <v>#N/A N/A</v>
        <stp/>
        <stp>BDP|4841999511073979462</stp>
        <tr r="K1191" s="2"/>
      </tp>
      <tp t="s">
        <v>#N/A N/A</v>
        <stp/>
        <stp>BDP|5978826580616482804</stp>
        <tr r="R1682" s="2"/>
      </tp>
      <tp t="s">
        <v>#N/A N/A</v>
        <stp/>
        <stp>BDP|4361925635674969128</stp>
        <tr r="C52" s="2"/>
      </tp>
      <tp t="s">
        <v>#N/A N/A</v>
        <stp/>
        <stp>BDP|8869426631434680026</stp>
        <tr r="D1380" s="2"/>
      </tp>
      <tp t="s">
        <v>#N/A N/A</v>
        <stp/>
        <stp>BDP|3636442447728224089</stp>
        <tr r="C1473" s="2"/>
      </tp>
      <tp t="s">
        <v>#N/A N/A</v>
        <stp/>
        <stp>BDP|5937937024934321122</stp>
        <tr r="J881" s="2"/>
      </tp>
      <tp t="s">
        <v>#N/A N/A</v>
        <stp/>
        <stp>BDP|9821967626318590122</stp>
        <tr r="T1604" s="2"/>
      </tp>
      <tp t="s">
        <v>#N/A N/A</v>
        <stp/>
        <stp>BDS|9886205875314017321</stp>
        <tr r="I1280" s="2"/>
      </tp>
      <tp t="s">
        <v>#N/A N/A</v>
        <stp/>
        <stp>BDP|2810724525129203528</stp>
        <tr r="D887" s="2"/>
      </tp>
      <tp t="s">
        <v>#N/A N/A</v>
        <stp/>
        <stp>BDP|9571036654207483097</stp>
        <tr r="D235" s="2"/>
      </tp>
      <tp t="s">
        <v>#N/A N/A</v>
        <stp/>
        <stp>BDP|5461846509521606709</stp>
        <tr r="O1562" s="2"/>
      </tp>
      <tp t="s">
        <v>#N/A N/A</v>
        <stp/>
        <stp>BDP|4628838295386763883</stp>
        <tr r="J869" s="2"/>
      </tp>
      <tp t="s">
        <v>#N/A N/A</v>
        <stp/>
        <stp>BDP|8274486704610433758</stp>
        <tr r="Q10" s="2"/>
      </tp>
      <tp t="s">
        <v>#N/A N/A</v>
        <stp/>
        <stp>BDP|2343748266488936077</stp>
        <tr r="K1211" s="2"/>
      </tp>
      <tp t="s">
        <v>#N/A N/A</v>
        <stp/>
        <stp>BDP|2747393345927370976</stp>
        <tr r="K1711" s="2"/>
      </tp>
      <tp t="s">
        <v>#N/A N/A</v>
        <stp/>
        <stp>BDP|5774535963234974918</stp>
        <tr r="A141" s="2"/>
      </tp>
      <tp t="s">
        <v>#N/A N/A</v>
        <stp/>
        <stp>BDS|4775785711018178109</stp>
        <tr r="I1539" s="2"/>
      </tp>
      <tp t="s">
        <v>#N/A N/A</v>
        <stp/>
        <stp>BDP|3858708497380733673</stp>
        <tr r="S274" s="2"/>
      </tp>
      <tp t="s">
        <v>#N/A N/A</v>
        <stp/>
        <stp>BDP|8984733819180909554</stp>
        <tr r="A530" s="2"/>
      </tp>
      <tp t="s">
        <v>#N/A N/A</v>
        <stp/>
        <stp>BDP|7424608281694860624</stp>
        <tr r="R343" s="2"/>
      </tp>
      <tp t="s">
        <v>#N/A N/A</v>
        <stp/>
        <stp>BDP|5245929608226189169</stp>
        <tr r="N1496" s="2"/>
      </tp>
      <tp t="s">
        <v>#N/A N/A</v>
        <stp/>
        <stp>BDP|5503054496220017796</stp>
        <tr r="C716" s="2"/>
      </tp>
      <tp t="s">
        <v>#N/A N/A</v>
        <stp/>
        <stp>BDP|1910826853634182368</stp>
        <tr r="A1114" s="2"/>
      </tp>
      <tp t="s">
        <v>#N/A N/A</v>
        <stp/>
        <stp>BDP|3489015726863472983</stp>
        <tr r="O420" s="2"/>
      </tp>
      <tp t="s">
        <v>#N/A N/A</v>
        <stp/>
        <stp>BDP|5625557974745822901</stp>
        <tr r="G1656" s="2"/>
      </tp>
      <tp t="s">
        <v>#N/A N/A</v>
        <stp/>
        <stp>BDP|2924775217846165979</stp>
        <tr r="A639" s="2"/>
      </tp>
      <tp t="s">
        <v>#N/A N/A</v>
        <stp/>
        <stp>BDP|6714326449279354300</stp>
        <tr r="N1349" s="2"/>
      </tp>
      <tp t="s">
        <v>#N/A N/A</v>
        <stp/>
        <stp>BDP|9617153989658168342</stp>
        <tr r="H641" s="2"/>
      </tp>
      <tp t="s">
        <v>#N/A N/A</v>
        <stp/>
        <stp>BDP|1675080901249924397</stp>
        <tr r="A515" s="2"/>
      </tp>
      <tp t="s">
        <v>#N/A N/A</v>
        <stp/>
        <stp>BDP|9428233475136920142</stp>
        <tr r="G81" s="2"/>
      </tp>
      <tp t="s">
        <v>#N/A N/A</v>
        <stp/>
        <stp>BDP|6333327588161666700</stp>
        <tr r="G325" s="2"/>
      </tp>
      <tp t="s">
        <v>#N/A N/A</v>
        <stp/>
        <stp>BDP|6998472932993194928</stp>
        <tr r="C1030" s="2"/>
      </tp>
      <tp t="s">
        <v>#N/A N/A</v>
        <stp/>
        <stp>BDS|8182588204882395411</stp>
        <tr r="I1703" s="2"/>
      </tp>
      <tp t="s">
        <v>#N/A N/A</v>
        <stp/>
        <stp>BDP|9081329655473118797</stp>
        <tr r="A648" s="2"/>
      </tp>
      <tp t="s">
        <v>#N/A N/A</v>
        <stp/>
        <stp>BDP|2904144995387636616</stp>
        <tr r="K758" s="2"/>
      </tp>
      <tp t="s">
        <v>#N/A N/A</v>
        <stp/>
        <stp>BDP|9359177109332224101</stp>
        <tr r="K1492" s="2"/>
      </tp>
      <tp t="s">
        <v>#N/A N/A</v>
        <stp/>
        <stp>BDP|9301508881547481890</stp>
        <tr r="F339" s="2"/>
      </tp>
      <tp t="s">
        <v>#N/A N/A</v>
        <stp/>
        <stp>BDP|5103466199791801294</stp>
        <tr r="G1733" s="2"/>
      </tp>
      <tp t="s">
        <v>#N/A N/A</v>
        <stp/>
        <stp>BDP|1319158418488685271</stp>
        <tr r="H1238" s="2"/>
      </tp>
      <tp t="s">
        <v>#N/A N/A</v>
        <stp/>
        <stp>BDP|3071205839111728815</stp>
        <tr r="A777" s="2"/>
      </tp>
      <tp t="s">
        <v>#N/A N/A</v>
        <stp/>
        <stp>BDP|9289739107521126481</stp>
        <tr r="R1625" s="2"/>
      </tp>
      <tp t="s">
        <v>#N/A N/A</v>
        <stp/>
        <stp>BDP|8209645763624341790</stp>
        <tr r="T292" s="2"/>
      </tp>
      <tp t="s">
        <v>#N/A N/A</v>
        <stp/>
        <stp>BDP|2782022134299882367</stp>
        <tr r="S1638" s="2"/>
      </tp>
      <tp t="s">
        <v>#N/A N/A</v>
        <stp/>
        <stp>BDP|5248399637238398600</stp>
        <tr r="C1553" s="2"/>
      </tp>
      <tp t="s">
        <v>#N/A N/A</v>
        <stp/>
        <stp>BDP|6361024990284806066</stp>
        <tr r="C149" s="2"/>
      </tp>
      <tp t="s">
        <v>#N/A N/A</v>
        <stp/>
        <stp>BDP|1481116444976851964</stp>
        <tr r="D1271" s="2"/>
      </tp>
      <tp t="s">
        <v>#N/A N/A</v>
        <stp/>
        <stp>BDP|2859872949786101386</stp>
        <tr r="F934" s="2"/>
      </tp>
      <tp t="s">
        <v>#N/A N/A</v>
        <stp/>
        <stp>BDP|6416414388587446662</stp>
        <tr r="N998" s="2"/>
      </tp>
      <tp t="s">
        <v>#N/A N/A</v>
        <stp/>
        <stp>BDP|4563834863586067798</stp>
        <tr r="A533" s="2"/>
      </tp>
      <tp t="s">
        <v>#N/A N/A</v>
        <stp/>
        <stp>BDP|2390941178405236217</stp>
        <tr r="F1638" s="2"/>
      </tp>
      <tp t="s">
        <v>#N/A N/A</v>
        <stp/>
        <stp>BDP|9325546869410329119</stp>
        <tr r="N819" s="2"/>
      </tp>
      <tp t="s">
        <v>#N/A N/A</v>
        <stp/>
        <stp>BDP|4738628993622939235</stp>
        <tr r="N1663" s="2"/>
      </tp>
      <tp t="s">
        <v>#N/A N/A</v>
        <stp/>
        <stp>BDP|8891415433683629702</stp>
        <tr r="Q629" s="2"/>
      </tp>
      <tp t="s">
        <v>#N/A N/A</v>
        <stp/>
        <stp>BDP|8396997033450365966</stp>
        <tr r="N936" s="2"/>
      </tp>
      <tp t="s">
        <v>#N/A N/A</v>
        <stp/>
        <stp>BDP|3704403769503183934</stp>
        <tr r="D489" s="2"/>
      </tp>
      <tp t="s">
        <v>#N/A N/A</v>
        <stp/>
        <stp>BDP|8540812060858854501</stp>
        <tr r="H229" s="2"/>
      </tp>
      <tp t="s">
        <v>#N/A N/A</v>
        <stp/>
        <stp>BDP|1292232057004254983</stp>
        <tr r="R775" s="2"/>
      </tp>
      <tp t="s">
        <v>#N/A N/A</v>
        <stp/>
        <stp>BDP|6096276645553952872</stp>
        <tr r="C171" s="2"/>
      </tp>
      <tp t="s">
        <v>#N/A N/A</v>
        <stp/>
        <stp>BDP|1200173486624604798</stp>
        <tr r="G1189" s="2"/>
      </tp>
      <tp t="s">
        <v>#N/A N/A</v>
        <stp/>
        <stp>BDP|9721204405167891763</stp>
        <tr r="N15" s="2"/>
      </tp>
      <tp t="s">
        <v>#N/A N/A</v>
        <stp/>
        <stp>BDP|6338359294113933475</stp>
        <tr r="R350" s="2"/>
      </tp>
      <tp t="s">
        <v>#N/A N/A</v>
        <stp/>
        <stp>BDP|3411755908448396764</stp>
        <tr r="S568" s="2"/>
      </tp>
      <tp t="s">
        <v>#N/A N/A</v>
        <stp/>
        <stp>BDP|2137583025727590952</stp>
        <tr r="M665" s="2"/>
      </tp>
      <tp t="s">
        <v>#N/A N/A</v>
        <stp/>
        <stp>BDP|9964559757344415631</stp>
        <tr r="E1032" s="2"/>
      </tp>
      <tp t="s">
        <v>#N/A N/A</v>
        <stp/>
        <stp>BDP|6727328795643889448</stp>
        <tr r="S424" s="2"/>
      </tp>
      <tp t="s">
        <v>#N/A N/A</v>
        <stp/>
        <stp>BDP|8674689200897194233</stp>
        <tr r="H284" s="2"/>
      </tp>
      <tp t="s">
        <v>#N/A N/A</v>
        <stp/>
        <stp>BDP|4416691001149172019</stp>
        <tr r="O1273" s="2"/>
      </tp>
      <tp t="s">
        <v>#N/A N/A</v>
        <stp/>
        <stp>BDP|5677888721356616252</stp>
        <tr r="Q1662" s="2"/>
      </tp>
      <tp t="s">
        <v>#N/A N/A</v>
        <stp/>
        <stp>BDP|1575789840070757964</stp>
        <tr r="K1726" s="2"/>
      </tp>
      <tp t="s">
        <v>#N/A N/A</v>
        <stp/>
        <stp>BDP|2585144273867688883</stp>
        <tr r="P879" s="2"/>
      </tp>
      <tp t="s">
        <v>#N/A N/A</v>
        <stp/>
        <stp>BDP|5711425659689784675</stp>
        <tr r="C1080" s="2"/>
      </tp>
      <tp t="s">
        <v>#N/A N/A</v>
        <stp/>
        <stp>BDP|2599020872709973707</stp>
        <tr r="H1374" s="2"/>
      </tp>
      <tp t="s">
        <v>#N/A N/A</v>
        <stp/>
        <stp>BDP|2578043522839876275</stp>
        <tr r="J676" s="2"/>
      </tp>
      <tp t="s">
        <v>#N/A N/A</v>
        <stp/>
        <stp>BDP|8017628084094917936</stp>
        <tr r="G240" s="2"/>
      </tp>
      <tp t="s">
        <v>#N/A N/A</v>
        <stp/>
        <stp>BDP|5199782382745658418</stp>
        <tr r="A317" s="2"/>
      </tp>
      <tp t="s">
        <v>#N/A N/A</v>
        <stp/>
        <stp>BDP|4642893160330063133</stp>
        <tr r="S1079" s="2"/>
      </tp>
      <tp t="s">
        <v>#N/A N/A</v>
        <stp/>
        <stp>BDP|1119860021051852125</stp>
        <tr r="N1633" s="2"/>
      </tp>
      <tp t="s">
        <v>#N/A N/A</v>
        <stp/>
        <stp>BDP|5987030215497244819</stp>
        <tr r="C1114" s="2"/>
      </tp>
      <tp t="s">
        <v>#N/A N/A</v>
        <stp/>
        <stp>BDP|8814308021993124143</stp>
        <tr r="D585" s="2"/>
      </tp>
      <tp t="s">
        <v>#N/A N/A</v>
        <stp/>
        <stp>BDS|8882188328434209466</stp>
        <tr r="I329" s="2"/>
      </tp>
      <tp t="s">
        <v>#N/A N/A</v>
        <stp/>
        <stp>BDS|5810197442458830372</stp>
        <tr r="I515" s="2"/>
      </tp>
      <tp t="s">
        <v>#N/A N/A</v>
        <stp/>
        <stp>BDP|8151213674913853509</stp>
        <tr r="O522" s="2"/>
      </tp>
      <tp t="s">
        <v>#N/A N/A</v>
        <stp/>
        <stp>BDP|9561181172002375603</stp>
        <tr r="Q78" s="2"/>
      </tp>
      <tp t="s">
        <v>#N/A N/A</v>
        <stp/>
        <stp>BDP|6102350528655424947</stp>
        <tr r="R1023" s="2"/>
      </tp>
      <tp t="s">
        <v>#N/A N/A</v>
        <stp/>
        <stp>BDP|5923546098912991007</stp>
        <tr r="F647" s="2"/>
      </tp>
      <tp t="s">
        <v>#N/A N/A</v>
        <stp/>
        <stp>BDP|6833110383432031666</stp>
        <tr r="D890" s="2"/>
      </tp>
      <tp t="s">
        <v>#N/A N/A</v>
        <stp/>
        <stp>BDP|9373345149861217409</stp>
        <tr r="T1167" s="2"/>
      </tp>
      <tp t="s">
        <v>#N/A N/A</v>
        <stp/>
        <stp>BDP|6103900892738765583</stp>
        <tr r="H388" s="2"/>
      </tp>
      <tp t="s">
        <v>#N/A N/A</v>
        <stp/>
        <stp>BDP|8325485004315319207</stp>
        <tr r="C1318" s="2"/>
      </tp>
      <tp t="s">
        <v>#N/A N/A</v>
        <stp/>
        <stp>BDP|7879562384107703616</stp>
        <tr r="N434" s="2"/>
      </tp>
      <tp t="s">
        <v>#N/A N/A</v>
        <stp/>
        <stp>BDP|4840923647446740463</stp>
        <tr r="O1033" s="2"/>
      </tp>
      <tp t="s">
        <v>#N/A N/A</v>
        <stp/>
        <stp>BDP|1531929012846019497</stp>
        <tr r="R435" s="2"/>
      </tp>
      <tp t="s">
        <v>#N/A N/A</v>
        <stp/>
        <stp>BDP|3207206029841606919</stp>
        <tr r="K590" s="2"/>
      </tp>
      <tp t="s">
        <v>#N/A N/A</v>
        <stp/>
        <stp>BDP|1037837016200999308</stp>
        <tr r="S1601" s="2"/>
      </tp>
      <tp t="s">
        <v>#N/A N/A</v>
        <stp/>
        <stp>BDP|9502211869995099316</stp>
        <tr r="E1615" s="2"/>
      </tp>
      <tp t="s">
        <v>#N/A N/A</v>
        <stp/>
        <stp>BDP|5857810140292114041</stp>
        <tr r="A1245" s="2"/>
      </tp>
      <tp t="s">
        <v>#N/A N/A</v>
        <stp/>
        <stp>BDP|2854878492209516148</stp>
        <tr r="Q51" s="2"/>
      </tp>
      <tp t="s">
        <v>#N/A N/A</v>
        <stp/>
        <stp>BDP|5514225351969991032</stp>
        <tr r="A1527" s="2"/>
      </tp>
      <tp t="s">
        <v>#N/A N/A</v>
        <stp/>
        <stp>BDP|5808317860828003359</stp>
        <tr r="O1739" s="2"/>
      </tp>
      <tp t="s">
        <v>#N/A N/A</v>
        <stp/>
        <stp>BDP|2402923425444900661</stp>
        <tr r="E973" s="2"/>
      </tp>
      <tp t="s">
        <v>#N/A N/A</v>
        <stp/>
        <stp>BDP|2266804306173111294</stp>
        <tr r="T716" s="2"/>
      </tp>
      <tp t="s">
        <v>#N/A N/A</v>
        <stp/>
        <stp>BDP|7360020878343502803</stp>
        <tr r="R747" s="2"/>
      </tp>
      <tp t="s">
        <v>#N/A N/A</v>
        <stp/>
        <stp>BDP|7525172359918054065</stp>
        <tr r="J277" s="2"/>
      </tp>
      <tp t="s">
        <v>#N/A N/A</v>
        <stp/>
        <stp>BDS|8548384187831667914</stp>
        <tr r="I1307" s="2"/>
      </tp>
      <tp t="s">
        <v>#N/A N/A</v>
        <stp/>
        <stp>BDP|7660901783809166492</stp>
        <tr r="D422" s="2"/>
      </tp>
      <tp t="s">
        <v>#N/A N/A</v>
        <stp/>
        <stp>BDP|1997113791954499601</stp>
        <tr r="T1562" s="2"/>
      </tp>
      <tp t="s">
        <v>#N/A N/A</v>
        <stp/>
        <stp>BDP|4833821920850041575</stp>
        <tr r="T1508" s="2"/>
      </tp>
      <tp t="s">
        <v>#N/A N/A</v>
        <stp/>
        <stp>BDP|6872810294994162813</stp>
        <tr r="E1037" s="2"/>
      </tp>
      <tp t="s">
        <v>#N/A N/A</v>
        <stp/>
        <stp>BDP|6661875451617482797</stp>
        <tr r="K756" s="2"/>
      </tp>
      <tp t="s">
        <v>#N/A N/A</v>
        <stp/>
        <stp>BDP|8112562049635666759</stp>
        <tr r="J1152" s="2"/>
      </tp>
      <tp t="s">
        <v>#N/A N/A</v>
        <stp/>
        <stp>BDP|7933423563559562709</stp>
        <tr r="D1031" s="2"/>
      </tp>
      <tp t="s">
        <v>#N/A N/A</v>
        <stp/>
        <stp>BDP|9604984295371590334</stp>
        <tr r="K1258" s="2"/>
      </tp>
      <tp t="s">
        <v>#N/A N/A</v>
        <stp/>
        <stp>BDP|7989282649732444813</stp>
        <tr r="M1751" s="2"/>
      </tp>
      <tp t="s">
        <v>#N/A N/A</v>
        <stp/>
        <stp>BDP|9942469243953401159</stp>
        <tr r="G902" s="2"/>
      </tp>
      <tp t="s">
        <v>#N/A N/A</v>
        <stp/>
        <stp>BDP|3396501146438193198</stp>
        <tr r="S478" s="2"/>
      </tp>
      <tp t="s">
        <v>#N/A N/A</v>
        <stp/>
        <stp>BDP|2282185147005141914</stp>
        <tr r="H424" s="2"/>
      </tp>
      <tp t="s">
        <v>#N/A N/A</v>
        <stp/>
        <stp>BDP|7895673530030621945</stp>
        <tr r="Q1571" s="2"/>
      </tp>
      <tp t="s">
        <v>#N/A N/A</v>
        <stp/>
        <stp>BDP|8066671718624251009</stp>
        <tr r="D710" s="2"/>
      </tp>
      <tp t="s">
        <v>#N/A N/A</v>
        <stp/>
        <stp>BDP|3198489384922175613</stp>
        <tr r="K429" s="2"/>
      </tp>
      <tp t="s">
        <v>#N/A N/A</v>
        <stp/>
        <stp>BDP|4106756282272805238</stp>
        <tr r="O1576" s="2"/>
      </tp>
      <tp t="s">
        <v>#N/A N/A</v>
        <stp/>
        <stp>BDP|1549606198851471441</stp>
        <tr r="J688" s="2"/>
      </tp>
      <tp t="s">
        <v>#N/A N/A</v>
        <stp/>
        <stp>BDP|6731068269783405810</stp>
        <tr r="K185" s="2"/>
      </tp>
      <tp t="s">
        <v>#N/A N/A</v>
        <stp/>
        <stp>BDP|5120970975932963271</stp>
        <tr r="K1112" s="2"/>
      </tp>
      <tp t="s">
        <v>#N/A N/A</v>
        <stp/>
        <stp>BDP|3261241091425285684</stp>
        <tr r="E1106" s="2"/>
      </tp>
      <tp t="s">
        <v>#N/A N/A</v>
        <stp/>
        <stp>BDS|5940909303153711401</stp>
        <tr r="I989" s="2"/>
      </tp>
      <tp t="s">
        <v>#N/A N/A</v>
        <stp/>
        <stp>BDP|6252982175821248204</stp>
        <tr r="S1473" s="2"/>
      </tp>
      <tp t="s">
        <v>#N/A N/A</v>
        <stp/>
        <stp>BDP|8065609047533322296</stp>
        <tr r="C1583" s="2"/>
      </tp>
      <tp t="s">
        <v>#N/A N/A</v>
        <stp/>
        <stp>BDP|7597868751726684790</stp>
        <tr r="N290" s="2"/>
      </tp>
      <tp t="s">
        <v>#N/A N/A</v>
        <stp/>
        <stp>BDP|9405319691211825917</stp>
        <tr r="E1194" s="2"/>
      </tp>
      <tp t="s">
        <v>#N/A N/A</v>
        <stp/>
        <stp>BDP|4365139311259555699</stp>
        <tr r="D639" s="2"/>
      </tp>
      <tp t="s">
        <v>#N/A N/A</v>
        <stp/>
        <stp>BDP|4249819256973121197</stp>
        <tr r="S63" s="2"/>
      </tp>
      <tp t="s">
        <v>#N/A N/A</v>
        <stp/>
        <stp>BDS|8653051667156069391</stp>
        <tr r="I1245" s="2"/>
      </tp>
      <tp t="s">
        <v>#N/A N/A</v>
        <stp/>
        <stp>BDP|1782686492521121419</stp>
        <tr r="M818" s="2"/>
      </tp>
      <tp t="s">
        <v>#N/A N/A</v>
        <stp/>
        <stp>BDP|9114988482443641009</stp>
        <tr r="Q1370" s="2"/>
      </tp>
      <tp t="s">
        <v>#N/A N/A</v>
        <stp/>
        <stp>BDP|3644974445610121584</stp>
        <tr r="S1699" s="2"/>
      </tp>
      <tp t="s">
        <v>#N/A N/A</v>
        <stp/>
        <stp>BDP|5254123593560608683</stp>
        <tr r="S1087" s="2"/>
      </tp>
      <tp t="s">
        <v>#N/A N/A</v>
        <stp/>
        <stp>BDP|7441133012578109492</stp>
        <tr r="T7" s="2"/>
      </tp>
      <tp t="s">
        <v>#N/A N/A</v>
        <stp/>
        <stp>BDS|5040081801669795739</stp>
        <tr r="I1000" s="2"/>
      </tp>
      <tp t="s">
        <v>#N/A N/A</v>
        <stp/>
        <stp>BDP|9685020703937365594</stp>
        <tr r="Q718" s="2"/>
      </tp>
      <tp t="s">
        <v>#N/A N/A</v>
        <stp/>
        <stp>BDP|5506075546208038297</stp>
        <tr r="O1005" s="2"/>
      </tp>
      <tp t="s">
        <v>#N/A N/A</v>
        <stp/>
        <stp>BDP|5670238076632988972</stp>
        <tr r="J804" s="2"/>
      </tp>
      <tp t="s">
        <v>#N/A N/A</v>
        <stp/>
        <stp>BDP|3227115080686718792</stp>
        <tr r="R405" s="2"/>
      </tp>
      <tp t="s">
        <v>#N/A N/A</v>
        <stp/>
        <stp>BDP|4863644666556737906</stp>
        <tr r="D284" s="2"/>
      </tp>
      <tp t="s">
        <v>#N/A N/A</v>
        <stp/>
        <stp>BDS|5549525519888093231</stp>
        <tr r="I541" s="2"/>
      </tp>
      <tp t="s">
        <v>#N/A N/A</v>
        <stp/>
        <stp>BDP|4330706492558440986</stp>
        <tr r="K1590" s="2"/>
      </tp>
      <tp t="s">
        <v>#N/A N/A</v>
        <stp/>
        <stp>BDP|7373680520361686908</stp>
        <tr r="M420" s="2"/>
      </tp>
      <tp t="s">
        <v>#N/A N/A</v>
        <stp/>
        <stp>BDP|1647987222680735162</stp>
        <tr r="Q1357" s="2"/>
      </tp>
      <tp t="s">
        <v>#N/A N/A</v>
        <stp/>
        <stp>BDP|1712851889062106874</stp>
        <tr r="C925" s="2"/>
      </tp>
      <tp t="s">
        <v>#N/A N/A</v>
        <stp/>
        <stp>BDP|7321167458931020909</stp>
        <tr r="M1750" s="2"/>
      </tp>
      <tp t="s">
        <v>#N/A N/A</v>
        <stp/>
        <stp>BDP|4446944443674602681</stp>
        <tr r="H1688" s="2"/>
      </tp>
      <tp t="s">
        <v>#N/A N/A</v>
        <stp/>
        <stp>BDP|5525868229930655411</stp>
        <tr r="F1086" s="2"/>
      </tp>
      <tp t="s">
        <v>#N/A N/A</v>
        <stp/>
        <stp>BDP|1192850388868969280</stp>
        <tr r="T101" s="2"/>
      </tp>
      <tp t="s">
        <v>#N/A N/A</v>
        <stp/>
        <stp>BDS|7052968827373893443</stp>
        <tr r="I571" s="2"/>
      </tp>
      <tp t="s">
        <v>#N/A N/A</v>
        <stp/>
        <stp>BDP|3133806048550422404</stp>
        <tr r="A858" s="2"/>
      </tp>
      <tp t="s">
        <v>#N/A N/A</v>
        <stp/>
        <stp>BDP|1974582163268906161</stp>
        <tr r="M1719" s="2"/>
      </tp>
      <tp t="s">
        <v>#N/A N/A</v>
        <stp/>
        <stp>BDP|8895186459657481007</stp>
        <tr r="F36" s="2"/>
      </tp>
      <tp t="s">
        <v>#N/A N/A</v>
        <stp/>
        <stp>BDP|9476522165002766395</stp>
        <tr r="N160" s="2"/>
      </tp>
      <tp t="s">
        <v>#N/A N/A</v>
        <stp/>
        <stp>BDP|1556465833455936841</stp>
        <tr r="N1344" s="2"/>
      </tp>
      <tp t="s">
        <v>#N/A N/A</v>
        <stp/>
        <stp>BDP|4758588309828357286</stp>
        <tr r="G793" s="2"/>
      </tp>
      <tp t="s">
        <v>#N/A N/A</v>
        <stp/>
        <stp>BDP|9193255811687063675</stp>
        <tr r="N652" s="2"/>
      </tp>
      <tp t="s">
        <v>#N/A N/A</v>
        <stp/>
        <stp>BDP|5102588174824785880</stp>
        <tr r="F358" s="2"/>
      </tp>
      <tp t="s">
        <v>#N/A N/A</v>
        <stp/>
        <stp>BDP|4603268106064733933</stp>
        <tr r="F415" s="2"/>
      </tp>
      <tp t="s">
        <v>#N/A N/A</v>
        <stp/>
        <stp>BDP|1497192011152860864</stp>
        <tr r="K1347" s="2"/>
      </tp>
      <tp t="s">
        <v>#N/A N/A</v>
        <stp/>
        <stp>BDP|2589012486376527753</stp>
        <tr r="J1026" s="2"/>
      </tp>
      <tp t="s">
        <v>#N/A N/A</v>
        <stp/>
        <stp>BDP|6326818867115640617</stp>
        <tr r="G858" s="2"/>
      </tp>
      <tp t="s">
        <v>#N/A N/A</v>
        <stp/>
        <stp>BDP|8748148614542741125</stp>
        <tr r="K1245" s="2"/>
      </tp>
      <tp t="s">
        <v>#N/A N/A</v>
        <stp/>
        <stp>BDP|5332628131838595371</stp>
        <tr r="R809" s="2"/>
      </tp>
      <tp t="s">
        <v>#N/A N/A</v>
        <stp/>
        <stp>BDP|5194738850158829489</stp>
        <tr r="C452" s="2"/>
      </tp>
      <tp t="s">
        <v>#N/A N/A</v>
        <stp/>
        <stp>BDP|7510059563819688373</stp>
        <tr r="T646" s="2"/>
      </tp>
      <tp t="s">
        <v>#N/A N/A</v>
        <stp/>
        <stp>BDP|4028928351201355226</stp>
        <tr r="R1021" s="2"/>
      </tp>
      <tp t="s">
        <v>#N/A N/A</v>
        <stp/>
        <stp>BDP|3011065981991008156</stp>
        <tr r="Q392" s="2"/>
      </tp>
      <tp t="s">
        <v>#N/A N/A</v>
        <stp/>
        <stp>BDP|9403361536757199574</stp>
        <tr r="P1488" s="2"/>
      </tp>
      <tp t="s">
        <v>#N/A N/A</v>
        <stp/>
        <stp>BDP|2696762950069618240</stp>
        <tr r="Q1108" s="2"/>
      </tp>
      <tp t="s">
        <v>#N/A N/A</v>
        <stp/>
        <stp>BDP|5959909180909290696</stp>
        <tr r="P1380" s="2"/>
      </tp>
      <tp t="s">
        <v>#N/A N/A</v>
        <stp/>
        <stp>BDP|2883277222449633094</stp>
        <tr r="A1355" s="2"/>
      </tp>
      <tp t="s">
        <v>#N/A N/A</v>
        <stp/>
        <stp>BDS|6677313036869067435</stp>
        <tr r="I1692" s="2"/>
      </tp>
      <tp t="s">
        <v>#N/A N/A</v>
        <stp/>
        <stp>BDP|8665875523051396836</stp>
        <tr r="E1286" s="2"/>
      </tp>
      <tp t="s">
        <v>#N/A N/A</v>
        <stp/>
        <stp>BDP|9580395853904407098</stp>
        <tr r="C524" s="2"/>
      </tp>
      <tp t="s">
        <v>#N/A N/A</v>
        <stp/>
        <stp>BDP|9089070034057965682</stp>
        <tr r="K1277" s="2"/>
      </tp>
      <tp t="s">
        <v>#N/A N/A</v>
        <stp/>
        <stp>BDP|1332336680385796453</stp>
        <tr r="C1091" s="2"/>
      </tp>
      <tp t="s">
        <v>#N/A N/A</v>
        <stp/>
        <stp>BDP|2051463081932785728</stp>
        <tr r="Q214" s="2"/>
      </tp>
      <tp t="s">
        <v>#N/A N/A</v>
        <stp/>
        <stp>BDP|3200917924853590009</stp>
        <tr r="P1181" s="2"/>
      </tp>
      <tp t="s">
        <v>#N/A N/A</v>
        <stp/>
        <stp>BDP|6783416943945211858</stp>
        <tr r="T529" s="2"/>
      </tp>
      <tp t="s">
        <v>#N/A N/A</v>
        <stp/>
        <stp>BDP|8848613658946252615</stp>
        <tr r="P1134" s="2"/>
      </tp>
      <tp t="s">
        <v>#N/A N/A</v>
        <stp/>
        <stp>BDP|2930853989228551129</stp>
        <tr r="O551" s="2"/>
      </tp>
      <tp t="s">
        <v>#N/A N/A</v>
        <stp/>
        <stp>BDP|1721249560007382922</stp>
        <tr r="J273" s="2"/>
      </tp>
      <tp t="s">
        <v>#N/A N/A</v>
        <stp/>
        <stp>BDP|6727196005795933901</stp>
        <tr r="M1430" s="2"/>
      </tp>
      <tp t="s">
        <v>#N/A N/A</v>
        <stp/>
        <stp>BDP|5773977501084036332</stp>
        <tr r="M350" s="2"/>
      </tp>
      <tp t="s">
        <v>#N/A N/A</v>
        <stp/>
        <stp>BDP|5223042647092325803</stp>
        <tr r="A575" s="2"/>
      </tp>
      <tp t="s">
        <v>#N/A N/A</v>
        <stp/>
        <stp>BDP|4784441245058718739</stp>
        <tr r="G154" s="2"/>
      </tp>
      <tp t="s">
        <v>#N/A N/A</v>
        <stp/>
        <stp>BDP|2257961313239360860</stp>
        <tr r="A113" s="2"/>
      </tp>
      <tp t="s">
        <v>#N/A N/A</v>
        <stp/>
        <stp>BDS|9420729920391421609</stp>
        <tr r="I577" s="2"/>
      </tp>
      <tp t="s">
        <v>#N/A N/A</v>
        <stp/>
        <stp>BDP|8346521653804482745</stp>
        <tr r="G1021" s="2"/>
      </tp>
      <tp t="s">
        <v>#N/A N/A</v>
        <stp/>
        <stp>BDP|2934994862506207022</stp>
        <tr r="N1508" s="2"/>
      </tp>
      <tp t="s">
        <v>#N/A N/A</v>
        <stp/>
        <stp>BDP|6446883730222803466</stp>
        <tr r="M180" s="2"/>
      </tp>
      <tp t="s">
        <v>#N/A N/A</v>
        <stp/>
        <stp>BDP|2918808719358489861</stp>
        <tr r="K255" s="2"/>
      </tp>
      <tp t="s">
        <v>#N/A N/A</v>
        <stp/>
        <stp>BDP|8136133070631010405</stp>
        <tr r="J647" s="2"/>
      </tp>
      <tp t="s">
        <v>#N/A N/A</v>
        <stp/>
        <stp>BDP|3904370586975339698</stp>
        <tr r="D1529" s="2"/>
      </tp>
      <tp t="s">
        <v>#N/A N/A</v>
        <stp/>
        <stp>BDP|3506921623814347758</stp>
        <tr r="O846" s="2"/>
      </tp>
      <tp t="s">
        <v>#N/A N/A</v>
        <stp/>
        <stp>BDP|3238118854149563509</stp>
        <tr r="J359" s="2"/>
      </tp>
      <tp t="s">
        <v>#N/A N/A</v>
        <stp/>
        <stp>BDP|5369866950001620217</stp>
        <tr r="P995" s="2"/>
      </tp>
      <tp t="s">
        <v>#N/A N/A</v>
        <stp/>
        <stp>BDP|8511988537648822108</stp>
        <tr r="H1656" s="2"/>
      </tp>
      <tp t="s">
        <v>#N/A N/A</v>
        <stp/>
        <stp>BDS|1279013122420606856</stp>
        <tr r="I324" s="2"/>
      </tp>
      <tp t="s">
        <v>#N/A N/A</v>
        <stp/>
        <stp>BDP|2838762465290146883</stp>
        <tr r="G878" s="2"/>
      </tp>
      <tp t="s">
        <v>#N/A N/A</v>
        <stp/>
        <stp>BDP|4140833125242648735</stp>
        <tr r="T858" s="2"/>
      </tp>
      <tp t="s">
        <v>#N/A N/A</v>
        <stp/>
        <stp>BDP|6523465010230139802</stp>
        <tr r="F916" s="2"/>
      </tp>
      <tp t="s">
        <v>#N/A N/A</v>
        <stp/>
        <stp>BDP|7683465530879018220</stp>
        <tr r="P1039" s="2"/>
      </tp>
      <tp t="s">
        <v>#N/A N/A</v>
        <stp/>
        <stp>BDP|7036827674624129754</stp>
        <tr r="P717" s="2"/>
      </tp>
      <tp t="s">
        <v>#N/A N/A</v>
        <stp/>
        <stp>BDP|1048517466711549807</stp>
        <tr r="J932" s="2"/>
      </tp>
      <tp t="s">
        <v>#N/A N/A</v>
        <stp/>
        <stp>BDS|9764809267644790854</stp>
        <tr r="I772" s="2"/>
      </tp>
      <tp t="s">
        <v>#N/A N/A</v>
        <stp/>
        <stp>BDS|7290627501032685852</stp>
        <tr r="I570" s="2"/>
      </tp>
      <tp t="s">
        <v>#N/A N/A</v>
        <stp/>
        <stp>BDP|9378707696658753404</stp>
        <tr r="T357" s="2"/>
      </tp>
      <tp t="s">
        <v>#N/A N/A</v>
        <stp/>
        <stp>BDP|8172353605224242414</stp>
        <tr r="C1569" s="2"/>
      </tp>
      <tp t="s">
        <v>#N/A N/A</v>
        <stp/>
        <stp>BDP|4334570121659650116</stp>
        <tr r="A385" s="2"/>
      </tp>
      <tp t="s">
        <v>#N/A N/A</v>
        <stp/>
        <stp>BDP|4092478547747342814</stp>
        <tr r="D253" s="2"/>
      </tp>
      <tp t="s">
        <v>#N/A N/A</v>
        <stp/>
        <stp>BDP|3252988538436696466</stp>
        <tr r="O973" s="2"/>
      </tp>
      <tp t="s">
        <v>#N/A N/A</v>
        <stp/>
        <stp>BDP|3661867152987375239</stp>
        <tr r="P445" s="2"/>
      </tp>
      <tp t="s">
        <v>#N/A N/A</v>
        <stp/>
        <stp>BDP|4882699198162318287</stp>
        <tr r="D598" s="2"/>
      </tp>
      <tp t="s">
        <v>#N/A N/A</v>
        <stp/>
        <stp>BDP|6809931756515942466</stp>
        <tr r="C576" s="2"/>
      </tp>
      <tp t="s">
        <v>#N/A N/A</v>
        <stp/>
        <stp>BDP|9493078464395613135</stp>
        <tr r="P538" s="2"/>
      </tp>
      <tp t="s">
        <v>#N/A N/A</v>
        <stp/>
        <stp>BDP|3621016704970646860</stp>
        <tr r="O1114" s="2"/>
      </tp>
      <tp t="s">
        <v>#N/A N/A</v>
        <stp/>
        <stp>BDP|4222309998353970606</stp>
        <tr r="P1667" s="2"/>
      </tp>
      <tp t="s">
        <v>#N/A N/A</v>
        <stp/>
        <stp>BDP|8224598402676309095</stp>
        <tr r="T229" s="2"/>
      </tp>
      <tp t="s">
        <v>#N/A N/A</v>
        <stp/>
        <stp>BDP|3084522693293720753</stp>
        <tr r="G621" s="2"/>
      </tp>
      <tp t="s">
        <v>#N/A N/A</v>
        <stp/>
        <stp>BDP|1691926166277450250</stp>
        <tr r="F1107" s="2"/>
      </tp>
      <tp t="s">
        <v>#N/A N/A</v>
        <stp/>
        <stp>BDP|4726781086578276889</stp>
        <tr r="P244" s="2"/>
      </tp>
      <tp t="s">
        <v>#N/A N/A</v>
        <stp/>
        <stp>BDP|9116156973655383171</stp>
        <tr r="F478" s="2"/>
      </tp>
      <tp t="s">
        <v>#N/A N/A</v>
        <stp/>
        <stp>BDP|2249248402503116860</stp>
        <tr r="E107" s="2"/>
      </tp>
      <tp t="s">
        <v>#N/A N/A</v>
        <stp/>
        <stp>BDS|3495103687462414346</stp>
        <tr r="I102" s="2"/>
      </tp>
      <tp t="s">
        <v>#N/A N/A</v>
        <stp/>
        <stp>BDP|5707075937465632828</stp>
        <tr r="K177" s="2"/>
      </tp>
      <tp t="s">
        <v>#N/A N/A</v>
        <stp/>
        <stp>BDP|9592099628301085176</stp>
        <tr r="D331" s="2"/>
      </tp>
      <tp t="s">
        <v>#N/A N/A</v>
        <stp/>
        <stp>BDP|9839499484386139877</stp>
        <tr r="S215" s="2"/>
      </tp>
      <tp t="s">
        <v>#N/A N/A</v>
        <stp/>
        <stp>BDP|7243457798494533599</stp>
        <tr r="O1442" s="2"/>
      </tp>
      <tp t="s">
        <v>#N/A N/A</v>
        <stp/>
        <stp>BDP|4773560904939756316</stp>
        <tr r="N482" s="2"/>
      </tp>
      <tp t="s">
        <v>#N/A N/A</v>
        <stp/>
        <stp>BDP|4082350521097467933</stp>
        <tr r="J126" s="2"/>
      </tp>
      <tp t="s">
        <v>#N/A N/A</v>
        <stp/>
        <stp>BDP|3809875017872854335</stp>
        <tr r="R784" s="2"/>
      </tp>
      <tp t="s">
        <v>#N/A N/A</v>
        <stp/>
        <stp>BDP|7386339588341882636</stp>
        <tr r="H781" s="2"/>
      </tp>
      <tp t="s">
        <v>#N/A N/A</v>
        <stp/>
        <stp>BDP|6340338652718244333</stp>
        <tr r="G1428" s="2"/>
      </tp>
      <tp t="s">
        <v>#N/A N/A</v>
        <stp/>
        <stp>BDP|5347726476897700936</stp>
        <tr r="F276" s="2"/>
      </tp>
      <tp t="s">
        <v>#N/A N/A</v>
        <stp/>
        <stp>BDP|8705445637913427731</stp>
        <tr r="A902" s="2"/>
      </tp>
      <tp t="s">
        <v>#N/A N/A</v>
        <stp/>
        <stp>BDP|4363247875162667879</stp>
        <tr r="F13" s="2"/>
      </tp>
      <tp t="s">
        <v>#N/A N/A</v>
        <stp/>
        <stp>BDP|3906229593673234092</stp>
        <tr r="P282" s="2"/>
      </tp>
      <tp t="s">
        <v>#N/A N/A</v>
        <stp/>
        <stp>BDP|3982115495711707194</stp>
        <tr r="A609" s="2"/>
      </tp>
      <tp t="s">
        <v>#N/A N/A</v>
        <stp/>
        <stp>BDP|8929583569410882033</stp>
        <tr r="P571" s="2"/>
      </tp>
      <tp t="s">
        <v>#N/A N/A</v>
        <stp/>
        <stp>BDP|2377356985070062209</stp>
        <tr r="G805" s="2"/>
      </tp>
      <tp t="s">
        <v>#N/A N/A</v>
        <stp/>
        <stp>BDP|4557772292068307906</stp>
        <tr r="A1386" s="2"/>
      </tp>
      <tp t="s">
        <v>#N/A N/A</v>
        <stp/>
        <stp>BDP|5613027686810781667</stp>
        <tr r="S1114" s="2"/>
      </tp>
      <tp t="s">
        <v>#N/A N/A</v>
        <stp/>
        <stp>BDP|9065595680259844624</stp>
        <tr r="G408" s="2"/>
      </tp>
      <tp t="s">
        <v>#N/A N/A</v>
        <stp/>
        <stp>BDP|1163572902566150965</stp>
        <tr r="A790" s="2"/>
      </tp>
      <tp t="s">
        <v>#N/A N/A</v>
        <stp/>
        <stp>BDP|3918051825183306990</stp>
        <tr r="S252" s="2"/>
      </tp>
      <tp t="s">
        <v>#N/A N/A</v>
        <stp/>
        <stp>BDP|9725856871738060504</stp>
        <tr r="E1646" s="2"/>
      </tp>
      <tp t="s">
        <v>#N/A N/A</v>
        <stp/>
        <stp>BDP|8830423472258859836</stp>
        <tr r="F391" s="2"/>
      </tp>
      <tp t="s">
        <v>#N/A N/A</v>
        <stp/>
        <stp>BDP|3613731391046110061</stp>
        <tr r="E1338" s="2"/>
      </tp>
      <tp t="s">
        <v>#N/A N/A</v>
        <stp/>
        <stp>BDP|6657577111179456076</stp>
        <tr r="M245" s="2"/>
      </tp>
      <tp t="s">
        <v>#N/A N/A</v>
        <stp/>
        <stp>BDP|1311814524601566105</stp>
        <tr r="G1397" s="2"/>
      </tp>
      <tp t="s">
        <v>#N/A N/A</v>
        <stp/>
        <stp>BDP|7177349536129062509</stp>
        <tr r="S305" s="2"/>
      </tp>
      <tp t="s">
        <v>#N/A N/A</v>
        <stp/>
        <stp>BDP|7507894668317529525</stp>
        <tr r="N1465" s="2"/>
      </tp>
      <tp t="s">
        <v>#N/A N/A</v>
        <stp/>
        <stp>BDP|8848985213599729276</stp>
        <tr r="J1339" s="2"/>
      </tp>
      <tp t="s">
        <v>#N/A N/A</v>
        <stp/>
        <stp>BDP|7405179976853502931</stp>
        <tr r="M920" s="2"/>
      </tp>
      <tp t="s">
        <v>#N/A N/A</v>
        <stp/>
        <stp>BDP|5295192553582858838</stp>
        <tr r="G957" s="2"/>
      </tp>
      <tp t="s">
        <v>#N/A N/A</v>
        <stp/>
        <stp>BDS|2087066631053691926</stp>
        <tr r="I1403" s="2"/>
      </tp>
      <tp t="s">
        <v>#N/A N/A</v>
        <stp/>
        <stp>BDS|8833742536326908103</stp>
        <tr r="I998" s="2"/>
      </tp>
      <tp t="s">
        <v>#N/A N/A</v>
        <stp/>
        <stp>BDP|5199520340126754978</stp>
        <tr r="R952" s="2"/>
      </tp>
      <tp t="s">
        <v>#N/A N/A</v>
        <stp/>
        <stp>BDP|2780462897950258472</stp>
        <tr r="A1689" s="2"/>
      </tp>
      <tp t="s">
        <v>#N/A N/A</v>
        <stp/>
        <stp>BDP|5518033856363746841</stp>
        <tr r="K308" s="2"/>
      </tp>
      <tp t="s">
        <v>#N/A N/A</v>
        <stp/>
        <stp>BDP|3718053960496766864</stp>
        <tr r="A1225" s="2"/>
      </tp>
      <tp t="s">
        <v>#N/A N/A</v>
        <stp/>
        <stp>BDP|3657687581890472689</stp>
        <tr r="T759" s="2"/>
      </tp>
      <tp t="s">
        <v>#N/A N/A</v>
        <stp/>
        <stp>BDP|4521535071374351976</stp>
        <tr r="T449" s="2"/>
      </tp>
      <tp t="s">
        <v>#N/A N/A</v>
        <stp/>
        <stp>BDP|8051810406633254861</stp>
        <tr r="C348" s="2"/>
      </tp>
      <tp t="s">
        <v>#N/A N/A</v>
        <stp/>
        <stp>BDP|4739106647779364303</stp>
        <tr r="A1627" s="2"/>
      </tp>
      <tp t="s">
        <v>#N/A N/A</v>
        <stp/>
        <stp>BDP|2814894403554460550</stp>
        <tr r="F1352" s="2"/>
      </tp>
      <tp t="s">
        <v>#N/A N/A</v>
        <stp/>
        <stp>BDP|7560104328479613681</stp>
        <tr r="R1589" s="2"/>
      </tp>
      <tp t="s">
        <v>#N/A N/A</v>
        <stp/>
        <stp>BDP|7610829157411280022</stp>
        <tr r="C1558" s="2"/>
      </tp>
      <tp t="s">
        <v>#N/A N/A</v>
        <stp/>
        <stp>BDS|2166566116278343513</stp>
        <tr r="I17" s="2"/>
      </tp>
      <tp t="s">
        <v>#N/A N/A</v>
        <stp/>
        <stp>BDP|2239921460067899182</stp>
        <tr r="A1087" s="2"/>
      </tp>
      <tp t="s">
        <v>#N/A N/A</v>
        <stp/>
        <stp>BDP|9528191075654855019</stp>
        <tr r="O1740" s="2"/>
      </tp>
      <tp t="s">
        <v>#N/A N/A</v>
        <stp/>
        <stp>BDS|4940802876108751888</stp>
        <tr r="I287" s="2"/>
      </tp>
      <tp t="s">
        <v>#N/A N/A</v>
        <stp/>
        <stp>BDP|6059385162248927039</stp>
        <tr r="C19" s="2"/>
      </tp>
      <tp t="s">
        <v>#N/A N/A</v>
        <stp/>
        <stp>BDP|7285284418618527770</stp>
        <tr r="E1166" s="2"/>
      </tp>
      <tp t="s">
        <v>#N/A N/A</v>
        <stp/>
        <stp>BDP|4082425680321426264</stp>
        <tr r="P1362" s="2"/>
      </tp>
      <tp t="s">
        <v>#N/A N/A</v>
        <stp/>
        <stp>BDP|4529412895624761668</stp>
        <tr r="D298" s="2"/>
      </tp>
      <tp t="s">
        <v>#N/A N/A</v>
        <stp/>
        <stp>BDP|5404441439979824012</stp>
        <tr r="E1510" s="2"/>
      </tp>
      <tp t="s">
        <v>#N/A N/A</v>
        <stp/>
        <stp>BDP|9254636470983163004</stp>
        <tr r="A953" s="2"/>
      </tp>
      <tp t="s">
        <v>#N/A N/A</v>
        <stp/>
        <stp>BDP|2411437785530711559</stp>
        <tr r="S1010" s="2"/>
      </tp>
      <tp t="s">
        <v>#N/A N/A</v>
        <stp/>
        <stp>BDP|2620020399117990741</stp>
        <tr r="J1240" s="2"/>
      </tp>
      <tp t="s">
        <v>#N/A N/A</v>
        <stp/>
        <stp>BDP|5374227676913050877</stp>
        <tr r="C1431" s="2"/>
      </tp>
      <tp t="s">
        <v>#N/A N/A</v>
        <stp/>
        <stp>BDP|5281020531378028512</stp>
        <tr r="R1140" s="2"/>
      </tp>
      <tp t="s">
        <v>#N/A N/A</v>
        <stp/>
        <stp>BDP|9467151632028544869</stp>
        <tr r="E994" s="2"/>
      </tp>
      <tp t="s">
        <v>#N/A N/A</v>
        <stp/>
        <stp>BDP|9010584233926869230</stp>
        <tr r="N1467" s="2"/>
      </tp>
      <tp t="s">
        <v>#N/A N/A</v>
        <stp/>
        <stp>BDP|6093131620337412977</stp>
        <tr r="A1214" s="2"/>
      </tp>
      <tp t="s">
        <v>#N/A N/A</v>
        <stp/>
        <stp>BDP|8295972474504851996</stp>
        <tr r="K84" s="2"/>
      </tp>
      <tp t="s">
        <v>#N/A N/A</v>
        <stp/>
        <stp>BDP|8791286144890225598</stp>
        <tr r="O525" s="2"/>
      </tp>
      <tp t="s">
        <v>#N/A N/A</v>
        <stp/>
        <stp>BDP|8742694533432993441</stp>
        <tr r="O1453" s="2"/>
      </tp>
      <tp t="s">
        <v>#N/A N/A</v>
        <stp/>
        <stp>BDP|3354560465822978996</stp>
        <tr r="N813" s="2"/>
      </tp>
      <tp t="s">
        <v>#N/A N/A</v>
        <stp/>
        <stp>BDP|7430673196992555103</stp>
        <tr r="J1106" s="2"/>
      </tp>
      <tp t="s">
        <v>#N/A N/A</v>
        <stp/>
        <stp>BDP|6135053822767310859</stp>
        <tr r="Q96" s="2"/>
      </tp>
      <tp t="s">
        <v>#N/A N/A</v>
        <stp/>
        <stp>BDP|1878498394793203476</stp>
        <tr r="M4" s="2"/>
      </tp>
      <tp t="s">
        <v>#N/A N/A</v>
        <stp/>
        <stp>BDP|6533612390485126759</stp>
        <tr r="O473" s="2"/>
      </tp>
      <tp t="s">
        <v>#N/A N/A</v>
        <stp/>
        <stp>BDP|5270526791781715369</stp>
        <tr r="A898" s="2"/>
      </tp>
      <tp t="s">
        <v>#N/A N/A</v>
        <stp/>
        <stp>BDP|8142474270592183273</stp>
        <tr r="M1444" s="2"/>
      </tp>
      <tp t="s">
        <v>#N/A N/A</v>
        <stp/>
        <stp>BDP|1192903259972933411</stp>
        <tr r="E814" s="2"/>
      </tp>
      <tp t="s">
        <v>#N/A N/A</v>
        <stp/>
        <stp>BDP|3980806878280054718</stp>
        <tr r="A1383" s="2"/>
      </tp>
      <tp t="s">
        <v>#N/A N/A</v>
        <stp/>
        <stp>BDP|5711173963341709840</stp>
        <tr r="M492" s="2"/>
      </tp>
      <tp t="s">
        <v>#N/A N/A</v>
        <stp/>
        <stp>BDP|1099342222042189972</stp>
        <tr r="S1653" s="2"/>
      </tp>
      <tp t="s">
        <v>#N/A N/A</v>
        <stp/>
        <stp>BDP|6402215581241352673</stp>
        <tr r="H1537" s="2"/>
      </tp>
      <tp t="s">
        <v>#N/A N/A</v>
        <stp/>
        <stp>BDP|2556919931092694134</stp>
        <tr r="K1553" s="2"/>
      </tp>
      <tp t="s">
        <v>#N/A N/A</v>
        <stp/>
        <stp>BDP|5495365251121543969</stp>
        <tr r="D726" s="2"/>
      </tp>
      <tp t="s">
        <v>#N/A N/A</v>
        <stp/>
        <stp>BDS|5078875940337364544</stp>
        <tr r="I1184" s="2"/>
      </tp>
      <tp t="s">
        <v>#N/A N/A</v>
        <stp/>
        <stp>BDP|3549867072033637470</stp>
        <tr r="R1670" s="2"/>
      </tp>
      <tp t="s">
        <v>#N/A N/A</v>
        <stp/>
        <stp>BDS|5692725683254085576</stp>
        <tr r="I305" s="2"/>
      </tp>
      <tp t="s">
        <v>#N/A N/A</v>
        <stp/>
        <stp>BDP|5126830417570734727</stp>
        <tr r="T859" s="2"/>
      </tp>
      <tp t="s">
        <v>#N/A N/A</v>
        <stp/>
        <stp>BDP|6673441481364076530</stp>
        <tr r="N73" s="2"/>
      </tp>
      <tp t="s">
        <v>#N/A N/A</v>
        <stp/>
        <stp>BDP|8877946513903822878</stp>
        <tr r="K184" s="2"/>
      </tp>
      <tp t="s">
        <v>#N/A N/A</v>
        <stp/>
        <stp>BDP|1140957052322550437</stp>
        <tr r="E151" s="2"/>
      </tp>
      <tp t="s">
        <v>#N/A N/A</v>
        <stp/>
        <stp>BDP|5637661682849196931</stp>
        <tr r="Q143" s="2"/>
      </tp>
      <tp t="s">
        <v>#N/A N/A</v>
        <stp/>
        <stp>BDP|3261469103998027476</stp>
        <tr r="R1268" s="2"/>
      </tp>
      <tp t="s">
        <v>#N/A N/A</v>
        <stp/>
        <stp>BDP|7989796793345082737</stp>
        <tr r="N1592" s="2"/>
      </tp>
      <tp t="s">
        <v>#N/A N/A</v>
        <stp/>
        <stp>BDP|3141731201116547965</stp>
        <tr r="N874" s="2"/>
      </tp>
      <tp t="s">
        <v>#N/A N/A</v>
        <stp/>
        <stp>BDP|8648479801617866088</stp>
        <tr r="F511" s="2"/>
      </tp>
      <tp t="s">
        <v>#N/A N/A</v>
        <stp/>
        <stp>BDP|4507959694857656821</stp>
        <tr r="A897" s="2"/>
      </tp>
      <tp t="s">
        <v>#N/A N/A</v>
        <stp/>
        <stp>BDP|5239246410744075960</stp>
        <tr r="P1610" s="2"/>
      </tp>
      <tp t="s">
        <v>#N/A N/A</v>
        <stp/>
        <stp>BDP|2464071623093149817</stp>
        <tr r="J402" s="2"/>
      </tp>
      <tp t="s">
        <v>#N/A N/A</v>
        <stp/>
        <stp>BDP|9077640970481758232</stp>
        <tr r="A606" s="2"/>
      </tp>
      <tp t="s">
        <v>#N/A N/A</v>
        <stp/>
        <stp>BDP|1658942420945687442</stp>
        <tr r="K928" s="2"/>
      </tp>
      <tp t="s">
        <v>#N/A N/A</v>
        <stp/>
        <stp>BDP|8599068616122367062</stp>
        <tr r="J1525" s="2"/>
      </tp>
      <tp t="s">
        <v>#N/A N/A</v>
        <stp/>
        <stp>BDP|3316048084276245618</stp>
        <tr r="A1497" s="2"/>
      </tp>
      <tp t="s">
        <v>#N/A N/A</v>
        <stp/>
        <stp>BDP|1888959926026212797</stp>
        <tr r="O1097" s="2"/>
      </tp>
      <tp t="s">
        <v>#N/A N/A</v>
        <stp/>
        <stp>BDP|2568810702284735510</stp>
        <tr r="C578" s="2"/>
      </tp>
      <tp t="s">
        <v>#N/A N/A</v>
        <stp/>
        <stp>BDP|2319945116406346723</stp>
        <tr r="P1441" s="2"/>
      </tp>
      <tp t="s">
        <v>#N/A N/A</v>
        <stp/>
        <stp>BDP|7110958082289491425</stp>
        <tr r="T1095" s="2"/>
      </tp>
      <tp t="s">
        <v>#N/A N/A</v>
        <stp/>
        <stp>BDP|7013550748218460593</stp>
        <tr r="S1103" s="2"/>
      </tp>
      <tp t="s">
        <v>#N/A N/A</v>
        <stp/>
        <stp>BDP|5272252290207266257</stp>
        <tr r="P1656" s="2"/>
      </tp>
      <tp t="s">
        <v>#N/A N/A</v>
        <stp/>
        <stp>BDP|6751007483316654322</stp>
        <tr r="O1587" s="2"/>
      </tp>
      <tp t="s">
        <v>#N/A N/A</v>
        <stp/>
        <stp>BDP|9716063258143032496</stp>
        <tr r="T1171" s="2"/>
      </tp>
      <tp t="s">
        <v>#N/A N/A</v>
        <stp/>
        <stp>BDP|8693144255586092177</stp>
        <tr r="R1019" s="2"/>
      </tp>
      <tp t="s">
        <v>#N/A N/A</v>
        <stp/>
        <stp>BDP|5822481890674259739</stp>
        <tr r="H387" s="2"/>
      </tp>
      <tp t="s">
        <v>#N/A N/A</v>
        <stp/>
        <stp>BDP|6463047466993459834</stp>
        <tr r="G1676" s="2"/>
      </tp>
      <tp t="s">
        <v>#N/A N/A</v>
        <stp/>
        <stp>BDP|9564197052971792788</stp>
        <tr r="O500" s="2"/>
      </tp>
      <tp t="s">
        <v>#N/A N/A</v>
        <stp/>
        <stp>BDP|2128749580470240662</stp>
        <tr r="Q858" s="2"/>
      </tp>
      <tp t="s">
        <v>#N/A N/A</v>
        <stp/>
        <stp>BDP|3408530087394382123</stp>
        <tr r="C943" s="2"/>
      </tp>
      <tp t="s">
        <v>#N/A N/A</v>
        <stp/>
        <stp>BDP|4216110535244383940</stp>
        <tr r="D1170" s="2"/>
      </tp>
      <tp t="s">
        <v>#N/A N/A</v>
        <stp/>
        <stp>BDP|8684733082149297548</stp>
        <tr r="J237" s="2"/>
      </tp>
      <tp t="s">
        <v>#N/A N/A</v>
        <stp/>
        <stp>BDP|9844140708506622538</stp>
        <tr r="R1315" s="2"/>
      </tp>
      <tp t="s">
        <v>#N/A N/A</v>
        <stp/>
        <stp>BDP|8682380309364635403</stp>
        <tr r="A1217" s="2"/>
      </tp>
      <tp t="s">
        <v>#N/A N/A</v>
        <stp/>
        <stp>BDP|9881934887644931742</stp>
        <tr r="T86" s="2"/>
      </tp>
      <tp t="s">
        <v>#N/A N/A</v>
        <stp/>
        <stp>BDP|3136050715860447945</stp>
        <tr r="Q1315" s="2"/>
      </tp>
      <tp t="s">
        <v>#N/A N/A</v>
        <stp/>
        <stp>BDP|3064447796562197727</stp>
        <tr r="H337" s="2"/>
      </tp>
      <tp t="s">
        <v>#N/A N/A</v>
        <stp/>
        <stp>BDP|6203417513678288033</stp>
        <tr r="N1252" s="2"/>
      </tp>
      <tp t="s">
        <v>#N/A N/A</v>
        <stp/>
        <stp>BDP|6606513036672017909</stp>
        <tr r="T492" s="2"/>
      </tp>
      <tp t="s">
        <v>#N/A N/A</v>
        <stp/>
        <stp>BDP|7088933327791040655</stp>
        <tr r="D695" s="2"/>
      </tp>
      <tp t="s">
        <v>#N/A N/A</v>
        <stp/>
        <stp>BDP|7347030412458183524</stp>
        <tr r="T31" s="2"/>
      </tp>
      <tp t="s">
        <v>#N/A N/A</v>
        <stp/>
        <stp>BDP|7915158017649854524</stp>
        <tr r="D177" s="2"/>
      </tp>
      <tp t="s">
        <v>#N/A N/A</v>
        <stp/>
        <stp>BDP|1293075630339206061</stp>
        <tr r="H456" s="2"/>
      </tp>
      <tp t="s">
        <v>#N/A N/A</v>
        <stp/>
        <stp>BDP|3056389529270527952</stp>
        <tr r="P1200" s="2"/>
      </tp>
      <tp t="s">
        <v>#N/A N/A</v>
        <stp/>
        <stp>BDP|3505035915849104033</stp>
        <tr r="Q1278" s="2"/>
      </tp>
      <tp t="s">
        <v>#N/A N/A</v>
        <stp/>
        <stp>BDP|7603846333897951095</stp>
        <tr r="M1180" s="2"/>
      </tp>
      <tp t="s">
        <v>#N/A N/A</v>
        <stp/>
        <stp>BDP|8189692027126861163</stp>
        <tr r="E381" s="2"/>
      </tp>
      <tp t="s">
        <v>#N/A N/A</v>
        <stp/>
        <stp>BDP|6410585482066616694</stp>
        <tr r="N832" s="2"/>
      </tp>
      <tp t="s">
        <v>#N/A N/A</v>
        <stp/>
        <stp>BDP|7550977895795019965</stp>
        <tr r="Q1583" s="2"/>
      </tp>
      <tp t="s">
        <v>#N/A N/A</v>
        <stp/>
        <stp>BDP|9214524207155122276</stp>
        <tr r="H686" s="2"/>
      </tp>
      <tp t="s">
        <v>#N/A N/A</v>
        <stp/>
        <stp>BDP|8116872027558741172</stp>
        <tr r="R389" s="2"/>
      </tp>
      <tp t="s">
        <v>#N/A N/A</v>
        <stp/>
        <stp>BDP|3978791631164704874</stp>
        <tr r="J418" s="2"/>
      </tp>
      <tp t="s">
        <v>#N/A N/A</v>
        <stp/>
        <stp>BDP|6057904665057433500</stp>
        <tr r="Q200" s="2"/>
      </tp>
      <tp t="s">
        <v>#N/A N/A</v>
        <stp/>
        <stp>BDP|5668307686281755464</stp>
        <tr r="M341" s="2"/>
      </tp>
      <tp t="s">
        <v>#N/A N/A</v>
        <stp/>
        <stp>BDP|1856024928948537069</stp>
        <tr r="D133" s="2"/>
      </tp>
      <tp t="s">
        <v>#N/A N/A</v>
        <stp/>
        <stp>BDP|6734516194708509960</stp>
        <tr r="R882" s="2"/>
      </tp>
      <tp t="s">
        <v>#N/A N/A</v>
        <stp/>
        <stp>BDP|4029296150378032086</stp>
        <tr r="T519" s="2"/>
      </tp>
      <tp t="s">
        <v>#N/A N/A</v>
        <stp/>
        <stp>BDP|3665010584131246106</stp>
        <tr r="K120" s="2"/>
      </tp>
      <tp t="s">
        <v>#N/A N/A</v>
        <stp/>
        <stp>BDP|7191386106119797692</stp>
        <tr r="D537" s="2"/>
      </tp>
      <tp t="s">
        <v>#N/A N/A</v>
        <stp/>
        <stp>BDP|6742576882697014730</stp>
        <tr r="D1009" s="2"/>
      </tp>
      <tp t="s">
        <v>#N/A N/A</v>
        <stp/>
        <stp>BDP|6906884650587974793</stp>
        <tr r="H504" s="2"/>
      </tp>
      <tp t="s">
        <v>#N/A N/A</v>
        <stp/>
        <stp>BDP|5350686881346814634</stp>
        <tr r="H175" s="2"/>
      </tp>
      <tp t="s">
        <v>#N/A N/A</v>
        <stp/>
        <stp>BDP|4923311093837895226</stp>
        <tr r="A526" s="2"/>
      </tp>
      <tp t="s">
        <v>#N/A N/A</v>
        <stp/>
        <stp>BDP|7362962090035254965</stp>
        <tr r="E167" s="2"/>
      </tp>
      <tp t="s">
        <v>#N/A N/A</v>
        <stp/>
        <stp>BDP|5680708565219303616</stp>
        <tr r="F520" s="2"/>
      </tp>
      <tp t="s">
        <v>#N/A N/A</v>
        <stp/>
        <stp>BDP|5986564227528857118</stp>
        <tr r="J990" s="2"/>
      </tp>
      <tp t="s">
        <v>#N/A N/A</v>
        <stp/>
        <stp>BDP|8886341518811753020</stp>
        <tr r="C771" s="2"/>
      </tp>
      <tp t="s">
        <v>#N/A N/A</v>
        <stp/>
        <stp>BDP|5080101597896321057</stp>
        <tr r="Q20" s="2"/>
      </tp>
      <tp t="s">
        <v>#N/A N/A</v>
        <stp/>
        <stp>BDP|9609660562283259113</stp>
        <tr r="R953" s="2"/>
      </tp>
      <tp t="s">
        <v>#N/A N/A</v>
        <stp/>
        <stp>BDP|7589117032239790700</stp>
        <tr r="H78" s="2"/>
      </tp>
      <tp t="s">
        <v>#N/A N/A</v>
        <stp/>
        <stp>BDP|7890265459638341359</stp>
        <tr r="T1079" s="2"/>
      </tp>
      <tp t="s">
        <v>#N/A N/A</v>
        <stp/>
        <stp>BDP|8904085161841987482</stp>
        <tr r="S454" s="2"/>
      </tp>
      <tp t="s">
        <v>#N/A N/A</v>
        <stp/>
        <stp>BDP|1150551099714528296</stp>
        <tr r="D681" s="2"/>
      </tp>
      <tp t="s">
        <v>#N/A N/A</v>
        <stp/>
        <stp>BDP|9180767845120703149</stp>
        <tr r="K568" s="2"/>
      </tp>
      <tp t="s">
        <v>#N/A N/A</v>
        <stp/>
        <stp>BDP|7523265997352369564</stp>
        <tr r="R1040" s="2"/>
      </tp>
      <tp t="s">
        <v>#N/A N/A</v>
        <stp/>
        <stp>BDP|2131535950700478970</stp>
        <tr r="S1680" s="2"/>
      </tp>
      <tp t="s">
        <v>#N/A N/A</v>
        <stp/>
        <stp>BDP|2736710493547217061</stp>
        <tr r="A775" s="2"/>
      </tp>
      <tp t="s">
        <v>#N/A N/A</v>
        <stp/>
        <stp>BDP|9614782409576563349</stp>
        <tr r="G1443" s="2"/>
      </tp>
      <tp t="s">
        <v>#N/A N/A</v>
        <stp/>
        <stp>BDP|2355055093803478376</stp>
        <tr r="D773" s="2"/>
      </tp>
      <tp t="s">
        <v>#N/A N/A</v>
        <stp/>
        <stp>BDP|2337728026684907884</stp>
        <tr r="M198" s="2"/>
      </tp>
      <tp t="s">
        <v>#N/A N/A</v>
        <stp/>
        <stp>BDP|7256656968284981801</stp>
        <tr r="J1109" s="2"/>
      </tp>
      <tp t="s">
        <v>#N/A N/A</v>
        <stp/>
        <stp>BDP|5271280170819473280</stp>
        <tr r="Q151" s="2"/>
      </tp>
      <tp t="s">
        <v>#N/A N/A</v>
        <stp/>
        <stp>BDP|8059028007636224511</stp>
        <tr r="R163" s="2"/>
      </tp>
      <tp t="s">
        <v>#N/A N/A</v>
        <stp/>
        <stp>BDP|7897126704734148994</stp>
        <tr r="P1226" s="2"/>
      </tp>
      <tp t="s">
        <v>#N/A N/A</v>
        <stp/>
        <stp>BDP|9311957246158651709</stp>
        <tr r="N165" s="2"/>
      </tp>
      <tp t="s">
        <v>#N/A N/A</v>
        <stp/>
        <stp>BDP|7950925538843001553</stp>
        <tr r="P6" s="2"/>
      </tp>
      <tp t="s">
        <v>#N/A N/A</v>
        <stp/>
        <stp>BDP|7641826659206896732</stp>
        <tr r="E919" s="2"/>
      </tp>
      <tp t="s">
        <v>#N/A N/A</v>
        <stp/>
        <stp>BDS|1364734430879126770</stp>
        <tr r="I322" s="2"/>
      </tp>
      <tp t="s">
        <v>#N/A N/A</v>
        <stp/>
        <stp>BDP|1109524123019771418</stp>
        <tr r="M622" s="2"/>
      </tp>
      <tp t="s">
        <v>#N/A N/A</v>
        <stp/>
        <stp>BDP|5856890961656193671</stp>
        <tr r="F1693" s="2"/>
      </tp>
      <tp t="s">
        <v>#N/A N/A</v>
        <stp/>
        <stp>BDP|6637949197595379802</stp>
        <tr r="A1730" s="2"/>
      </tp>
      <tp t="s">
        <v>#N/A N/A</v>
        <stp/>
        <stp>BDP|8631812043449185637</stp>
        <tr r="N385" s="2"/>
      </tp>
      <tp t="s">
        <v>#N/A N/A</v>
        <stp/>
        <stp>BDP|6618731081035293703</stp>
        <tr r="K286" s="2"/>
      </tp>
      <tp t="s">
        <v>#N/A N/A</v>
        <stp/>
        <stp>BDP|7447845191388068579</stp>
        <tr r="N878" s="2"/>
      </tp>
      <tp t="s">
        <v>#N/A N/A</v>
        <stp/>
        <stp>BDS|5074025173818638117</stp>
        <tr r="I1047" s="2"/>
      </tp>
      <tp t="s">
        <v>#N/A N/A</v>
        <stp/>
        <stp>BDP|9484016790379529262</stp>
        <tr r="H1170" s="2"/>
      </tp>
      <tp t="s">
        <v>#N/A N/A</v>
        <stp/>
        <stp>BDP|9656409533287155226</stp>
        <tr r="A1155" s="2"/>
      </tp>
      <tp t="s">
        <v>#N/A N/A</v>
        <stp/>
        <stp>BDP|1669988921474158582</stp>
        <tr r="J406" s="2"/>
      </tp>
      <tp t="s">
        <v>#N/A N/A</v>
        <stp/>
        <stp>BDP|4371599109119028350</stp>
        <tr r="E744" s="2"/>
      </tp>
      <tp t="s">
        <v>#N/A N/A</v>
        <stp/>
        <stp>BDP|4183474584385219662</stp>
        <tr r="E599" s="2"/>
      </tp>
      <tp t="s">
        <v>#N/A N/A</v>
        <stp/>
        <stp>BDP|3163365265978474501</stp>
        <tr r="O234" s="2"/>
      </tp>
      <tp t="s">
        <v>#N/A N/A</v>
        <stp/>
        <stp>BDP|4523743893350664128</stp>
        <tr r="S750" s="2"/>
      </tp>
      <tp t="s">
        <v>#N/A N/A</v>
        <stp/>
        <stp>BDP|8573134753023050439</stp>
        <tr r="J29" s="2"/>
      </tp>
      <tp t="s">
        <v>#N/A N/A</v>
        <stp/>
        <stp>BDP|8852234950906909247</stp>
        <tr r="S1166" s="2"/>
      </tp>
      <tp t="s">
        <v>#N/A N/A</v>
        <stp/>
        <stp>BDP|8826424715397996103</stp>
        <tr r="G458" s="2"/>
      </tp>
      <tp t="s">
        <v>#N/A N/A</v>
        <stp/>
        <stp>BDP|1575079681150169246</stp>
        <tr r="R1048" s="2"/>
      </tp>
      <tp t="s">
        <v>#N/A N/A</v>
        <stp/>
        <stp>BDP|5060738063266605902</stp>
        <tr r="E1561" s="2"/>
      </tp>
      <tp t="s">
        <v>#N/A N/A</v>
        <stp/>
        <stp>BDP|8148821611013730938</stp>
        <tr r="C1412" s="2"/>
      </tp>
      <tp t="s">
        <v>#N/A N/A</v>
        <stp/>
        <stp>BDP|3510147690164675411</stp>
        <tr r="R12" s="2"/>
      </tp>
      <tp t="s">
        <v>#N/A N/A</v>
        <stp/>
        <stp>BDP|4133642687679171851</stp>
        <tr r="C919" s="2"/>
      </tp>
      <tp t="s">
        <v>#N/A N/A</v>
        <stp/>
        <stp>BDP|8979884471449220544</stp>
        <tr r="C620" s="2"/>
      </tp>
      <tp t="s">
        <v>#N/A N/A</v>
        <stp/>
        <stp>BDS|9140891212138855342</stp>
        <tr r="I1462" s="2"/>
      </tp>
      <tp t="s">
        <v>#N/A N/A</v>
        <stp/>
        <stp>BDP|1935006869139778513</stp>
        <tr r="R1493" s="2"/>
      </tp>
      <tp t="s">
        <v>#N/A N/A</v>
        <stp/>
        <stp>BDP|9057696753101867044</stp>
        <tr r="N724" s="2"/>
      </tp>
      <tp t="s">
        <v>#N/A N/A</v>
        <stp/>
        <stp>BDS|1074955140761017634</stp>
        <tr r="I58" s="2"/>
      </tp>
      <tp t="s">
        <v>#N/A N/A</v>
        <stp/>
        <stp>BDP|2581832055370433419</stp>
        <tr r="T122" s="2"/>
      </tp>
      <tp t="s">
        <v>#N/A N/A</v>
        <stp/>
        <stp>BDP|1611288998961968095</stp>
        <tr r="K884" s="2"/>
      </tp>
      <tp t="s">
        <v>#N/A N/A</v>
        <stp/>
        <stp>BDP|6736795985210848253</stp>
        <tr r="M1012" s="2"/>
      </tp>
      <tp t="s">
        <v>#N/A N/A</v>
        <stp/>
        <stp>BDP|8835627278614348675</stp>
        <tr r="J897" s="2"/>
      </tp>
      <tp t="s">
        <v>#N/A N/A</v>
        <stp/>
        <stp>BDP|5450693880298345882</stp>
        <tr r="T1015" s="2"/>
      </tp>
      <tp t="s">
        <v>#N/A N/A</v>
        <stp/>
        <stp>BDP|5705924163109571850</stp>
        <tr r="E1489" s="2"/>
      </tp>
      <tp t="s">
        <v>#N/A N/A</v>
        <stp/>
        <stp>BDP|5305420102242192849</stp>
        <tr r="G1183" s="2"/>
      </tp>
      <tp t="s">
        <v>#N/A N/A</v>
        <stp/>
        <stp>BDP|9230024077724961184</stp>
        <tr r="C811" s="2"/>
      </tp>
      <tp t="s">
        <v>#N/A N/A</v>
        <stp/>
        <stp>BDP|4849019779378044068</stp>
        <tr r="H887" s="2"/>
      </tp>
      <tp t="s">
        <v>#N/A N/A</v>
        <stp/>
        <stp>BDS|4774295044881833848</stp>
        <tr r="I1122" s="2"/>
      </tp>
      <tp t="s">
        <v>#N/A N/A</v>
        <stp/>
        <stp>BDP|8063135254344102305</stp>
        <tr r="R434" s="2"/>
      </tp>
      <tp t="s">
        <v>#N/A N/A</v>
        <stp/>
        <stp>BDP|4367946427505310151</stp>
        <tr r="F1264" s="2"/>
      </tp>
      <tp t="s">
        <v>#N/A N/A</v>
        <stp/>
        <stp>BDP|4838887129165920062</stp>
        <tr r="T911" s="2"/>
      </tp>
      <tp t="s">
        <v>#N/A N/A</v>
        <stp/>
        <stp>BDP|4332222326228477750</stp>
        <tr r="E781" s="2"/>
      </tp>
      <tp t="s">
        <v>#N/A N/A</v>
        <stp/>
        <stp>BDP|8238634182248029553</stp>
        <tr r="T1024" s="2"/>
      </tp>
      <tp t="s">
        <v>#N/A N/A</v>
        <stp/>
        <stp>BDP|3104316130810293843</stp>
        <tr r="G1247" s="2"/>
      </tp>
      <tp t="s">
        <v>#N/A N/A</v>
        <stp/>
        <stp>BDP|7940802267715102795</stp>
        <tr r="G948" s="2"/>
      </tp>
      <tp t="s">
        <v>#N/A N/A</v>
        <stp/>
        <stp>BDP|8356702472261376246</stp>
        <tr r="D733" s="2"/>
      </tp>
      <tp t="s">
        <v>#N/A N/A</v>
        <stp/>
        <stp>BDP|8374684486409304480</stp>
        <tr r="J1521" s="2"/>
      </tp>
      <tp t="s">
        <v>#N/A N/A</v>
        <stp/>
        <stp>BDS|3884982869895741282</stp>
        <tr r="I465" s="2"/>
      </tp>
      <tp t="s">
        <v>#N/A N/A</v>
        <stp/>
        <stp>BDP|4213282493751677594</stp>
        <tr r="C1424" s="2"/>
      </tp>
      <tp t="s">
        <v>#N/A N/A</v>
        <stp/>
        <stp>BDP|5831695391386034761</stp>
        <tr r="P1040" s="2"/>
      </tp>
      <tp t="s">
        <v>#N/A N/A</v>
        <stp/>
        <stp>BDP|3918900180530942967</stp>
        <tr r="F1173" s="2"/>
      </tp>
      <tp t="s">
        <v>#N/A N/A</v>
        <stp/>
        <stp>BDP|8040035598782855854</stp>
        <tr r="A1213" s="2"/>
      </tp>
      <tp t="s">
        <v>#N/A N/A</v>
        <stp/>
        <stp>BDP|5130237613975428838</stp>
        <tr r="Q1341" s="2"/>
      </tp>
      <tp t="s">
        <v>#N/A N/A</v>
        <stp/>
        <stp>BDP|9857422548496161453</stp>
        <tr r="C409" s="2"/>
      </tp>
      <tp t="s">
        <v>#N/A N/A</v>
        <stp/>
        <stp>BDP|1865882637973970293</stp>
        <tr r="O174" s="2"/>
      </tp>
      <tp t="s">
        <v>#N/A N/A</v>
        <stp/>
        <stp>BDP|4839436527010358989</stp>
        <tr r="A1317" s="2"/>
      </tp>
      <tp t="s">
        <v>#N/A N/A</v>
        <stp/>
        <stp>BDP|6952463105580890953</stp>
        <tr r="J1348" s="2"/>
      </tp>
      <tp t="s">
        <v>#N/A N/A</v>
        <stp/>
        <stp>BDP|2468506746901109941</stp>
        <tr r="Q1089" s="2"/>
      </tp>
      <tp t="s">
        <v>#N/A N/A</v>
        <stp/>
        <stp>BDP|3297107600618326162</stp>
        <tr r="P1207" s="2"/>
      </tp>
      <tp t="s">
        <v>#N/A N/A</v>
        <stp/>
        <stp>BDP|5099734466528679747</stp>
        <tr r="A1655" s="2"/>
      </tp>
      <tp t="s">
        <v>#N/A N/A</v>
        <stp/>
        <stp>BDP|2206749896301126660</stp>
        <tr r="O1726" s="2"/>
      </tp>
      <tp t="s">
        <v>#N/A N/A</v>
        <stp/>
        <stp>BDP|7438252993005091253</stp>
        <tr r="H27" s="2"/>
      </tp>
      <tp t="s">
        <v>#N/A N/A</v>
        <stp/>
        <stp>BDP|5730409733059471076</stp>
        <tr r="H587" s="2"/>
      </tp>
      <tp t="s">
        <v>#N/A N/A</v>
        <stp/>
        <stp>BDS|8117656141129298807</stp>
        <tr r="I1558" s="2"/>
      </tp>
      <tp t="s">
        <v>#N/A N/A</v>
        <stp/>
        <stp>BDP|1859785785672457768</stp>
        <tr r="F597" s="2"/>
      </tp>
      <tp t="s">
        <v>#N/A N/A</v>
        <stp/>
        <stp>BDP|5726623706748391075</stp>
        <tr r="J1412" s="2"/>
      </tp>
      <tp t="s">
        <v>#N/A N/A</v>
        <stp/>
        <stp>BDP|1448537671961699979</stp>
        <tr r="K741" s="2"/>
      </tp>
      <tp t="s">
        <v>#N/A N/A</v>
        <stp/>
        <stp>BDP|9610079287418502246</stp>
        <tr r="G1128" s="2"/>
      </tp>
      <tp t="s">
        <v>#N/A N/A</v>
        <stp/>
        <stp>BDP|6857823432056892072</stp>
        <tr r="C799" s="2"/>
      </tp>
      <tp t="s">
        <v>#N/A N/A</v>
        <stp/>
        <stp>BDP|2195636475088102012</stp>
        <tr r="C674" s="2"/>
      </tp>
      <tp t="s">
        <v>#N/A N/A</v>
        <stp/>
        <stp>BDP|8298461787048520717</stp>
        <tr r="R538" s="2"/>
      </tp>
      <tp t="s">
        <v>#N/A N/A</v>
        <stp/>
        <stp>BDP|1524527674120214869</stp>
        <tr r="T935" s="2"/>
      </tp>
      <tp t="s">
        <v>#N/A N/A</v>
        <stp/>
        <stp>BDP|8621379716551827080</stp>
        <tr r="H971" s="2"/>
      </tp>
      <tp t="s">
        <v>#N/A N/A</v>
        <stp/>
        <stp>BDP|8168006802496112559</stp>
        <tr r="Q853" s="2"/>
      </tp>
      <tp t="s">
        <v>#N/A N/A</v>
        <stp/>
        <stp>BDP|1567613404914656816</stp>
        <tr r="F128" s="2"/>
      </tp>
      <tp t="s">
        <v>#N/A N/A</v>
        <stp/>
        <stp>BDP|8089925944876729868</stp>
        <tr r="D523" s="2"/>
      </tp>
      <tp t="s">
        <v>#N/A N/A</v>
        <stp/>
        <stp>BDP|1649717991993161703</stp>
        <tr r="Q710" s="2"/>
      </tp>
      <tp t="s">
        <v>#N/A N/A</v>
        <stp/>
        <stp>BDP|6278279763460941981</stp>
        <tr r="C42" s="2"/>
      </tp>
      <tp t="s">
        <v>#N/A N/A</v>
        <stp/>
        <stp>BDP|6420470875487303928</stp>
        <tr r="G808" s="2"/>
      </tp>
      <tp t="s">
        <v>#N/A N/A</v>
        <stp/>
        <stp>BDP|8482860763908721512</stp>
        <tr r="P1727" s="2"/>
      </tp>
      <tp t="s">
        <v>#N/A N/A</v>
        <stp/>
        <stp>BDS|2307815821294573712</stp>
        <tr r="I824" s="2"/>
      </tp>
      <tp t="s">
        <v>#N/A N/A</v>
        <stp/>
        <stp>BDP|2926821274030140696</stp>
        <tr r="E861" s="2"/>
      </tp>
      <tp t="s">
        <v>#N/A N/A</v>
        <stp/>
        <stp>BDP|8215685548915146448</stp>
        <tr r="G380" s="2"/>
      </tp>
      <tp t="s">
        <v>#N/A N/A</v>
        <stp/>
        <stp>BDS|3988427849368561008</stp>
        <tr r="I765" s="2"/>
      </tp>
      <tp t="s">
        <v>#N/A N/A</v>
        <stp/>
        <stp>BDP|6156490109608357157</stp>
        <tr r="S894" s="2"/>
      </tp>
      <tp t="s">
        <v>#N/A N/A</v>
        <stp/>
        <stp>BDP|7298762986812260174</stp>
        <tr r="F241" s="2"/>
      </tp>
      <tp t="s">
        <v>#N/A N/A</v>
        <stp/>
        <stp>BDP|9473062463402668606</stp>
        <tr r="R1404" s="2"/>
      </tp>
      <tp t="s">
        <v>#N/A N/A</v>
        <stp/>
        <stp>BDP|8468156770166181378</stp>
        <tr r="R1666" s="2"/>
      </tp>
      <tp t="s">
        <v>#N/A N/A</v>
        <stp/>
        <stp>BDP|8665158615731308228</stp>
        <tr r="Q379" s="2"/>
      </tp>
      <tp t="s">
        <v>#N/A N/A</v>
        <stp/>
        <stp>BDP|1996116081295949679</stp>
        <tr r="D1524" s="2"/>
      </tp>
      <tp t="s">
        <v>#N/A N/A</v>
        <stp/>
        <stp>BDP|8751103647487440136</stp>
        <tr r="G489" s="2"/>
      </tp>
      <tp t="s">
        <v>#N/A N/A</v>
        <stp/>
        <stp>BDP|4394927355847159423</stp>
        <tr r="K211" s="2"/>
      </tp>
      <tp t="s">
        <v>#N/A N/A</v>
        <stp/>
        <stp>BDP|2563965794581900895</stp>
        <tr r="E1622" s="2"/>
      </tp>
      <tp t="s">
        <v>#N/A N/A</v>
        <stp/>
        <stp>BDP|2702873950634142062</stp>
        <tr r="T1441" s="2"/>
      </tp>
      <tp t="s">
        <v>#N/A N/A</v>
        <stp/>
        <stp>BDP|4868423347156334994</stp>
        <tr r="N248" s="2"/>
      </tp>
      <tp t="s">
        <v>#N/A N/A</v>
        <stp/>
        <stp>BDP|5496844279591797093</stp>
        <tr r="R286" s="2"/>
      </tp>
      <tp t="s">
        <v>#N/A N/A</v>
        <stp/>
        <stp>BDP|7314635914068471371</stp>
        <tr r="S1637" s="2"/>
      </tp>
      <tp t="s">
        <v>#N/A N/A</v>
        <stp/>
        <stp>BDP|5535935872536065637</stp>
        <tr r="D1303" s="2"/>
      </tp>
      <tp t="s">
        <v>#N/A N/A</v>
        <stp/>
        <stp>BDP|6703415547225303852</stp>
        <tr r="P768" s="2"/>
      </tp>
      <tp t="s">
        <v>#N/A N/A</v>
        <stp/>
        <stp>BDP|2136340526698066046</stp>
        <tr r="F1091" s="2"/>
      </tp>
      <tp t="s">
        <v>#N/A N/A</v>
        <stp/>
        <stp>BDP|3913825119719347863</stp>
        <tr r="T273" s="2"/>
      </tp>
      <tp t="s">
        <v>#N/A N/A</v>
        <stp/>
        <stp>BDP|3581388497664542686</stp>
        <tr r="E840" s="2"/>
      </tp>
      <tp t="s">
        <v>#N/A N/A</v>
        <stp/>
        <stp>BDP|3767624994305130276</stp>
        <tr r="E251" s="2"/>
      </tp>
      <tp t="s">
        <v>#N/A N/A</v>
        <stp/>
        <stp>BDP|2161003016188756075</stp>
        <tr r="P1747" s="2"/>
      </tp>
      <tp t="s">
        <v>#N/A N/A</v>
        <stp/>
        <stp>BDP|4182024897983668557</stp>
        <tr r="J456" s="2"/>
      </tp>
      <tp t="s">
        <v>#N/A N/A</v>
        <stp/>
        <stp>BDP|6416011998326877220</stp>
        <tr r="M788" s="2"/>
      </tp>
      <tp t="s">
        <v>#N/A N/A</v>
        <stp/>
        <stp>BDP|9364555079489146997</stp>
        <tr r="P393" s="2"/>
      </tp>
      <tp t="s">
        <v>#N/A N/A</v>
        <stp/>
        <stp>BDP|3410725633069072524</stp>
        <tr r="K853" s="2"/>
      </tp>
      <tp t="s">
        <v>#N/A N/A</v>
        <stp/>
        <stp>BDP|2251563580387453377</stp>
        <tr r="A607" s="2"/>
      </tp>
      <tp t="s">
        <v>#N/A N/A</v>
        <stp/>
        <stp>BDP|4718851841296156550</stp>
        <tr r="J1673" s="2"/>
      </tp>
      <tp t="s">
        <v>#N/A N/A</v>
        <stp/>
        <stp>BDP|5517864229651958541</stp>
        <tr r="H1274" s="2"/>
      </tp>
      <tp t="s">
        <v>#N/A N/A</v>
        <stp/>
        <stp>BDP|6549207131979147528</stp>
        <tr r="D1345" s="2"/>
      </tp>
      <tp t="s">
        <v>#N/A N/A</v>
        <stp/>
        <stp>BDP|9124759761894603745</stp>
        <tr r="K1142" s="2"/>
      </tp>
      <tp t="s">
        <v>#N/A N/A</v>
        <stp/>
        <stp>BDP|1919765798833687762</stp>
        <tr r="D1651" s="2"/>
      </tp>
      <tp t="s">
        <v>#N/A N/A</v>
        <stp/>
        <stp>BDP|8633090625342711398</stp>
        <tr r="G1590" s="2"/>
      </tp>
      <tp t="s">
        <v>#N/A N/A</v>
        <stp/>
        <stp>BDS|7444971802907755223</stp>
        <tr r="I1349" s="2"/>
      </tp>
      <tp t="s">
        <v>#N/A N/A</v>
        <stp/>
        <stp>BDP|4611800802894402341</stp>
        <tr r="Q1260" s="2"/>
      </tp>
      <tp t="s">
        <v>#N/A N/A</v>
        <stp/>
        <stp>BDP|2573158092188500936</stp>
        <tr r="C237" s="2"/>
      </tp>
      <tp t="s">
        <v>#N/A N/A</v>
        <stp/>
        <stp>BDP|9124206468931537785</stp>
        <tr r="H1410" s="2"/>
      </tp>
      <tp t="s">
        <v>#N/A N/A</v>
        <stp/>
        <stp>BDP|2398946214671428030</stp>
        <tr r="E504" s="2"/>
      </tp>
      <tp t="s">
        <v>#N/A N/A</v>
        <stp/>
        <stp>BDP|1157499960751585998</stp>
        <tr r="Q1097" s="2"/>
      </tp>
      <tp t="s">
        <v>#N/A N/A</v>
        <stp/>
        <stp>BDP|7712943541197491621</stp>
        <tr r="N1328" s="2"/>
      </tp>
      <tp t="s">
        <v>#N/A N/A</v>
        <stp/>
        <stp>BDP|5324028978331907842</stp>
        <tr r="F1472" s="2"/>
      </tp>
      <tp t="s">
        <v>#N/A N/A</v>
        <stp/>
        <stp>BDP|4003940139913848616</stp>
        <tr r="K873" s="2"/>
      </tp>
      <tp t="s">
        <v>#N/A N/A</v>
        <stp/>
        <stp>BDP|7089456585185224567</stp>
        <tr r="D491" s="2"/>
      </tp>
      <tp t="s">
        <v>#N/A N/A</v>
        <stp/>
        <stp>BDP|6287434615760629863</stp>
        <tr r="K1545" s="2"/>
      </tp>
      <tp t="s">
        <v>#N/A N/A</v>
        <stp/>
        <stp>BDP|8519310633834608754</stp>
        <tr r="Q378" s="2"/>
      </tp>
      <tp t="s">
        <v>#N/A N/A</v>
        <stp/>
        <stp>BDP|1275915356971446752</stp>
        <tr r="S1517" s="2"/>
      </tp>
      <tp t="s">
        <v>#N/A N/A</v>
        <stp/>
        <stp>BDP|9082058172215293016</stp>
        <tr r="J1698" s="2"/>
      </tp>
      <tp t="s">
        <v>#N/A N/A</v>
        <stp/>
        <stp>BDP|7555871527135681370</stp>
        <tr r="Q684" s="2"/>
      </tp>
      <tp t="s">
        <v>#N/A N/A</v>
        <stp/>
        <stp>BDP|2659676805769714678</stp>
        <tr r="J1513" s="2"/>
      </tp>
      <tp t="s">
        <v>#N/A N/A</v>
        <stp/>
        <stp>BDP|3373829456076613352</stp>
        <tr r="C1314" s="2"/>
      </tp>
      <tp t="s">
        <v>#N/A N/A</v>
        <stp/>
        <stp>BDP|4664522450666072909</stp>
        <tr r="O841" s="2"/>
      </tp>
      <tp t="s">
        <v>#N/A N/A</v>
        <stp/>
        <stp>BDP|3929936358961379556</stp>
        <tr r="C710" s="2"/>
      </tp>
      <tp t="s">
        <v>#N/A N/A</v>
        <stp/>
        <stp>BDP|8276383091680670999</stp>
        <tr r="G918" s="2"/>
      </tp>
      <tp t="s">
        <v>#N/A N/A</v>
        <stp/>
        <stp>BDP|6143856042234474568</stp>
        <tr r="K423" s="2"/>
      </tp>
      <tp t="s">
        <v>#N/A N/A</v>
        <stp/>
        <stp>BDP|3683212592545322622</stp>
        <tr r="T1465" s="2"/>
      </tp>
      <tp t="s">
        <v>#N/A N/A</v>
        <stp/>
        <stp>BDP|8876204796189356198</stp>
        <tr r="D1644" s="2"/>
      </tp>
      <tp t="s">
        <v>#N/A N/A</v>
        <stp/>
        <stp>BDP|1206350025199679208</stp>
        <tr r="O626" s="2"/>
      </tp>
      <tp t="s">
        <v>#N/A N/A</v>
        <stp/>
        <stp>BDP|4122283598973326764</stp>
        <tr r="D419" s="2"/>
      </tp>
      <tp t="s">
        <v>#N/A N/A</v>
        <stp/>
        <stp>BDP|5557585598695013719</stp>
        <tr r="D586" s="2"/>
      </tp>
      <tp t="s">
        <v>#N/A N/A</v>
        <stp/>
        <stp>BDP|5638928713294692251</stp>
        <tr r="D1175" s="2"/>
      </tp>
      <tp t="s">
        <v>#N/A N/A</v>
        <stp/>
        <stp>BDP|6718229481910928792</stp>
        <tr r="S351" s="2"/>
      </tp>
      <tp t="s">
        <v>#N/A N/A</v>
        <stp/>
        <stp>BDP|7001785684754104792</stp>
        <tr r="H624" s="2"/>
      </tp>
      <tp t="s">
        <v>#N/A N/A</v>
        <stp/>
        <stp>BDP|2924805895378109094</stp>
        <tr r="T1069" s="2"/>
      </tp>
      <tp t="s">
        <v>#N/A N/A</v>
        <stp/>
        <stp>BDP|9709745650467505721</stp>
        <tr r="E1726" s="2"/>
      </tp>
      <tp t="s">
        <v>#N/A N/A</v>
        <stp/>
        <stp>BDP|8119218477152705448</stp>
        <tr r="Q579" s="2"/>
      </tp>
      <tp t="s">
        <v>#N/A N/A</v>
        <stp/>
        <stp>BDP|1248348323849115205</stp>
        <tr r="D836" s="2"/>
      </tp>
      <tp t="s">
        <v>#N/A N/A</v>
        <stp/>
        <stp>BDP|2479148781639796920</stp>
        <tr r="A855" s="2"/>
      </tp>
      <tp t="s">
        <v>#N/A N/A</v>
        <stp/>
        <stp>BDP|6219420894426421644</stp>
        <tr r="K1453" s="2"/>
      </tp>
      <tp t="s">
        <v>#N/A N/A</v>
        <stp/>
        <stp>BDP|8304417431565581128</stp>
        <tr r="P325" s="2"/>
      </tp>
      <tp t="s">
        <v>#N/A N/A</v>
        <stp/>
        <stp>BDP|9305766203364521175</stp>
        <tr r="S1130" s="2"/>
      </tp>
      <tp t="s">
        <v>#N/A N/A</v>
        <stp/>
        <stp>BDP|5001525196331912395</stp>
        <tr r="P1604" s="2"/>
      </tp>
      <tp t="s">
        <v>#N/A N/A</v>
        <stp/>
        <stp>BDP|5506960913701051740</stp>
        <tr r="H1643" s="2"/>
      </tp>
      <tp t="s">
        <v>#N/A N/A</v>
        <stp/>
        <stp>BDP|6518897174670476285</stp>
        <tr r="M70" s="2"/>
      </tp>
      <tp t="s">
        <v>#N/A N/A</v>
        <stp/>
        <stp>BDP|5748840759624607780</stp>
        <tr r="O1246" s="2"/>
      </tp>
      <tp t="s">
        <v>#N/A N/A</v>
        <stp/>
        <stp>BDS|1937904618626629432</stp>
        <tr r="I1134" s="2"/>
      </tp>
      <tp t="s">
        <v>#N/A N/A</v>
        <stp/>
        <stp>BDP|1846157999397131516</stp>
        <tr r="E398" s="2"/>
      </tp>
      <tp t="s">
        <v>#N/A N/A</v>
        <stp/>
        <stp>BDP|3621374104478015316</stp>
        <tr r="F1209" s="2"/>
      </tp>
      <tp t="s">
        <v>#N/A N/A</v>
        <stp/>
        <stp>BDP|2516843086488412172</stp>
        <tr r="M9" s="2"/>
      </tp>
      <tp t="s">
        <v>#N/A N/A</v>
        <stp/>
        <stp>BDS|9136424401494245241</stp>
        <tr r="I1419" s="2"/>
      </tp>
      <tp t="s">
        <v>#N/A N/A</v>
        <stp/>
        <stp>BDS|7402122456098130057</stp>
        <tr r="I120" s="2"/>
      </tp>
      <tp t="s">
        <v>#N/A N/A</v>
        <stp/>
        <stp>BDP|9478878437479463048</stp>
        <tr r="M1341" s="2"/>
      </tp>
      <tp t="s">
        <v>#N/A N/A</v>
        <stp/>
        <stp>BDP|3393020882732621218</stp>
        <tr r="D454" s="2"/>
      </tp>
      <tp t="s">
        <v>#N/A N/A</v>
        <stp/>
        <stp>BDP|9091505690787395976</stp>
        <tr r="M895" s="2"/>
      </tp>
      <tp t="s">
        <v>#N/A N/A</v>
        <stp/>
        <stp>BDP|9029356071680446641</stp>
        <tr r="G1079" s="2"/>
      </tp>
      <tp t="s">
        <v>#N/A N/A</v>
        <stp/>
        <stp>BDP|8586428604583234451</stp>
        <tr r="C1751" s="2"/>
      </tp>
      <tp t="s">
        <v>#N/A N/A</v>
        <stp/>
        <stp>BDP|5222862110216819184</stp>
        <tr r="H1137" s="2"/>
      </tp>
      <tp t="s">
        <v>#N/A N/A</v>
        <stp/>
        <stp>BDP|9207169069941815417</stp>
        <tr r="M446" s="2"/>
      </tp>
      <tp t="s">
        <v>#N/A N/A</v>
        <stp/>
        <stp>BDP|5725176956608301214</stp>
        <tr r="O200" s="2"/>
      </tp>
      <tp t="s">
        <v>#N/A N/A</v>
        <stp/>
        <stp>BDP|8796145227700365024</stp>
        <tr r="M1269" s="2"/>
      </tp>
      <tp t="s">
        <v>#N/A N/A</v>
        <stp/>
        <stp>BDP|2627500986990464414</stp>
        <tr r="D203" s="2"/>
      </tp>
      <tp t="s">
        <v>#N/A N/A</v>
        <stp/>
        <stp>BDP|5787418911823431862</stp>
        <tr r="N935" s="2"/>
      </tp>
      <tp t="s">
        <v>#N/A N/A</v>
        <stp/>
        <stp>BDP|6528153275022796971</stp>
        <tr r="D280" s="2"/>
      </tp>
      <tp t="s">
        <v>#N/A N/A</v>
        <stp/>
        <stp>BDP|7872128399440401423</stp>
        <tr r="P566" s="2"/>
      </tp>
      <tp t="s">
        <v>#N/A N/A</v>
        <stp/>
        <stp>BDP|4759201215445789900</stp>
        <tr r="O377" s="2"/>
      </tp>
      <tp t="s">
        <v>#N/A N/A</v>
        <stp/>
        <stp>BDP|1291484058488453334</stp>
        <tr r="J136" s="2"/>
      </tp>
      <tp t="s">
        <v>#N/A N/A</v>
        <stp/>
        <stp>BDP|8495469829620988575</stp>
        <tr r="R1017" s="2"/>
      </tp>
      <tp t="s">
        <v>#N/A N/A</v>
        <stp/>
        <stp>BDP|5881860254634970762</stp>
        <tr r="D1672" s="2"/>
      </tp>
      <tp t="s">
        <v>#N/A N/A</v>
        <stp/>
        <stp>BDP|2554034589898974935</stp>
        <tr r="F1012" s="2"/>
      </tp>
      <tp t="s">
        <v>#N/A N/A</v>
        <stp/>
        <stp>BDP|6932507682323881365</stp>
        <tr r="S874" s="2"/>
      </tp>
      <tp t="s">
        <v>#N/A N/A</v>
        <stp/>
        <stp>BDP|4746417588661976228</stp>
        <tr r="K691" s="2"/>
      </tp>
      <tp t="s">
        <v>#N/A N/A</v>
        <stp/>
        <stp>BDS|7085371697287533101</stp>
        <tr r="I1609" s="2"/>
      </tp>
      <tp t="s">
        <v>#N/A N/A</v>
        <stp/>
        <stp>BDP|1886022180290707282</stp>
        <tr r="S572" s="2"/>
      </tp>
      <tp t="s">
        <v>#N/A N/A</v>
        <stp/>
        <stp>BDP|3201399709203141862</stp>
        <tr r="R1089" s="2"/>
      </tp>
      <tp t="s">
        <v>#N/A N/A</v>
        <stp/>
        <stp>BDP|1587277752249004450</stp>
        <tr r="D1269" s="2"/>
      </tp>
      <tp t="s">
        <v>#N/A N/A</v>
        <stp/>
        <stp>BDP|8340340944447795314</stp>
        <tr r="D1288" s="2"/>
      </tp>
      <tp t="s">
        <v>#N/A N/A</v>
        <stp/>
        <stp>BDP|6297847922276900181</stp>
        <tr r="H1408" s="2"/>
      </tp>
      <tp t="s">
        <v>#N/A N/A</v>
        <stp/>
        <stp>BDP|2156610631838509410</stp>
        <tr r="K1055" s="2"/>
      </tp>
      <tp t="s">
        <v>#N/A N/A</v>
        <stp/>
        <stp>BDP|4588103621039446552</stp>
        <tr r="H1014" s="2"/>
      </tp>
      <tp t="s">
        <v>#N/A N/A</v>
        <stp/>
        <stp>BDP|8963212431890848244</stp>
        <tr r="H145" s="2"/>
      </tp>
      <tp t="s">
        <v>#N/A N/A</v>
        <stp/>
        <stp>BDP|2443155860457387972</stp>
        <tr r="D1381" s="2"/>
      </tp>
      <tp t="s">
        <v>#N/A N/A</v>
        <stp/>
        <stp>BDP|6359358583371180719</stp>
        <tr r="D193" s="2"/>
      </tp>
      <tp t="s">
        <v>#N/A N/A</v>
        <stp/>
        <stp>BDP|7494306512757730945</stp>
        <tr r="D473" s="2"/>
      </tp>
      <tp t="s">
        <v>#N/A N/A</v>
        <stp/>
        <stp>BDP|6393308753578320368</stp>
        <tr r="M213" s="2"/>
      </tp>
      <tp t="s">
        <v>#N/A N/A</v>
        <stp/>
        <stp>BDP|6073893613020999463</stp>
        <tr r="S1560" s="2"/>
      </tp>
      <tp t="s">
        <v>#N/A N/A</v>
        <stp/>
        <stp>BDP|8138076984822778904</stp>
        <tr r="M43" s="2"/>
      </tp>
      <tp t="s">
        <v>#N/A N/A</v>
        <stp/>
        <stp>BDP|5482478191661441233</stp>
        <tr r="H1341" s="2"/>
      </tp>
      <tp t="s">
        <v>#N/A N/A</v>
        <stp/>
        <stp>BDP|8402352385148637071</stp>
        <tr r="J971" s="2"/>
      </tp>
      <tp t="s">
        <v>#N/A N/A</v>
        <stp/>
        <stp>BDP|2276003283214750533</stp>
        <tr r="J590" s="2"/>
      </tp>
      <tp t="s">
        <v>#N/A N/A</v>
        <stp/>
        <stp>BDP|3149503113218559420</stp>
        <tr r="T483" s="2"/>
      </tp>
      <tp t="s">
        <v>#N/A N/A</v>
        <stp/>
        <stp>BDP|1657386119221025923</stp>
        <tr r="R740" s="2"/>
      </tp>
      <tp t="s">
        <v>#N/A N/A</v>
        <stp/>
        <stp>BDP|8384245871785135329</stp>
        <tr r="Q409" s="2"/>
      </tp>
      <tp t="s">
        <v>#N/A N/A</v>
        <stp/>
        <stp>BDS|7650949966333187004</stp>
        <tr r="I1451" s="2"/>
      </tp>
      <tp t="s">
        <v>#N/A N/A</v>
        <stp/>
        <stp>BDS|3065685997684944331</stp>
        <tr r="I1560" s="2"/>
      </tp>
      <tp t="s">
        <v>#N/A N/A</v>
        <stp/>
        <stp>BDP|7728816313467476244</stp>
        <tr r="E1569" s="2"/>
      </tp>
      <tp t="s">
        <v>#N/A N/A</v>
        <stp/>
        <stp>BDP|6152264681087229011</stp>
        <tr r="F166" s="2"/>
      </tp>
      <tp t="s">
        <v>#N/A N/A</v>
        <stp/>
        <stp>BDP|7129800852232257347</stp>
        <tr r="S342" s="2"/>
      </tp>
      <tp t="s">
        <v>#N/A N/A</v>
        <stp/>
        <stp>BDP|9277541436584086059</stp>
        <tr r="O943" s="2"/>
      </tp>
      <tp t="s">
        <v>#N/A N/A</v>
        <stp/>
        <stp>BDP|9738402910692576572</stp>
        <tr r="K1173" s="2"/>
      </tp>
      <tp t="s">
        <v>#N/A N/A</v>
        <stp/>
        <stp>BDP|9672951447278343725</stp>
        <tr r="P229" s="2"/>
      </tp>
      <tp t="s">
        <v>#N/A N/A</v>
        <stp/>
        <stp>BDP|6421725693875025609</stp>
        <tr r="E227" s="2"/>
      </tp>
      <tp t="s">
        <v>#N/A N/A</v>
        <stp/>
        <stp>BDP|9923273859540118531</stp>
        <tr r="P1728" s="2"/>
      </tp>
      <tp t="s">
        <v>#N/A N/A</v>
        <stp/>
        <stp>BDP|8577763256624777571</stp>
        <tr r="A1191" s="2"/>
      </tp>
      <tp t="s">
        <v>#N/A N/A</v>
        <stp/>
        <stp>BDP|4044462386191157246</stp>
        <tr r="S1153" s="2"/>
      </tp>
      <tp t="s">
        <v>#N/A N/A</v>
        <stp/>
        <stp>BDP|1342047320469291109</stp>
        <tr r="O403" s="2"/>
      </tp>
      <tp t="s">
        <v>#N/A N/A</v>
        <stp/>
        <stp>BDP|3470109023029494260</stp>
        <tr r="F305" s="2"/>
      </tp>
      <tp t="s">
        <v>#N/A N/A</v>
        <stp/>
        <stp>BDP|4779396831447858827</stp>
        <tr r="A1266" s="2"/>
      </tp>
      <tp t="s">
        <v>#N/A N/A</v>
        <stp/>
        <stp>BDP|4932093790695651334</stp>
        <tr r="O990" s="2"/>
      </tp>
      <tp t="s">
        <v>#N/A N/A</v>
        <stp/>
        <stp>BDP|1158021070305391859</stp>
        <tr r="A1226" s="2"/>
      </tp>
      <tp t="s">
        <v>#N/A N/A</v>
        <stp/>
        <stp>BDP|3322723984660359734</stp>
        <tr r="D111" s="2"/>
      </tp>
      <tp t="s">
        <v>#N/A N/A</v>
        <stp/>
        <stp>BDP|9020374226034685728</stp>
        <tr r="D441" s="2"/>
      </tp>
      <tp t="s">
        <v>#N/A N/A</v>
        <stp/>
        <stp>BDP|5008825812523137445</stp>
        <tr r="E1315" s="2"/>
      </tp>
      <tp t="s">
        <v>#N/A N/A</v>
        <stp/>
        <stp>BDP|7909571384084647593</stp>
        <tr r="T1205" s="2"/>
      </tp>
      <tp t="s">
        <v>#N/A N/A</v>
        <stp/>
        <stp>BDP|2971316177565336891</stp>
        <tr r="N1249" s="2"/>
      </tp>
      <tp t="s">
        <v>#N/A N/A</v>
        <stp/>
        <stp>BDP|5920806092628236838</stp>
        <tr r="J1619" s="2"/>
      </tp>
      <tp t="s">
        <v>#N/A N/A</v>
        <stp/>
        <stp>BDP|5384429270916996428</stp>
        <tr r="A758" s="2"/>
      </tp>
      <tp t="s">
        <v>#N/A N/A</v>
        <stp/>
        <stp>BDP|6839670065174090602</stp>
        <tr r="P924" s="2"/>
      </tp>
      <tp t="s">
        <v>#N/A N/A</v>
        <stp/>
        <stp>BDP|3350171150345963679</stp>
        <tr r="A1133" s="2"/>
      </tp>
      <tp t="s">
        <v>#N/A N/A</v>
        <stp/>
        <stp>BDP|2181234733135202295</stp>
        <tr r="K932" s="2"/>
      </tp>
      <tp t="s">
        <v>#N/A N/A</v>
        <stp/>
        <stp>BDP|9958221282877118026</stp>
        <tr r="Q1718" s="2"/>
      </tp>
      <tp t="s">
        <v>#N/A N/A</v>
        <stp/>
        <stp>BDP|8951807195994038963</stp>
        <tr r="K1621" s="2"/>
      </tp>
      <tp t="s">
        <v>#N/A N/A</v>
        <stp/>
        <stp>BDP|5193527579682930190</stp>
        <tr r="J150" s="2"/>
      </tp>
      <tp t="s">
        <v>#N/A N/A</v>
        <stp/>
        <stp>BDP|2792585920670503101</stp>
        <tr r="P1440" s="2"/>
      </tp>
      <tp t="s">
        <v>#N/A N/A</v>
        <stp/>
        <stp>BDS|1871630184022269978</stp>
        <tr r="I349" s="2"/>
      </tp>
      <tp t="s">
        <v>#N/A N/A</v>
        <stp/>
        <stp>BDP|1235791975976638325</stp>
        <tr r="T678" s="2"/>
      </tp>
      <tp t="s">
        <v>#N/A N/A</v>
        <stp/>
        <stp>BDP|9413895456838849895</stp>
        <tr r="R967" s="2"/>
      </tp>
      <tp t="s">
        <v>#N/A N/A</v>
        <stp/>
        <stp>BDP|6808299439386571571</stp>
        <tr r="R115" s="2"/>
      </tp>
      <tp t="s">
        <v>#N/A N/A</v>
        <stp/>
        <stp>BDP|6776246885759487182</stp>
        <tr r="H137" s="2"/>
      </tp>
      <tp t="s">
        <v>#N/A N/A</v>
        <stp/>
        <stp>BDP|5768389446404331204</stp>
        <tr r="T3" s="2"/>
      </tp>
      <tp t="s">
        <v>#N/A N/A</v>
        <stp/>
        <stp>BDP|3899221034065109357</stp>
        <tr r="N574" s="2"/>
      </tp>
      <tp t="s">
        <v>#N/A N/A</v>
        <stp/>
        <stp>BDP|1065611739102300219</stp>
        <tr r="O412" s="2"/>
      </tp>
      <tp t="s">
        <v>#N/A N/A</v>
        <stp/>
        <stp>BDP|3372343070687988445</stp>
        <tr r="H1343" s="2"/>
      </tp>
      <tp t="s">
        <v>#N/A N/A</v>
        <stp/>
        <stp>BDP|2568929289577774032</stp>
        <tr r="H617" s="2"/>
      </tp>
      <tp t="s">
        <v>#N/A N/A</v>
        <stp/>
        <stp>BDP|8203589590490464044</stp>
        <tr r="D138" s="2"/>
      </tp>
      <tp t="s">
        <v>#N/A N/A</v>
        <stp/>
        <stp>BDP|8099160864512934911</stp>
        <tr r="F659" s="2"/>
      </tp>
      <tp t="s">
        <v>#N/A N/A</v>
        <stp/>
        <stp>BDP|8098413829098049220</stp>
        <tr r="D146" s="2"/>
      </tp>
      <tp t="s">
        <v>#N/A N/A</v>
        <stp/>
        <stp>BDP|1265753859117092043</stp>
        <tr r="E82" s="2"/>
      </tp>
      <tp t="s">
        <v>#N/A N/A</v>
        <stp/>
        <stp>BDP|7461614032536576081</stp>
        <tr r="O74" s="2"/>
      </tp>
      <tp t="s">
        <v>#N/A N/A</v>
        <stp/>
        <stp>BDP|6151156811925827779</stp>
        <tr r="R656" s="2"/>
      </tp>
      <tp t="s">
        <v>#N/A N/A</v>
        <stp/>
        <stp>BDP|2131571130791871143</stp>
        <tr r="A1377" s="2"/>
      </tp>
      <tp t="s">
        <v>#N/A N/A</v>
        <stp/>
        <stp>BDP|4612690394268313722</stp>
        <tr r="H1152" s="2"/>
      </tp>
      <tp t="s">
        <v>#N/A N/A</v>
        <stp/>
        <stp>BDP|3091584203464694673</stp>
        <tr r="R1649" s="2"/>
      </tp>
      <tp t="s">
        <v>#N/A N/A</v>
        <stp/>
        <stp>BDP|4524037801068848852</stp>
        <tr r="O1118" s="2"/>
      </tp>
      <tp t="s">
        <v>#N/A N/A</v>
        <stp/>
        <stp>BDP|9160630491142172083</stp>
        <tr r="F822" s="2"/>
      </tp>
      <tp t="s">
        <v>#N/A N/A</v>
        <stp/>
        <stp>BDP|3637183918915595293</stp>
        <tr r="S571" s="2"/>
      </tp>
      <tp t="s">
        <v>#N/A N/A</v>
        <stp/>
        <stp>BDP|7102707358427743645</stp>
        <tr r="S934" s="2"/>
      </tp>
      <tp t="s">
        <v>#N/A N/A</v>
        <stp/>
        <stp>BDP|3768129205700239689</stp>
        <tr r="K1204" s="2"/>
      </tp>
      <tp t="s">
        <v>#N/A N/A</v>
        <stp/>
        <stp>BDP|7303130008083355117</stp>
        <tr r="S99" s="2"/>
      </tp>
      <tp t="s">
        <v>#N/A N/A</v>
        <stp/>
        <stp>BDP|2292423471153886636</stp>
        <tr r="T480" s="2"/>
      </tp>
      <tp t="s">
        <v>#N/A N/A</v>
        <stp/>
        <stp>BDP|1059956187683922712</stp>
        <tr r="G1141" s="2"/>
      </tp>
      <tp t="s">
        <v>#N/A N/A</v>
        <stp/>
        <stp>BDS|3002811159603611940</stp>
        <tr r="I1206" s="2"/>
      </tp>
      <tp t="s">
        <v>#N/A N/A</v>
        <stp/>
        <stp>BDP|9416465348025689869</stp>
        <tr r="K1374" s="2"/>
      </tp>
      <tp t="s">
        <v>#N/A N/A</v>
        <stp/>
        <stp>BDP|4920347720852488330</stp>
        <tr r="G1239" s="2"/>
      </tp>
      <tp t="s">
        <v>#N/A N/A</v>
        <stp/>
        <stp>BDP|6972833988134833603</stp>
        <tr r="R117" s="2"/>
      </tp>
      <tp t="s">
        <v>#N/A N/A</v>
        <stp/>
        <stp>BDP|7293398782448381009</stp>
        <tr r="H628" s="2"/>
      </tp>
      <tp t="s">
        <v>#N/A N/A</v>
        <stp/>
        <stp>BDP|5482034768584090354</stp>
        <tr r="K93" s="2"/>
      </tp>
      <tp t="s">
        <v>#N/A N/A</v>
        <stp/>
        <stp>BDP|4669864539768654354</stp>
        <tr r="J909" s="2"/>
      </tp>
      <tp t="s">
        <v>#N/A N/A</v>
        <stp/>
        <stp>BDP|8869330887785221247</stp>
        <tr r="H1751" s="2"/>
      </tp>
      <tp t="s">
        <v>#N/A N/A</v>
        <stp/>
        <stp>BDP|9237083840010314935</stp>
        <tr r="E503" s="2"/>
      </tp>
      <tp t="s">
        <v>#N/A N/A</v>
        <stp/>
        <stp>BDP|2473207250705885468</stp>
        <tr r="O815" s="2"/>
      </tp>
      <tp t="s">
        <v>#N/A N/A</v>
        <stp/>
        <stp>BDP|7063680454196622602</stp>
        <tr r="F1427" s="2"/>
      </tp>
      <tp t="s">
        <v>#N/A N/A</v>
        <stp/>
        <stp>BDP|1107034841031815012</stp>
        <tr r="H232" s="2"/>
      </tp>
      <tp t="s">
        <v>#N/A N/A</v>
        <stp/>
        <stp>BDP|5341083337103196179</stp>
        <tr r="E633" s="2"/>
      </tp>
      <tp t="s">
        <v>#N/A N/A</v>
        <stp/>
        <stp>BDP|1694411643321856468</stp>
        <tr r="O366" s="2"/>
      </tp>
      <tp t="s">
        <v>#N/A N/A</v>
        <stp/>
        <stp>BDP|3148991441653649951</stp>
        <tr r="T1592" s="2"/>
      </tp>
      <tp t="s">
        <v>#N/A N/A</v>
        <stp/>
        <stp>BDP|6940173932222244247</stp>
        <tr r="F711" s="2"/>
      </tp>
      <tp t="s">
        <v>#N/A N/A</v>
        <stp/>
        <stp>BDP|7843034410186883480</stp>
        <tr r="O479" s="2"/>
      </tp>
      <tp t="s">
        <v>#N/A N/A</v>
        <stp/>
        <stp>BDP|4570096350257090272</stp>
        <tr r="R1474" s="2"/>
      </tp>
      <tp t="s">
        <v>#N/A N/A</v>
        <stp/>
        <stp>BDP|4162836639642545959</stp>
        <tr r="M118" s="2"/>
      </tp>
      <tp t="s">
        <v>#N/A N/A</v>
        <stp/>
        <stp>BDP|6807062638168992941</stp>
        <tr r="F359" s="2"/>
      </tp>
      <tp t="s">
        <v>#N/A N/A</v>
        <stp/>
        <stp>BDP|9958016992960172406</stp>
        <tr r="A763" s="2"/>
      </tp>
      <tp t="s">
        <v>#N/A N/A</v>
        <stp/>
        <stp>BDP|5106210881808900333</stp>
        <tr r="G311" s="2"/>
      </tp>
      <tp t="s">
        <v>#N/A N/A</v>
        <stp/>
        <stp>BDP|9611403587421998034</stp>
        <tr r="O757" s="2"/>
      </tp>
      <tp t="s">
        <v>#N/A N/A</v>
        <stp/>
        <stp>BDP|1390776713565567696</stp>
        <tr r="G950" s="2"/>
      </tp>
      <tp t="s">
        <v>#N/A N/A</v>
        <stp/>
        <stp>BDP|9552320729408396462</stp>
        <tr r="P992" s="2"/>
      </tp>
      <tp t="s">
        <v>#N/A N/A</v>
        <stp/>
        <stp>BDP|6277284058343886615</stp>
        <tr r="A121" s="2"/>
      </tp>
      <tp t="s">
        <v>#N/A N/A</v>
        <stp/>
        <stp>BDP|2984917898687303184</stp>
        <tr r="D1392" s="2"/>
      </tp>
      <tp t="s">
        <v>#N/A N/A</v>
        <stp/>
        <stp>BDP|8351067343669414198</stp>
        <tr r="T1645" s="2"/>
      </tp>
      <tp t="s">
        <v>#N/A N/A</v>
        <stp/>
        <stp>BDP|4953629203166505060</stp>
        <tr r="D1463" s="2"/>
      </tp>
      <tp t="s">
        <v>#N/A N/A</v>
        <stp/>
        <stp>BDP|5727148397691612892</stp>
        <tr r="M1460" s="2"/>
      </tp>
      <tp t="s">
        <v>#N/A N/A</v>
        <stp/>
        <stp>BDP|4147968440555951852</stp>
        <tr r="M1692" s="2"/>
      </tp>
      <tp t="s">
        <v>#N/A N/A</v>
        <stp/>
        <stp>BDP|6497284438482960161</stp>
        <tr r="M220" s="2"/>
      </tp>
      <tp t="s">
        <v>#N/A N/A</v>
        <stp/>
        <stp>BDP|5261633769629343806</stp>
        <tr r="R1655" s="2"/>
      </tp>
      <tp t="s">
        <v>#N/A N/A</v>
        <stp/>
        <stp>BDP|3173927579009167007</stp>
        <tr r="S1551" s="2"/>
      </tp>
      <tp t="s">
        <v>#N/A N/A</v>
        <stp/>
        <stp>BDP|7901317126454724620</stp>
        <tr r="E196" s="2"/>
      </tp>
      <tp t="s">
        <v>#N/A N/A</v>
        <stp/>
        <stp>BDP|8985205163931726967</stp>
        <tr r="F877" s="2"/>
      </tp>
      <tp t="s">
        <v>#N/A N/A</v>
        <stp/>
        <stp>BDP|1742758878826527347</stp>
        <tr r="F1661" s="2"/>
      </tp>
      <tp t="s">
        <v>#N/A N/A</v>
        <stp/>
        <stp>BDS|6735400061591823156</stp>
        <tr r="I786" s="2"/>
      </tp>
      <tp t="s">
        <v>#N/A N/A</v>
        <stp/>
        <stp>BDS|9417930049298051854</stp>
        <tr r="I1626" s="2"/>
      </tp>
      <tp t="s">
        <v>#N/A N/A</v>
        <stp/>
        <stp>BDP|5831123412438132927</stp>
        <tr r="Q1100" s="2"/>
      </tp>
      <tp t="s">
        <v>#N/A N/A</v>
        <stp/>
        <stp>BDP|6824709457843343377</stp>
        <tr r="J419" s="2"/>
      </tp>
      <tp t="s">
        <v>#N/A N/A</v>
        <stp/>
        <stp>BDP|6397896581913811187</stp>
        <tr r="C471" s="2"/>
      </tp>
      <tp t="s">
        <v>#N/A N/A</v>
        <stp/>
        <stp>BDP|8062901744569837872</stp>
        <tr r="N1127" s="2"/>
      </tp>
      <tp t="s">
        <v>#N/A N/A</v>
        <stp/>
        <stp>BDP|8420759369938581569</stp>
        <tr r="D786" s="2"/>
      </tp>
      <tp t="s">
        <v>#N/A N/A</v>
        <stp/>
        <stp>BDP|2172776057302399698</stp>
        <tr r="D641" s="2"/>
      </tp>
      <tp t="s">
        <v>#N/A N/A</v>
        <stp/>
        <stp>BDP|7715686565407402451</stp>
        <tr r="P1485" s="2"/>
      </tp>
      <tp t="s">
        <v>#N/A N/A</v>
        <stp/>
        <stp>BDP|9134383666778519014</stp>
        <tr r="F87" s="2"/>
      </tp>
      <tp t="s">
        <v>#N/A N/A</v>
        <stp/>
        <stp>BDP|2693628136514882719</stp>
        <tr r="E1112" s="2"/>
      </tp>
      <tp t="s">
        <v>#N/A N/A</v>
        <stp/>
        <stp>BDP|3076680046530137544</stp>
        <tr r="R1673" s="2"/>
      </tp>
      <tp t="s">
        <v>#N/A N/A</v>
        <stp/>
        <stp>BDP|8483537320442976958</stp>
        <tr r="A951" s="2"/>
      </tp>
      <tp t="s">
        <v>#N/A N/A</v>
        <stp/>
        <stp>BDP|2446711968406152170</stp>
        <tr r="E173" s="2"/>
      </tp>
      <tp t="s">
        <v>#N/A N/A</v>
        <stp/>
        <stp>BDP|4854444157986850789</stp>
        <tr r="H700" s="2"/>
      </tp>
      <tp t="s">
        <v>#N/A N/A</v>
        <stp/>
        <stp>BDP|9649616167065913827</stp>
        <tr r="C847" s="2"/>
      </tp>
      <tp t="s">
        <v>#N/A N/A</v>
        <stp/>
        <stp>BDP|2656291734267979095</stp>
        <tr r="F1610" s="2"/>
      </tp>
      <tp t="s">
        <v>#N/A N/A</v>
        <stp/>
        <stp>BDP|2976216542283063311</stp>
        <tr r="O171" s="2"/>
      </tp>
      <tp t="s">
        <v>#N/A N/A</v>
        <stp/>
        <stp>BDP|5764465815612964667</stp>
        <tr r="M394" s="2"/>
      </tp>
      <tp t="s">
        <v>#N/A N/A</v>
        <stp/>
        <stp>BDP|7321136940911338789</stp>
        <tr r="G1484" s="2"/>
      </tp>
      <tp t="s">
        <v>#N/A N/A</v>
        <stp/>
        <stp>BDP|3053390044456226645</stp>
        <tr r="R868" s="2"/>
      </tp>
      <tp t="s">
        <v>#N/A N/A</v>
        <stp/>
        <stp>BDP|3944276320953782425</stp>
        <tr r="M408" s="2"/>
      </tp>
      <tp t="s">
        <v>#N/A N/A</v>
        <stp/>
        <stp>BDP|7039375490059833043</stp>
        <tr r="A1649" s="2"/>
      </tp>
      <tp t="s">
        <v>#N/A N/A</v>
        <stp/>
        <stp>BDP|9781209497927800101</stp>
        <tr r="R1658" s="2"/>
      </tp>
      <tp t="s">
        <v>#N/A N/A</v>
        <stp/>
        <stp>BDP|9432306240962876842</stp>
        <tr r="D1043" s="2"/>
      </tp>
      <tp t="s">
        <v>#N/A N/A</v>
        <stp/>
        <stp>BDP|1794514949242356643</stp>
        <tr r="A81" s="2"/>
      </tp>
      <tp t="s">
        <v>#N/A N/A</v>
        <stp/>
        <stp>BDP|6251921750487898901</stp>
        <tr r="D1379" s="2"/>
      </tp>
      <tp t="s">
        <v>#N/A N/A</v>
        <stp/>
        <stp>BDP|7087182002014320610</stp>
        <tr r="C850" s="2"/>
      </tp>
      <tp t="s">
        <v>#N/A N/A</v>
        <stp/>
        <stp>BDP|1010196541595331539</stp>
        <tr r="T1736" s="2"/>
      </tp>
      <tp t="s">
        <v>#N/A N/A</v>
        <stp/>
        <stp>BDP|1996437455686794209</stp>
        <tr r="H498" s="2"/>
      </tp>
      <tp t="s">
        <v>#N/A N/A</v>
        <stp/>
        <stp>BDP|2828256250784589503</stp>
        <tr r="D213" s="2"/>
      </tp>
      <tp t="s">
        <v>#N/A N/A</v>
        <stp/>
        <stp>BDP|4701810200770840868</stp>
        <tr r="C540" s="2"/>
      </tp>
      <tp t="s">
        <v>#N/A N/A</v>
        <stp/>
        <stp>BDP|8844110112034696856</stp>
        <tr r="F560" s="2"/>
      </tp>
      <tp t="s">
        <v>#N/A N/A</v>
        <stp/>
        <stp>BDP|9211396788934907225</stp>
        <tr r="N1261" s="2"/>
      </tp>
      <tp t="s">
        <v>#N/A N/A</v>
        <stp/>
        <stp>BDP|9370797189870844237</stp>
        <tr r="F1327" s="2"/>
      </tp>
      <tp t="s">
        <v>#N/A N/A</v>
        <stp/>
        <stp>BDS|7980744302733172764</stp>
        <tr r="I60" s="2"/>
      </tp>
      <tp t="s">
        <v>#N/A N/A</v>
        <stp/>
        <stp>BDP|2849910012726708848</stp>
        <tr r="O878" s="2"/>
      </tp>
      <tp t="s">
        <v>#N/A N/A</v>
        <stp/>
        <stp>BDP|7458072736453499391</stp>
        <tr r="C158" s="2"/>
      </tp>
      <tp t="s">
        <v>#N/A N/A</v>
        <stp/>
        <stp>BDP|7565532659384194765</stp>
        <tr r="G1195" s="2"/>
      </tp>
      <tp t="s">
        <v>#N/A N/A</v>
        <stp/>
        <stp>BDP|2447756505541852048</stp>
        <tr r="O1009" s="2"/>
      </tp>
      <tp t="s">
        <v>#N/A N/A</v>
        <stp/>
        <stp>BDP|9515675805919749283</stp>
        <tr r="T566" s="2"/>
      </tp>
      <tp t="s">
        <v>#N/A N/A</v>
        <stp/>
        <stp>BDP|4791295757257014015</stp>
        <tr r="T518" s="2"/>
      </tp>
      <tp t="s">
        <v>#N/A N/A</v>
        <stp/>
        <stp>BDP|4093613579217118613</stp>
        <tr r="P1429" s="2"/>
      </tp>
      <tp t="s">
        <v>#N/A N/A</v>
        <stp/>
        <stp>BDP|5861131222952760065</stp>
        <tr r="F1185" s="2"/>
      </tp>
      <tp t="s">
        <v>#N/A N/A</v>
        <stp/>
        <stp>BDP|7546192224752942298</stp>
        <tr r="E1317" s="2"/>
      </tp>
      <tp t="s">
        <v>#N/A N/A</v>
        <stp/>
        <stp>BDP|7977493848536152519</stp>
        <tr r="H1255" s="2"/>
      </tp>
      <tp t="s">
        <v>#N/A N/A</v>
        <stp/>
        <stp>BDP|7943367589650907879</stp>
        <tr r="J1037" s="2"/>
      </tp>
      <tp t="s">
        <v>#N/A N/A</v>
        <stp/>
        <stp>BDP|1676293363119712838</stp>
        <tr r="E1088" s="2"/>
      </tp>
      <tp t="s">
        <v>#N/A N/A</v>
        <stp/>
        <stp>BDP|4888313733000259002</stp>
        <tr r="Q740" s="2"/>
      </tp>
      <tp t="s">
        <v>#N/A N/A</v>
        <stp/>
        <stp>BDP|4890275883308649227</stp>
        <tr r="J1091" s="2"/>
      </tp>
      <tp t="s">
        <v>#N/A N/A</v>
        <stp/>
        <stp>BDP|2754527758685497311</stp>
        <tr r="F892" s="2"/>
      </tp>
      <tp t="s">
        <v>#N/A N/A</v>
        <stp/>
        <stp>BDP|5722135540172888642</stp>
        <tr r="O287" s="2"/>
      </tp>
      <tp t="s">
        <v>#N/A N/A</v>
        <stp/>
        <stp>BDP|2665725554785832108</stp>
        <tr r="C1725" s="2"/>
      </tp>
      <tp t="s">
        <v>#N/A N/A</v>
        <stp/>
        <stp>BDP|3991776710560474123</stp>
        <tr r="F66" s="2"/>
      </tp>
      <tp t="s">
        <v>#N/A N/A</v>
        <stp/>
        <stp>BDP|6780786855500536076</stp>
        <tr r="K949" s="2"/>
      </tp>
      <tp t="s">
        <v>#N/A N/A</v>
        <stp/>
        <stp>BDP|7788837563085886876</stp>
        <tr r="M723" s="2"/>
      </tp>
      <tp t="s">
        <v>#N/A N/A</v>
        <stp/>
        <stp>BDP|6004715856449715981</stp>
        <tr r="A1372" s="2"/>
      </tp>
      <tp t="s">
        <v>#N/A N/A</v>
        <stp/>
        <stp>BDP|2788689021663346152</stp>
        <tr r="J177" s="2"/>
      </tp>
      <tp t="s">
        <v>#N/A N/A</v>
        <stp/>
        <stp>BDP|9992757082690693200</stp>
        <tr r="T96" s="2"/>
      </tp>
      <tp t="s">
        <v>#N/A N/A</v>
        <stp/>
        <stp>BDS|5757757063165829513</stp>
        <tr r="I1048" s="2"/>
      </tp>
      <tp t="s">
        <v>#N/A N/A</v>
        <stp/>
        <stp>BDS|3181166718351799606</stp>
        <tr r="I695" s="2"/>
      </tp>
      <tp t="s">
        <v>#N/A N/A</v>
        <stp/>
        <stp>BDP|3452847950502040882</stp>
        <tr r="J410" s="2"/>
      </tp>
      <tp t="s">
        <v>#N/A N/A</v>
        <stp/>
        <stp>BDP|5579158906597832768</stp>
        <tr r="C1539" s="2"/>
      </tp>
      <tp t="s">
        <v>#N/A N/A</v>
        <stp/>
        <stp>BDS|4843415814374148145</stp>
        <tr r="I124" s="2"/>
      </tp>
      <tp t="s">
        <v>#N/A N/A</v>
        <stp/>
        <stp>BDP|1399661227636399797</stp>
        <tr r="Q922" s="2"/>
      </tp>
      <tp t="s">
        <v>#N/A N/A</v>
        <stp/>
        <stp>BDP|6367214861662827436</stp>
        <tr r="S947" s="2"/>
      </tp>
      <tp t="s">
        <v>#N/A N/A</v>
        <stp/>
        <stp>BDS|8226919848019739848</stp>
        <tr r="I1702" s="2"/>
      </tp>
      <tp t="s">
        <v>#N/A N/A</v>
        <stp/>
        <stp>BDP|1174112558343162213</stp>
        <tr r="O78" s="2"/>
      </tp>
      <tp t="s">
        <v>#N/A N/A</v>
        <stp/>
        <stp>BDP|6295482032944090108</stp>
        <tr r="T374" s="2"/>
      </tp>
      <tp t="s">
        <v>#N/A N/A</v>
        <stp/>
        <stp>BDP|5551772367198477892</stp>
        <tr r="N1336" s="2"/>
      </tp>
      <tp t="s">
        <v>#N/A N/A</v>
        <stp/>
        <stp>BDP|6636679947668665889</stp>
        <tr r="T924" s="2"/>
      </tp>
      <tp t="s">
        <v>#N/A N/A</v>
        <stp/>
        <stp>BDS|7618914334270320985</stp>
        <tr r="I104" s="2"/>
      </tp>
      <tp t="s">
        <v>#N/A N/A</v>
        <stp/>
        <stp>BDP|6378492276160333174</stp>
        <tr r="S301" s="2"/>
      </tp>
      <tp t="s">
        <v>#N/A N/A</v>
        <stp/>
        <stp>BDP|6969216120234662667</stp>
        <tr r="G152" s="2"/>
      </tp>
      <tp t="s">
        <v>#N/A N/A</v>
        <stp/>
        <stp>BDP|4496029778743671402</stp>
        <tr r="Q22" s="2"/>
      </tp>
      <tp t="s">
        <v>#N/A N/A</v>
        <stp/>
        <stp>BDP|1651535160852982442</stp>
        <tr r="S914" s="2"/>
      </tp>
      <tp t="s">
        <v>#N/A N/A</v>
        <stp/>
        <stp>BDS|3456086767368424973</stp>
        <tr r="I663" s="2"/>
      </tp>
      <tp t="s">
        <v>#N/A N/A</v>
        <stp/>
        <stp>BDP|5389093711454185425</stp>
        <tr r="J1185" s="2"/>
      </tp>
      <tp t="s">
        <v>#N/A N/A</v>
        <stp/>
        <stp>BDP|5203472845065144494</stp>
        <tr r="A1042" s="2"/>
      </tp>
      <tp t="s">
        <v>#N/A N/A</v>
        <stp/>
        <stp>BDP|5352214680182316993</stp>
        <tr r="R113" s="2"/>
      </tp>
      <tp t="s">
        <v>#N/A N/A</v>
        <stp/>
        <stp>BDP|9134921649067230704</stp>
        <tr r="P1614" s="2"/>
      </tp>
      <tp t="s">
        <v>#N/A N/A</v>
        <stp/>
        <stp>BDP|7043498225847613220</stp>
        <tr r="J1713" s="2"/>
      </tp>
      <tp t="s">
        <v>#N/A N/A</v>
        <stp/>
        <stp>BDP|8904945319580929457</stp>
        <tr r="P1311" s="2"/>
      </tp>
      <tp t="s">
        <v>#N/A N/A</v>
        <stp/>
        <stp>BDP|6083007634912464385</stp>
        <tr r="T1262" s="2"/>
      </tp>
      <tp t="s">
        <v>#N/A N/A</v>
        <stp/>
        <stp>BDP|2726209308641694510</stp>
        <tr r="E1050" s="2"/>
      </tp>
      <tp t="s">
        <v>#N/A N/A</v>
        <stp/>
        <stp>BDP|4328634267574848473</stp>
        <tr r="K401" s="2"/>
      </tp>
      <tp t="s">
        <v>#N/A N/A</v>
        <stp/>
        <stp>BDP|9142930318631527474</stp>
        <tr r="N1570" s="2"/>
      </tp>
      <tp t="s">
        <v>#N/A N/A</v>
        <stp/>
        <stp>BDP|1210465118313606323</stp>
        <tr r="O1717" s="2"/>
      </tp>
      <tp t="s">
        <v>#N/A N/A</v>
        <stp/>
        <stp>BDP|7258969733289821078</stp>
        <tr r="T801" s="2"/>
      </tp>
      <tp t="s">
        <v>#N/A N/A</v>
        <stp/>
        <stp>BDP|3411961615669692698</stp>
        <tr r="O454" s="2"/>
      </tp>
      <tp t="s">
        <v>#N/A N/A</v>
        <stp/>
        <stp>BDP|9013792434870548908</stp>
        <tr r="K1419" s="2"/>
      </tp>
      <tp t="s">
        <v>#N/A N/A</v>
        <stp/>
        <stp>BDP|5514083201669419802</stp>
        <tr r="J1586" s="2"/>
      </tp>
      <tp t="s">
        <v>#N/A N/A</v>
        <stp/>
        <stp>BDP|5379086258060919426</stp>
        <tr r="M58" s="2"/>
      </tp>
      <tp t="s">
        <v>#N/A N/A</v>
        <stp/>
        <stp>BDP|5278603569245351405</stp>
        <tr r="H944" s="2"/>
      </tp>
      <tp t="s">
        <v>#N/A N/A</v>
        <stp/>
        <stp>BDP|5679425906403329692</stp>
        <tr r="T869" s="2"/>
      </tp>
      <tp t="s">
        <v>#N/A N/A</v>
        <stp/>
        <stp>BDP|4277778284468098794</stp>
        <tr r="D1541" s="2"/>
      </tp>
      <tp t="s">
        <v>#N/A N/A</v>
        <stp/>
        <stp>BDP|6794418810837719081</stp>
        <tr r="C238" s="2"/>
      </tp>
      <tp t="s">
        <v>#N/A N/A</v>
        <stp/>
        <stp>BDP|4471044808339199900</stp>
        <tr r="D1320" s="2"/>
      </tp>
      <tp t="s">
        <v>#N/A N/A</v>
        <stp/>
        <stp>BDP|3369318088324735847</stp>
        <tr r="O211" s="2"/>
      </tp>
      <tp t="s">
        <v>#N/A N/A</v>
        <stp/>
        <stp>BDP|7989283403064903522</stp>
        <tr r="T619" s="2"/>
      </tp>
      <tp t="s">
        <v>#N/A N/A</v>
        <stp/>
        <stp>BDP|2092536314536854467</stp>
        <tr r="H490" s="2"/>
      </tp>
      <tp t="s">
        <v>#N/A N/A</v>
        <stp/>
        <stp>BDP|1640777326070736098</stp>
        <tr r="G227" s="2"/>
      </tp>
      <tp t="s">
        <v>#N/A N/A</v>
        <stp/>
        <stp>BDP|5808609475773744332</stp>
        <tr r="H592" s="2"/>
      </tp>
      <tp t="s">
        <v>#N/A N/A</v>
        <stp/>
        <stp>BDP|6562900608273548818</stp>
        <tr r="T1407" s="2"/>
      </tp>
      <tp t="s">
        <v>#N/A N/A</v>
        <stp/>
        <stp>BDP|5668288904654268715</stp>
        <tr r="T1148" s="2"/>
      </tp>
      <tp t="s">
        <v>#N/A N/A</v>
        <stp/>
        <stp>BDP|2634443768990074435</stp>
        <tr r="N845" s="2"/>
      </tp>
      <tp t="s">
        <v>#N/A N/A</v>
        <stp/>
        <stp>BDP|1386482311144388408</stp>
        <tr r="F251" s="2"/>
      </tp>
      <tp t="s">
        <v>#N/A N/A</v>
        <stp/>
        <stp>BDS|8176012698041494455</stp>
        <tr r="I1295" s="2"/>
      </tp>
      <tp t="s">
        <v>#N/A N/A</v>
        <stp/>
        <stp>BDP|8573374493075909319</stp>
        <tr r="N472" s="2"/>
      </tp>
      <tp t="s">
        <v>#N/A N/A</v>
        <stp/>
        <stp>BDP|1618891997444811098</stp>
        <tr r="C1609" s="2"/>
      </tp>
      <tp t="s">
        <v>#N/A N/A</v>
        <stp/>
        <stp>BDP|8280911166510483389</stp>
        <tr r="D900" s="2"/>
      </tp>
      <tp t="s">
        <v>#N/A N/A</v>
        <stp/>
        <stp>BDP|4295205116905509688</stp>
        <tr r="G1364" s="2"/>
      </tp>
      <tp t="s">
        <v>#N/A N/A</v>
        <stp/>
        <stp>BDP|9287242908626332942</stp>
        <tr r="E605" s="2"/>
      </tp>
      <tp t="s">
        <v>#N/A N/A</v>
        <stp/>
        <stp>BDP|9514979671793313093</stp>
        <tr r="K936" s="2"/>
      </tp>
      <tp t="s">
        <v>#N/A N/A</v>
        <stp/>
        <stp>BDP|5412781617557614048</stp>
        <tr r="J1448" s="2"/>
      </tp>
      <tp t="s">
        <v>#N/A N/A</v>
        <stp/>
        <stp>BDP|4572126631672693092</stp>
        <tr r="N1439" s="2"/>
      </tp>
      <tp t="s">
        <v>#N/A N/A</v>
        <stp/>
        <stp>BDP|4984301068745901012</stp>
        <tr r="H8" s="2"/>
      </tp>
      <tp t="s">
        <v>#N/A N/A</v>
        <stp/>
        <stp>BDP|3073344117377848228</stp>
        <tr r="H933" s="2"/>
      </tp>
      <tp t="s">
        <v>#N/A N/A</v>
        <stp/>
        <stp>BDP|7511111540934825254</stp>
        <tr r="S1705" s="2"/>
      </tp>
      <tp t="s">
        <v>#N/A N/A</v>
        <stp/>
        <stp>BDP|5852112272235730259</stp>
        <tr r="H475" s="2"/>
      </tp>
      <tp t="s">
        <v>#N/A N/A</v>
        <stp/>
        <stp>BDP|1025046572993646196</stp>
        <tr r="E1007" s="2"/>
      </tp>
      <tp t="s">
        <v>#N/A N/A</v>
        <stp/>
        <stp>BDP|7919252103418511939</stp>
        <tr r="O520" s="2"/>
      </tp>
      <tp t="s">
        <v>#N/A N/A</v>
        <stp/>
        <stp>BDS|9915130612289270438</stp>
        <tr r="I1490" s="2"/>
      </tp>
      <tp t="s">
        <v>#N/A N/A</v>
        <stp/>
        <stp>BDP|9092839588324056928</stp>
        <tr r="H1590" s="2"/>
      </tp>
      <tp t="s">
        <v>#N/A N/A</v>
        <stp/>
        <stp>BDP|4837227286232199841</stp>
        <tr r="P761" s="2"/>
      </tp>
      <tp t="s">
        <v>#N/A N/A</v>
        <stp/>
        <stp>BDP|3789832299946557018</stp>
        <tr r="O1675" s="2"/>
      </tp>
      <tp t="s">
        <v>#N/A N/A</v>
        <stp/>
        <stp>BDP|9146946829804067252</stp>
        <tr r="M1205" s="2"/>
      </tp>
      <tp t="s">
        <v>#N/A N/A</v>
        <stp/>
        <stp>BDP|4038188321516830583</stp>
        <tr r="S1028" s="2"/>
      </tp>
      <tp t="s">
        <v>#N/A N/A</v>
        <stp/>
        <stp>BDP|7163510379883192219</stp>
        <tr r="E572" s="2"/>
      </tp>
      <tp t="s">
        <v>#N/A N/A</v>
        <stp/>
        <stp>BDP|3233565153305765292</stp>
        <tr r="R363" s="2"/>
      </tp>
      <tp t="s">
        <v>#N/A N/A</v>
        <stp/>
        <stp>BDP|1112225805893741489</stp>
        <tr r="K1425" s="2"/>
      </tp>
      <tp t="s">
        <v>#N/A N/A</v>
        <stp/>
        <stp>BDP|5107753578379696838</stp>
        <tr r="G1551" s="2"/>
      </tp>
      <tp t="s">
        <v>#N/A N/A</v>
        <stp/>
        <stp>BDP|7268473408243573411</stp>
        <tr r="Q1433" s="2"/>
      </tp>
      <tp t="s">
        <v>#N/A N/A</v>
        <stp/>
        <stp>BDP|5456790243461542325</stp>
        <tr r="H1349" s="2"/>
      </tp>
      <tp t="s">
        <v>#N/A N/A</v>
        <stp/>
        <stp>BDP|2670506233208820841</stp>
        <tr r="N1519" s="2"/>
      </tp>
      <tp t="s">
        <v>#N/A N/A</v>
        <stp/>
        <stp>BDP|3838430762850038508</stp>
        <tr r="P1541" s="2"/>
      </tp>
      <tp t="s">
        <v>#N/A N/A</v>
        <stp/>
        <stp>BDP|6802775936016749071</stp>
        <tr r="E703" s="2"/>
      </tp>
      <tp t="s">
        <v>#N/A N/A</v>
        <stp/>
        <stp>BDP|4648050718151367013</stp>
        <tr r="N435" s="2"/>
      </tp>
      <tp t="s">
        <v>#N/A N/A</v>
        <stp/>
        <stp>BDP|7417124975977386297</stp>
        <tr r="E816" s="2"/>
      </tp>
      <tp t="s">
        <v>#N/A N/A</v>
        <stp/>
        <stp>BDP|2639142669125759457</stp>
        <tr r="F421" s="2"/>
      </tp>
      <tp t="s">
        <v>#N/A N/A</v>
        <stp/>
        <stp>BDP|4282141250964772085</stp>
        <tr r="H201" s="2"/>
      </tp>
      <tp t="s">
        <v>#N/A N/A</v>
        <stp/>
        <stp>BDP|5652735062838620888</stp>
        <tr r="A241" s="2"/>
      </tp>
      <tp t="s">
        <v>#N/A N/A</v>
        <stp/>
        <stp>BDP|7556473619667733156</stp>
        <tr r="C724" s="2"/>
      </tp>
      <tp t="s">
        <v>#N/A N/A</v>
        <stp/>
        <stp>BDP|2204945282814510389</stp>
        <tr r="J786" s="2"/>
      </tp>
      <tp t="s">
        <v>#N/A N/A</v>
        <stp/>
        <stp>BDP|1764887392072678623</stp>
        <tr r="Q871" s="2"/>
      </tp>
      <tp t="s">
        <v>#N/A N/A</v>
        <stp/>
        <stp>BDP|3117895536389263554</stp>
        <tr r="G794" s="2"/>
      </tp>
      <tp t="s">
        <v>#N/A N/A</v>
        <stp/>
        <stp>BDP|9038991376016361551</stp>
        <tr r="K994" s="2"/>
      </tp>
      <tp t="s">
        <v>#N/A N/A</v>
        <stp/>
        <stp>BDP|6173869279365783801</stp>
        <tr r="Q245" s="2"/>
      </tp>
      <tp t="s">
        <v>#N/A N/A</v>
        <stp/>
        <stp>BDP|1020407419905205528</stp>
        <tr r="T315" s="2"/>
      </tp>
      <tp t="s">
        <v>#N/A N/A</v>
        <stp/>
        <stp>BDP|6802993506162670981</stp>
        <tr r="A779" s="2"/>
      </tp>
      <tp t="s">
        <v>#N/A N/A</v>
        <stp/>
        <stp>BDS|3952703023072469074</stp>
        <tr r="I1663" s="2"/>
      </tp>
      <tp t="s">
        <v>#N/A N/A</v>
        <stp/>
        <stp>BDP|2508978345353880864</stp>
        <tr r="P173" s="2"/>
      </tp>
      <tp t="s">
        <v>#N/A N/A</v>
        <stp/>
        <stp>BDP|5284181166520696633</stp>
        <tr r="A709" s="2"/>
      </tp>
      <tp t="s">
        <v>#N/A N/A</v>
        <stp/>
        <stp>BDS|2236463545694958216</stp>
        <tr r="I1124" s="2"/>
      </tp>
      <tp t="s">
        <v>#N/A N/A</v>
        <stp/>
        <stp>BDP|2595269517662978747</stp>
        <tr r="O465" s="2"/>
      </tp>
      <tp t="s">
        <v>#N/A N/A</v>
        <stp/>
        <stp>BDP|6111751712677897306</stp>
        <tr r="N888" s="2"/>
      </tp>
      <tp t="s">
        <v>#N/A N/A</v>
        <stp/>
        <stp>BDP|2821910965779098025</stp>
        <tr r="E1268" s="2"/>
      </tp>
      <tp t="s">
        <v>#N/A N/A</v>
        <stp/>
        <stp>BDP|1693541338322002142</stp>
        <tr r="A429" s="2"/>
      </tp>
      <tp t="s">
        <v>#N/A N/A</v>
        <stp/>
        <stp>BDP|7279808819209778322</stp>
        <tr r="H491" s="2"/>
      </tp>
      <tp t="s">
        <v>#N/A N/A</v>
        <stp/>
        <stp>BDP|5586236565747537281</stp>
        <tr r="E1274" s="2"/>
      </tp>
      <tp t="s">
        <v>#N/A N/A</v>
        <stp/>
        <stp>BDP|5957536111781181447</stp>
        <tr r="A394" s="2"/>
      </tp>
      <tp t="s">
        <v>#N/A N/A</v>
        <stp/>
        <stp>BDS|2958162793538183632</stp>
        <tr r="I1737" s="2"/>
      </tp>
      <tp t="s">
        <v>#N/A N/A</v>
        <stp/>
        <stp>BDP|5385471898598014427</stp>
        <tr r="K547" s="2"/>
      </tp>
      <tp t="s">
        <v>#N/A N/A</v>
        <stp/>
        <stp>BDS|1909263403161094622</stp>
        <tr r="I1533" s="2"/>
      </tp>
      <tp t="s">
        <v>#N/A N/A</v>
        <stp/>
        <stp>BDP|6365314428546480502</stp>
        <tr r="R1481" s="2"/>
      </tp>
      <tp t="s">
        <v>#N/A N/A</v>
        <stp/>
        <stp>BDP|6619128003185062693</stp>
        <tr r="T478" s="2"/>
      </tp>
      <tp t="s">
        <v>#N/A N/A</v>
        <stp/>
        <stp>BDP|7024279656137972360</stp>
        <tr r="O1356" s="2"/>
      </tp>
      <tp t="s">
        <v>#N/A N/A</v>
        <stp/>
        <stp>BDP|8012309164660216982</stp>
        <tr r="P1304" s="2"/>
      </tp>
      <tp t="s">
        <v>#N/A N/A</v>
        <stp/>
        <stp>BDP|1546573504991114192</stp>
        <tr r="R212" s="2"/>
      </tp>
      <tp t="s">
        <v>#N/A N/A</v>
        <stp/>
        <stp>BDP|2588469336331298097</stp>
        <tr r="D969" s="2"/>
      </tp>
      <tp t="s">
        <v>#N/A N/A</v>
        <stp/>
        <stp>BDP|8693083991105309027</stp>
        <tr r="N1179" s="2"/>
      </tp>
      <tp t="s">
        <v>#N/A N/A</v>
        <stp/>
        <stp>BDP|7931676787585557829</stp>
        <tr r="O859" s="2"/>
      </tp>
      <tp t="s">
        <v>#N/A N/A</v>
        <stp/>
        <stp>BDP|1654696866515586022</stp>
        <tr r="D10" s="2"/>
      </tp>
      <tp t="s">
        <v>#N/A N/A</v>
        <stp/>
        <stp>BDP|9406539202231926926</stp>
        <tr r="M611" s="2"/>
      </tp>
      <tp t="s">
        <v>#N/A N/A</v>
        <stp/>
        <stp>BDP|1851263620385885082</stp>
        <tr r="F1744" s="2"/>
      </tp>
      <tp t="s">
        <v>#N/A N/A</v>
        <stp/>
        <stp>BDP|7538429675072863243</stp>
        <tr r="E1036" s="2"/>
      </tp>
      <tp t="s">
        <v>#N/A N/A</v>
        <stp/>
        <stp>BDP|7552117719074658758</stp>
        <tr r="T1022" s="2"/>
      </tp>
      <tp t="s">
        <v>#N/A N/A</v>
        <stp/>
        <stp>BDP|6712652437801223697</stp>
        <tr r="O71" s="2"/>
      </tp>
      <tp t="s">
        <v>#N/A N/A</v>
        <stp/>
        <stp>BDP|9660859742816914767</stp>
        <tr r="C541" s="2"/>
      </tp>
      <tp t="s">
        <v>#N/A N/A</v>
        <stp/>
        <stp>BDP|5565578646840864021</stp>
        <tr r="H903" s="2"/>
      </tp>
      <tp t="s">
        <v>#N/A N/A</v>
        <stp/>
        <stp>BDP|6980688568742472031</stp>
        <tr r="D575" s="2"/>
      </tp>
      <tp t="s">
        <v>#N/A N/A</v>
        <stp/>
        <stp>BDP|4824723107595652250</stp>
        <tr r="R940" s="2"/>
      </tp>
      <tp t="s">
        <v>#N/A N/A</v>
        <stp/>
        <stp>BDP|7202205465381871610</stp>
        <tr r="O243" s="2"/>
      </tp>
      <tp t="s">
        <v>#N/A N/A</v>
        <stp/>
        <stp>BDP|7704636253659918900</stp>
        <tr r="J923" s="2"/>
      </tp>
      <tp t="s">
        <v>#N/A N/A</v>
        <stp/>
        <stp>BDP|7405689111180715449</stp>
        <tr r="C1204" s="2"/>
      </tp>
      <tp t="s">
        <v>#N/A N/A</v>
        <stp/>
        <stp>BDP|3007493861302368755</stp>
        <tr r="S606" s="2"/>
      </tp>
      <tp t="s">
        <v>#N/A N/A</v>
        <stp/>
        <stp>BDP|5592789771073735250</stp>
        <tr r="J628" s="2"/>
      </tp>
      <tp t="s">
        <v>#N/A N/A</v>
        <stp/>
        <stp>BDP|2790085542196771449</stp>
        <tr r="P1140" s="2"/>
      </tp>
      <tp t="s">
        <v>#N/A N/A</v>
        <stp/>
        <stp>BDP|1258725410711612285</stp>
        <tr r="F499" s="2"/>
      </tp>
      <tp t="s">
        <v>#N/A N/A</v>
        <stp/>
        <stp>BDP|1616245858434262665</stp>
        <tr r="P1444" s="2"/>
      </tp>
      <tp t="s">
        <v>#N/A N/A</v>
        <stp/>
        <stp>BDP|9201841469092366124</stp>
        <tr r="J776" s="2"/>
      </tp>
      <tp t="s">
        <v>#N/A N/A</v>
        <stp/>
        <stp>BDP|3637189943353126129</stp>
        <tr r="N632" s="2"/>
      </tp>
      <tp t="s">
        <v>#N/A N/A</v>
        <stp/>
        <stp>BDP|2506697312083243221</stp>
        <tr r="J1054" s="2"/>
      </tp>
      <tp t="s">
        <v>#N/A N/A</v>
        <stp/>
        <stp>BDP|1973790904221967331</stp>
        <tr r="P765" s="2"/>
      </tp>
      <tp t="s">
        <v>#N/A N/A</v>
        <stp/>
        <stp>BDP|9739660899611035363</stp>
        <tr r="C754" s="2"/>
      </tp>
      <tp t="s">
        <v>#N/A N/A</v>
        <stp/>
        <stp>BDP|9918293995376276093</stp>
        <tr r="R11" s="2"/>
      </tp>
      <tp t="s">
        <v>#N/A N/A</v>
        <stp/>
        <stp>BDP|1853213476363550345</stp>
        <tr r="P1625" s="2"/>
      </tp>
      <tp t="s">
        <v>#N/A N/A</v>
        <stp/>
        <stp>BDP|5516034704175905451</stp>
        <tr r="R757" s="2"/>
      </tp>
      <tp t="s">
        <v>#N/A N/A</v>
        <stp/>
        <stp>BDP|3525582913461863287</stp>
        <tr r="S1265" s="2"/>
      </tp>
      <tp t="s">
        <v>#N/A N/A</v>
        <stp/>
        <stp>BDP|2324223821762741497</stp>
        <tr r="P904" s="2"/>
      </tp>
      <tp t="s">
        <v>#N/A N/A</v>
        <stp/>
        <stp>BDS|7492221287810755982</stp>
        <tr r="I1219" s="2"/>
      </tp>
      <tp t="s">
        <v>#N/A N/A</v>
        <stp/>
        <stp>BDP|2526783174142214455</stp>
        <tr r="J689" s="2"/>
      </tp>
      <tp t="s">
        <v>#N/A N/A</v>
        <stp/>
        <stp>BDP|6264004839739478816</stp>
        <tr r="A1454" s="2"/>
      </tp>
      <tp t="s">
        <v>#N/A N/A</v>
        <stp/>
        <stp>BDP|2302964948248465374</stp>
        <tr r="E1323" s="2"/>
      </tp>
      <tp t="s">
        <v>#N/A N/A</v>
        <stp/>
        <stp>BDP|7417157479304404122</stp>
        <tr r="S69" s="2"/>
      </tp>
      <tp t="s">
        <v>#N/A N/A</v>
        <stp/>
        <stp>BDP|1181314782936839841</stp>
        <tr r="K504" s="2"/>
      </tp>
      <tp t="s">
        <v>#N/A N/A</v>
        <stp/>
        <stp>BDP|7378280016010475077</stp>
        <tr r="T1145" s="2"/>
      </tp>
      <tp t="s">
        <v>#N/A N/A</v>
        <stp/>
        <stp>BDP|8271881030252538510</stp>
        <tr r="N1438" s="2"/>
      </tp>
      <tp t="s">
        <v>#N/A N/A</v>
        <stp/>
        <stp>BDP|8326462697257539696</stp>
        <tr r="J1386" s="2"/>
      </tp>
      <tp t="s">
        <v>#N/A N/A</v>
        <stp/>
        <stp>BDS|9351347987661643784</stp>
        <tr r="I332" s="2"/>
      </tp>
      <tp t="s">
        <v>#N/A N/A</v>
        <stp/>
        <stp>BDP|6438060493443681898</stp>
        <tr r="R1106" s="2"/>
      </tp>
      <tp t="s">
        <v>#N/A N/A</v>
        <stp/>
        <stp>BDS|1687046948993523210</stp>
        <tr r="I530" s="2"/>
      </tp>
      <tp t="s">
        <v>#N/A N/A</v>
        <stp/>
        <stp>BDP|3806506233755337464</stp>
        <tr r="T1612" s="2"/>
      </tp>
      <tp t="s">
        <v>#N/A N/A</v>
        <stp/>
        <stp>BDP|5476655616042842410</stp>
        <tr r="M594" s="2"/>
      </tp>
      <tp t="s">
        <v>#N/A N/A</v>
        <stp/>
        <stp>BDP|6811182201541876277</stp>
        <tr r="F1342" s="2"/>
      </tp>
      <tp t="s">
        <v>#N/A N/A</v>
        <stp/>
        <stp>BDP|2763107939586156208</stp>
        <tr r="P629" s="2"/>
      </tp>
      <tp t="s">
        <v>#N/A N/A</v>
        <stp/>
        <stp>BDP|1570109208920373419</stp>
        <tr r="P373" s="2"/>
      </tp>
      <tp t="s">
        <v>#N/A N/A</v>
        <stp/>
        <stp>BDP|7019780212052095751</stp>
        <tr r="G335" s="2"/>
      </tp>
      <tp t="s">
        <v>#N/A N/A</v>
        <stp/>
        <stp>BDP|4382685225366900286</stp>
        <tr r="S399" s="2"/>
      </tp>
      <tp t="s">
        <v>#N/A N/A</v>
        <stp/>
        <stp>BDP|5788892164218538703</stp>
        <tr r="K1069" s="2"/>
      </tp>
      <tp t="s">
        <v>#N/A N/A</v>
        <stp/>
        <stp>BDP|6950262811085398426</stp>
        <tr r="J343" s="2"/>
      </tp>
      <tp t="s">
        <v>#N/A N/A</v>
        <stp/>
        <stp>BDP|1289489572055193360</stp>
        <tr r="S1623" s="2"/>
      </tp>
      <tp t="s">
        <v>#N/A N/A</v>
        <stp/>
        <stp>BDP|3438350432543582495</stp>
        <tr r="F1239" s="2"/>
      </tp>
      <tp t="s">
        <v>#N/A N/A</v>
        <stp/>
        <stp>BDP|7718332538802639152</stp>
        <tr r="M1420" s="2"/>
      </tp>
      <tp t="s">
        <v>#N/A N/A</v>
        <stp/>
        <stp>BDP|2149218673815482686</stp>
        <tr r="M1718" s="2"/>
      </tp>
      <tp t="s">
        <v>#N/A N/A</v>
        <stp/>
        <stp>BDP|7357082890658393272</stp>
        <tr r="P1220" s="2"/>
      </tp>
      <tp t="s">
        <v>#N/A N/A</v>
        <stp/>
        <stp>BDP|3990331802537420335</stp>
        <tr r="G1279" s="2"/>
      </tp>
      <tp t="s">
        <v>#N/A N/A</v>
        <stp/>
        <stp>BDP|1547653929990276144</stp>
        <tr r="R193" s="2"/>
      </tp>
      <tp t="s">
        <v>#N/A N/A</v>
        <stp/>
        <stp>BDP|1066608845753859421</stp>
        <tr r="G861" s="2"/>
      </tp>
      <tp t="s">
        <v>#N/A N/A</v>
        <stp/>
        <stp>BDP|2832909506736324923</stp>
        <tr r="C809" s="2"/>
      </tp>
      <tp t="s">
        <v>#N/A N/A</v>
        <stp/>
        <stp>BDP|5823451322446296122</stp>
        <tr r="M275" s="2"/>
      </tp>
      <tp t="s">
        <v>#N/A N/A</v>
        <stp/>
        <stp>BDP|7996980590187609484</stp>
        <tr r="Q107" s="2"/>
      </tp>
      <tp t="s">
        <v>#N/A N/A</v>
        <stp/>
        <stp>BDP|3707494234961078156</stp>
        <tr r="R1275" s="2"/>
      </tp>
      <tp t="s">
        <v>#N/A N/A</v>
        <stp/>
        <stp>BDP|4704406219120100508</stp>
        <tr r="M581" s="2"/>
      </tp>
      <tp t="s">
        <v>#N/A N/A</v>
        <stp/>
        <stp>BDP|7797135876612859750</stp>
        <tr r="G462" s="2"/>
      </tp>
      <tp t="s">
        <v>#N/A N/A</v>
        <stp/>
        <stp>BDP|4219668170311220097</stp>
        <tr r="N154" s="2"/>
      </tp>
      <tp t="s">
        <v>#N/A N/A</v>
        <stp/>
        <stp>BDP|5440296072403614769</stp>
        <tr r="F950" s="2"/>
      </tp>
      <tp t="s">
        <v>#N/A N/A</v>
        <stp/>
        <stp>BDP|7018256703896997708</stp>
        <tr r="H347" s="2"/>
      </tp>
      <tp t="s">
        <v>#N/A N/A</v>
        <stp/>
        <stp>BDP|9763418098828180800</stp>
        <tr r="O1103" s="2"/>
      </tp>
      <tp t="s">
        <v>#N/A N/A</v>
        <stp/>
        <stp>BDP|5195310520189603996</stp>
        <tr r="N1534" s="2"/>
      </tp>
      <tp t="s">
        <v>#N/A N/A</v>
        <stp/>
        <stp>BDS|1646446763244810363</stp>
        <tr r="I785" s="2"/>
      </tp>
      <tp t="s">
        <v>#N/A N/A</v>
        <stp/>
        <stp>BDP|1337242425223846656</stp>
        <tr r="A588" s="2"/>
      </tp>
      <tp t="s">
        <v>#N/A N/A</v>
        <stp/>
        <stp>BDP|2607397361083904086</stp>
        <tr r="P260" s="2"/>
      </tp>
      <tp t="s">
        <v>#N/A N/A</v>
        <stp/>
        <stp>BDP|1812115462695665725</stp>
        <tr r="E1018" s="2"/>
      </tp>
      <tp t="s">
        <v>#N/A N/A</v>
        <stp/>
        <stp>BDP|4615359776101909538</stp>
        <tr r="K303" s="2"/>
      </tp>
      <tp t="s">
        <v>#N/A N/A</v>
        <stp/>
        <stp>BDS|1604760529344320452</stp>
        <tr r="I1083" s="2"/>
      </tp>
      <tp t="s">
        <v>#N/A N/A</v>
        <stp/>
        <stp>BDP|2283161160755960428</stp>
        <tr r="J1329" s="2"/>
      </tp>
      <tp t="s">
        <v>#N/A N/A</v>
        <stp/>
        <stp>BDP|9744943503964874079</stp>
        <tr r="J1651" s="2"/>
      </tp>
      <tp t="s">
        <v>#N/A N/A</v>
        <stp/>
        <stp>BDP|7765204153886924228</stp>
        <tr r="N257" s="2"/>
      </tp>
      <tp t="s">
        <v>#N/A N/A</v>
        <stp/>
        <stp>BDP|7590826991954902605</stp>
        <tr r="J714" s="2"/>
      </tp>
      <tp t="s">
        <v>#N/A N/A</v>
        <stp/>
        <stp>BDP|5157401800547842266</stp>
        <tr r="E200" s="2"/>
      </tp>
      <tp t="s">
        <v>#N/A N/A</v>
        <stp/>
        <stp>BDP|5691878978368117670</stp>
        <tr r="M143" s="2"/>
      </tp>
      <tp t="s">
        <v>#N/A N/A</v>
        <stp/>
        <stp>BDP|6843429226951635555</stp>
        <tr r="C938" s="2"/>
      </tp>
      <tp t="s">
        <v>#N/A N/A</v>
        <stp/>
        <stp>BDP|7129964388054230627</stp>
        <tr r="H1180" s="2"/>
      </tp>
      <tp t="s">
        <v>#N/A N/A</v>
        <stp/>
        <stp>BDP|3393095721465646029</stp>
        <tr r="C659" s="2"/>
      </tp>
      <tp t="s">
        <v>#N/A N/A</v>
        <stp/>
        <stp>BDP|5594466348302182351</stp>
        <tr r="F1471" s="2"/>
      </tp>
      <tp t="s">
        <v>#N/A N/A</v>
        <stp/>
        <stp>BDP|6646728753565052589</stp>
        <tr r="A1339" s="2"/>
      </tp>
      <tp t="s">
        <v>#N/A N/A</v>
        <stp/>
        <stp>BDP|3681831287910933746</stp>
        <tr r="J395" s="2"/>
      </tp>
      <tp t="s">
        <v>#N/A N/A</v>
        <stp/>
        <stp>BDP|4315206195412978901</stp>
        <tr r="O1139" s="2"/>
      </tp>
      <tp t="s">
        <v>#N/A N/A</v>
        <stp/>
        <stp>BDP|3578683853457462352</stp>
        <tr r="H1712" s="2"/>
      </tp>
      <tp t="s">
        <v>#N/A N/A</v>
        <stp/>
        <stp>BDP|7331581503601534723</stp>
        <tr r="J1148" s="2"/>
      </tp>
      <tp t="s">
        <v>#N/A N/A</v>
        <stp/>
        <stp>BDP|2703765564593837427</stp>
        <tr r="J214" s="2"/>
      </tp>
      <tp t="s">
        <v>#N/A N/A</v>
        <stp/>
        <stp>BDP|1140363193168962727</stp>
        <tr r="Q1665" s="2"/>
      </tp>
      <tp t="s">
        <v>#N/A N/A</v>
        <stp/>
        <stp>BDP|2196569358546516053</stp>
        <tr r="D1246" s="2"/>
      </tp>
      <tp t="s">
        <v>#N/A N/A</v>
        <stp/>
        <stp>BDP|5859967564889354768</stp>
        <tr r="K903" s="2"/>
      </tp>
      <tp t="s">
        <v>#N/A N/A</v>
        <stp/>
        <stp>BDP|2663778799948721002</stp>
        <tr r="K920" s="2"/>
      </tp>
      <tp t="s">
        <v>#N/A N/A</v>
        <stp/>
        <stp>BDP|7700647393079779587</stp>
        <tr r="J1063" s="2"/>
      </tp>
      <tp t="s">
        <v>#N/A N/A</v>
        <stp/>
        <stp>BDP|2778085683058143621</stp>
        <tr r="K375" s="2"/>
      </tp>
      <tp t="s">
        <v>#N/A N/A</v>
        <stp/>
        <stp>BDP|8643889686964169865</stp>
        <tr r="G376" s="2"/>
      </tp>
      <tp t="s">
        <v>#N/A N/A</v>
        <stp/>
        <stp>BDP|9535027591157901303</stp>
        <tr r="N158" s="2"/>
      </tp>
      <tp t="s">
        <v>#N/A N/A</v>
        <stp/>
        <stp>BDP|5808618445520699352</stp>
        <tr r="J144" s="2"/>
      </tp>
      <tp t="s">
        <v>#N/A N/A</v>
        <stp/>
        <stp>BDP|7260224200428741984</stp>
        <tr r="M623" s="2"/>
      </tp>
      <tp t="s">
        <v>#N/A N/A</v>
        <stp/>
        <stp>BDP|8429826874125985674</stp>
        <tr r="E1111" s="2"/>
      </tp>
      <tp t="s">
        <v>#N/A N/A</v>
        <stp/>
        <stp>BDP|3256554871812378797</stp>
        <tr r="D648" s="2"/>
      </tp>
      <tp t="s">
        <v>#N/A N/A</v>
        <stp/>
        <stp>BDP|7979948580595179704</stp>
        <tr r="D40" s="2"/>
      </tp>
      <tp t="s">
        <v>#N/A N/A</v>
        <stp/>
        <stp>BDP|6591196416745571737</stp>
        <tr r="K1566" s="2"/>
      </tp>
      <tp t="s">
        <v>#N/A N/A</v>
        <stp/>
        <stp>BDP|7344656720923367496</stp>
        <tr r="H640" s="2"/>
      </tp>
      <tp t="s">
        <v>#N/A N/A</v>
        <stp/>
        <stp>BDP|7249120355733984400</stp>
        <tr r="K862" s="2"/>
      </tp>
      <tp t="s">
        <v>#N/A N/A</v>
        <stp/>
        <stp>BDS|2647568612786974474</stp>
        <tr r="I1378" s="2"/>
      </tp>
      <tp t="s">
        <v>#N/A N/A</v>
        <stp/>
        <stp>BDP|2671627109169495952</stp>
        <tr r="P583" s="2"/>
      </tp>
      <tp t="s">
        <v>#N/A N/A</v>
        <stp/>
        <stp>BDS|3299545739428572966</stp>
        <tr r="I434" s="2"/>
      </tp>
      <tp t="s">
        <v>#N/A N/A</v>
        <stp/>
        <stp>BDP|7186136959237567020</stp>
        <tr r="N384" s="2"/>
      </tp>
      <tp t="s">
        <v>#N/A N/A</v>
        <stp/>
        <stp>BDP|5932001664130983786</stp>
        <tr r="Q250" s="2"/>
      </tp>
      <tp t="s">
        <v>#N/A N/A</v>
        <stp/>
        <stp>BDP|9851615968799532489</stp>
        <tr r="Q1164" s="2"/>
      </tp>
      <tp t="s">
        <v>#N/A N/A</v>
        <stp/>
        <stp>BDP|2510749687519952034</stp>
        <tr r="T362" s="2"/>
      </tp>
      <tp t="s">
        <v>#N/A N/A</v>
        <stp/>
        <stp>BDP|7851690812494759088</stp>
        <tr r="A1262" s="2"/>
      </tp>
      <tp t="s">
        <v>#N/A N/A</v>
        <stp/>
        <stp>BDP|2890473261197371310</stp>
        <tr r="A640" s="2"/>
      </tp>
      <tp t="s">
        <v>#N/A N/A</v>
        <stp/>
        <stp>BDP|3232104629852181668</stp>
        <tr r="Q642" s="2"/>
      </tp>
      <tp t="s">
        <v>#N/A N/A</v>
        <stp/>
        <stp>BDP|8201199299955866169</stp>
        <tr r="P763" s="2"/>
      </tp>
      <tp t="s">
        <v>#N/A N/A</v>
        <stp/>
        <stp>BDP|9639323284686813048</stp>
        <tr r="F205" s="2"/>
      </tp>
      <tp t="s">
        <v>#N/A N/A</v>
        <stp/>
        <stp>BDP|3823946659982178984</stp>
        <tr r="A310" s="2"/>
      </tp>
      <tp t="s">
        <v>#N/A N/A</v>
        <stp/>
        <stp>BDP|6579333797978836050</stp>
        <tr r="O978" s="2"/>
      </tp>
      <tp t="s">
        <v>#N/A N/A</v>
        <stp/>
        <stp>BDP|7481396532664609756</stp>
        <tr r="A1436" s="2"/>
      </tp>
      <tp t="s">
        <v>#N/A N/A</v>
        <stp/>
        <stp>BDP|4241229335448083990</stp>
        <tr r="J331" s="2"/>
      </tp>
      <tp t="s">
        <v>#N/A N/A</v>
        <stp/>
        <stp>BDP|2367300564483856037</stp>
        <tr r="G1122" s="2"/>
      </tp>
      <tp t="s">
        <v>#N/A N/A</v>
        <stp/>
        <stp>BDP|2412497502785651754</stp>
        <tr r="F1529" s="2"/>
      </tp>
      <tp t="s">
        <v>#N/A N/A</v>
        <stp/>
        <stp>BDP|3845053535091142553</stp>
        <tr r="G1153" s="2"/>
      </tp>
      <tp t="s">
        <v>#N/A N/A</v>
        <stp/>
        <stp>BDP|5024425797528095498</stp>
        <tr r="P801" s="2"/>
      </tp>
      <tp t="s">
        <v>#N/A N/A</v>
        <stp/>
        <stp>BDP|4652494131417435065</stp>
        <tr r="H1574" s="2"/>
      </tp>
      <tp t="s">
        <v>#N/A N/A</v>
        <stp/>
        <stp>BDP|3580138644812985073</stp>
        <tr r="F1006" s="2"/>
      </tp>
      <tp t="s">
        <v>#N/A N/A</v>
        <stp/>
        <stp>BDP|7273040662712038780</stp>
        <tr r="S1200" s="2"/>
      </tp>
      <tp t="s">
        <v>#N/A N/A</v>
        <stp/>
        <stp>BDP|7105693833461742700</stp>
        <tr r="C468" s="2"/>
      </tp>
      <tp t="s">
        <v>#N/A N/A</v>
        <stp/>
        <stp>BDP|6603497038152932727</stp>
        <tr r="S797" s="2"/>
      </tp>
      <tp t="s">
        <v>#N/A N/A</v>
        <stp/>
        <stp>BDP|8997138680664623107</stp>
        <tr r="T978" s="2"/>
      </tp>
      <tp t="s">
        <v>#N/A N/A</v>
        <stp/>
        <stp>BDP|5275487731410543622</stp>
        <tr r="M1594" s="2"/>
      </tp>
      <tp t="s">
        <v>#N/A N/A</v>
        <stp/>
        <stp>BDP|5533113564486504096</stp>
        <tr r="T1311" s="2"/>
      </tp>
      <tp t="s">
        <v>#N/A N/A</v>
        <stp/>
        <stp>BDP|8237596566667233835</stp>
        <tr r="Q1467" s="2"/>
      </tp>
      <tp t="s">
        <v>#N/A N/A</v>
        <stp/>
        <stp>BDP|9225853144203926264</stp>
        <tr r="H666" s="2"/>
      </tp>
      <tp t="s">
        <v>#N/A N/A</v>
        <stp/>
        <stp>BDP|1547396915160565701</stp>
        <tr r="G959" s="2"/>
      </tp>
      <tp t="s">
        <v>#N/A N/A</v>
        <stp/>
        <stp>BDP|6235263602442979237</stp>
        <tr r="K1661" s="2"/>
      </tp>
      <tp t="s">
        <v>#N/A N/A</v>
        <stp/>
        <stp>BDP|8925121573699786339</stp>
        <tr r="H464" s="2"/>
      </tp>
      <tp t="s">
        <v>#N/A N/A</v>
        <stp/>
        <stp>BDP|4381621625393895707</stp>
        <tr r="J417" s="2"/>
      </tp>
      <tp t="s">
        <v>#N/A N/A</v>
        <stp/>
        <stp>BDP|9728236169888984183</stp>
        <tr r="Q1479" s="2"/>
      </tp>
      <tp t="s">
        <v>#N/A N/A</v>
        <stp/>
        <stp>BDP|1312393084019160733</stp>
        <tr r="J536" s="2"/>
      </tp>
      <tp t="s">
        <v>#N/A N/A</v>
        <stp/>
        <stp>BDP|1865223940664245740</stp>
        <tr r="N509" s="2"/>
      </tp>
      <tp t="s">
        <v>#N/A N/A</v>
        <stp/>
        <stp>BDP|4712287911017472466</stp>
        <tr r="G835" s="2"/>
      </tp>
      <tp t="s">
        <v>#N/A N/A</v>
        <stp/>
        <stp>BDP|3627292059755996538</stp>
        <tr r="K1296" s="2"/>
      </tp>
      <tp t="s">
        <v>#N/A N/A</v>
        <stp/>
        <stp>BDP|4874578914330232459</stp>
        <tr r="H1157" s="2"/>
      </tp>
      <tp t="s">
        <v>#N/A N/A</v>
        <stp/>
        <stp>BDP|1849145527100405636</stp>
        <tr r="T1048" s="2"/>
      </tp>
      <tp t="s">
        <v>#N/A N/A</v>
        <stp/>
        <stp>BDP|3269288731991561738</stp>
        <tr r="A1708" s="2"/>
      </tp>
      <tp t="s">
        <v>#N/A N/A</v>
        <stp/>
        <stp>BDS|6791780983479169401</stp>
        <tr r="I485" s="2"/>
      </tp>
      <tp t="s">
        <v>#N/A N/A</v>
        <stp/>
        <stp>BDP|4813997247198388586</stp>
        <tr r="T925" s="2"/>
      </tp>
      <tp t="s">
        <v>#N/A N/A</v>
        <stp/>
        <stp>BDP|1083762613207154494</stp>
        <tr r="T681" s="2"/>
      </tp>
      <tp t="s">
        <v>#N/A N/A</v>
        <stp/>
        <stp>BDP|1686633272751309595</stp>
        <tr r="E993" s="2"/>
      </tp>
      <tp t="s">
        <v>#N/A N/A</v>
        <stp/>
        <stp>BDP|7812164002771426358</stp>
        <tr r="C1743" s="2"/>
      </tp>
      <tp t="s">
        <v>#N/A N/A</v>
        <stp/>
        <stp>BDP|6155189613336755401</stp>
        <tr r="S814" s="2"/>
      </tp>
      <tp t="s">
        <v>#N/A N/A</v>
        <stp/>
        <stp>BDP|2454303008664092112</stp>
        <tr r="M82" s="2"/>
      </tp>
      <tp t="s">
        <v>#N/A N/A</v>
        <stp/>
        <stp>BDP|4823653246160585233</stp>
        <tr r="Q99" s="2"/>
      </tp>
      <tp t="s">
        <v>#N/A N/A</v>
        <stp/>
        <stp>BDP|7329581134413347618</stp>
        <tr r="D1496" s="2"/>
      </tp>
      <tp t="s">
        <v>#N/A N/A</v>
        <stp/>
        <stp>BDP|2862334370492290044</stp>
        <tr r="Q337" s="2"/>
      </tp>
      <tp t="s">
        <v>#N/A N/A</v>
        <stp/>
        <stp>BDP|1306661063891255497</stp>
        <tr r="Q1588" s="2"/>
      </tp>
      <tp t="s">
        <v>#N/A N/A</v>
        <stp/>
        <stp>BDP|9863692488643089041</stp>
        <tr r="J1282" s="2"/>
      </tp>
      <tp t="s">
        <v>#N/A N/A</v>
        <stp/>
        <stp>BDP|4380764043113341083</stp>
        <tr r="T668" s="2"/>
      </tp>
      <tp t="s">
        <v>#N/A N/A</v>
        <stp/>
        <stp>BDP|7476854185882101181</stp>
        <tr r="N661" s="2"/>
      </tp>
      <tp t="s">
        <v>#N/A N/A</v>
        <stp/>
        <stp>BDP|7213762620471984702</stp>
        <tr r="A566" s="2"/>
      </tp>
      <tp t="s">
        <v>#N/A N/A</v>
        <stp/>
        <stp>BDP|8550912759758040809</stp>
        <tr r="A1513" s="2"/>
      </tp>
      <tp t="s">
        <v>#N/A N/A</v>
        <stp/>
        <stp>BDP|8917435546985952984</stp>
        <tr r="F311" s="2"/>
      </tp>
      <tp t="s">
        <v>#N/A N/A</v>
        <stp/>
        <stp>BDP|2530516467466949379</stp>
        <tr r="M101" s="2"/>
      </tp>
      <tp t="s">
        <v>#N/A N/A</v>
        <stp/>
        <stp>BDP|1564687550967372130</stp>
        <tr r="O177" s="2"/>
      </tp>
      <tp t="s">
        <v>#N/A N/A</v>
        <stp/>
        <stp>BDP|2538006922532283687</stp>
        <tr r="T1054" s="2"/>
      </tp>
      <tp t="s">
        <v>#N/A N/A</v>
        <stp/>
        <stp>BDP|3943990288777594105</stp>
        <tr r="T726" s="2"/>
      </tp>
      <tp t="s">
        <v>#N/A N/A</v>
        <stp/>
        <stp>BDP|1007685995182738878</stp>
        <tr r="N1046" s="2"/>
      </tp>
      <tp t="s">
        <v>#N/A N/A</v>
        <stp/>
        <stp>BDP|9979691784577852419</stp>
        <tr r="P1302" s="2"/>
      </tp>
      <tp t="s">
        <v>#N/A N/A</v>
        <stp/>
        <stp>BDP|7640028638117130700</stp>
        <tr r="G1718" s="2"/>
      </tp>
      <tp t="s">
        <v>#N/A N/A</v>
        <stp/>
        <stp>BDP|7207759396355529896</stp>
        <tr r="J258" s="2"/>
      </tp>
      <tp t="s">
        <v>#N/A N/A</v>
        <stp/>
        <stp>BDP|2960047856915662600</stp>
        <tr r="K1193" s="2"/>
      </tp>
      <tp t="s">
        <v>#N/A N/A</v>
        <stp/>
        <stp>BDP|9944663411979581367</stp>
        <tr r="E661" s="2"/>
      </tp>
      <tp t="s">
        <v>#N/A N/A</v>
        <stp/>
        <stp>BDP|2519500049770350722</stp>
        <tr r="E1263" s="2"/>
      </tp>
      <tp t="s">
        <v>#N/A N/A</v>
        <stp/>
        <stp>BDP|3163633544201218497</stp>
        <tr r="O442" s="2"/>
      </tp>
      <tp t="s">
        <v>#N/A N/A</v>
        <stp/>
        <stp>BDP|5732130769831528758</stp>
        <tr r="A309" s="2"/>
      </tp>
      <tp t="s">
        <v>#N/A N/A</v>
        <stp/>
        <stp>BDP|9556087987452048772</stp>
        <tr r="S850" s="2"/>
      </tp>
      <tp t="s">
        <v>#N/A N/A</v>
        <stp/>
        <stp>BDP|8777860504071126595</stp>
        <tr r="R94" s="2"/>
      </tp>
      <tp t="s">
        <v>#N/A N/A</v>
        <stp/>
        <stp>BDP|4174648568875758572</stp>
        <tr r="J1669" s="2"/>
      </tp>
      <tp t="s">
        <v>#N/A N/A</v>
        <stp/>
        <stp>BDP|1850081830951984745</stp>
        <tr r="P1422" s="2"/>
      </tp>
      <tp t="s">
        <v>#N/A N/A</v>
        <stp/>
        <stp>BDP|2432881046613278953</stp>
        <tr r="P521" s="2"/>
      </tp>
      <tp t="s">
        <v>#N/A N/A</v>
        <stp/>
        <stp>BDP|7221194326775404542</stp>
        <tr r="K1003" s="2"/>
      </tp>
      <tp t="s">
        <v>#N/A N/A</v>
        <stp/>
        <stp>BDP|5041145221965029789</stp>
        <tr r="C780" s="2"/>
      </tp>
      <tp t="s">
        <v>#N/A N/A</v>
        <stp/>
        <stp>BDP|8917835165224338617</stp>
        <tr r="S1744" s="2"/>
      </tp>
      <tp t="s">
        <v>#N/A N/A</v>
        <stp/>
        <stp>BDP|2093255057399997864</stp>
        <tr r="Q990" s="2"/>
      </tp>
      <tp t="s">
        <v>#N/A N/A</v>
        <stp/>
        <stp>BDP|4200147985540932973</stp>
        <tr r="Q112" s="2"/>
      </tp>
      <tp t="s">
        <v>#N/A N/A</v>
        <stp/>
        <stp>BDP|1353491515394575472</stp>
        <tr r="T919" s="2"/>
      </tp>
      <tp t="s">
        <v>#N/A N/A</v>
        <stp/>
        <stp>BDP|6647220668800002619</stp>
        <tr r="E104" s="2"/>
      </tp>
      <tp t="s">
        <v>#N/A N/A</v>
        <stp/>
        <stp>BDP|9947907873216750501</stp>
        <tr r="M666" s="2"/>
      </tp>
      <tp t="s">
        <v>#N/A N/A</v>
        <stp/>
        <stp>BDP|3197347955010990142</stp>
        <tr r="T1141" s="2"/>
      </tp>
      <tp t="s">
        <v>#N/A N/A</v>
        <stp/>
        <stp>BDP|7802467470495330505</stp>
        <tr r="J48" s="2"/>
      </tp>
      <tp t="s">
        <v>#N/A N/A</v>
        <stp/>
        <stp>BDP|4532500823394348381</stp>
        <tr r="H350" s="2"/>
      </tp>
      <tp t="s">
        <v>#N/A N/A</v>
        <stp/>
        <stp>BDP|5347401441004885579</stp>
        <tr r="H450" s="2"/>
      </tp>
      <tp t="s">
        <v>#N/A N/A</v>
        <stp/>
        <stp>BDP|3389845980762861528</stp>
        <tr r="T1301" s="2"/>
      </tp>
      <tp t="s">
        <v>#N/A N/A</v>
        <stp/>
        <stp>BDP|1240172838316586159</stp>
        <tr r="K133" s="2"/>
      </tp>
      <tp t="s">
        <v>#N/A N/A</v>
        <stp/>
        <stp>BDP|3435493519816888414</stp>
        <tr r="E444" s="2"/>
      </tp>
      <tp t="s">
        <v>#N/A N/A</v>
        <stp/>
        <stp>BDP|4751970481517845643</stp>
        <tr r="J444" s="2"/>
      </tp>
      <tp t="s">
        <v>#N/A N/A</v>
        <stp/>
        <stp>BDP|9450237798395346312</stp>
        <tr r="J1272" s="2"/>
      </tp>
      <tp t="s">
        <v>#N/A N/A</v>
        <stp/>
        <stp>BDP|5506815399339520952</stp>
        <tr r="S344" s="2"/>
      </tp>
      <tp t="s">
        <v>#N/A N/A</v>
        <stp/>
        <stp>BDP|3325094926921119408</stp>
        <tr r="M52" s="2"/>
      </tp>
      <tp t="s">
        <v>#N/A N/A</v>
        <stp/>
        <stp>BDS|7116275722036853514</stp>
        <tr r="I451" s="2"/>
      </tp>
      <tp t="s">
        <v>#N/A N/A</v>
        <stp/>
        <stp>BDP|3124923672499958056</stp>
        <tr r="M484" s="2"/>
      </tp>
      <tp t="s">
        <v>#N/A N/A</v>
        <stp/>
        <stp>BDP|7287740242323302352</stp>
        <tr r="M333" s="2"/>
      </tp>
      <tp t="s">
        <v>#N/A N/A</v>
        <stp/>
        <stp>BDP|1414725132202484327</stp>
        <tr r="G368" s="2"/>
      </tp>
      <tp t="s">
        <v>#N/A N/A</v>
        <stp/>
        <stp>BDP|7378726323310038608</stp>
        <tr r="S418" s="2"/>
      </tp>
      <tp t="s">
        <v>#N/A N/A</v>
        <stp/>
        <stp>BDP|7469764661947509542</stp>
        <tr r="M171" s="2"/>
      </tp>
      <tp t="s">
        <v>#N/A N/A</v>
        <stp/>
        <stp>BDP|8488171772018551265</stp>
        <tr r="E1233" s="2"/>
      </tp>
      <tp t="s">
        <v>#N/A N/A</v>
        <stp/>
        <stp>BDP|2518233778744853749</stp>
        <tr r="G245" s="2"/>
      </tp>
      <tp t="s">
        <v>#N/A N/A</v>
        <stp/>
        <stp>BDP|7005928263204230811</stp>
        <tr r="M801" s="2"/>
      </tp>
      <tp t="s">
        <v>#N/A N/A</v>
        <stp/>
        <stp>BDP|3100763774714459359</stp>
        <tr r="S1015" s="2"/>
      </tp>
      <tp t="s">
        <v>#N/A N/A</v>
        <stp/>
        <stp>BDP|8784795378488325473</stp>
        <tr r="K1106" s="2"/>
      </tp>
      <tp t="s">
        <v>#N/A N/A</v>
        <stp/>
        <stp>BDP|4511325974490725469</stp>
        <tr r="T1629" s="2"/>
      </tp>
      <tp t="s">
        <v>#N/A N/A</v>
        <stp/>
        <stp>BDP|7934799174167086468</stp>
        <tr r="E600" s="2"/>
      </tp>
      <tp t="s">
        <v>#N/A N/A</v>
        <stp/>
        <stp>BDP|1352656264115793070</stp>
        <tr r="N1565" s="2"/>
      </tp>
      <tp t="s">
        <v>#N/A N/A</v>
        <stp/>
        <stp>BDP|1587333260383316372</stp>
        <tr r="J167" s="2"/>
      </tp>
      <tp t="s">
        <v>#N/A N/A</v>
        <stp/>
        <stp>BDP|3792457097203536925</stp>
        <tr r="E1498" s="2"/>
      </tp>
      <tp t="s">
        <v>#N/A N/A</v>
        <stp/>
        <stp>BDP|4225541665426851598</stp>
        <tr r="T351" s="2"/>
      </tp>
      <tp t="s">
        <v>#N/A N/A</v>
        <stp/>
        <stp>BDP|4558839589504411492</stp>
        <tr r="G1634" s="2"/>
      </tp>
      <tp t="s">
        <v>#N/A N/A</v>
        <stp/>
        <stp>BDP|2323568350152738402</stp>
        <tr r="N1657" s="2"/>
      </tp>
      <tp t="s">
        <v>#N/A N/A</v>
        <stp/>
        <stp>BDP|2332789335603558193</stp>
        <tr r="C1709" s="2"/>
      </tp>
      <tp t="s">
        <v>#N/A N/A</v>
        <stp/>
        <stp>BDP|9703275009847312881</stp>
        <tr r="E240" s="2"/>
      </tp>
      <tp t="s">
        <v>#N/A N/A</v>
        <stp/>
        <stp>BDP|7816605584924846964</stp>
        <tr r="P79" s="2"/>
      </tp>
      <tp t="s">
        <v>#N/A N/A</v>
        <stp/>
        <stp>BDP|2337236327991400711</stp>
        <tr r="A848" s="2"/>
      </tp>
      <tp t="s">
        <v>#N/A N/A</v>
        <stp/>
        <stp>BDP|5630419188488951546</stp>
        <tr r="R1678" s="2"/>
      </tp>
      <tp t="s">
        <v>#N/A N/A</v>
        <stp/>
        <stp>BDP|7425469725611067457</stp>
        <tr r="N1399" s="2"/>
      </tp>
      <tp t="s">
        <v>#N/A N/A</v>
        <stp/>
        <stp>BDP|6111473537543636658</stp>
        <tr r="O305" s="2"/>
      </tp>
      <tp t="s">
        <v>#N/A N/A</v>
        <stp/>
        <stp>BDP|1155588303281879104</stp>
        <tr r="T809" s="2"/>
      </tp>
      <tp t="s">
        <v>#N/A N/A</v>
        <stp/>
        <stp>BDP|2509780179392089467</stp>
        <tr r="M1302" s="2"/>
      </tp>
      <tp t="s">
        <v>#N/A N/A</v>
        <stp/>
        <stp>BDS|3778738356440927596</stp>
        <tr r="I477" s="2"/>
      </tp>
      <tp t="s">
        <v>#N/A N/A</v>
        <stp/>
        <stp>BDP|4322088176727708081</stp>
        <tr r="J109" s="2"/>
      </tp>
      <tp t="s">
        <v>#N/A N/A</v>
        <stp/>
        <stp>BDP|9916273264768126198</stp>
        <tr r="O134" s="2"/>
      </tp>
      <tp t="s">
        <v>#N/A N/A</v>
        <stp/>
        <stp>BDP|9153311033698990584</stp>
        <tr r="G882" s="2"/>
      </tp>
      <tp t="s">
        <v>#N/A N/A</v>
        <stp/>
        <stp>BDP|6853580109377293091</stp>
        <tr r="H1685" s="2"/>
      </tp>
      <tp t="s">
        <v>#N/A N/A</v>
        <stp/>
        <stp>BDP|7653039538400740082</stp>
        <tr r="D804" s="2"/>
      </tp>
      <tp t="s">
        <v>#N/A N/A</v>
        <stp/>
        <stp>BDP|7996510128545473165</stp>
        <tr r="P20" s="2"/>
      </tp>
      <tp t="s">
        <v>#N/A N/A</v>
        <stp/>
        <stp>BDP|1756510215519697877</stp>
        <tr r="R1080" s="2"/>
      </tp>
      <tp t="s">
        <v>#N/A N/A</v>
        <stp/>
        <stp>BDP|7394311667897798107</stp>
        <tr r="O276" s="2"/>
      </tp>
      <tp t="s">
        <v>#N/A N/A</v>
        <stp/>
        <stp>BDP|7605342935686428518</stp>
        <tr r="F1686" s="2"/>
      </tp>
      <tp t="s">
        <v>#N/A N/A</v>
        <stp/>
        <stp>BDP|4045778331393446705</stp>
        <tr r="G1140" s="2"/>
      </tp>
      <tp t="s">
        <v>#N/A N/A</v>
        <stp/>
        <stp>BDS|8229258396240107725</stp>
        <tr r="I1288" s="2"/>
      </tp>
      <tp t="s">
        <v>#N/A N/A</v>
        <stp/>
        <stp>BDP|4330056247817468375</stp>
        <tr r="N735" s="2"/>
      </tp>
      <tp t="s">
        <v>#N/A N/A</v>
        <stp/>
        <stp>BDP|1409011822477542000</stp>
        <tr r="Q1628" s="2"/>
      </tp>
      <tp t="s">
        <v>#N/A N/A</v>
        <stp/>
        <stp>BDP|1072379286638595660</stp>
        <tr r="N44" s="2"/>
      </tp>
      <tp t="s">
        <v>#N/A N/A</v>
        <stp/>
        <stp>BDP|1733265314125262350</stp>
        <tr r="N1667" s="2"/>
      </tp>
      <tp t="s">
        <v>#N/A N/A</v>
        <stp/>
        <stp>BDP|8884629298636814587</stp>
        <tr r="S216" s="2"/>
      </tp>
      <tp t="s">
        <v>#N/A N/A</v>
        <stp/>
        <stp>BDP|5269258471287049349</stp>
        <tr r="D1177" s="2"/>
      </tp>
      <tp t="s">
        <v>#N/A N/A</v>
        <stp/>
        <stp>BDP|4778052656400657505</stp>
        <tr r="J508" s="2"/>
      </tp>
      <tp t="s">
        <v>#N/A N/A</v>
        <stp/>
        <stp>BDP|3440788224410399290</stp>
        <tr r="F1101" s="2"/>
      </tp>
      <tp t="s">
        <v>#N/A N/A</v>
        <stp/>
        <stp>BDS|3593359445545219556</stp>
        <tr r="I325" s="2"/>
      </tp>
      <tp t="s">
        <v>#N/A N/A</v>
        <stp/>
        <stp>BDP|9218434852475672976</stp>
        <tr r="D74" s="2"/>
      </tp>
      <tp t="s">
        <v>#N/A N/A</v>
        <stp/>
        <stp>BDP|6659760036385677321</stp>
        <tr r="M794" s="2"/>
      </tp>
      <tp t="s">
        <v>#N/A N/A</v>
        <stp/>
        <stp>BDP|4750473005443144766</stp>
        <tr r="G473" s="2"/>
      </tp>
      <tp t="s">
        <v>#N/A N/A</v>
        <stp/>
        <stp>BDP|6988710540505291484</stp>
        <tr r="J979" s="2"/>
      </tp>
      <tp t="s">
        <v>#N/A N/A</v>
        <stp/>
        <stp>BDP|7368119622382072228</stp>
        <tr r="M1231" s="2"/>
      </tp>
      <tp t="s">
        <v>#N/A N/A</v>
        <stp/>
        <stp>BDP|8450522097803046338</stp>
        <tr r="Q1054" s="2"/>
      </tp>
      <tp t="s">
        <v>#N/A N/A</v>
        <stp/>
        <stp>BDP|8404370171969721178</stp>
        <tr r="T411" s="2"/>
      </tp>
      <tp t="s">
        <v>#N/A N/A</v>
        <stp/>
        <stp>BDP|4465576214453201777</stp>
        <tr r="Q401" s="2"/>
      </tp>
      <tp t="s">
        <v>#N/A N/A</v>
        <stp/>
        <stp>BDP|4613217204243851193</stp>
        <tr r="A883" s="2"/>
      </tp>
      <tp t="s">
        <v>#N/A N/A</v>
        <stp/>
        <stp>BDP|6040203714047606605</stp>
        <tr r="C493" s="2"/>
      </tp>
      <tp t="s">
        <v>#N/A N/A</v>
        <stp/>
        <stp>BDS|2311222364215738703</stp>
        <tr r="I1120" s="2"/>
      </tp>
      <tp t="s">
        <v>#N/A N/A</v>
        <stp/>
        <stp>BDP|7207120287382768820</stp>
        <tr r="C1486" s="2"/>
      </tp>
      <tp t="s">
        <v>#N/A N/A</v>
        <stp/>
        <stp>BDP|1952314245101631396</stp>
        <tr r="J982" s="2"/>
      </tp>
      <tp t="s">
        <v>#N/A N/A</v>
        <stp/>
        <stp>BDP|4516606530425372041</stp>
        <tr r="K1721" s="2"/>
      </tp>
      <tp t="s">
        <v>#N/A N/A</v>
        <stp/>
        <stp>BDP|7262516278744857517</stp>
        <tr r="S1208" s="2"/>
      </tp>
      <tp t="s">
        <v>#N/A N/A</v>
        <stp/>
        <stp>BDP|9889588641654144827</stp>
        <tr r="J950" s="2"/>
      </tp>
      <tp t="s">
        <v>#N/A N/A</v>
        <stp/>
        <stp>BDP|6036428895737718829</stp>
        <tr r="J1274" s="2"/>
      </tp>
      <tp t="s">
        <v>#N/A N/A</v>
        <stp/>
        <stp>BDP|6585918501969583225</stp>
        <tr r="R925" s="2"/>
      </tp>
      <tp t="s">
        <v>#N/A N/A</v>
        <stp/>
        <stp>BDP|7763141315167173455</stp>
        <tr r="K1299" s="2"/>
      </tp>
      <tp t="s">
        <v>#N/A N/A</v>
        <stp/>
        <stp>BDP|2537864011208531752</stp>
        <tr r="F125" s="2"/>
      </tp>
      <tp t="s">
        <v>#N/A N/A</v>
        <stp/>
        <stp>BDP|7496517762211291171</stp>
        <tr r="R970" s="2"/>
      </tp>
      <tp t="s">
        <v>#N/A N/A</v>
        <stp/>
        <stp>BDP|4701577751773722346</stp>
        <tr r="K273" s="2"/>
      </tp>
      <tp t="s">
        <v>#N/A N/A</v>
        <stp/>
        <stp>BDP|1660152644206148646</stp>
        <tr r="E906" s="2"/>
      </tp>
      <tp t="s">
        <v>#N/A N/A</v>
        <stp/>
        <stp>BDP|8566263517097253844</stp>
        <tr r="H1331" s="2"/>
      </tp>
      <tp t="s">
        <v>#N/A N/A</v>
        <stp/>
        <stp>BDP|5711501161200652220</stp>
        <tr r="T1708" s="2"/>
      </tp>
      <tp t="s">
        <v>#N/A N/A</v>
        <stp/>
        <stp>BDP|7603563224023141770</stp>
        <tr r="C1529" s="2"/>
      </tp>
      <tp t="s">
        <v>#N/A N/A</v>
        <stp/>
        <stp>BDP|5486706877649366829</stp>
        <tr r="F1412" s="2"/>
      </tp>
      <tp t="s">
        <v>#N/A N/A</v>
        <stp/>
        <stp>BDP|4725452246736239643</stp>
        <tr r="Q460" s="2"/>
      </tp>
      <tp t="s">
        <v>#N/A N/A</v>
        <stp/>
        <stp>BDP|4034016710952788343</stp>
        <tr r="Q702" s="2"/>
      </tp>
      <tp t="s">
        <v>#N/A N/A</v>
        <stp/>
        <stp>BDP|3639151762618460875</stp>
        <tr r="R1638" s="2"/>
      </tp>
      <tp t="s">
        <v>#N/A N/A</v>
        <stp/>
        <stp>BDP|3532222570687174547</stp>
        <tr r="H1718" s="2"/>
      </tp>
      <tp t="s">
        <v>#N/A N/A</v>
        <stp/>
        <stp>BDP|2069256992214738927</stp>
        <tr r="O1063" s="2"/>
      </tp>
      <tp t="s">
        <v>#N/A N/A</v>
        <stp/>
        <stp>BDP|8295505811628009003</stp>
        <tr r="S50" s="2"/>
      </tp>
      <tp t="s">
        <v>#N/A N/A</v>
        <stp/>
        <stp>BDP|1890292327632477713</stp>
        <tr r="M1268" s="2"/>
      </tp>
      <tp t="s">
        <v>#N/A N/A</v>
        <stp/>
        <stp>BDP|8971886845905458534</stp>
        <tr r="D1702" s="2"/>
      </tp>
      <tp t="s">
        <v>#N/A N/A</v>
        <stp/>
        <stp>BDP|3403628614616976680</stp>
        <tr r="J1526" s="2"/>
      </tp>
      <tp t="s">
        <v>#N/A N/A</v>
        <stp/>
        <stp>BDP|1382409654300197452</stp>
        <tr r="G716" s="2"/>
      </tp>
      <tp t="s">
        <v>#N/A N/A</v>
        <stp/>
        <stp>BDP|8647942137112674409</stp>
        <tr r="K1005" s="2"/>
      </tp>
      <tp t="s">
        <v>#N/A N/A</v>
        <stp/>
        <stp>BDP|6586279082989430172</stp>
        <tr r="P1397" s="2"/>
      </tp>
      <tp t="s">
        <v>#N/A N/A</v>
        <stp/>
        <stp>BDP|2948502789869516266</stp>
        <tr r="R1510" s="2"/>
      </tp>
      <tp t="s">
        <v>#N/A N/A</v>
        <stp/>
        <stp>BDP|1235656264431190410</stp>
        <tr r="P702" s="2"/>
      </tp>
      <tp t="s">
        <v>#N/A N/A</v>
        <stp/>
        <stp>BDP|8648094580605988156</stp>
        <tr r="R942" s="2"/>
      </tp>
      <tp t="s">
        <v>#N/A N/A</v>
        <stp/>
        <stp>BDP|6820335786501627888</stp>
        <tr r="C1514" s="2"/>
      </tp>
      <tp t="s">
        <v>#N/A N/A</v>
        <stp/>
        <stp>BDP|4197150731360627200</stp>
        <tr r="N126" s="2"/>
      </tp>
      <tp t="s">
        <v>#N/A N/A</v>
        <stp/>
        <stp>BDP|7174423713941726747</stp>
        <tr r="P1686" s="2"/>
      </tp>
      <tp t="s">
        <v>#N/A N/A</v>
        <stp/>
        <stp>BDP|2931328342574307596</stp>
        <tr r="F1297" s="2"/>
      </tp>
      <tp t="s">
        <v>#N/A N/A</v>
        <stp/>
        <stp>BDP|8935392588270329789</stp>
        <tr r="Q1283" s="2"/>
      </tp>
      <tp t="s">
        <v>#N/A N/A</v>
        <stp/>
        <stp>BDP|7165414245081735219</stp>
        <tr r="R195" s="2"/>
      </tp>
      <tp t="s">
        <v>#N/A N/A</v>
        <stp/>
        <stp>BDP|8647451719578823119</stp>
        <tr r="O416" s="2"/>
      </tp>
      <tp t="s">
        <v>#N/A N/A</v>
        <stp/>
        <stp>BDP|4166277741130284663</stp>
        <tr r="F1323" s="2"/>
      </tp>
      <tp t="s">
        <v>#N/A N/A</v>
        <stp/>
        <stp>BDP|3072313410901016427</stp>
        <tr r="G816" s="2"/>
      </tp>
      <tp t="s">
        <v>#N/A N/A</v>
        <stp/>
        <stp>BDP|3483857898713358596</stp>
        <tr r="M966" s="2"/>
      </tp>
      <tp t="s">
        <v>#N/A N/A</v>
        <stp/>
        <stp>BDP|5098953516611450842</stp>
        <tr r="S1188" s="2"/>
      </tp>
      <tp t="s">
        <v>#N/A N/A</v>
        <stp/>
        <stp>BDP|1780359272230089130</stp>
        <tr r="P54" s="2"/>
      </tp>
      <tp t="s">
        <v>#N/A N/A</v>
        <stp/>
        <stp>BDP|8695491999712448311</stp>
        <tr r="A1640" s="2"/>
      </tp>
      <tp t="s">
        <v>#N/A N/A</v>
        <stp/>
        <stp>BDS|3645669727474704730</stp>
        <tr r="I67" s="2"/>
      </tp>
      <tp t="s">
        <v>#N/A N/A</v>
        <stp/>
        <stp>BDP|5299478254079182933</stp>
        <tr r="K588" s="2"/>
      </tp>
      <tp t="s">
        <v>#N/A N/A</v>
        <stp/>
        <stp>BDS|8743202670789764039</stp>
        <tr r="I166" s="2"/>
      </tp>
      <tp t="s">
        <v>#N/A N/A</v>
        <stp/>
        <stp>BDP|8018194858670483867</stp>
        <tr r="F1000" s="2"/>
      </tp>
      <tp t="s">
        <v>#N/A N/A</v>
        <stp/>
        <stp>BDP|3020128334145346063</stp>
        <tr r="M1687" s="2"/>
      </tp>
      <tp t="s">
        <v>#N/A N/A</v>
        <stp/>
        <stp>BDP|6149751425772269508</stp>
        <tr r="R455" s="2"/>
      </tp>
      <tp t="s">
        <v>#N/A N/A</v>
        <stp/>
        <stp>BDS|8851478308679566112</stp>
        <tr r="I99" s="2"/>
      </tp>
      <tp t="s">
        <v>#N/A N/A</v>
        <stp/>
        <stp>BDP|3780785109752428214</stp>
        <tr r="Q356" s="2"/>
      </tp>
      <tp t="s">
        <v>#N/A N/A</v>
        <stp/>
        <stp>BDP|3391775808177640795</stp>
        <tr r="H981" s="2"/>
      </tp>
      <tp t="s">
        <v>#N/A N/A</v>
        <stp/>
        <stp>BDP|2752528962552207764</stp>
        <tr r="K967" s="2"/>
      </tp>
      <tp t="s">
        <v>#N/A N/A</v>
        <stp/>
        <stp>BDP|3725177073219414849</stp>
        <tr r="E1003" s="2"/>
      </tp>
      <tp t="s">
        <v>#N/A N/A</v>
        <stp/>
        <stp>BDP|4018135570684445248</stp>
        <tr r="F1625" s="2"/>
      </tp>
      <tp t="s">
        <v>#N/A N/A</v>
        <stp/>
        <stp>BDP|9005756146256481842</stp>
        <tr r="C793" s="2"/>
      </tp>
      <tp t="s">
        <v>#N/A N/A</v>
        <stp/>
        <stp>BDP|1908109919026001337</stp>
        <tr r="A995" s="2"/>
      </tp>
      <tp t="s">
        <v>#N/A N/A</v>
        <stp/>
        <stp>BDP|3638578513901246238</stp>
        <tr r="D635" s="2"/>
      </tp>
      <tp t="s">
        <v>#N/A N/A</v>
        <stp/>
        <stp>BDP|9046370395043305425</stp>
        <tr r="Q1038" s="2"/>
      </tp>
      <tp t="s">
        <v>#N/A N/A</v>
        <stp/>
        <stp>BDP|2679499160844409087</stp>
        <tr r="A1379" s="2"/>
      </tp>
      <tp t="s">
        <v>#N/A N/A</v>
        <stp/>
        <stp>BDP|2524217246553215330</stp>
        <tr r="T104" s="2"/>
      </tp>
      <tp t="s">
        <v>#N/A N/A</v>
        <stp/>
        <stp>BDP|6625906383367740412</stp>
        <tr r="J1402" s="2"/>
      </tp>
      <tp t="s">
        <v>#N/A N/A</v>
        <stp/>
        <stp>BDP|4367723976211213167</stp>
        <tr r="S911" s="2"/>
      </tp>
      <tp t="s">
        <v>#N/A N/A</v>
        <stp/>
        <stp>BDP|4193900891924074436</stp>
        <tr r="M1097" s="2"/>
      </tp>
      <tp t="s">
        <v>#N/A N/A</v>
        <stp/>
        <stp>BDP|8114452776267928882</stp>
        <tr r="J637" s="2"/>
      </tp>
      <tp t="s">
        <v>#N/A N/A</v>
        <stp/>
        <stp>BDP|5129634451525851787</stp>
        <tr r="G106" s="2"/>
      </tp>
      <tp t="s">
        <v>#N/A N/A</v>
        <stp/>
        <stp>BDP|5900115922137023597</stp>
        <tr r="P1007" s="2"/>
      </tp>
      <tp t="s">
        <v>#N/A N/A</v>
        <stp/>
        <stp>BDP|6806477000350508695</stp>
        <tr r="G1713" s="2"/>
      </tp>
      <tp t="s">
        <v>#N/A N/A</v>
        <stp/>
        <stp>BDP|1636415030472541016</stp>
        <tr r="N751" s="2"/>
      </tp>
      <tp t="s">
        <v>#N/A N/A</v>
        <stp/>
        <stp>BDP|1276563011569751814</stp>
        <tr r="M717" s="2"/>
      </tp>
      <tp t="s">
        <v>#N/A N/A</v>
        <stp/>
        <stp>BDS|6515512307091836683</stp>
        <tr r="I1355" s="2"/>
      </tp>
      <tp t="s">
        <v>#N/A N/A</v>
        <stp/>
        <stp>BDP|7784444053160499274</stp>
        <tr r="P1547" s="2"/>
      </tp>
      <tp t="s">
        <v>#N/A N/A</v>
        <stp/>
        <stp>BDP|6399919987571343252</stp>
        <tr r="N1066" s="2"/>
      </tp>
      <tp t="s">
        <v>#N/A N/A</v>
        <stp/>
        <stp>BDP|9040538595197089656</stp>
        <tr r="O1488" s="2"/>
      </tp>
      <tp t="s">
        <v>#N/A N/A</v>
        <stp/>
        <stp>BDP|1993112328812501460</stp>
        <tr r="T544" s="2"/>
      </tp>
      <tp t="s">
        <v>#N/A N/A</v>
        <stp/>
        <stp>BDP|6360084174293978654</stp>
        <tr r="R1753" s="2"/>
      </tp>
      <tp t="s">
        <v>#N/A N/A</v>
        <stp/>
        <stp>BDP|9476729313753431829</stp>
        <tr r="R1609" s="2"/>
      </tp>
      <tp t="s">
        <v>#N/A N/A</v>
        <stp/>
        <stp>BDP|8040353526815157819</stp>
        <tr r="J374" s="2"/>
      </tp>
      <tp t="s">
        <v>#N/A N/A</v>
        <stp/>
        <stp>BDP|5219511432956624148</stp>
        <tr r="O145" s="2"/>
      </tp>
      <tp t="s">
        <v>#N/A N/A</v>
        <stp/>
        <stp>BDP|2837737569036805196</stp>
        <tr r="Q867" s="2"/>
      </tp>
      <tp t="s">
        <v>#N/A N/A</v>
        <stp/>
        <stp>BDP|2592033660152794220</stp>
        <tr r="O1099" s="2"/>
      </tp>
      <tp t="s">
        <v>#N/A N/A</v>
        <stp/>
        <stp>BDP|4183300943542778568</stp>
        <tr r="E1261" s="2"/>
      </tp>
      <tp t="s">
        <v>#N/A N/A</v>
        <stp/>
        <stp>BDP|7822293436685201765</stp>
        <tr r="H1403" s="2"/>
      </tp>
      <tp t="s">
        <v>#N/A N/A</v>
        <stp/>
        <stp>BDP|3026720469885983310</stp>
        <tr r="Q625" s="2"/>
      </tp>
      <tp t="s">
        <v>#N/A N/A</v>
        <stp/>
        <stp>BDP|6029323066677655010</stp>
        <tr r="N463" s="2"/>
      </tp>
      <tp t="s">
        <v>#N/A N/A</v>
        <stp/>
        <stp>BDP|1681683108005285676</stp>
        <tr r="H842" s="2"/>
      </tp>
      <tp t="s">
        <v>#N/A N/A</v>
        <stp/>
        <stp>BDP|9529443998212273281</stp>
        <tr r="D390" s="2"/>
      </tp>
      <tp t="s">
        <v>#N/A N/A</v>
        <stp/>
        <stp>BDP|1252606327364678502</stp>
        <tr r="T1497" s="2"/>
      </tp>
      <tp t="s">
        <v>#N/A N/A</v>
        <stp/>
        <stp>BDP|3115874195487033107</stp>
        <tr r="G729" s="2"/>
      </tp>
      <tp t="s">
        <v>#N/A N/A</v>
        <stp/>
        <stp>BDP|3273140131305538012</stp>
        <tr r="O1271" s="2"/>
      </tp>
      <tp t="s">
        <v>#N/A N/A</v>
        <stp/>
        <stp>BDP|4196506853476993687</stp>
        <tr r="R770" s="2"/>
      </tp>
      <tp t="s">
        <v>#N/A N/A</v>
        <stp/>
        <stp>BDP|3060870186014354317</stp>
        <tr r="A408" s="2"/>
      </tp>
      <tp t="s">
        <v>#N/A N/A</v>
        <stp/>
        <stp>BDP|1339772626687920781</stp>
        <tr r="M1657" s="2"/>
      </tp>
      <tp t="s">
        <v>#N/A N/A</v>
        <stp/>
        <stp>BDP|5029110358764932132</stp>
        <tr r="J1246" s="2"/>
      </tp>
      <tp t="s">
        <v>#N/A N/A</v>
        <stp/>
        <stp>BDP|9828191922796091809</stp>
        <tr r="O692" s="2"/>
      </tp>
      <tp t="s">
        <v>#N/A N/A</v>
        <stp/>
        <stp>BDP|7970318106040583080</stp>
        <tr r="G1418" s="2"/>
      </tp>
      <tp t="s">
        <v>#N/A N/A</v>
        <stp/>
        <stp>BDP|5435803907291717874</stp>
        <tr r="K861" s="2"/>
      </tp>
      <tp t="s">
        <v>#N/A N/A</v>
        <stp/>
        <stp>BDP|9711078166958346363</stp>
        <tr r="K609" s="2"/>
      </tp>
      <tp t="s">
        <v>#N/A N/A</v>
        <stp/>
        <stp>BDP|8809577796883888320</stp>
        <tr r="M1554" s="2"/>
      </tp>
      <tp t="s">
        <v>#N/A N/A</v>
        <stp/>
        <stp>BDP|6355501461342080319</stp>
        <tr r="D1209" s="2"/>
      </tp>
      <tp t="s">
        <v>#N/A N/A</v>
        <stp/>
        <stp>BDP|9710722087125074713</stp>
        <tr r="S511" s="2"/>
      </tp>
      <tp t="s">
        <v>#N/A N/A</v>
        <stp/>
        <stp>BDS|2971991539618313494</stp>
        <tr r="I1637" s="2"/>
      </tp>
      <tp t="s">
        <v>#N/A N/A</v>
        <stp/>
        <stp>BDP|2361241353282025371</stp>
        <tr r="A1324" s="2"/>
      </tp>
      <tp t="s">
        <v>#N/A N/A</v>
        <stp/>
        <stp>BDP|3026707249444209087</stp>
        <tr r="H117" s="2"/>
      </tp>
      <tp t="s">
        <v>#N/A N/A</v>
        <stp/>
        <stp>BDP|5287543614732763753</stp>
        <tr r="E355" s="2"/>
      </tp>
      <tp t="s">
        <v>#N/A N/A</v>
        <stp/>
        <stp>BDP|2286595452594178286</stp>
        <tr r="Q293" s="2"/>
      </tp>
      <tp t="s">
        <v>#N/A N/A</v>
        <stp/>
        <stp>BDP|7783209016880357025</stp>
        <tr r="O246" s="2"/>
      </tp>
      <tp t="s">
        <v>#N/A N/A</v>
        <stp/>
        <stp>BDP|1015043927871731640</stp>
        <tr r="R666" s="2"/>
      </tp>
      <tp t="s">
        <v>#N/A N/A</v>
        <stp/>
        <stp>BDP|2799593238200416021</stp>
        <tr r="Q507" s="2"/>
      </tp>
      <tp t="s">
        <v>#N/A N/A</v>
        <stp/>
        <stp>BDS|3266572756043653459</stp>
        <tr r="I913" s="2"/>
      </tp>
      <tp t="s">
        <v>#N/A N/A</v>
        <stp/>
        <stp>BDP|1209110814802362745</stp>
        <tr r="G1064" s="2"/>
      </tp>
      <tp t="s">
        <v>#N/A N/A</v>
        <stp/>
        <stp>BDP|3400172891937308810</stp>
        <tr r="R509" s="2"/>
      </tp>
      <tp t="s">
        <v>#N/A N/A</v>
        <stp/>
        <stp>BDP|4996084009853964319</stp>
        <tr r="P513" s="2"/>
      </tp>
      <tp t="s">
        <v>#N/A N/A</v>
        <stp/>
        <stp>BDP|8097369285926736140</stp>
        <tr r="M390" s="2"/>
      </tp>
      <tp t="s">
        <v>#N/A N/A</v>
        <stp/>
        <stp>BDP|4128362275313307719</stp>
        <tr r="A1090" s="2"/>
      </tp>
      <tp t="s">
        <v>#N/A N/A</v>
        <stp/>
        <stp>BDP|5764805117320388832</stp>
        <tr r="F1144" s="2"/>
      </tp>
      <tp t="s">
        <v>#N/A N/A</v>
        <stp/>
        <stp>BDP|6643325777815363302</stp>
        <tr r="K605" s="2"/>
      </tp>
      <tp t="s">
        <v>#N/A N/A</v>
        <stp/>
        <stp>BDP|9181683589922160119</stp>
        <tr r="R216" s="2"/>
      </tp>
      <tp t="s">
        <v>#N/A N/A</v>
        <stp/>
        <stp>BDP|1335068546056265710</stp>
        <tr r="K856" s="2"/>
      </tp>
      <tp t="s">
        <v>#N/A N/A</v>
        <stp/>
        <stp>BDP|6042026533949649872</stp>
        <tr r="A305" s="2"/>
      </tp>
      <tp t="s">
        <v>#N/A N/A</v>
        <stp/>
        <stp>BDP|8380966803540416527</stp>
        <tr r="T1156" s="2"/>
      </tp>
      <tp t="s">
        <v>#N/A N/A</v>
        <stp/>
        <stp>BDP|7635348415832569328</stp>
        <tr r="D1401" s="2"/>
      </tp>
      <tp t="s">
        <v>#N/A N/A</v>
        <stp/>
        <stp>BDP|1685536093761172872</stp>
        <tr r="O1075" s="2"/>
      </tp>
      <tp t="s">
        <v>#N/A N/A</v>
        <stp/>
        <stp>BDP|5986122012413814213</stp>
        <tr r="N579" s="2"/>
      </tp>
      <tp t="s">
        <v>#N/A N/A</v>
        <stp/>
        <stp>BDP|7002538234031230457</stp>
        <tr r="C865" s="2"/>
      </tp>
      <tp t="s">
        <v>#N/A N/A</v>
        <stp/>
        <stp>BDP|2263577717956318415</stp>
        <tr r="D513" s="2"/>
      </tp>
      <tp t="s">
        <v>#N/A N/A</v>
        <stp/>
        <stp>BDS|7331029077504738013</stp>
        <tr r="I243" s="2"/>
      </tp>
      <tp t="s">
        <v>#N/A N/A</v>
        <stp/>
        <stp>BDP|7506057703097782443</stp>
        <tr r="R790" s="2"/>
      </tp>
      <tp t="s">
        <v>#N/A N/A</v>
        <stp/>
        <stp>BDP|3357178200610762632</stp>
        <tr r="E1603" s="2"/>
      </tp>
      <tp t="s">
        <v>#N/A N/A</v>
        <stp/>
        <stp>BDP|9044821206896718333</stp>
        <tr r="K1524" s="2"/>
      </tp>
      <tp t="s">
        <v>#N/A N/A</v>
        <stp/>
        <stp>BDP|7100404168855168485</stp>
        <tr r="E1649" s="2"/>
      </tp>
      <tp t="s">
        <v>#N/A N/A</v>
        <stp/>
        <stp>BDP|6962025660920868433</stp>
        <tr r="N924" s="2"/>
      </tp>
      <tp t="s">
        <v>#N/A N/A</v>
        <stp/>
        <stp>BDP|5778825074637823999</stp>
        <tr r="S410" s="2"/>
      </tp>
      <tp t="s">
        <v>#N/A N/A</v>
        <stp/>
        <stp>BDP|6510243411484786571</stp>
        <tr r="N900" s="2"/>
      </tp>
      <tp t="s">
        <v>#N/A N/A</v>
        <stp/>
        <stp>BDP|1233349456857889485</stp>
        <tr r="C204" s="2"/>
      </tp>
      <tp t="s">
        <v>#N/A N/A</v>
        <stp/>
        <stp>BDP|5922056503887934660</stp>
        <tr r="H1017" s="2"/>
      </tp>
      <tp t="s">
        <v>#N/A N/A</v>
        <stp/>
        <stp>BDP|9714956456513595215</stp>
        <tr r="T210" s="2"/>
      </tp>
      <tp t="s">
        <v>#N/A N/A</v>
        <stp/>
        <stp>BDP|7258627705037089254</stp>
        <tr r="P1626" s="2"/>
      </tp>
      <tp t="s">
        <v>#N/A N/A</v>
        <stp/>
        <stp>BDP|5247172159963516690</stp>
        <tr r="P1418" s="2"/>
      </tp>
      <tp t="s">
        <v>#N/A N/A</v>
        <stp/>
        <stp>BDP|9451749351419651673</stp>
        <tr r="R437" s="2"/>
      </tp>
      <tp t="s">
        <v>#N/A N/A</v>
        <stp/>
        <stp>BDP|1630968565073261973</stp>
        <tr r="C658" s="2"/>
      </tp>
      <tp t="s">
        <v>#N/A N/A</v>
        <stp/>
        <stp>BDS|6239436475092217369</stp>
        <tr r="I1691" s="2"/>
      </tp>
      <tp t="s">
        <v>#N/A N/A</v>
        <stp/>
        <stp>BDP|9793871715403739721</stp>
        <tr r="F1391" s="2"/>
      </tp>
      <tp t="s">
        <v>#N/A N/A</v>
        <stp/>
        <stp>BDP|9311497019210577862</stp>
        <tr r="S1726" s="2"/>
      </tp>
      <tp t="s">
        <v>#N/A N/A</v>
        <stp/>
        <stp>BDP|1769195023315975347</stp>
        <tr r="J987" s="2"/>
      </tp>
      <tp t="s">
        <v>#N/A N/A</v>
        <stp/>
        <stp>BDP|1861590000462109202</stp>
        <tr r="E534" s="2"/>
      </tp>
      <tp t="s">
        <v>#N/A N/A</v>
        <stp/>
        <stp>BDP|1177331019137232097</stp>
        <tr r="D1465" s="2"/>
      </tp>
      <tp t="s">
        <v>#N/A N/A</v>
        <stp/>
        <stp>BDP|2864221140091930137</stp>
        <tr r="G1571" s="2"/>
      </tp>
      <tp t="s">
        <v>#N/A N/A</v>
        <stp/>
        <stp>BDP|3309818719806225891</stp>
        <tr r="C1579" s="2"/>
      </tp>
      <tp t="s">
        <v>#N/A N/A</v>
        <stp/>
        <stp>BDP|8612152304505355841</stp>
        <tr r="K890" s="2"/>
      </tp>
      <tp t="s">
        <v>#N/A N/A</v>
        <stp/>
        <stp>BDP|5213302464711554533</stp>
        <tr r="J1166" s="2"/>
      </tp>
      <tp t="s">
        <v>#N/A N/A</v>
        <stp/>
        <stp>BDP|6631247022882861088</stp>
        <tr r="S1323" s="2"/>
      </tp>
      <tp t="s">
        <v>#N/A N/A</v>
        <stp/>
        <stp>BDP|4956214398553756874</stp>
        <tr r="N1459" s="2"/>
      </tp>
      <tp t="s">
        <v>#N/A N/A</v>
        <stp/>
        <stp>BDP|8824652113313634885</stp>
        <tr r="S1701" s="2"/>
      </tp>
      <tp t="s">
        <v>#N/A N/A</v>
        <stp/>
        <stp>BDS|3639777084000068854</stp>
        <tr r="I47" s="2"/>
      </tp>
      <tp t="s">
        <v>#N/A N/A</v>
        <stp/>
        <stp>BDP|6750222339317891448</stp>
        <tr r="J809" s="2"/>
      </tp>
      <tp t="s">
        <v>#N/A N/A</v>
        <stp/>
        <stp>BDP|3033946262701755913</stp>
        <tr r="J1488" s="2"/>
      </tp>
      <tp t="s">
        <v>#N/A N/A</v>
        <stp/>
        <stp>BDP|8474119795164230028</stp>
        <tr r="O772" s="2"/>
      </tp>
      <tp t="s">
        <v>#N/A N/A</v>
        <stp/>
        <stp>BDP|5652664611660664675</stp>
        <tr r="K1678" s="2"/>
      </tp>
      <tp t="s">
        <v>#N/A N/A</v>
        <stp/>
        <stp>BDP|5664733004504202234</stp>
        <tr r="N1384" s="2"/>
      </tp>
      <tp t="s">
        <v>#N/A N/A</v>
        <stp/>
        <stp>BDP|7819693626677468036</stp>
        <tr r="R1560" s="2"/>
      </tp>
      <tp t="s">
        <v>#N/A N/A</v>
        <stp/>
        <stp>BDP|9474844030366523056</stp>
        <tr r="A136" s="2"/>
      </tp>
      <tp t="s">
        <v>#N/A N/A</v>
        <stp/>
        <stp>BDP|9062744150159302674</stp>
        <tr r="Q1287" s="2"/>
      </tp>
      <tp t="s">
        <v>#N/A N/A</v>
        <stp/>
        <stp>BDP|8125497977327839872</stp>
        <tr r="E1546" s="2"/>
      </tp>
      <tp t="s">
        <v>#N/A N/A</v>
        <stp/>
        <stp>BDP|1121273561101704007</stp>
        <tr r="T409" s="2"/>
      </tp>
      <tp t="s">
        <v>#N/A N/A</v>
        <stp/>
        <stp>BDP|9012640083344334747</stp>
        <tr r="R359" s="2"/>
      </tp>
      <tp t="s">
        <v>#N/A N/A</v>
        <stp/>
        <stp>BDP|9452538073388114759</stp>
        <tr r="G197" s="2"/>
      </tp>
      <tp t="s">
        <v>#N/A N/A</v>
        <stp/>
        <stp>BDP|3176585888628244236</stp>
        <tr r="E1220" s="2"/>
      </tp>
      <tp t="s">
        <v>#N/A N/A</v>
        <stp/>
        <stp>BDP|6166805508198862212</stp>
        <tr r="R1571" s="2"/>
      </tp>
      <tp t="s">
        <v>#N/A N/A</v>
        <stp/>
        <stp>BDP|3406760815642690319</stp>
        <tr r="P1017" s="2"/>
      </tp>
      <tp t="s">
        <v>#N/A N/A</v>
        <stp/>
        <stp>BDP|5746327370024131159</stp>
        <tr r="G977" s="2"/>
      </tp>
      <tp t="s">
        <v>#N/A N/A</v>
        <stp/>
        <stp>BDP|3328620879877947107</stp>
        <tr r="S1545" s="2"/>
      </tp>
      <tp t="s">
        <v>#N/A N/A</v>
        <stp/>
        <stp>BDP|9748509383385512506</stp>
        <tr r="R1385" s="2"/>
      </tp>
      <tp t="s">
        <v>#N/A N/A</v>
        <stp/>
        <stp>BDP|3285575951076776123</stp>
        <tr r="D170" s="2"/>
      </tp>
      <tp t="s">
        <v>#N/A N/A</v>
        <stp/>
        <stp>BDP|4886123569845089222</stp>
        <tr r="J702" s="2"/>
      </tp>
      <tp t="s">
        <v>#N/A N/A</v>
        <stp/>
        <stp>BDP|3379552277453716679</stp>
        <tr r="F1548" s="2"/>
      </tp>
      <tp t="s">
        <v>#N/A N/A</v>
        <stp/>
        <stp>BDP|8729139643061740816</stp>
        <tr r="A704" s="2"/>
      </tp>
      <tp t="s">
        <v>#N/A N/A</v>
        <stp/>
        <stp>BDP|4478478315123742603</stp>
        <tr r="P1129" s="2"/>
      </tp>
      <tp t="s">
        <v>#N/A N/A</v>
        <stp/>
        <stp>BDP|4985282143221591769</stp>
        <tr r="A106" s="2"/>
      </tp>
      <tp t="s">
        <v>#N/A N/A</v>
        <stp/>
        <stp>BDP|8407578692241478145</stp>
        <tr r="G570" s="2"/>
      </tp>
      <tp t="s">
        <v>#N/A N/A</v>
        <stp/>
        <stp>BDP|8098107139679861706</stp>
        <tr r="F1694" s="2"/>
      </tp>
      <tp t="s">
        <v>#N/A N/A</v>
        <stp/>
        <stp>BDP|2650418403653214171</stp>
        <tr r="P1090" s="2"/>
      </tp>
      <tp t="s">
        <v>#N/A N/A</v>
        <stp/>
        <stp>BDP|7292426872620356007</stp>
        <tr r="E30" s="2"/>
      </tp>
      <tp t="s">
        <v>#N/A N/A</v>
        <stp/>
        <stp>BDP|3656608528456843577</stp>
        <tr r="R1091" s="2"/>
      </tp>
      <tp t="s">
        <v>#N/A N/A</v>
        <stp/>
        <stp>BDS|9647174785441447519</stp>
        <tr r="I917" s="2"/>
      </tp>
      <tp t="s">
        <v>#N/A N/A</v>
        <stp/>
        <stp>BDP|1988640989212578907</stp>
        <tr r="F1490" s="2"/>
      </tp>
      <tp t="s">
        <v>#N/A N/A</v>
        <stp/>
        <stp>BDP|6852126543270947718</stp>
        <tr r="N767" s="2"/>
      </tp>
      <tp t="s">
        <v>#N/A N/A</v>
        <stp/>
        <stp>BDP|7749019737523254320</stp>
        <tr r="G677" s="2"/>
      </tp>
      <tp t="s">
        <v>#N/A N/A</v>
        <stp/>
        <stp>BDS|9039852245353695275</stp>
        <tr r="I1025" s="2"/>
      </tp>
      <tp t="s">
        <v>#N/A N/A</v>
        <stp/>
        <stp>BDP|9375489501141361885</stp>
        <tr r="Q1441" s="2"/>
      </tp>
      <tp t="s">
        <v>#N/A N/A</v>
        <stp/>
        <stp>BDP|3524181278963750233</stp>
        <tr r="A264" s="2"/>
      </tp>
      <tp t="s">
        <v>#N/A N/A</v>
        <stp/>
        <stp>BDP|6013867591822005162</stp>
        <tr r="D680" s="2"/>
      </tp>
      <tp t="s">
        <v>#N/A N/A</v>
        <stp/>
        <stp>BDP|3384277706082049737</stp>
        <tr r="E7" s="2"/>
      </tp>
      <tp t="s">
        <v>#N/A N/A</v>
        <stp/>
        <stp>BDP|6843349311490842041</stp>
        <tr r="R106" s="2"/>
      </tp>
      <tp t="s">
        <v>#N/A N/A</v>
        <stp/>
        <stp>BDP|5537715719825976256</stp>
        <tr r="A1362" s="2"/>
      </tp>
      <tp t="s">
        <v>#N/A N/A</v>
        <stp/>
        <stp>BDP|8102181565859432295</stp>
        <tr r="R1016" s="2"/>
      </tp>
      <tp t="s">
        <v>#N/A N/A</v>
        <stp/>
        <stp>BDP|8420853863651399300</stp>
        <tr r="K123" s="2"/>
      </tp>
      <tp t="s">
        <v>#N/A N/A</v>
        <stp/>
        <stp>BDP|6143719038412877410</stp>
        <tr r="C1571" s="2"/>
      </tp>
      <tp t="s">
        <v>#N/A N/A</v>
        <stp/>
        <stp>BDP|8507915644816753766</stp>
        <tr r="E72" s="2"/>
      </tp>
      <tp t="s">
        <v>#N/A N/A</v>
        <stp/>
        <stp>BDP|6960316832755865730</stp>
        <tr r="P17" s="2"/>
      </tp>
      <tp t="s">
        <v>#N/A N/A</v>
        <stp/>
        <stp>BDP|5165227898719965331</stp>
        <tr r="F661" s="2"/>
      </tp>
      <tp t="s">
        <v>#N/A N/A</v>
        <stp/>
        <stp>BDP|6408615384845755979</stp>
        <tr r="Q228" s="2"/>
      </tp>
      <tp t="s">
        <v>#N/A N/A</v>
        <stp/>
        <stp>BDP|8876385295980626628</stp>
        <tr r="F737" s="2"/>
      </tp>
      <tp t="s">
        <v>#N/A N/A</v>
        <stp/>
        <stp>BDP|5579427858851680180</stp>
        <tr r="K1012" s="2"/>
      </tp>
      <tp t="s">
        <v>#N/A N/A</v>
        <stp/>
        <stp>BDP|8748925905773931685</stp>
        <tr r="O450" s="2"/>
      </tp>
      <tp t="s">
        <v>#N/A N/A</v>
        <stp/>
        <stp>BDP|1337043130034428222</stp>
        <tr r="P472" s="2"/>
      </tp>
      <tp t="s">
        <v>#N/A N/A</v>
        <stp/>
        <stp>BDP|9538657076869353549</stp>
        <tr r="A1494" s="2"/>
      </tp>
      <tp t="s">
        <v>#N/A N/A</v>
        <stp/>
        <stp>BDS|6266507826435000056</stp>
        <tr r="I312" s="2"/>
      </tp>
      <tp t="s">
        <v>#N/A N/A</v>
        <stp/>
        <stp>BDP|9348555412689030057</stp>
        <tr r="D438" s="2"/>
      </tp>
      <tp t="s">
        <v>#N/A N/A</v>
        <stp/>
        <stp>BDP|8155130536736184849</stp>
        <tr r="D509" s="2"/>
      </tp>
      <tp t="s">
        <v>#N/A N/A</v>
        <stp/>
        <stp>BDP|9242506796061204071</stp>
        <tr r="N727" s="2"/>
      </tp>
      <tp t="s">
        <v>#N/A N/A</v>
        <stp/>
        <stp>BDP|5969757016827998023</stp>
        <tr r="J784" s="2"/>
      </tp>
      <tp t="s">
        <v>#N/A N/A</v>
        <stp/>
        <stp>BDP|9305571294032079315</stp>
        <tr r="Q479" s="2"/>
      </tp>
      <tp t="s">
        <v>#N/A N/A</v>
        <stp/>
        <stp>BDP|1728169171742584147</stp>
        <tr r="K1482" s="2"/>
      </tp>
      <tp t="s">
        <v>#N/A N/A</v>
        <stp/>
        <stp>BDP|8031403483434120434</stp>
        <tr r="J1361" s="2"/>
      </tp>
      <tp t="s">
        <v>#N/A N/A</v>
        <stp/>
        <stp>BDP|4980407918657334238</stp>
        <tr r="D1551" s="2"/>
      </tp>
      <tp t="s">
        <v>#N/A N/A</v>
        <stp/>
        <stp>BDS|5002764571434160570</stp>
        <tr r="I1121" s="2"/>
      </tp>
      <tp t="s">
        <v>#N/A N/A</v>
        <stp/>
        <stp>BDP|7792310600657684712</stp>
        <tr r="N1707" s="2"/>
      </tp>
      <tp t="s">
        <v>#N/A N/A</v>
        <stp/>
        <stp>BDP|2706610756011966483</stp>
        <tr r="E320" s="2"/>
      </tp>
      <tp t="s">
        <v>#N/A N/A</v>
        <stp/>
        <stp>BDS|7520455321745304036</stp>
        <tr r="I1593" s="2"/>
      </tp>
      <tp t="s">
        <v>#N/A N/A</v>
        <stp/>
        <stp>BDP|1244126077021579231</stp>
        <tr r="R331" s="2"/>
      </tp>
      <tp t="s">
        <v>#N/A N/A</v>
        <stp/>
        <stp>BDP|7246271323034389749</stp>
        <tr r="D1188" s="2"/>
      </tp>
      <tp t="s">
        <v>#N/A N/A</v>
        <stp/>
        <stp>BDP|4286922698215148588</stp>
        <tr r="M299" s="2"/>
      </tp>
      <tp t="s">
        <v>#N/A N/A</v>
        <stp/>
        <stp>BDP|4758968480674370538</stp>
        <tr r="C1586" s="2"/>
      </tp>
      <tp t="s">
        <v>#N/A N/A</v>
        <stp/>
        <stp>BDP|7323204704715131475</stp>
        <tr r="F787" s="2"/>
      </tp>
      <tp t="s">
        <v>#N/A N/A</v>
        <stp/>
        <stp>BDP|6326897610413214897</stp>
        <tr r="F912" s="2"/>
      </tp>
      <tp t="s">
        <v>#N/A N/A</v>
        <stp/>
        <stp>BDP|2320653409314863463</stp>
        <tr r="O501" s="2"/>
      </tp>
      <tp t="s">
        <v>#N/A N/A</v>
        <stp/>
        <stp>BDP|2309127705565568203</stp>
        <tr r="P1692" s="2"/>
      </tp>
      <tp t="s">
        <v>#N/A N/A</v>
        <stp/>
        <stp>BDP|2474029229920657485</stp>
        <tr r="K416" s="2"/>
      </tp>
      <tp t="s">
        <v>#N/A N/A</v>
        <stp/>
        <stp>BDP|5383763634590998591</stp>
        <tr r="G1686" s="2"/>
      </tp>
      <tp t="s">
        <v>#N/A N/A</v>
        <stp/>
        <stp>BDS|6651433126715505174</stp>
        <tr r="I1514" s="2"/>
      </tp>
      <tp t="s">
        <v>#N/A N/A</v>
        <stp/>
        <stp>BDP|2637945262110291938</stp>
        <tr r="K183" s="2"/>
      </tp>
      <tp t="s">
        <v>#N/A N/A</v>
        <stp/>
        <stp>BDP|8105140724757892888</stp>
        <tr r="A740" s="2"/>
      </tp>
      <tp t="s">
        <v>#N/A N/A</v>
        <stp/>
        <stp>BDP|4206820534292337967</stp>
        <tr r="N437" s="2"/>
      </tp>
      <tp t="s">
        <v>#N/A N/A</v>
        <stp/>
        <stp>BDS|6668431640247054545</stp>
        <tr r="I19" s="2"/>
      </tp>
      <tp t="s">
        <v>#N/A N/A</v>
        <stp/>
        <stp>BDP|2200627571793915497</stp>
        <tr r="K1449" s="2"/>
      </tp>
      <tp t="s">
        <v>#N/A N/A</v>
        <stp/>
        <stp>BDP|6124205657900946593</stp>
        <tr r="J854" s="2"/>
      </tp>
      <tp t="s">
        <v>#N/A N/A</v>
        <stp/>
        <stp>BDP|2071325633913460534</stp>
        <tr r="K611" s="2"/>
      </tp>
      <tp t="s">
        <v>#N/A N/A</v>
        <stp/>
        <stp>BDP|5680454916282622655</stp>
        <tr r="H90" s="2"/>
      </tp>
      <tp t="s">
        <v>#N/A N/A</v>
        <stp/>
        <stp>BDP|8968892706357560358</stp>
        <tr r="F670" s="2"/>
      </tp>
      <tp t="s">
        <v>#N/A N/A</v>
        <stp/>
        <stp>BDP|2748706086751448839</stp>
        <tr r="A1410" s="2"/>
      </tp>
      <tp t="s">
        <v>#N/A N/A</v>
        <stp/>
        <stp>BDP|7235105661944616036</stp>
        <tr r="A325" s="2"/>
      </tp>
      <tp t="s">
        <v>#N/A N/A</v>
        <stp/>
        <stp>BDP|3872487025182516368</stp>
        <tr r="D758" s="2"/>
      </tp>
      <tp t="s">
        <v>#N/A N/A</v>
        <stp/>
        <stp>BDP|6046207864303292501</stp>
        <tr r="O1297" s="2"/>
      </tp>
      <tp t="s">
        <v>#N/A N/A</v>
        <stp/>
        <stp>BDS|3085112835147065226</stp>
        <tr r="I277" s="2"/>
      </tp>
      <tp t="s">
        <v>#N/A N/A</v>
        <stp/>
        <stp>BDP|5514313027294689433</stp>
        <tr r="N443" s="2"/>
      </tp>
      <tp t="s">
        <v>#N/A N/A</v>
        <stp/>
        <stp>BDP|6785746081729111453</stp>
        <tr r="F84" s="2"/>
      </tp>
      <tp t="s">
        <v>#N/A N/A</v>
        <stp/>
        <stp>BDP|1780375861131528125</stp>
        <tr r="M1691" s="2"/>
      </tp>
      <tp t="s">
        <v>#N/A N/A</v>
        <stp/>
        <stp>BDP|1694628755272481431</stp>
        <tr r="F1311" s="2"/>
      </tp>
      <tp t="s">
        <v>#N/A N/A</v>
        <stp/>
        <stp>BDS|5589075477531346705</stp>
        <tr r="I1034" s="2"/>
      </tp>
      <tp t="s">
        <v>#N/A N/A</v>
        <stp/>
        <stp>BDP|5474967501899762124</stp>
        <tr r="P1211" s="2"/>
      </tp>
      <tp t="s">
        <v>#N/A N/A</v>
        <stp/>
        <stp>BDP|4290017123060111272</stp>
        <tr r="J537" s="2"/>
      </tp>
      <tp t="s">
        <v>#N/A N/A</v>
        <stp/>
        <stp>BDP|3189705831936418529</stp>
        <tr r="E727" s="2"/>
      </tp>
      <tp t="s">
        <v>#N/A N/A</v>
        <stp/>
        <stp>BDP|2342096560889979952</stp>
        <tr r="J792" s="2"/>
      </tp>
      <tp t="s">
        <v>#N/A N/A</v>
        <stp/>
        <stp>BDP|7568144967851616564</stp>
        <tr r="M1613" s="2"/>
      </tp>
      <tp t="s">
        <v>#N/A N/A</v>
        <stp/>
        <stp>BDP|6528988046728912743</stp>
        <tr r="A481" s="2"/>
      </tp>
      <tp t="s">
        <v>#N/A N/A</v>
        <stp/>
        <stp>BDP|1348064958363295394</stp>
        <tr r="M1396" s="2"/>
      </tp>
      <tp t="s">
        <v>#N/A N/A</v>
        <stp/>
        <stp>BDP|5221529269567727582</stp>
        <tr r="T1542" s="2"/>
      </tp>
      <tp t="s">
        <v>#N/A N/A</v>
        <stp/>
        <stp>BDP|8147920446161128029</stp>
        <tr r="N1141" s="2"/>
      </tp>
      <tp t="s">
        <v>#N/A N/A</v>
        <stp/>
        <stp>BDP|5736767247185384733</stp>
        <tr r="G1196" s="2"/>
      </tp>
      <tp t="s">
        <v>#N/A N/A</v>
        <stp/>
        <stp>BDP|8409072290424693131</stp>
        <tr r="T276" s="2"/>
      </tp>
      <tp t="s">
        <v>#N/A N/A</v>
        <stp/>
        <stp>BDP|8567670952727196876</stp>
        <tr r="P1264" s="2"/>
      </tp>
      <tp t="s">
        <v>#N/A N/A</v>
        <stp/>
        <stp>BDP|5303017300515147457</stp>
        <tr r="C1266" s="2"/>
      </tp>
      <tp t="s">
        <v>#N/A N/A</v>
        <stp/>
        <stp>BDP|7600090930084802411</stp>
        <tr r="N1732" s="2"/>
      </tp>
      <tp t="s">
        <v>#N/A N/A</v>
        <stp/>
        <stp>BDP|6914287537385326636</stp>
        <tr r="Q1684" s="2"/>
      </tp>
      <tp t="s">
        <v>#N/A N/A</v>
        <stp/>
        <stp>BDP|1167425250010305463</stp>
        <tr r="K1305" s="2"/>
      </tp>
      <tp t="s">
        <v>#N/A N/A</v>
        <stp/>
        <stp>BDP|9024173865148352275</stp>
        <tr r="K683" s="2"/>
      </tp>
      <tp t="s">
        <v>#N/A N/A</v>
        <stp/>
        <stp>BDP|2364604184399417150</stp>
        <tr r="C119" s="2"/>
      </tp>
      <tp t="s">
        <v>#N/A N/A</v>
        <stp/>
        <stp>BDP|3040712461121031767</stp>
        <tr r="C1372" s="2"/>
      </tp>
      <tp t="s">
        <v>#N/A N/A</v>
        <stp/>
        <stp>BDP|4351676843947301529</stp>
        <tr r="R875" s="2"/>
      </tp>
      <tp t="s">
        <v>#N/A N/A</v>
        <stp/>
        <stp>BDP|4691389504617468483</stp>
        <tr r="T493" s="2"/>
      </tp>
      <tp t="s">
        <v>#N/A N/A</v>
        <stp/>
        <stp>BDP|7432974386485654755</stp>
        <tr r="J1170" s="2"/>
      </tp>
      <tp t="s">
        <v>#N/A N/A</v>
        <stp/>
        <stp>BDP|6678249014428384931</stp>
        <tr r="P868" s="2"/>
      </tp>
      <tp t="s">
        <v>#N/A N/A</v>
        <stp/>
        <stp>BDP|9272291110506962847</stp>
        <tr r="Q1568" s="2"/>
      </tp>
      <tp t="s">
        <v>#N/A N/A</v>
        <stp/>
        <stp>BDP|1434575845667620360</stp>
        <tr r="T293" s="2"/>
      </tp>
      <tp t="s">
        <v>#N/A N/A</v>
        <stp/>
        <stp>BDP|9377916834032706573</stp>
        <tr r="R287" s="2"/>
      </tp>
      <tp t="s">
        <v>#N/A N/A</v>
        <stp/>
        <stp>BDP|5590331758640937718</stp>
        <tr r="J1034" s="2"/>
      </tp>
      <tp t="s">
        <v>#N/A N/A</v>
        <stp/>
        <stp>BDP|3781501031613535259</stp>
        <tr r="H1305" s="2"/>
      </tp>
      <tp t="s">
        <v>#N/A N/A</v>
        <stp/>
        <stp>BDP|6762021372465602076</stp>
        <tr r="D835" s="2"/>
      </tp>
      <tp t="s">
        <v>#N/A N/A</v>
        <stp/>
        <stp>BDP|7865882634520610845</stp>
        <tr r="P827" s="2"/>
      </tp>
      <tp t="s">
        <v>#N/A N/A</v>
        <stp/>
        <stp>BDP|1870556736341920245</stp>
        <tr r="E1162" s="2"/>
      </tp>
      <tp t="s">
        <v>#N/A N/A</v>
        <stp/>
        <stp>BDP|6528355126431242222</stp>
        <tr r="D1415" s="2"/>
      </tp>
      <tp t="s">
        <v>#N/A N/A</v>
        <stp/>
        <stp>BDP|2249271516073680638</stp>
        <tr r="D1289" s="2"/>
      </tp>
      <tp t="s">
        <v>#N/A N/A</v>
        <stp/>
        <stp>BDP|5589670827984612155</stp>
        <tr r="T1625" s="2"/>
      </tp>
      <tp t="s">
        <v>#N/A N/A</v>
        <stp/>
        <stp>BDP|4930293587573483959</stp>
        <tr r="S905" s="2"/>
      </tp>
      <tp t="s">
        <v>#N/A N/A</v>
        <stp/>
        <stp>BDP|3533535078291055485</stp>
        <tr r="P519" s="2"/>
      </tp>
      <tp t="s">
        <v>#N/A N/A</v>
        <stp/>
        <stp>BDP|4735548943872063361</stp>
        <tr r="T992" s="2"/>
      </tp>
      <tp t="s">
        <v>#N/A N/A</v>
        <stp/>
        <stp>BDP|5830244891772217895</stp>
        <tr r="N993" s="2"/>
      </tp>
      <tp t="s">
        <v>#N/A N/A</v>
        <stp/>
        <stp>BDP|5965693313186216071</stp>
        <tr r="O1713" s="2"/>
      </tp>
      <tp t="s">
        <v>#N/A N/A</v>
        <stp/>
        <stp>BDP|8254894347356857620</stp>
        <tr r="D360" s="2"/>
      </tp>
      <tp t="s">
        <v>#N/A N/A</v>
        <stp/>
        <stp>BDP|6784835524779390154</stp>
        <tr r="M335" s="2"/>
      </tp>
      <tp t="s">
        <v>#N/A N/A</v>
        <stp/>
        <stp>BDP|2892340351002386286</stp>
        <tr r="M1082" s="2"/>
      </tp>
      <tp t="s">
        <v>#N/A N/A</v>
        <stp/>
        <stp>BDS|6982911402962801944</stp>
        <tr r="I433" s="2"/>
      </tp>
      <tp t="s">
        <v>#N/A N/A</v>
        <stp/>
        <stp>BDP|1015656762760127505</stp>
        <tr r="K398" s="2"/>
      </tp>
      <tp t="s">
        <v>#N/A N/A</v>
        <stp/>
        <stp>BDP|4835967137123625990</stp>
        <tr r="M1576" s="2"/>
      </tp>
      <tp t="s">
        <v>#N/A N/A</v>
        <stp/>
        <stp>BDP|8739363527245762873</stp>
        <tr r="S892" s="2"/>
      </tp>
      <tp t="s">
        <v>#N/A N/A</v>
        <stp/>
        <stp>BDP|4306433674385069620</stp>
        <tr r="K1085" s="2"/>
      </tp>
      <tp t="s">
        <v>#N/A N/A</v>
        <stp/>
        <stp>BDP|4006232428721902143</stp>
        <tr r="S293" s="2"/>
      </tp>
      <tp t="s">
        <v>#N/A N/A</v>
        <stp/>
        <stp>BDP|5628510515756617322</stp>
        <tr r="P1530" s="2"/>
      </tp>
      <tp t="s">
        <v>#N/A N/A</v>
        <stp/>
        <stp>BDS|8056229057408759348</stp>
        <tr r="I1151" s="2"/>
      </tp>
      <tp t="s">
        <v>#N/A N/A</v>
        <stp/>
        <stp>BDP|7598231950284041008</stp>
        <tr r="K1748" s="2"/>
      </tp>
      <tp t="s">
        <v>#N/A N/A</v>
        <stp/>
        <stp>BDP|7781360009328959878</stp>
        <tr r="C126" s="2"/>
      </tp>
      <tp t="s">
        <v>#N/A N/A</v>
        <stp/>
        <stp>BDS|7364434972768181858</stp>
        <tr r="I1005" s="2"/>
      </tp>
      <tp t="s">
        <v>#N/A N/A</v>
        <stp/>
        <stp>BDP|9297565186919593905</stp>
        <tr r="K71" s="2"/>
      </tp>
      <tp t="s">
        <v>#N/A N/A</v>
        <stp/>
        <stp>BDP|6306489741304856656</stp>
        <tr r="S1537" s="2"/>
      </tp>
      <tp t="s">
        <v>#N/A N/A</v>
        <stp/>
        <stp>BDP|2526072201166192051</stp>
        <tr r="S825" s="2"/>
      </tp>
      <tp t="s">
        <v>#N/A N/A</v>
        <stp/>
        <stp>BDP|9889297776069163110</stp>
        <tr r="R1065" s="2"/>
      </tp>
      <tp t="s">
        <v>#N/A N/A</v>
        <stp/>
        <stp>BDP|3922247098165681944</stp>
        <tr r="S544" s="2"/>
      </tp>
      <tp t="s">
        <v>#N/A N/A</v>
        <stp/>
        <stp>BDP|3336446753603136528</stp>
        <tr r="R616" s="2"/>
      </tp>
      <tp t="s">
        <v>#N/A N/A</v>
        <stp/>
        <stp>BDP|7247000601800073343</stp>
        <tr r="H1092" s="2"/>
      </tp>
      <tp t="s">
        <v>#N/A N/A</v>
        <stp/>
        <stp>BDP|3131246344534602508</stp>
        <tr r="T1049" s="2"/>
      </tp>
      <tp t="s">
        <v>#N/A N/A</v>
        <stp/>
        <stp>BDP|8887109788645488037</stp>
        <tr r="P1002" s="2"/>
      </tp>
      <tp t="s">
        <v>#N/A N/A</v>
        <stp/>
        <stp>BDP|6247422452911074253</stp>
        <tr r="A721" s="2"/>
      </tp>
      <tp t="s">
        <v>#N/A N/A</v>
        <stp/>
        <stp>BDS|6113334722843721007</stp>
        <tr r="I427" s="2"/>
      </tp>
      <tp t="s">
        <v>#N/A N/A</v>
        <stp/>
        <stp>BDP|5007795868356685605</stp>
        <tr r="T685" s="2"/>
      </tp>
      <tp t="s">
        <v>#N/A N/A</v>
        <stp/>
        <stp>BDP|1886075118240527457</stp>
        <tr r="N1596" s="2"/>
      </tp>
      <tp t="s">
        <v>#N/A N/A</v>
        <stp/>
        <stp>BDP|8352271767279385174</stp>
        <tr r="G1273" s="2"/>
      </tp>
      <tp t="s">
        <v>#N/A N/A</v>
        <stp/>
        <stp>BDP|4404060686198187023</stp>
        <tr r="D236" s="2"/>
      </tp>
      <tp t="s">
        <v>#N/A N/A</v>
        <stp/>
        <stp>BDP|3055382816114152189</stp>
        <tr r="J1423" s="2"/>
      </tp>
      <tp t="s">
        <v>#N/A N/A</v>
        <stp/>
        <stp>BDP|1756622940655690242</stp>
        <tr r="P996" s="2"/>
      </tp>
      <tp t="s">
        <v>#N/A N/A</v>
        <stp/>
        <stp>BDP|7730547864995006500</stp>
        <tr r="F1669" s="2"/>
      </tp>
      <tp t="s">
        <v>#N/A N/A</v>
        <stp/>
        <stp>BDP|8548865466964467663</stp>
        <tr r="O248" s="2"/>
      </tp>
      <tp t="s">
        <v>#N/A N/A</v>
        <stp/>
        <stp>BDP|3183102201263569523</stp>
        <tr r="F521" s="2"/>
      </tp>
      <tp t="s">
        <v>#N/A N/A</v>
        <stp/>
        <stp>BDP|7737685113182827638</stp>
        <tr r="C604" s="2"/>
      </tp>
      <tp t="s">
        <v>#N/A N/A</v>
        <stp/>
        <stp>BDP|3370713920947408511</stp>
        <tr r="E1213" s="2"/>
      </tp>
      <tp t="s">
        <v>#N/A N/A</v>
        <stp/>
        <stp>BDP|2555718536011746325</stp>
        <tr r="O1473" s="2"/>
      </tp>
      <tp t="s">
        <v>#N/A N/A</v>
        <stp/>
        <stp>BDP|9686613670504919893</stp>
        <tr r="Q240" s="2"/>
      </tp>
      <tp t="s">
        <v>#N/A N/A</v>
        <stp/>
        <stp>BDS|7313610093858211444</stp>
        <tr r="I130" s="2"/>
      </tp>
      <tp t="s">
        <v>#N/A N/A</v>
        <stp/>
        <stp>BDP|4187645732032572755</stp>
        <tr r="J99" s="2"/>
      </tp>
      <tp t="s">
        <v>#N/A N/A</v>
        <stp/>
        <stp>BDP|2791519328778899911</stp>
        <tr r="O1531" s="2"/>
      </tp>
      <tp t="s">
        <v>#N/A N/A</v>
        <stp/>
        <stp>BDP|4130566843444377509</stp>
        <tr r="N101" s="2"/>
      </tp>
      <tp t="s">
        <v>#N/A N/A</v>
        <stp/>
        <stp>BDP|6406420954090663338</stp>
        <tr r="P1642" s="2"/>
      </tp>
      <tp t="s">
        <v>#N/A N/A</v>
        <stp/>
        <stp>BDP|5485400143700477146</stp>
        <tr r="F517" s="2"/>
      </tp>
      <tp t="s">
        <v>#N/A N/A</v>
        <stp/>
        <stp>BDP|2734276516576678379</stp>
        <tr r="D208" s="2"/>
      </tp>
      <tp t="s">
        <v>#N/A N/A</v>
        <stp/>
        <stp>BDP|3788897675480994853</stp>
        <tr r="H753" s="2"/>
      </tp>
      <tp t="s">
        <v>#N/A N/A</v>
        <stp/>
        <stp>BDP|4647526842053519242</stp>
        <tr r="P430" s="2"/>
      </tp>
      <tp t="s">
        <v>#N/A N/A</v>
        <stp/>
        <stp>BDP|3003777936404123770</stp>
        <tr r="T367" s="2"/>
      </tp>
      <tp t="s">
        <v>#N/A N/A</v>
        <stp/>
        <stp>BDP|4041465157402439327</stp>
        <tr r="C1121" s="2"/>
      </tp>
      <tp t="s">
        <v>#N/A N/A</v>
        <stp/>
        <stp>BDP|7142777736142465534</stp>
        <tr r="Q1622" s="2"/>
      </tp>
      <tp t="s">
        <v>#N/A N/A</v>
        <stp/>
        <stp>BDP|5349051916275707507</stp>
        <tr r="N1290" s="2"/>
      </tp>
      <tp t="s">
        <v>#N/A N/A</v>
        <stp/>
        <stp>BDP|2700272181819281542</stp>
        <tr r="R657" s="2"/>
      </tp>
      <tp t="s">
        <v>#N/A N/A</v>
        <stp/>
        <stp>BDP|5785032976907241177</stp>
        <tr r="F935" s="2"/>
      </tp>
      <tp t="s">
        <v>#N/A N/A</v>
        <stp/>
        <stp>BDP|8678313287816392145</stp>
        <tr r="K1286" s="2"/>
      </tp>
      <tp t="s">
        <v>#N/A N/A</v>
        <stp/>
        <stp>BDP|1892536373257690097</stp>
        <tr r="Q1686" s="2"/>
      </tp>
      <tp t="s">
        <v>#N/A N/A</v>
        <stp/>
        <stp>BDP|7209281441693571693</stp>
        <tr r="H1553" s="2"/>
      </tp>
      <tp t="s">
        <v>#N/A N/A</v>
        <stp/>
        <stp>BDP|9154994223556856042</stp>
        <tr r="S385" s="2"/>
      </tp>
      <tp t="s">
        <v>#N/A N/A</v>
        <stp/>
        <stp>BDP|7570666634144902293</stp>
        <tr r="R957" s="2"/>
      </tp>
      <tp t="s">
        <v>#N/A N/A</v>
        <stp/>
        <stp>BDP|2973972299163205527</stp>
        <tr r="S486" s="2"/>
      </tp>
      <tp t="s">
        <v>#N/A N/A</v>
        <stp/>
        <stp>BDS|3927407149266349143</stp>
        <tr r="I1110" s="2"/>
      </tp>
      <tp t="s">
        <v>#N/A N/A</v>
        <stp/>
        <stp>BDP|2461297909572165621</stp>
        <tr r="N113" s="2"/>
      </tp>
      <tp t="s">
        <v>#N/A N/A</v>
        <stp/>
        <stp>BDP|3516816383581288628</stp>
        <tr r="G355" s="2"/>
      </tp>
      <tp t="s">
        <v>#N/A N/A</v>
        <stp/>
        <stp>BDS|1564330583138655643</stp>
        <tr r="I70" s="2"/>
      </tp>
      <tp t="s">
        <v>#N/A N/A</v>
        <stp/>
        <stp>BDP|5190907036809810285</stp>
        <tr r="N1310" s="2"/>
      </tp>
      <tp t="s">
        <v>#N/A N/A</v>
        <stp/>
        <stp>BDP|7507472533920210448</stp>
        <tr r="A1516" s="2"/>
      </tp>
      <tp t="s">
        <v>#N/A N/A</v>
        <stp/>
        <stp>BDS|7759282012511918132</stp>
        <tr r="I1152" s="2"/>
      </tp>
      <tp t="s">
        <v>#N/A N/A</v>
        <stp/>
        <stp>BDP|7576759692864134947</stp>
        <tr r="A475" s="2"/>
      </tp>
      <tp t="s">
        <v>#N/A N/A</v>
        <stp/>
        <stp>BDP|7470657831406172061</stp>
        <tr r="D1523" s="2"/>
      </tp>
      <tp t="s">
        <v>#N/A N/A</v>
        <stp/>
        <stp>BDP|8272640990140948387</stp>
        <tr r="A1663" s="2"/>
      </tp>
      <tp t="s">
        <v>#N/A N/A</v>
        <stp/>
        <stp>BDP|4606060486969445158</stp>
        <tr r="G484" s="2"/>
      </tp>
      <tp t="s">
        <v>#N/A N/A</v>
        <stp/>
        <stp>BDP|8355277284607356144</stp>
        <tr r="F1748" s="2"/>
      </tp>
      <tp t="s">
        <v>#N/A N/A</v>
        <stp/>
        <stp>BDP|5081100703031048148</stp>
        <tr r="F1141" s="2"/>
      </tp>
      <tp t="s">
        <v>#N/A N/A</v>
        <stp/>
        <stp>BDP|2804692170881063668</stp>
        <tr r="C830" s="2"/>
      </tp>
      <tp t="s">
        <v>#N/A N/A</v>
        <stp/>
        <stp>BDP|9608025771359212303</stp>
        <tr r="T606" s="2"/>
      </tp>
      <tp t="s">
        <v>#N/A N/A</v>
        <stp/>
        <stp>BDP|3012357391739528467</stp>
        <tr r="E344" s="2"/>
      </tp>
      <tp t="s">
        <v>#N/A N/A</v>
        <stp/>
        <stp>BDP|5251153926265594739</stp>
        <tr r="O891" s="2"/>
      </tp>
      <tp t="s">
        <v>#N/A N/A</v>
        <stp/>
        <stp>BDP|6279409253872292148</stp>
        <tr r="H113" s="2"/>
      </tp>
      <tp t="s">
        <v>#N/A N/A</v>
        <stp/>
        <stp>BDP|1740767341290675611</stp>
        <tr r="M1311" s="2"/>
      </tp>
      <tp t="s">
        <v>#N/A N/A</v>
        <stp/>
        <stp>BDP|6718160158843792597</stp>
        <tr r="F343" s="2"/>
      </tp>
      <tp t="s">
        <v>#N/A N/A</v>
        <stp/>
        <stp>BDP|7257357374497394078</stp>
        <tr r="E1563" s="2"/>
      </tp>
      <tp t="s">
        <v>#N/A N/A</v>
        <stp/>
        <stp>BDP|8079906316783028713</stp>
        <tr r="H1265" s="2"/>
      </tp>
      <tp t="s">
        <v>#N/A N/A</v>
        <stp/>
        <stp>BDP|4764712374050656037</stp>
        <tr r="J479" s="2"/>
      </tp>
      <tp t="s">
        <v>#N/A N/A</v>
        <stp/>
        <stp>BDP|6633511116002667402</stp>
        <tr r="R394" s="2"/>
      </tp>
      <tp t="s">
        <v>#N/A N/A</v>
        <stp/>
        <stp>BDP|6980293035146441568</stp>
        <tr r="T195" s="2"/>
      </tp>
      <tp t="s">
        <v>#N/A N/A</v>
        <stp/>
        <stp>BDP|7024807206653506845</stp>
        <tr r="J208" s="2"/>
      </tp>
      <tp t="s">
        <v>#N/A N/A</v>
        <stp/>
        <stp>BDP|7234012556614070226</stp>
        <tr r="Q748" s="2"/>
      </tp>
      <tp t="s">
        <v>#N/A N/A</v>
        <stp/>
        <stp>BDP|7503919106762114849</stp>
        <tr r="A1451" s="2"/>
      </tp>
      <tp t="s">
        <v>#N/A N/A</v>
        <stp/>
        <stp>BDP|3578219354552350248</stp>
        <tr r="P960" s="2"/>
      </tp>
      <tp t="s">
        <v>#N/A N/A</v>
        <stp/>
        <stp>BDP|2051347346359382850</stp>
        <tr r="O1755" s="2"/>
      </tp>
      <tp t="s">
        <v>#N/A N/A</v>
        <stp/>
        <stp>BDP|6713177753321286754</stp>
        <tr r="Q1755" s="2"/>
      </tp>
      <tp t="s">
        <v>#N/A N/A</v>
        <stp/>
        <stp>BDP|5759820591070445048</stp>
        <tr r="R996" s="2"/>
      </tp>
      <tp t="s">
        <v>#N/A N/A</v>
        <stp/>
        <stp>BDP|2317474041794486253</stp>
        <tr r="S425" s="2"/>
      </tp>
      <tp t="s">
        <v>#N/A N/A</v>
        <stp/>
        <stp>BDP|7167850687382691115</stp>
        <tr r="E554" s="2"/>
      </tp>
      <tp t="s">
        <v>#N/A N/A</v>
        <stp/>
        <stp>BDP|3598400056456356041</stp>
        <tr r="P292" s="2"/>
      </tp>
      <tp t="s">
        <v>#N/A N/A</v>
        <stp/>
        <stp>BDP|4225773851084693660</stp>
        <tr r="K271" s="2"/>
      </tp>
      <tp t="s">
        <v>#N/A N/A</v>
        <stp/>
        <stp>BDP|8216174627837154870</stp>
        <tr r="J1470" s="2"/>
      </tp>
      <tp t="s">
        <v>#N/A N/A</v>
        <stp/>
        <stp>BDP|8726017806838620427</stp>
        <tr r="C380" s="2"/>
      </tp>
      <tp t="s">
        <v>#N/A N/A</v>
        <stp/>
        <stp>BDP|7107388032354839770</stp>
        <tr r="K830" s="2"/>
      </tp>
      <tp t="s">
        <v>#N/A N/A</v>
        <stp/>
        <stp>BDP|2483303056343253346</stp>
        <tr r="E714" s="2"/>
      </tp>
      <tp t="s">
        <v>#N/A N/A</v>
        <stp/>
        <stp>BDP|9300942355824484529</stp>
        <tr r="N965" s="2"/>
      </tp>
      <tp t="s">
        <v>#N/A N/A</v>
        <stp/>
        <stp>BDP|9027179217714424905</stp>
        <tr r="P907" s="2"/>
      </tp>
      <tp t="s">
        <v>#N/A N/A</v>
        <stp/>
        <stp>BDP|2323500672454381065</stp>
        <tr r="C1353" s="2"/>
      </tp>
      <tp t="s">
        <v>#N/A N/A</v>
        <stp/>
        <stp>BDP|3869981480613723538</stp>
        <tr r="T249" s="2"/>
      </tp>
      <tp t="s">
        <v>#N/A N/A</v>
        <stp/>
        <stp>BDP|5412515250144370528</stp>
        <tr r="F484" s="2"/>
      </tp>
      <tp t="s">
        <v>#N/A N/A</v>
        <stp/>
        <stp>BDP|4357728780557039851</stp>
        <tr r="K272" s="2"/>
      </tp>
      <tp t="s">
        <v>#N/A N/A</v>
        <stp/>
        <stp>BDP|9849875593879047587</stp>
        <tr r="A934" s="2"/>
      </tp>
      <tp t="s">
        <v>#N/A N/A</v>
        <stp/>
        <stp>BDP|6667648325390300607</stp>
        <tr r="A1348" s="2"/>
      </tp>
      <tp t="s">
        <v>#N/A N/A</v>
        <stp/>
        <stp>BDS|5182232126527885689</stp>
        <tr r="I1133" s="2"/>
      </tp>
      <tp t="s">
        <v>#N/A N/A</v>
        <stp/>
        <stp>BDP|4100886598281605039</stp>
        <tr r="E528" s="2"/>
      </tp>
      <tp t="s">
        <v>#N/A N/A</v>
        <stp/>
        <stp>BDP|5648539804642544603</stp>
        <tr r="P111" s="2"/>
      </tp>
      <tp t="s">
        <v>#N/A N/A</v>
        <stp/>
        <stp>BDP|3293055547412136157</stp>
        <tr r="D1039" s="2"/>
      </tp>
      <tp t="s">
        <v>#N/A N/A</v>
        <stp/>
        <stp>BDP|5930653571640080091</stp>
        <tr r="R939" s="2"/>
      </tp>
      <tp t="s">
        <v>#N/A N/A</v>
        <stp/>
        <stp>BDP|2049341594865308972</stp>
        <tr r="H583" s="2"/>
      </tp>
      <tp t="s">
        <v>#N/A N/A</v>
        <stp/>
        <stp>BDP|4619579307126622344</stp>
        <tr r="H579" s="2"/>
      </tp>
      <tp t="s">
        <v>#N/A N/A</v>
        <stp/>
        <stp>BDP|5773291675840784488</stp>
        <tr r="A1308" s="2"/>
      </tp>
      <tp t="s">
        <v>#N/A N/A</v>
        <stp/>
        <stp>BDP|5883914732448606396</stp>
        <tr r="H828" s="2"/>
      </tp>
      <tp t="s">
        <v>#N/A N/A</v>
        <stp/>
        <stp>BDP|2042034644811467370</stp>
        <tr r="S1375" s="2"/>
      </tp>
      <tp t="s">
        <v>#N/A N/A</v>
        <stp/>
        <stp>BDP|5426748982687445926</stp>
        <tr r="N551" s="2"/>
      </tp>
      <tp t="s">
        <v>#N/A N/A</v>
        <stp/>
        <stp>BDP|3598552642464205241</stp>
        <tr r="K153" s="2"/>
      </tp>
      <tp t="s">
        <v>#N/A N/A</v>
        <stp/>
        <stp>BDP|6161397829954251773</stp>
        <tr r="E278" s="2"/>
      </tp>
      <tp t="s">
        <v>#N/A N/A</v>
        <stp/>
        <stp>BDP|5168161420315623758</stp>
        <tr r="E757" s="2"/>
      </tp>
      <tp t="s">
        <v>#N/A N/A</v>
        <stp/>
        <stp>BDP|6221513132911406519</stp>
        <tr r="N448" s="2"/>
      </tp>
      <tp t="s">
        <v>#N/A N/A</v>
        <stp/>
        <stp>BDP|9217603136761043900</stp>
        <tr r="E1716" s="2"/>
      </tp>
      <tp t="s">
        <v>#N/A N/A</v>
        <stp/>
        <stp>BDP|7456930632351450853</stp>
        <tr r="M882" s="2"/>
      </tp>
      <tp t="s">
        <v>#N/A N/A</v>
        <stp/>
        <stp>BDP|2897462527253480391</stp>
        <tr r="P1191" s="2"/>
      </tp>
      <tp t="s">
        <v>#N/A N/A</v>
        <stp/>
        <stp>BDP|9787423120112585942</stp>
        <tr r="H147" s="2"/>
      </tp>
      <tp t="s">
        <v>#N/A N/A</v>
        <stp/>
        <stp>BDP|6658086020803284383</stp>
        <tr r="J1337" s="2"/>
      </tp>
      <tp t="s">
        <v>#N/A N/A</v>
        <stp/>
        <stp>BDP|4050870412580376927</stp>
        <tr r="F210" s="2"/>
      </tp>
      <tp t="s">
        <v>#N/A N/A</v>
        <stp/>
        <stp>BDP|2704275627031731745</stp>
        <tr r="G411" s="2"/>
      </tp>
      <tp t="s">
        <v>#N/A N/A</v>
        <stp/>
        <stp>BDP|5337159534851404221</stp>
        <tr r="H9" s="2"/>
      </tp>
      <tp t="s">
        <v>#N/A N/A</v>
        <stp/>
        <stp>BDP|6431681628027318130</stp>
        <tr r="A1587" s="2"/>
      </tp>
      <tp t="s">
        <v>#N/A N/A</v>
        <stp/>
        <stp>BDP|5821671034082811671</stp>
        <tr r="R1479" s="2"/>
      </tp>
      <tp t="s">
        <v>#N/A N/A</v>
        <stp/>
        <stp>BDP|6911202767154912231</stp>
        <tr r="F973" s="2"/>
      </tp>
      <tp t="s">
        <v>#N/A N/A</v>
        <stp/>
        <stp>BDP|8356841643953076308</stp>
        <tr r="G467" s="2"/>
      </tp>
      <tp t="s">
        <v>#N/A N/A</v>
        <stp/>
        <stp>BDP|3407007395326009856</stp>
        <tr r="G967" s="2"/>
      </tp>
      <tp t="s">
        <v>#N/A N/A</v>
        <stp/>
        <stp>BDP|2655378904734107108</stp>
        <tr r="A1016" s="2"/>
      </tp>
      <tp t="s">
        <v>#N/A N/A</v>
        <stp/>
        <stp>BDP|3784456335820421071</stp>
        <tr r="M1648" s="2"/>
      </tp>
      <tp t="s">
        <v>#N/A N/A</v>
        <stp/>
        <stp>BDP|6536269732952053153</stp>
        <tr r="Q545" s="2"/>
      </tp>
      <tp t="s">
        <v>#N/A N/A</v>
        <stp/>
        <stp>BDP|7991939514173824826</stp>
        <tr r="K1360" s="2"/>
      </tp>
      <tp t="s">
        <v>#N/A N/A</v>
        <stp/>
        <stp>BDP|1076460772500213626</stp>
        <tr r="H499" s="2"/>
      </tp>
      <tp t="s">
        <v>#N/A N/A</v>
        <stp/>
        <stp>BDP|2135262820620743646</stp>
        <tr r="M937" s="2"/>
      </tp>
      <tp t="s">
        <v>#N/A N/A</v>
        <stp/>
        <stp>BDP|1018314896529406674</stp>
        <tr r="S831" s="2"/>
      </tp>
      <tp t="s">
        <v>#N/A N/A</v>
        <stp/>
        <stp>BDP|4086130614731627159</stp>
        <tr r="M349" s="2"/>
      </tp>
      <tp t="s">
        <v>#N/A N/A</v>
        <stp/>
        <stp>BDP|7927293465674104303</stp>
        <tr r="C1661" s="2"/>
      </tp>
      <tp t="s">
        <v>#N/A N/A</v>
        <stp/>
        <stp>BDP|2771071506546424066</stp>
        <tr r="A1187" s="2"/>
      </tp>
      <tp t="s">
        <v>#N/A N/A</v>
        <stp/>
        <stp>BDP|5169162378173819433</stp>
        <tr r="Q559" s="2"/>
      </tp>
      <tp t="s">
        <v>#N/A N/A</v>
        <stp/>
        <stp>BDP|9833869423502887510</stp>
        <tr r="M1388" s="2"/>
      </tp>
      <tp t="s">
        <v>#N/A N/A</v>
        <stp/>
        <stp>BDP|1107470913233361323</stp>
        <tr r="J357" s="2"/>
      </tp>
      <tp t="s">
        <v>#N/A N/A</v>
        <stp/>
        <stp>BDP|3260366432385661242</stp>
        <tr r="R478" s="2"/>
      </tp>
      <tp t="s">
        <v>#N/A N/A</v>
        <stp/>
        <stp>BDP|6397312435883360102</stp>
        <tr r="T722" s="2"/>
      </tp>
      <tp t="s">
        <v>#N/A N/A</v>
        <stp/>
        <stp>BDP|3686912698872843530</stp>
        <tr r="N1636" s="2"/>
      </tp>
      <tp t="s">
        <v>#N/A N/A</v>
        <stp/>
        <stp>BDP|9074448182871475066</stp>
        <tr r="K677" s="2"/>
      </tp>
      <tp t="s">
        <v>#N/A N/A</v>
        <stp/>
        <stp>BDP|9370026553288655000</stp>
        <tr r="F655" s="2"/>
      </tp>
      <tp t="s">
        <v>#N/A N/A</v>
        <stp/>
        <stp>BDP|4071155781591756874</stp>
        <tr r="H780" s="2"/>
      </tp>
      <tp t="s">
        <v>#N/A N/A</v>
        <stp/>
        <stp>BDS|2427569693569273363</stp>
        <tr r="I448" s="2"/>
      </tp>
      <tp t="s">
        <v>#N/A N/A</v>
        <stp/>
        <stp>BDP|3231678843007131221</stp>
        <tr r="F1176" s="2"/>
      </tp>
      <tp t="s">
        <v>#N/A N/A</v>
        <stp/>
        <stp>BDP|2289779343104591160</stp>
        <tr r="M373" s="2"/>
      </tp>
      <tp t="s">
        <v>#N/A N/A</v>
        <stp/>
        <stp>BDP|8010013033446582926</stp>
        <tr r="T375" s="2"/>
      </tp>
      <tp t="s">
        <v>#N/A N/A</v>
        <stp/>
        <stp>BDP|3234254877822539004</stp>
        <tr r="O1586" s="2"/>
      </tp>
      <tp t="s">
        <v>#N/A N/A</v>
        <stp/>
        <stp>BDP|5337173480061784960</stp>
        <tr r="M312" s="2"/>
      </tp>
      <tp t="s">
        <v>#N/A N/A</v>
        <stp/>
        <stp>BDS|1557958545241738977</stp>
        <tr r="I822" s="2"/>
      </tp>
      <tp t="s">
        <v>#N/A N/A</v>
        <stp/>
        <stp>BDP|5062378603414238632</stp>
        <tr r="J1734" s="2"/>
      </tp>
      <tp t="s">
        <v>#N/A N/A</v>
        <stp/>
        <stp>BDP|5870057674602982454</stp>
        <tr r="H1221" s="2"/>
      </tp>
      <tp t="s">
        <v>#N/A N/A</v>
        <stp/>
        <stp>BDP|6166219455715672065</stp>
        <tr r="Q423" s="2"/>
      </tp>
      <tp t="s">
        <v>#N/A N/A</v>
        <stp/>
        <stp>BDP|6621554135074732048</stp>
        <tr r="C1022" s="2"/>
      </tp>
      <tp t="s">
        <v>#N/A N/A</v>
        <stp/>
        <stp>BDP|3146981794867907010</stp>
        <tr r="C1053" s="2"/>
      </tp>
      <tp t="s">
        <v>#N/A N/A</v>
        <stp/>
        <stp>BDP|3070748855263461606</stp>
        <tr r="C355" s="2"/>
      </tp>
      <tp t="s">
        <v>#N/A N/A</v>
        <stp/>
        <stp>BDP|7995463990036926835</stp>
        <tr r="A247" s="2"/>
      </tp>
      <tp t="s">
        <v>#N/A N/A</v>
        <stp/>
        <stp>BDP|2935543462945354090</stp>
        <tr r="R1430" s="2"/>
      </tp>
      <tp t="s">
        <v>#N/A N/A</v>
        <stp/>
        <stp>BDP|1790631966747760205</stp>
        <tr r="G525" s="2"/>
      </tp>
      <tp t="s">
        <v>#N/A N/A</v>
        <stp/>
        <stp>BDP|8049958704002291769</stp>
        <tr r="S1050" s="2"/>
      </tp>
      <tp t="s">
        <v>#N/A N/A</v>
        <stp/>
        <stp>BDP|4691155476042239423</stp>
        <tr r="K764" s="2"/>
      </tp>
      <tp t="s">
        <v>#N/A N/A</v>
        <stp/>
        <stp>BDP|5447430952852520252</stp>
        <tr r="R47" s="2"/>
      </tp>
      <tp t="s">
        <v>#N/A N/A</v>
        <stp/>
        <stp>BDP|4491445023375612301</stp>
        <tr r="D789" s="2"/>
      </tp>
      <tp t="s">
        <v>#N/A N/A</v>
        <stp/>
        <stp>BDP|1887592650906687324</stp>
        <tr r="C1677" s="2"/>
      </tp>
      <tp t="s">
        <v>#N/A N/A</v>
        <stp/>
        <stp>BDP|2593631628776333483</stp>
        <tr r="C921" s="2"/>
      </tp>
      <tp t="s">
        <v>#N/A N/A</v>
        <stp/>
        <stp>BDP|7197975891614534776</stp>
        <tr r="P1426" s="2"/>
      </tp>
      <tp t="s">
        <v>#N/A N/A</v>
        <stp/>
        <stp>BDP|3354073315285698323</stp>
        <tr r="Q1292" s="2"/>
      </tp>
      <tp t="s">
        <v>#N/A N/A</v>
        <stp/>
        <stp>BDP|7833272749666382301</stp>
        <tr r="C1389" s="2"/>
      </tp>
      <tp t="s">
        <v>#N/A N/A</v>
        <stp/>
        <stp>BDP|7109281722426728596</stp>
        <tr r="G563" s="2"/>
      </tp>
      <tp t="s">
        <v>#N/A N/A</v>
        <stp/>
        <stp>BDP|4667311840423408462</stp>
        <tr r="J796" s="2"/>
      </tp>
      <tp t="s">
        <v>#N/A N/A</v>
        <stp/>
        <stp>BDP|8447243246638603250</stp>
        <tr r="J100" s="2"/>
      </tp>
      <tp t="s">
        <v>#N/A N/A</v>
        <stp/>
        <stp>BDP|9706114352020471952</stp>
        <tr r="E1579" s="2"/>
      </tp>
      <tp t="s">
        <v>#N/A N/A</v>
        <stp/>
        <stp>BDP|4715067203668440835</stp>
        <tr r="A1301" s="2"/>
      </tp>
      <tp t="s">
        <v>#N/A N/A</v>
        <stp/>
        <stp>BDP|3249227577326053424</stp>
        <tr r="R49" s="2"/>
      </tp>
      <tp t="s">
        <v>#N/A N/A</v>
        <stp/>
        <stp>BDP|2609084375764752597</stp>
        <tr r="O535" s="2"/>
      </tp>
      <tp t="s">
        <v>#N/A N/A</v>
        <stp/>
        <stp>BDP|5144003871133421515</stp>
        <tr r="S617" s="2"/>
      </tp>
      <tp t="s">
        <v>#N/A N/A</v>
        <stp/>
        <stp>BDP|4087933420718649309</stp>
        <tr r="N1734" s="2"/>
      </tp>
      <tp t="s">
        <v>#N/A N/A</v>
        <stp/>
        <stp>BDP|4754250197753943896</stp>
        <tr r="P940" s="2"/>
      </tp>
      <tp t="s">
        <v>#N/A N/A</v>
        <stp/>
        <stp>BDP|2929780693310142865</stp>
        <tr r="K3" s="2"/>
      </tp>
      <tp t="s">
        <v>#N/A N/A</v>
        <stp/>
        <stp>BDP|2271740940732185728</stp>
        <tr r="F1118" s="2"/>
      </tp>
      <tp t="s">
        <v>#N/A N/A</v>
        <stp/>
        <stp>BDP|5248967524412302867</stp>
        <tr r="O252" s="2"/>
      </tp>
      <tp t="s">
        <v>#N/A N/A</v>
        <stp/>
        <stp>BDP|3964703613503914262</stp>
        <tr r="P371" s="2"/>
      </tp>
      <tp t="s">
        <v>#N/A N/A</v>
        <stp/>
        <stp>BDP|5283037364864354331</stp>
        <tr r="Q848" s="2"/>
      </tp>
      <tp t="s">
        <v>#N/A N/A</v>
        <stp/>
        <stp>BDP|1528143343091241156</stp>
        <tr r="J822" s="2"/>
      </tp>
      <tp t="s">
        <v>#N/A N/A</v>
        <stp/>
        <stp>BDP|3343502417930988384</stp>
        <tr r="T1747" s="2"/>
      </tp>
      <tp t="s">
        <v>#N/A N/A</v>
        <stp/>
        <stp>BDP|1403547186381052932</stp>
        <tr r="C450" s="2"/>
      </tp>
      <tp t="s">
        <v>#N/A N/A</v>
        <stp/>
        <stp>BDP|8567564628913896860</stp>
        <tr r="H1437" s="2"/>
      </tp>
      <tp t="s">
        <v>#N/A N/A</v>
        <stp/>
        <stp>BDP|1907370660049244996</stp>
        <tr r="M331" s="2"/>
      </tp>
      <tp t="s">
        <v>#N/A N/A</v>
        <stp/>
        <stp>BDP|2010175448675981638</stp>
        <tr r="F965" s="2"/>
      </tp>
      <tp t="s">
        <v>#N/A N/A</v>
        <stp/>
        <stp>BDP|9276513698416932771</stp>
        <tr r="J262" s="2"/>
      </tp>
      <tp t="s">
        <v>#N/A N/A</v>
        <stp/>
        <stp>BDP|5848566746640936045</stp>
        <tr r="C1331" s="2"/>
      </tp>
      <tp t="s">
        <v>#N/A N/A</v>
        <stp/>
        <stp>BDP|1661199644594805468</stp>
        <tr r="G657" s="2"/>
      </tp>
      <tp t="s">
        <v>#N/A N/A</v>
        <stp/>
        <stp>BDP|8789800922095845389</stp>
        <tr r="K819" s="2"/>
      </tp>
      <tp t="s">
        <v>#N/A N/A</v>
        <stp/>
        <stp>BDP|6650307206263619234</stp>
        <tr r="D480" s="2"/>
      </tp>
      <tp t="s">
        <v>#N/A N/A</v>
        <stp/>
        <stp>BDP|7955193927937491763</stp>
        <tr r="P1331" s="2"/>
      </tp>
      <tp t="s">
        <v>#N/A N/A</v>
        <stp/>
        <stp>BDP|6171424758781789298</stp>
        <tr r="O1029" s="2"/>
      </tp>
      <tp t="s">
        <v>#N/A N/A</v>
        <stp/>
        <stp>BDS|7644492374569810965</stp>
        <tr r="I150" s="2"/>
      </tp>
      <tp t="s">
        <v>#N/A N/A</v>
        <stp/>
        <stp>BDP|7846865005429896268</stp>
        <tr r="M8" s="2"/>
      </tp>
      <tp t="s">
        <v>#N/A N/A</v>
        <stp/>
        <stp>BDP|5694867704340314928</stp>
        <tr r="R1675" s="2"/>
      </tp>
      <tp t="s">
        <v>#N/A N/A</v>
        <stp/>
        <stp>BDP|9987061803508183580</stp>
        <tr r="N1753" s="2"/>
      </tp>
      <tp t="s">
        <v>#N/A N/A</v>
        <stp/>
        <stp>BDS|2195579364052529725</stp>
        <tr r="I376" s="2"/>
      </tp>
      <tp t="s">
        <v>#N/A N/A</v>
        <stp/>
        <stp>BDP|3483702456051269458</stp>
        <tr r="K658" s="2"/>
      </tp>
      <tp t="s">
        <v>#N/A N/A</v>
        <stp/>
        <stp>BDP|4359408470321424228</stp>
        <tr r="D1711" s="2"/>
      </tp>
      <tp t="s">
        <v>#N/A N/A</v>
        <stp/>
        <stp>BDP|1224878860308868388</stp>
        <tr r="F1349" s="2"/>
      </tp>
      <tp t="s">
        <v>#N/A N/A</v>
        <stp/>
        <stp>BDP|1496083258773886392</stp>
        <tr r="N1489" s="2"/>
      </tp>
      <tp t="s">
        <v>#N/A N/A</v>
        <stp/>
        <stp>BDP|7231462501606042104</stp>
        <tr r="N1027" s="2"/>
      </tp>
      <tp t="s">
        <v>#N/A N/A</v>
        <stp/>
        <stp>BDP|8752671552107171865</stp>
        <tr r="P456" s="2"/>
      </tp>
      <tp t="s">
        <v>#N/A N/A</v>
        <stp/>
        <stp>BDP|8501477246678774461</stp>
        <tr r="K341" s="2"/>
      </tp>
      <tp t="s">
        <v>#N/A N/A</v>
        <stp/>
        <stp>BDP|1496644614824503642</stp>
        <tr r="N1233" s="2"/>
      </tp>
      <tp t="s">
        <v>#N/A N/A</v>
        <stp/>
        <stp>BDP|6181705102950516532</stp>
        <tr r="E1133" s="2"/>
      </tp>
      <tp t="s">
        <v>#N/A N/A</v>
        <stp/>
        <stp>BDP|3147478956951002752</stp>
        <tr r="G224" s="2"/>
      </tp>
      <tp t="s">
        <v>#N/A N/A</v>
        <stp/>
        <stp>BDP|5656244720607468636</stp>
        <tr r="G733" s="2"/>
      </tp>
      <tp t="s">
        <v>#N/A N/A</v>
        <stp/>
        <stp>BDP|1752370701651154750</stp>
        <tr r="P1595" s="2"/>
      </tp>
      <tp t="s">
        <v>#N/A N/A</v>
        <stp/>
        <stp>BDP|2390048744364561632</stp>
        <tr r="K1182" s="2"/>
      </tp>
      <tp t="s">
        <v>#N/A N/A</v>
        <stp/>
        <stp>BDP|2974560131571232197</stp>
        <tr r="H890" s="2"/>
      </tp>
      <tp t="s">
        <v>#N/A N/A</v>
        <stp/>
        <stp>BDP|6210403157264554753</stp>
        <tr r="F1197" s="2"/>
      </tp>
      <tp t="s">
        <v>#N/A N/A</v>
        <stp/>
        <stp>BDP|1153034865803364019</stp>
        <tr r="C1449" s="2"/>
      </tp>
      <tp t="s">
        <v>#N/A N/A</v>
        <stp/>
        <stp>BDP|4575843975658793692</stp>
        <tr r="C429" s="2"/>
      </tp>
      <tp t="s">
        <v>#N/A N/A</v>
        <stp/>
        <stp>BDP|6828370663592199476</stp>
        <tr r="G867" s="2"/>
      </tp>
      <tp t="s">
        <v>#N/A N/A</v>
        <stp/>
        <stp>BDP|9548764668918416550</stp>
        <tr r="N1525" s="2"/>
      </tp>
      <tp t="s">
        <v>#N/A N/A</v>
        <stp/>
        <stp>BDP|7163176137153893333</stp>
        <tr r="K1478" s="2"/>
      </tp>
      <tp t="s">
        <v>#N/A N/A</v>
        <stp/>
        <stp>BDP|3298870813538856742</stp>
        <tr r="M765" s="2"/>
      </tp>
      <tp t="s">
        <v>#N/A N/A</v>
        <stp/>
        <stp>BDP|6923618121443637456</stp>
        <tr r="R412" s="2"/>
      </tp>
      <tp t="s">
        <v>#N/A N/A</v>
        <stp/>
        <stp>BDP|3632907067369846038</stp>
        <tr r="J842" s="2"/>
      </tp>
      <tp t="s">
        <v>#N/A N/A</v>
        <stp/>
        <stp>BDP|6890406673452920282</stp>
        <tr r="E966" s="2"/>
      </tp>
      <tp t="s">
        <v>#N/A N/A</v>
        <stp/>
        <stp>BDP|1356267829470091464</stp>
        <tr r="G1457" s="2"/>
      </tp>
      <tp t="s">
        <v>#N/A N/A</v>
        <stp/>
        <stp>BDP|2338306189938862481</stp>
        <tr r="P116" s="2"/>
      </tp>
      <tp t="s">
        <v>#N/A N/A</v>
        <stp/>
        <stp>BDP|6215779758179141867</stp>
        <tr r="R489" s="2"/>
      </tp>
      <tp t="s">
        <v>#N/A N/A</v>
        <stp/>
        <stp>BDP|5966868534663672875</stp>
        <tr r="J1296" s="2"/>
      </tp>
      <tp t="s">
        <v>#N/A N/A</v>
        <stp/>
        <stp>BDP|2331035726791591492</stp>
        <tr r="E672" s="2"/>
      </tp>
      <tp t="s">
        <v>#N/A N/A</v>
        <stp/>
        <stp>BDP|8815912419620878528</stp>
        <tr r="N459" s="2"/>
      </tp>
      <tp t="s">
        <v>#N/A N/A</v>
        <stp/>
        <stp>BDP|6753342487801761994</stp>
        <tr r="G12" s="2"/>
      </tp>
      <tp t="s">
        <v>#N/A N/A</v>
        <stp/>
        <stp>BDP|7019460472042849368</stp>
        <tr r="J1167" s="2"/>
      </tp>
      <tp t="s">
        <v>#N/A N/A</v>
        <stp/>
        <stp>BDP|4152082085169126079</stp>
        <tr r="F217" s="2"/>
      </tp>
      <tp t="s">
        <v>#N/A N/A</v>
        <stp/>
        <stp>BDP|5902038012040015124</stp>
        <tr r="N1265" s="2"/>
      </tp>
      <tp t="s">
        <v>#N/A N/A</v>
        <stp/>
        <stp>BDP|7527851906249492385</stp>
        <tr r="N1491" s="2"/>
      </tp>
      <tp t="s">
        <v>#N/A N/A</v>
        <stp/>
        <stp>BDP|3890450416421022213</stp>
        <tr r="J808" s="2"/>
      </tp>
      <tp t="s">
        <v>#N/A N/A</v>
        <stp/>
        <stp>BDS|6475925591456911548</stp>
        <tr r="I982" s="2"/>
      </tp>
      <tp t="s">
        <v>#N/A N/A</v>
        <stp/>
        <stp>BDP|8592320048618075254</stp>
        <tr r="F1010" s="2"/>
      </tp>
      <tp t="s">
        <v>#N/A N/A</v>
        <stp/>
        <stp>BDP|3557753785999879074</stp>
        <tr r="K247" s="2"/>
      </tp>
      <tp t="s">
        <v>#N/A N/A</v>
        <stp/>
        <stp>BDP|5875416749393894327</stp>
        <tr r="N709" s="2"/>
      </tp>
      <tp t="s">
        <v>#N/A N/A</v>
        <stp/>
        <stp>BDP|1950263776074789542</stp>
        <tr r="J894" s="2"/>
      </tp>
      <tp t="s">
        <v>#N/A N/A</v>
        <stp/>
        <stp>BDP|4564684192148555608</stp>
        <tr r="P429" s="2"/>
      </tp>
      <tp t="s">
        <v>#N/A N/A</v>
        <stp/>
        <stp>BDP|4794430529040300747</stp>
        <tr r="H1543" s="2"/>
      </tp>
      <tp t="s">
        <v>#N/A N/A</v>
        <stp/>
        <stp>BDP|6059384507173172349</stp>
        <tr r="R1114" s="2"/>
      </tp>
      <tp t="s">
        <v>#N/A N/A</v>
        <stp/>
        <stp>BDP|8383320583117801108</stp>
        <tr r="C145" s="2"/>
      </tp>
      <tp t="s">
        <v>#N/A N/A</v>
        <stp/>
        <stp>BDP|7280156768115586006</stp>
        <tr r="A49" s="2"/>
      </tp>
      <tp t="s">
        <v>#N/A N/A</v>
        <stp/>
        <stp>BDP|8973310333799455454</stp>
        <tr r="K1188" s="2"/>
      </tp>
      <tp t="s">
        <v>#N/A N/A</v>
        <stp/>
        <stp>BDS|8928131568813817908</stp>
        <tr r="I681" s="2"/>
      </tp>
      <tp t="s">
        <v>#N/A N/A</v>
        <stp/>
        <stp>BDP|6665152218612221133</stp>
        <tr r="E1307" s="2"/>
      </tp>
      <tp t="s">
        <v>#N/A N/A</v>
        <stp/>
        <stp>BDP|7735270279204404372</stp>
        <tr r="R440" s="2"/>
      </tp>
      <tp t="s">
        <v>#N/A N/A</v>
        <stp/>
        <stp>BDP|7219496333601012423</stp>
        <tr r="J499" s="2"/>
      </tp>
      <tp t="s">
        <v>#N/A N/A</v>
        <stp/>
        <stp>BDP|4865431609272124795</stp>
        <tr r="G1220" s="2"/>
      </tp>
      <tp t="s">
        <v>#N/A N/A</v>
        <stp/>
        <stp>BDP|5327938554098810469</stp>
        <tr r="S560" s="2"/>
      </tp>
      <tp t="s">
        <v>#N/A N/A</v>
        <stp/>
        <stp>BDP|1796140728056191105</stp>
        <tr r="C1130" s="2"/>
      </tp>
      <tp t="s">
        <v>#N/A N/A</v>
        <stp/>
        <stp>BDP|6439477040165148684</stp>
        <tr r="M1310" s="2"/>
      </tp>
      <tp t="s">
        <v>#N/A N/A</v>
        <stp/>
        <stp>BDP|3551094914693601442</stp>
        <tr r="C715" s="2"/>
      </tp>
      <tp t="s">
        <v>#N/A N/A</v>
        <stp/>
        <stp>BDP|1275058447218991831</stp>
        <tr r="D717" s="2"/>
      </tp>
      <tp t="s">
        <v>#N/A N/A</v>
        <stp/>
        <stp>BDP|5130392667673607633</stp>
        <tr r="H1323" s="2"/>
      </tp>
      <tp t="s">
        <v>#N/A N/A</v>
        <stp/>
        <stp>BDP|7248194744147227077</stp>
        <tr r="E171" s="2"/>
      </tp>
      <tp t="s">
        <v>#N/A N/A</v>
        <stp/>
        <stp>BDP|9534005585191357596</stp>
        <tr r="T955" s="2"/>
      </tp>
      <tp t="s">
        <v>#N/A N/A</v>
        <stp/>
        <stp>BDP|4100724367729775993</stp>
        <tr r="H1354" s="2"/>
      </tp>
      <tp t="s">
        <v>#N/A N/A</v>
        <stp/>
        <stp>BDP|8849976959461953054</stp>
        <tr r="K246" s="2"/>
      </tp>
      <tp t="s">
        <v>#N/A N/A</v>
        <stp/>
        <stp>BDP|2920916732795069802</stp>
        <tr r="H1707" s="2"/>
      </tp>
      <tp t="s">
        <v>#N/A N/A</v>
        <stp/>
        <stp>BDP|8506329317916318996</stp>
        <tr r="S1738" s="2"/>
      </tp>
      <tp t="s">
        <v>#N/A N/A</v>
        <stp/>
        <stp>BDP|5079816105629637183</stp>
        <tr r="T138" s="2"/>
      </tp>
      <tp t="s">
        <v>#N/A N/A</v>
        <stp/>
        <stp>BDP|7311141330278811855</stp>
        <tr r="K1691" s="2"/>
      </tp>
      <tp t="s">
        <v>#N/A N/A</v>
        <stp/>
        <stp>BDP|8404254961099302092</stp>
        <tr r="S1438" s="2"/>
      </tp>
      <tp t="s">
        <v>#N/A N/A</v>
        <stp/>
        <stp>BDP|7018236460220839610</stp>
        <tr r="A1074" s="2"/>
      </tp>
      <tp t="s">
        <v>#N/A N/A</v>
        <stp/>
        <stp>BDP|8849365784473605563</stp>
        <tr r="N1183" s="2"/>
      </tp>
      <tp t="s">
        <v>#N/A N/A</v>
        <stp/>
        <stp>BDP|2377686955287478302</stp>
        <tr r="F444" s="2"/>
      </tp>
      <tp t="s">
        <v>#N/A N/A</v>
        <stp/>
        <stp>BDP|1277752780652930959</stp>
        <tr r="D376" s="2"/>
      </tp>
      <tp t="s">
        <v>#N/A N/A</v>
        <stp/>
        <stp>BDP|3987870167430613844</stp>
        <tr r="K478" s="2"/>
      </tp>
      <tp t="s">
        <v>#N/A N/A</v>
        <stp/>
        <stp>BDP|7534639625527043182</stp>
        <tr r="M1668" s="2"/>
      </tp>
      <tp t="s">
        <v>#N/A N/A</v>
        <stp/>
        <stp>BDP|9855544882391297072</stp>
        <tr r="K1367" s="2"/>
      </tp>
      <tp t="s">
        <v>#N/A N/A</v>
        <stp/>
        <stp>BDP|6274267919919272947</stp>
        <tr r="E949" s="2"/>
      </tp>
      <tp t="s">
        <v>#N/A N/A</v>
        <stp/>
        <stp>BDP|2969511891683301818</stp>
        <tr r="J31" s="2"/>
      </tp>
      <tp t="s">
        <v>#N/A N/A</v>
        <stp/>
        <stp>BDP|3034888811546511977</stp>
        <tr r="O704" s="2"/>
      </tp>
      <tp t="s">
        <v>#N/A N/A</v>
        <stp/>
        <stp>BDP|4080477199678742426</stp>
        <tr r="N303" s="2"/>
      </tp>
      <tp t="s">
        <v>#N/A N/A</v>
        <stp/>
        <stp>BDP|7680423056155180689</stp>
        <tr r="T656" s="2"/>
      </tp>
      <tp t="s">
        <v>#N/A N/A</v>
        <stp/>
        <stp>BDP|8380227385706614192</stp>
        <tr r="J946" s="2"/>
      </tp>
      <tp t="s">
        <v>#N/A N/A</v>
        <stp/>
        <stp>BDP|2113781142255516158</stp>
        <tr r="S1081" s="2"/>
      </tp>
      <tp t="s">
        <v>#N/A N/A</v>
        <stp/>
        <stp>BDP|9911944606740606568</stp>
        <tr r="H272" s="2"/>
      </tp>
      <tp t="s">
        <v>#N/A N/A</v>
        <stp/>
        <stp>BDP|3950690186589887152</stp>
        <tr r="G1132" s="2"/>
      </tp>
      <tp t="s">
        <v>#N/A N/A</v>
        <stp/>
        <stp>BDP|3793895195597724071</stp>
        <tr r="Q1339" s="2"/>
      </tp>
      <tp t="s">
        <v>#N/A N/A</v>
        <stp/>
        <stp>BDP|2113177968040146048</stp>
        <tr r="E426" s="2"/>
      </tp>
      <tp t="s">
        <v>#N/A N/A</v>
        <stp/>
        <stp>BDP|2457691033870038255</stp>
        <tr r="A659" s="2"/>
      </tp>
      <tp t="s">
        <v>#N/A N/A</v>
        <stp/>
        <stp>BDP|9901371828009933448</stp>
        <tr r="A1078" s="2"/>
      </tp>
      <tp t="s">
        <v>#N/A N/A</v>
        <stp/>
        <stp>BDP|8543809113032927642</stp>
        <tr r="A1642" s="2"/>
      </tp>
      <tp t="s">
        <v>#N/A N/A</v>
        <stp/>
        <stp>BDP|3953266235645594241</stp>
        <tr r="F1031" s="2"/>
      </tp>
      <tp t="s">
        <v>#N/A N/A</v>
        <stp/>
        <stp>BDP|1877519813235474556</stp>
        <tr r="T1426" s="2"/>
      </tp>
      <tp t="s">
        <v>#N/A N/A</v>
        <stp/>
        <stp>BDS|3858106762202164309</stp>
        <tr r="I1602" s="2"/>
      </tp>
      <tp t="s">
        <v>#N/A N/A</v>
        <stp/>
        <stp>BDP|5409539900455855044</stp>
        <tr r="C1655" s="2"/>
      </tp>
      <tp t="s">
        <v>#N/A N/A</v>
        <stp/>
        <stp>BDP|1505800997807845210</stp>
        <tr r="G1659" s="2"/>
      </tp>
      <tp t="s">
        <v>#N/A N/A</v>
        <stp/>
        <stp>BDP|6256825822879932007</stp>
        <tr r="C83" s="2"/>
      </tp>
      <tp t="s">
        <v>#N/A N/A</v>
        <stp/>
        <stp>BDP|7086753379551005370</stp>
        <tr r="Q84" s="2"/>
      </tp>
      <tp t="s">
        <v>#N/A N/A</v>
        <stp/>
        <stp>BDP|7116894045337083960</stp>
        <tr r="C334" s="2"/>
      </tp>
      <tp t="s">
        <v>#N/A N/A</v>
        <stp/>
        <stp>BDP|3004181815022479428</stp>
        <tr r="D822" s="2"/>
      </tp>
      <tp t="s">
        <v>#N/A N/A</v>
        <stp/>
        <stp>BDP|8259264907556127998</stp>
        <tr r="M592" s="2"/>
      </tp>
      <tp t="s">
        <v>#N/A N/A</v>
        <stp/>
        <stp>BDP|9201815029162735469</stp>
        <tr r="K176" s="2"/>
      </tp>
      <tp t="s">
        <v>#N/A N/A</v>
        <stp/>
        <stp>BDP|7176240374543874424</stp>
        <tr r="N1421" s="2"/>
      </tp>
      <tp t="s">
        <v>#N/A N/A</v>
        <stp/>
        <stp>BDP|2381484967453604619</stp>
        <tr r="D327" s="2"/>
      </tp>
      <tp t="s">
        <v>#N/A N/A</v>
        <stp/>
        <stp>BDP|2679577678923386610</stp>
        <tr r="M1196" s="2"/>
      </tp>
      <tp t="s">
        <v>#N/A N/A</v>
        <stp/>
        <stp>BDP|3452823514598918702</stp>
        <tr r="C1446" s="2"/>
      </tp>
      <tp t="s">
        <v>#N/A N/A</v>
        <stp/>
        <stp>BDP|4806607763697598658</stp>
        <tr r="G490" s="2"/>
      </tp>
      <tp t="s">
        <v>#N/A N/A</v>
        <stp/>
        <stp>BDP|6089232528755845689</stp>
        <tr r="R1247" s="2"/>
      </tp>
      <tp t="s">
        <v>#N/A N/A</v>
        <stp/>
        <stp>BDP|4519357453257823006</stp>
        <tr r="J1342" s="2"/>
      </tp>
      <tp t="s">
        <v>#N/A N/A</v>
        <stp/>
        <stp>BDP|4897613200361025628</stp>
        <tr r="J1538" s="2"/>
      </tp>
      <tp t="s">
        <v>#N/A N/A</v>
        <stp/>
        <stp>BDP|3491987417238881687</stp>
        <tr r="Q390" s="2"/>
      </tp>
      <tp t="s">
        <v>#N/A N/A</v>
        <stp/>
        <stp>BDP|5393386683718785343</stp>
        <tr r="J1654" s="2"/>
      </tp>
      <tp t="s">
        <v>#N/A N/A</v>
        <stp/>
        <stp>BDP|8450779837420823979</stp>
        <tr r="N66" s="2"/>
      </tp>
      <tp t="s">
        <v>#N/A N/A</v>
        <stp/>
        <stp>BDP|1666349923552280781</stp>
        <tr r="C1175" s="2"/>
      </tp>
      <tp t="s">
        <v>#N/A N/A</v>
        <stp/>
        <stp>BDP|9689198188592515791</stp>
        <tr r="A1692" s="2"/>
      </tp>
      <tp t="s">
        <v>#N/A N/A</v>
        <stp/>
        <stp>BDP|7009285128443929126</stp>
        <tr r="M1044" s="2"/>
      </tp>
      <tp t="s">
        <v>#N/A N/A</v>
        <stp/>
        <stp>BDP|3030427048404521247</stp>
        <tr r="R307" s="2"/>
      </tp>
      <tp t="s">
        <v>#N/A N/A</v>
        <stp/>
        <stp>BDP|5070182203785020405</stp>
        <tr r="P747" s="2"/>
      </tp>
      <tp t="s">
        <v>#N/A N/A</v>
        <stp/>
        <stp>BDP|3035554278395693109</stp>
        <tr r="N1443" s="2"/>
      </tp>
      <tp t="s">
        <v>#N/A N/A</v>
        <stp/>
        <stp>BDP|1096767671451585595</stp>
        <tr r="H1280" s="2"/>
      </tp>
      <tp t="s">
        <v>#N/A N/A</v>
        <stp/>
        <stp>BDP|5045566220780421790</stp>
        <tr r="C1098" s="2"/>
      </tp>
      <tp t="s">
        <v>#N/A N/A</v>
        <stp/>
        <stp>BDP|6820432280688710770</stp>
        <tr r="R1744" s="2"/>
      </tp>
      <tp t="s">
        <v>#N/A N/A</v>
        <stp/>
        <stp>BDP|2536597248704603295</stp>
        <tr r="A383" s="2"/>
      </tp>
      <tp t="s">
        <v>#N/A N/A</v>
        <stp/>
        <stp>BDP|5445086673117312074</stp>
        <tr r="A496" s="2"/>
      </tp>
      <tp t="s">
        <v>#N/A N/A</v>
        <stp/>
        <stp>BDP|2703411128231613034</stp>
        <tr r="R572" s="2"/>
      </tp>
      <tp t="s">
        <v>#N/A N/A</v>
        <stp/>
        <stp>BDP|2721160729140561463</stp>
        <tr r="A169" s="2"/>
      </tp>
      <tp t="s">
        <v>#N/A N/A</v>
        <stp/>
        <stp>BDP|8563653489614625747</stp>
        <tr r="S588" s="2"/>
      </tp>
      <tp t="s">
        <v>#N/A N/A</v>
        <stp/>
        <stp>BDP|9372369409979229653</stp>
        <tr r="F1355" s="2"/>
      </tp>
      <tp t="s">
        <v>#N/A N/A</v>
        <stp/>
        <stp>BDP|8868877842085012466</stp>
        <tr r="F180" s="2"/>
      </tp>
      <tp t="s">
        <v>#N/A N/A</v>
        <stp/>
        <stp>BDP|4884456774992791058</stp>
        <tr r="O319" s="2"/>
      </tp>
      <tp t="s">
        <v>#N/A N/A</v>
        <stp/>
        <stp>BDP|1784055126127830146</stp>
        <tr r="K1695" s="2"/>
      </tp>
      <tp t="s">
        <v>#N/A N/A</v>
        <stp/>
        <stp>BDP|2571832141139783285</stp>
        <tr r="T218" s="2"/>
      </tp>
      <tp t="s">
        <v>#N/A N/A</v>
        <stp/>
        <stp>BDP|5559680735827050201</stp>
        <tr r="M1646" s="2"/>
      </tp>
      <tp t="s">
        <v>#N/A N/A</v>
        <stp/>
        <stp>BDP|1134168554336857635</stp>
        <tr r="J995" s="2"/>
      </tp>
      <tp t="s">
        <v>#N/A N/A</v>
        <stp/>
        <stp>BDP|7554224542845434192</stp>
        <tr r="P730" s="2"/>
      </tp>
      <tp t="s">
        <v>#N/A N/A</v>
        <stp/>
        <stp>BDP|6062121373794115189</stp>
        <tr r="F535" s="2"/>
      </tp>
      <tp t="s">
        <v>#N/A N/A</v>
        <stp/>
        <stp>BDP|7650344061903828432</stp>
        <tr r="S1003" s="2"/>
      </tp>
      <tp t="s">
        <v>#N/A N/A</v>
        <stp/>
        <stp>BDP|2035018149376219521</stp>
        <tr r="O253" s="2"/>
      </tp>
      <tp t="s">
        <v>#N/A N/A</v>
        <stp/>
        <stp>BDP|8926889229741754672</stp>
        <tr r="N966" s="2"/>
      </tp>
      <tp t="s">
        <v>#N/A N/A</v>
        <stp/>
        <stp>BDP|5670918326673141886</stp>
        <tr r="J1516" s="2"/>
      </tp>
      <tp t="s">
        <v>#N/A N/A</v>
        <stp/>
        <stp>BDP|7545385386461085836</stp>
        <tr r="N1714" s="2"/>
      </tp>
      <tp t="s">
        <v>#N/A N/A</v>
        <stp/>
        <stp>BDP|8195980347402620204</stp>
        <tr r="S1483" s="2"/>
      </tp>
      <tp t="s">
        <v>#N/A N/A</v>
        <stp/>
        <stp>BDP|5230376629160371178</stp>
        <tr r="O1259" s="2"/>
      </tp>
      <tp t="s">
        <v>#N/A N/A</v>
        <stp/>
        <stp>BDP|1287920267513738885</stp>
        <tr r="R1686" s="2"/>
      </tp>
      <tp t="s">
        <v>#N/A N/A</v>
        <stp/>
        <stp>BDP|5891246433260371140</stp>
        <tr r="G1570" s="2"/>
      </tp>
      <tp t="s">
        <v>#N/A N/A</v>
        <stp/>
        <stp>BDP|3663182213690597601</stp>
        <tr r="R530" s="2"/>
      </tp>
      <tp t="s">
        <v>#N/A N/A</v>
        <stp/>
        <stp>BDS|3062479467485874105</stp>
        <tr r="I1162" s="2"/>
      </tp>
      <tp t="s">
        <v>#N/A N/A</v>
        <stp/>
        <stp>BDP|8969212561651367829</stp>
        <tr r="M938" s="2"/>
      </tp>
      <tp t="s">
        <v>#N/A N/A</v>
        <stp/>
        <stp>BDP|6567250875906809053</stp>
        <tr r="M773" s="2"/>
      </tp>
      <tp t="s">
        <v>#N/A N/A</v>
        <stp/>
        <stp>BDP|6885612725767242066</stp>
        <tr r="K1592" s="2"/>
      </tp>
      <tp t="s">
        <v>#N/A N/A</v>
        <stp/>
        <stp>BDP|2027669260821750699</stp>
        <tr r="F601" s="2"/>
      </tp>
      <tp t="s">
        <v>#N/A N/A</v>
        <stp/>
        <stp>BDS|5377029448114005013</stp>
        <tr r="I220" s="2"/>
      </tp>
      <tp t="s">
        <v>#N/A N/A</v>
        <stp/>
        <stp>BDP|7016898435751555814</stp>
        <tr r="G148" s="2"/>
      </tp>
      <tp t="s">
        <v>#N/A N/A</v>
        <stp/>
        <stp>BDP|2576282791834111853</stp>
        <tr r="R544" s="2"/>
      </tp>
      <tp t="s">
        <v>#N/A N/A</v>
        <stp/>
        <stp>BDP|7916485239201019408</stp>
        <tr r="P1123" s="2"/>
      </tp>
      <tp t="s">
        <v>#N/A N/A</v>
        <stp/>
        <stp>BDP|4983953193224064571</stp>
        <tr r="A1684" s="2"/>
      </tp>
      <tp t="s">
        <v>#N/A N/A</v>
        <stp/>
        <stp>BDP|6623679475687837540</stp>
        <tr r="D1215" s="2"/>
      </tp>
      <tp t="s">
        <v>#N/A N/A</v>
        <stp/>
        <stp>BDP|6161243956904321080</stp>
        <tr r="O1336" s="2"/>
      </tp>
      <tp t="s">
        <v>#N/A N/A</v>
        <stp/>
        <stp>BDP|1605171931611806709</stp>
        <tr r="D1436" s="2"/>
      </tp>
      <tp t="s">
        <v>#N/A N/A</v>
        <stp/>
        <stp>BDP|7604325419126299673</stp>
        <tr r="K1192" s="2"/>
      </tp>
      <tp t="s">
        <v>#N/A N/A</v>
        <stp/>
        <stp>BDP|7932232074631305656</stp>
        <tr r="G903" s="2"/>
      </tp>
      <tp t="s">
        <v>#N/A N/A</v>
        <stp/>
        <stp>BDP|8363906939097156034</stp>
        <tr r="P1749" s="2"/>
      </tp>
      <tp t="s">
        <v>#N/A N/A</v>
        <stp/>
        <stp>BDP|9831925232053610566</stp>
        <tr r="A1721" s="2"/>
      </tp>
      <tp t="s">
        <v>#N/A N/A</v>
        <stp/>
        <stp>BDP|8947611445588739722</stp>
        <tr r="K1186" s="2"/>
      </tp>
      <tp t="s">
        <v>#N/A N/A</v>
        <stp/>
        <stp>BDP|4941153599991572888</stp>
        <tr r="K1242" s="2"/>
      </tp>
      <tp t="s">
        <v>#N/A N/A</v>
        <stp/>
        <stp>BDP|7143531524492966776</stp>
        <tr r="R954" s="2"/>
      </tp>
      <tp t="s">
        <v>#N/A N/A</v>
        <stp/>
        <stp>BDP|3783191127317496253</stp>
        <tr r="O1707" s="2"/>
      </tp>
      <tp t="s">
        <v>#N/A N/A</v>
        <stp/>
        <stp>BDP|8518004968739101242</stp>
        <tr r="J332" s="2"/>
      </tp>
      <tp t="s">
        <v>#N/A N/A</v>
        <stp/>
        <stp>BDP|8181967813540597593</stp>
        <tr r="E646" s="2"/>
      </tp>
      <tp t="s">
        <v>#N/A N/A</v>
        <stp/>
        <stp>BDP|7603002461724853073</stp>
        <tr r="O948" s="2"/>
      </tp>
      <tp t="s">
        <v>#N/A N/A</v>
        <stp/>
        <stp>BDP|7815669894549279409</stp>
        <tr r="E1651" s="2"/>
      </tp>
      <tp t="s">
        <v>#N/A N/A</v>
        <stp/>
        <stp>BDP|4524517623394807275</stp>
        <tr r="D379" s="2"/>
      </tp>
      <tp t="s">
        <v>#N/A N/A</v>
        <stp/>
        <stp>BDP|6969560601736110073</stp>
        <tr r="F576" s="2"/>
      </tp>
      <tp t="s">
        <v>#N/A N/A</v>
        <stp/>
        <stp>BDS|9974038250198262108</stp>
        <tr r="I1401" s="2"/>
      </tp>
      <tp t="s">
        <v>#N/A N/A</v>
        <stp/>
        <stp>BDP|8783317376690881902</stp>
        <tr r="D749" s="2"/>
      </tp>
      <tp t="s">
        <v>#N/A N/A</v>
        <stp/>
        <stp>BDP|4438154931024063783</stp>
        <tr r="Q309" s="2"/>
      </tp>
      <tp t="s">
        <v>#N/A N/A</v>
        <stp/>
        <stp>BDP|2353604063775048280</stp>
        <tr r="J382" s="2"/>
      </tp>
      <tp t="s">
        <v>#N/A N/A</v>
        <stp/>
        <stp>BDP|7050491354466758527</stp>
        <tr r="P1172" s="2"/>
      </tp>
      <tp t="s">
        <v>#N/A N/A</v>
        <stp/>
        <stp>BDP|8059587320072156815</stp>
        <tr r="N322" s="2"/>
      </tp>
      <tp t="s">
        <v>#N/A N/A</v>
        <stp/>
        <stp>BDS|3011263438652342556</stp>
        <tr r="I1660" s="2"/>
      </tp>
      <tp t="s">
        <v>#N/A N/A</v>
        <stp/>
        <stp>BDP|9873162694806696241</stp>
        <tr r="T927" s="2"/>
      </tp>
      <tp t="s">
        <v>#N/A N/A</v>
        <stp/>
        <stp>BDP|2947043530461519507</stp>
        <tr r="P1647" s="2"/>
      </tp>
      <tp t="s">
        <v>#N/A N/A</v>
        <stp/>
        <stp>BDP|5959537547274350560</stp>
        <tr r="F524" s="2"/>
      </tp>
      <tp t="s">
        <v>#N/A N/A</v>
        <stp/>
        <stp>BDP|4073381581183566945</stp>
        <tr r="G782" s="2"/>
      </tp>
      <tp t="s">
        <v>#N/A N/A</v>
        <stp/>
        <stp>BDP|6107007242763215496</stp>
        <tr r="T821" s="2"/>
      </tp>
      <tp t="s">
        <v>#N/A N/A</v>
        <stp/>
        <stp>BDP|9942672042449631726</stp>
        <tr r="A1749" s="2"/>
      </tp>
      <tp t="s">
        <v>#N/A N/A</v>
        <stp/>
        <stp>BDP|2019236258066209611</stp>
        <tr r="K1550" s="2"/>
      </tp>
      <tp t="s">
        <v>#N/A N/A</v>
        <stp/>
        <stp>BDP|5467088016847206600</stp>
        <tr r="C410" s="2"/>
      </tp>
      <tp t="s">
        <v>#N/A N/A</v>
        <stp/>
        <stp>BDP|6360495001210116726</stp>
        <tr r="R921" s="2"/>
      </tp>
      <tp t="s">
        <v>#N/A N/A</v>
        <stp/>
        <stp>BDP|3343243780678862471</stp>
        <tr r="A585" s="2"/>
      </tp>
      <tp t="s">
        <v>#N/A N/A</v>
        <stp/>
        <stp>BDP|5999621752874722764</stp>
        <tr r="M1066" s="2"/>
      </tp>
      <tp t="s">
        <v>#N/A N/A</v>
        <stp/>
        <stp>BDP|1502118278324777625</stp>
        <tr r="J240" s="2"/>
      </tp>
      <tp t="s">
        <v>#N/A N/A</v>
        <stp/>
        <stp>BDP|5928668385447159922</stp>
        <tr r="C1734" s="2"/>
      </tp>
      <tp t="s">
        <v>#N/A N/A</v>
        <stp/>
        <stp>BDP|5995016392768367107</stp>
        <tr r="P468" s="2"/>
      </tp>
      <tp t="s">
        <v>#N/A N/A</v>
        <stp/>
        <stp>BDP|9010416698094478549</stp>
        <tr r="F1735" s="2"/>
      </tp>
      <tp t="s">
        <v>#N/A N/A</v>
        <stp/>
        <stp>BDP|3971769709767833673</stp>
        <tr r="Q828" s="2"/>
      </tp>
      <tp t="s">
        <v>#N/A N/A</v>
        <stp/>
        <stp>BDP|4143676049967479425</stp>
        <tr r="J243" s="2"/>
      </tp>
      <tp t="s">
        <v>#N/A N/A</v>
        <stp/>
        <stp>BDP|3242489127288156853</stp>
        <tr r="O1321" s="2"/>
      </tp>
      <tp t="s">
        <v>#N/A N/A</v>
        <stp/>
        <stp>BDP|1604017259837049673</stp>
        <tr r="G57" s="2"/>
      </tp>
      <tp t="s">
        <v>#N/A N/A</v>
        <stp/>
        <stp>BDP|8855548582687636710</stp>
        <tr r="K1301" s="2"/>
      </tp>
      <tp t="s">
        <v>#N/A N/A</v>
        <stp/>
        <stp>BDP|8832532433872688979</stp>
        <tr r="R803" s="2"/>
      </tp>
      <tp t="s">
        <v>#N/A N/A</v>
        <stp/>
        <stp>BDP|8804159066203443964</stp>
        <tr r="N279" s="2"/>
      </tp>
      <tp t="s">
        <v>#N/A N/A</v>
        <stp/>
        <stp>BDP|1842092048933713375</stp>
        <tr r="C54" s="2"/>
      </tp>
      <tp t="s">
        <v>#N/A N/A</v>
        <stp/>
        <stp>BDP|2864113570478284922</stp>
        <tr r="E1040" s="2"/>
      </tp>
      <tp t="s">
        <v>#N/A N/A</v>
        <stp/>
        <stp>BDP|7784423608350705633</stp>
        <tr r="P1405" s="2"/>
      </tp>
      <tp t="s">
        <v>#N/A N/A</v>
        <stp/>
        <stp>BDP|4440689420383625637</stp>
        <tr r="S356" s="2"/>
      </tp>
      <tp t="s">
        <v>#N/A N/A</v>
        <stp/>
        <stp>BDP|2740219211914990070</stp>
        <tr r="O1609" s="2"/>
      </tp>
      <tp t="s">
        <v>#N/A N/A</v>
        <stp/>
        <stp>BDP|1889411325174217674</stp>
        <tr r="T1071" s="2"/>
      </tp>
      <tp t="s">
        <v>#N/A N/A</v>
        <stp/>
        <stp>BDP|7459663332105191283</stp>
        <tr r="F349" s="2"/>
      </tp>
      <tp t="s">
        <v>#N/A N/A</v>
        <stp/>
        <stp>BDP|8017178284955344198</stp>
        <tr r="J715" s="2"/>
      </tp>
      <tp t="s">
        <v>#N/A N/A</v>
        <stp/>
        <stp>BDP|6708202858751002569</stp>
        <tr r="T819" s="2"/>
      </tp>
      <tp t="s">
        <v>#N/A N/A</v>
        <stp/>
        <stp>BDP|6191661328666066164</stp>
        <tr r="G339" s="2"/>
      </tp>
      <tp t="s">
        <v>#N/A N/A</v>
        <stp/>
        <stp>BDP|3706085424922433663</stp>
        <tr r="E538" s="2"/>
      </tp>
      <tp t="s">
        <v>#N/A N/A</v>
        <stp/>
        <stp>BDS|3531923838865574930</stp>
        <tr r="I1358" s="2"/>
      </tp>
      <tp t="s">
        <v>#N/A N/A</v>
        <stp/>
        <stp>BDP|6309296006933669236</stp>
        <tr r="R43" s="2"/>
      </tp>
      <tp t="s">
        <v>#N/A N/A</v>
        <stp/>
        <stp>BDP|4354763895727882816</stp>
        <tr r="S1457" s="2"/>
      </tp>
      <tp t="s">
        <v>#N/A N/A</v>
        <stp/>
        <stp>BDP|1807029341442259207</stp>
        <tr r="T254" s="2"/>
      </tp>
      <tp t="s">
        <v>#N/A N/A</v>
        <stp/>
        <stp>BDP|3435151838557502358</stp>
        <tr r="C786" s="2"/>
      </tp>
      <tp t="s">
        <v>#N/A N/A</v>
        <stp/>
        <stp>BDP|2543855542008891336</stp>
        <tr r="T813" s="2"/>
      </tp>
      <tp t="s">
        <v>#N/A N/A</v>
        <stp/>
        <stp>BDP|6753510229941592534</stp>
        <tr r="H14" s="2"/>
      </tp>
      <tp t="s">
        <v>#N/A N/A</v>
        <stp/>
        <stp>BDS|1073383364792369367</stp>
        <tr r="I389" s="2"/>
      </tp>
      <tp t="s">
        <v>#N/A N/A</v>
        <stp/>
        <stp>BDP|2674420065060850503</stp>
        <tr r="H1086" s="2"/>
      </tp>
      <tp t="s">
        <v>#N/A N/A</v>
        <stp/>
        <stp>BDP|8849346293426741113</stp>
        <tr r="F707" s="2"/>
      </tp>
      <tp t="s">
        <v>#N/A N/A</v>
        <stp/>
        <stp>BDP|6401220166923916408</stp>
        <tr r="G1084" s="2"/>
      </tp>
      <tp t="s">
        <v>#N/A N/A</v>
        <stp/>
        <stp>BDP|2301466686569226281</stp>
        <tr r="M1229" s="2"/>
      </tp>
      <tp t="s">
        <v>#N/A N/A</v>
        <stp/>
        <stp>BDP|6101942103143738980</stp>
        <tr r="O1603" s="2"/>
      </tp>
      <tp t="s">
        <v>#N/A N/A</v>
        <stp/>
        <stp>BDP|3186425443855115387</stp>
        <tr r="O548" s="2"/>
      </tp>
      <tp t="s">
        <v>#N/A N/A</v>
        <stp/>
        <stp>BDP|6922184754012407585</stp>
        <tr r="P1317" s="2"/>
      </tp>
      <tp t="s">
        <v>#N/A N/A</v>
        <stp/>
        <stp>BDP|1938228342473951199</stp>
        <tr r="P711" s="2"/>
      </tp>
      <tp t="s">
        <v>#N/A N/A</v>
        <stp/>
        <stp>BDP|5478026013331824043</stp>
        <tr r="Q1700" s="2"/>
      </tp>
      <tp t="s">
        <v>#N/A N/A</v>
        <stp/>
        <stp>BDP|5040096650263928691</stp>
        <tr r="Q1451" s="2"/>
      </tp>
      <tp t="s">
        <v>#N/A N/A</v>
        <stp/>
        <stp>BDP|2130395897164707914</stp>
        <tr r="R764" s="2"/>
      </tp>
      <tp t="s">
        <v>#N/A N/A</v>
        <stp/>
        <stp>BDP|2033315942780926031</stp>
        <tr r="F368" s="2"/>
      </tp>
      <tp t="s">
        <v>#N/A N/A</v>
        <stp/>
        <stp>BDP|8957824100800533578</stp>
        <tr r="M191" s="2"/>
      </tp>
      <tp t="s">
        <v>#N/A N/A</v>
        <stp/>
        <stp>BDP|6990603567026680510</stp>
        <tr r="N749" s="2"/>
      </tp>
      <tp t="s">
        <v>#N/A N/A</v>
        <stp/>
        <stp>BDP|2650620674613066597</stp>
        <tr r="O637" s="2"/>
      </tp>
      <tp t="s">
        <v>#N/A N/A</v>
        <stp/>
        <stp>BDP|7239275793789964065</stp>
        <tr r="O691" s="2"/>
      </tp>
      <tp t="s">
        <v>#N/A N/A</v>
        <stp/>
        <stp>BDP|2598267616140844449</stp>
        <tr r="N1540" s="2"/>
      </tp>
      <tp t="s">
        <v>#N/A N/A</v>
        <stp/>
        <stp>BDP|9546478227743508999</stp>
        <tr r="O58" s="2"/>
      </tp>
      <tp t="s">
        <v>#N/A N/A</v>
        <stp/>
        <stp>BDP|4081489922660024737</stp>
        <tr r="S1197" s="2"/>
      </tp>
      <tp t="s">
        <v>#N/A N/A</v>
        <stp/>
        <stp>BDP|3458045679018014903</stp>
        <tr r="K433" s="2"/>
      </tp>
      <tp t="s">
        <v>#N/A N/A</v>
        <stp/>
        <stp>BDP|6245638178261987393</stp>
        <tr r="T73" s="2"/>
      </tp>
      <tp t="s">
        <v>#N/A N/A</v>
        <stp/>
        <stp>BDP|2033753886658269085</stp>
        <tr r="S1377" s="2"/>
      </tp>
      <tp t="s">
        <v>#N/A N/A</v>
        <stp/>
        <stp>BDP|4570611957194859627</stp>
        <tr r="E1385" s="2"/>
      </tp>
      <tp t="s">
        <v>#N/A N/A</v>
        <stp/>
        <stp>BDP|6807227199148934031</stp>
        <tr r="T1180" s="2"/>
      </tp>
      <tp t="s">
        <v>#N/A N/A</v>
        <stp/>
        <stp>BDP|3328559991172895867</stp>
        <tr r="M59" s="2"/>
      </tp>
      <tp t="s">
        <v>#N/A N/A</v>
        <stp/>
        <stp>BDP|7253452230971699483</stp>
        <tr r="J1506" s="2"/>
      </tp>
      <tp t="s">
        <v>#N/A N/A</v>
        <stp/>
        <stp>BDP|9038768299380499225</stp>
        <tr r="M1007" s="2"/>
      </tp>
      <tp t="s">
        <v>#N/A N/A</v>
        <stp/>
        <stp>BDP|8720995388658766480</stp>
        <tr r="S940" s="2"/>
      </tp>
      <tp t="s">
        <v>#N/A N/A</v>
        <stp/>
        <stp>BDP|4703934559318209561</stp>
        <tr r="R677" s="2"/>
      </tp>
      <tp t="s">
        <v>#N/A N/A</v>
        <stp/>
        <stp>BDP|6284389127872307000</stp>
        <tr r="T235" s="2"/>
      </tp>
      <tp t="s">
        <v>#N/A N/A</v>
        <stp/>
        <stp>BDP|1771393904387577019</stp>
        <tr r="H435" s="2"/>
      </tp>
      <tp t="s">
        <v>#N/A N/A</v>
        <stp/>
        <stp>BDP|2995056802333562453</stp>
        <tr r="G746" s="2"/>
      </tp>
      <tp t="s">
        <v>#N/A N/A</v>
        <stp/>
        <stp>BDP|8762857457185387581</stp>
        <tr r="E717" s="2"/>
      </tp>
      <tp t="s">
        <v>#N/A N/A</v>
        <stp/>
        <stp>BDP|4965879415501149946</stp>
        <tr r="G1217" s="2"/>
      </tp>
      <tp t="s">
        <v>#N/A N/A</v>
        <stp/>
        <stp>BDP|1978017445025627559</stp>
        <tr r="J484" s="2"/>
      </tp>
      <tp t="s">
        <v>#N/A N/A</v>
        <stp/>
        <stp>BDP|6143166379904531152</stp>
        <tr r="A737" s="2"/>
      </tp>
      <tp t="s">
        <v>#N/A N/A</v>
        <stp/>
        <stp>BDP|1120698335197377606</stp>
        <tr r="M879" s="2"/>
      </tp>
      <tp t="s">
        <v>#N/A N/A</v>
        <stp/>
        <stp>BDP|7156292777067449059</stp>
        <tr r="G1650" s="2"/>
      </tp>
      <tp t="s">
        <v>#N/A N/A</v>
        <stp/>
        <stp>BDP|7421789442739212820</stp>
        <tr r="T430" s="2"/>
      </tp>
      <tp t="s">
        <v>#N/A N/A</v>
        <stp/>
        <stp>BDP|4736489356311266152</stp>
        <tr r="H1150" s="2"/>
      </tp>
      <tp t="s">
        <v>#N/A N/A</v>
        <stp/>
        <stp>BDP|5141293423422275279</stp>
        <tr r="Q1712" s="2"/>
      </tp>
      <tp t="s">
        <v>#N/A N/A</v>
        <stp/>
        <stp>BDP|8046856552822962201</stp>
        <tr r="O1595" s="2"/>
      </tp>
      <tp t="s">
        <v>#N/A N/A</v>
        <stp/>
        <stp>BDP|3813709342782164754</stp>
        <tr r="D1656" s="2"/>
      </tp>
      <tp t="s">
        <v>#N/A N/A</v>
        <stp/>
        <stp>BDP|5760098653321468476</stp>
        <tr r="D335" s="2"/>
      </tp>
      <tp t="s">
        <v>#N/A N/A</v>
        <stp/>
        <stp>BDP|9264899440575439514</stp>
        <tr r="G1255" s="2"/>
      </tp>
      <tp t="s">
        <v>#N/A N/A</v>
        <stp/>
        <stp>BDP|7351387789229891045</stp>
        <tr r="A1139" s="2"/>
      </tp>
      <tp t="s">
        <v>#N/A N/A</v>
        <stp/>
        <stp>BDP|9154624090401904249</stp>
        <tr r="J905" s="2"/>
      </tp>
      <tp t="s">
        <v>#N/A N/A</v>
        <stp/>
        <stp>BDP|6748102894988434390</stp>
        <tr r="A690" s="2"/>
      </tp>
      <tp t="s">
        <v>#N/A N/A</v>
        <stp/>
        <stp>BDP|4908351504543704118</stp>
        <tr r="G1516" s="2"/>
      </tp>
      <tp t="s">
        <v>#N/A N/A</v>
        <stp/>
        <stp>BDP|5513440171603692081</stp>
        <tr r="P1334" s="2"/>
      </tp>
      <tp t="s">
        <v>#N/A N/A</v>
        <stp/>
        <stp>BDP|3644779879345086369</stp>
        <tr r="N1180" s="2"/>
      </tp>
      <tp t="s">
        <v>#N/A N/A</v>
        <stp/>
        <stp>BDP|9878639867284776854</stp>
        <tr r="H1438" s="2"/>
      </tp>
      <tp t="s">
        <v>#N/A N/A</v>
        <stp/>
        <stp>BDP|2406625460276195190</stp>
        <tr r="T1268" s="2"/>
      </tp>
      <tp t="s">
        <v>#N/A N/A</v>
        <stp/>
        <stp>BDP|9497119263162073988</stp>
        <tr r="H1455" s="2"/>
      </tp>
      <tp t="s">
        <v>#N/A N/A</v>
        <stp/>
        <stp>BDP|3211381242974355552</stp>
        <tr r="G1566" s="2"/>
      </tp>
      <tp t="s">
        <v>#N/A N/A</v>
        <stp/>
        <stp>BDP|5925831981732583202</stp>
        <tr r="G1400" s="2"/>
      </tp>
      <tp t="s">
        <v>#N/A N/A</v>
        <stp/>
        <stp>BDP|8556918729143682555</stp>
        <tr r="J1489" s="2"/>
      </tp>
      <tp t="s">
        <v>#N/A N/A</v>
        <stp/>
        <stp>BDP|2335744962290327686</stp>
        <tr r="P880" s="2"/>
      </tp>
      <tp t="s">
        <v>#N/A N/A</v>
        <stp/>
        <stp>BDP|4968142706466561607</stp>
        <tr r="E1574" s="2"/>
      </tp>
      <tp t="s">
        <v>#N/A N/A</v>
        <stp/>
        <stp>BDP|2256786643727006374</stp>
        <tr r="H931" s="2"/>
      </tp>
      <tp t="s">
        <v>#N/A N/A</v>
        <stp/>
        <stp>BDP|9537877168616115453</stp>
        <tr r="R968" s="2"/>
      </tp>
      <tp t="s">
        <v>#N/A N/A</v>
        <stp/>
        <stp>BDP|9778584862257717840</stp>
        <tr r="A1628" s="2"/>
      </tp>
      <tp t="s">
        <v>#N/A N/A</v>
        <stp/>
        <stp>BDP|7098115499923316954</stp>
        <tr r="H101" s="2"/>
      </tp>
      <tp t="s">
        <v>#N/A N/A</v>
        <stp/>
        <stp>BDP|7953310864121571673</stp>
        <tr r="T1531" s="2"/>
      </tp>
      <tp t="s">
        <v>#N/A N/A</v>
        <stp/>
        <stp>BDP|3830680114626371791</stp>
        <tr r="E1550" s="2"/>
      </tp>
      <tp t="s">
        <v>#N/A N/A</v>
        <stp/>
        <stp>BDP|5815404697304611974</stp>
        <tr r="M343" s="2"/>
      </tp>
      <tp t="s">
        <v>#N/A N/A</v>
        <stp/>
        <stp>BDP|9562282896507339061</stp>
        <tr r="N1521" s="2"/>
      </tp>
      <tp t="s">
        <v>#N/A N/A</v>
        <stp/>
        <stp>BDP|6173286427526821584</stp>
        <tr r="T1623" s="2"/>
      </tp>
      <tp t="s">
        <v>#N/A N/A</v>
        <stp/>
        <stp>BDP|1329071084674719896</stp>
        <tr r="J1060" s="2"/>
      </tp>
      <tp t="s">
        <v>#N/A N/A</v>
        <stp/>
        <stp>BDP|6487693926947478017</stp>
        <tr r="K225" s="2"/>
      </tp>
      <tp t="s">
        <v>#N/A N/A</v>
        <stp/>
        <stp>BDP|8897019559788717094</stp>
        <tr r="D1703" s="2"/>
      </tp>
      <tp t="s">
        <v>#N/A N/A</v>
        <stp/>
        <stp>BDP|7968475437557533227</stp>
        <tr r="H1213" s="2"/>
      </tp>
      <tp t="s">
        <v>#N/A N/A</v>
        <stp/>
        <stp>BDP|9755805058098758960</stp>
        <tr r="D494" s="2"/>
      </tp>
      <tp t="s">
        <v>#N/A N/A</v>
        <stp/>
        <stp>BDS|1766392210234385238</stp>
        <tr r="I526" s="2"/>
      </tp>
      <tp t="s">
        <v>#N/A N/A</v>
        <stp/>
        <stp>BDP|1531533618187022706</stp>
        <tr r="F1585" s="2"/>
      </tp>
      <tp t="s">
        <v>#N/A N/A</v>
        <stp/>
        <stp>BDP|2052021159533078153</stp>
        <tr r="Q795" s="2"/>
      </tp>
      <tp t="s">
        <v>#N/A N/A</v>
        <stp/>
        <stp>BDP|1768836168158636247</stp>
        <tr r="N1555" s="2"/>
      </tp>
      <tp t="s">
        <v>#N/A N/A</v>
        <stp/>
        <stp>BDS|5103109490799604198</stp>
        <tr r="I1753" s="2"/>
      </tp>
      <tp t="s">
        <v>#N/A N/A</v>
        <stp/>
        <stp>BDP|5166529956425279598</stp>
        <tr r="Q375" s="2"/>
      </tp>
      <tp t="s">
        <v>#N/A N/A</v>
        <stp/>
        <stp>BDP|4502087462531829694</stp>
        <tr r="F883" s="2"/>
      </tp>
      <tp t="s">
        <v>#N/A N/A</v>
        <stp/>
        <stp>BDP|4743089846352430739</stp>
        <tr r="O791" s="2"/>
      </tp>
      <tp t="s">
        <v>#N/A N/A</v>
        <stp/>
        <stp>BDP|6568974869178108447</stp>
        <tr r="D1084" s="2"/>
      </tp>
      <tp t="s">
        <v>#N/A N/A</v>
        <stp/>
        <stp>BDP|5754180374777359163</stp>
        <tr r="G103" s="2"/>
      </tp>
      <tp t="s">
        <v>#N/A N/A</v>
        <stp/>
        <stp>BDP|2515492344292275542</stp>
        <tr r="G1030" s="2"/>
      </tp>
      <tp t="s">
        <v>#N/A N/A</v>
        <stp/>
        <stp>BDP|3408880953062332924</stp>
        <tr r="N612" s="2"/>
      </tp>
      <tp t="s">
        <v>#N/A N/A</v>
        <stp/>
        <stp>BDP|7745815339368646171</stp>
        <tr r="P1135" s="2"/>
      </tp>
      <tp t="s">
        <v>#N/A N/A</v>
        <stp/>
        <stp>BDP|6124337738682607124</stp>
        <tr r="T878" s="2"/>
      </tp>
      <tp t="s">
        <v>#N/A N/A</v>
        <stp/>
        <stp>BDP|9188764498531493357</stp>
        <tr r="E1322" s="2"/>
      </tp>
      <tp t="s">
        <v>#N/A N/A</v>
        <stp/>
        <stp>BDP|8216351884237453190</stp>
        <tr r="F823" s="2"/>
      </tp>
      <tp t="s">
        <v>#N/A N/A</v>
        <stp/>
        <stp>BDP|2854273061371379235</stp>
        <tr r="P1687" s="2"/>
      </tp>
      <tp t="s">
        <v>#N/A N/A</v>
        <stp/>
        <stp>BDP|8329546464559473791</stp>
        <tr r="N1240" s="2"/>
      </tp>
      <tp t="s">
        <v>#N/A N/A</v>
        <stp/>
        <stp>BDP|7567392344447604206</stp>
        <tr r="R1311" s="2"/>
      </tp>
      <tp t="s">
        <v>#N/A N/A</v>
        <stp/>
        <stp>BDP|7685188822168559972</stp>
        <tr r="M791" s="2"/>
      </tp>
      <tp t="s">
        <v>#N/A N/A</v>
        <stp/>
        <stp>BDP|9662675496505195689</stp>
        <tr r="N277" s="2"/>
      </tp>
      <tp t="s">
        <v>#N/A N/A</v>
        <stp/>
        <stp>BDP|5561385570254394011</stp>
        <tr r="Q1175" s="2"/>
      </tp>
      <tp t="s">
        <v>#N/A N/A</v>
        <stp/>
        <stp>BDP|9991170701165536852</stp>
        <tr r="D808" s="2"/>
      </tp>
      <tp t="s">
        <v>#N/A N/A</v>
        <stp/>
        <stp>BDP|2927311225803255507</stp>
        <tr r="P871" s="2"/>
      </tp>
      <tp t="s">
        <v>#N/A N/A</v>
        <stp/>
        <stp>BDP|8893196778649132273</stp>
        <tr r="T960" s="2"/>
      </tp>
      <tp t="s">
        <v>#N/A N/A</v>
        <stp/>
        <stp>BDP|5448571250952400284</stp>
        <tr r="C109" s="2"/>
      </tp>
      <tp t="s">
        <v>#N/A N/A</v>
        <stp/>
        <stp>BDP|4099362067447918375</stp>
        <tr r="N1402" s="2"/>
      </tp>
      <tp t="s">
        <v>#N/A N/A</v>
        <stp/>
        <stp>BDP|9994687942449489789</stp>
        <tr r="H510" s="2"/>
      </tp>
      <tp t="s">
        <v>#N/A N/A</v>
        <stp/>
        <stp>BDP|5232063550067885232</stp>
        <tr r="Q1450" s="2"/>
      </tp>
      <tp t="s">
        <v>#N/A N/A</v>
        <stp/>
        <stp>BDP|7936581718241633709</stp>
        <tr r="H1197" s="2"/>
      </tp>
      <tp t="s">
        <v>#N/A N/A</v>
        <stp/>
        <stp>BDP|3587226801157979302</stp>
        <tr r="T892" s="2"/>
      </tp>
      <tp t="s">
        <v>#N/A N/A</v>
        <stp/>
        <stp>BDP|6999729956082525378</stp>
        <tr r="A1069" s="2"/>
      </tp>
      <tp t="s">
        <v>#N/A N/A</v>
        <stp/>
        <stp>BDP|9291045619599273424</stp>
        <tr r="H1201" s="2"/>
      </tp>
      <tp t="s">
        <v>#N/A N/A</v>
        <stp/>
        <stp>BDP|2551925971099099093</stp>
        <tr r="Q320" s="2"/>
      </tp>
      <tp t="s">
        <v>#N/A N/A</v>
        <stp/>
        <stp>BDP|3596518278402207618</stp>
        <tr r="D1243" s="2"/>
      </tp>
      <tp t="s">
        <v>#N/A N/A</v>
        <stp/>
        <stp>BDP|5461507039280483666</stp>
        <tr r="M1710" s="2"/>
      </tp>
      <tp t="s">
        <v>#N/A N/A</v>
        <stp/>
        <stp>BDP|6290746458632202335</stp>
        <tr r="F933" s="2"/>
      </tp>
      <tp t="s">
        <v>#N/A N/A</v>
        <stp/>
        <stp>BDP|2087536191918586383</stp>
        <tr r="A523" s="2"/>
      </tp>
      <tp t="s">
        <v>#N/A N/A</v>
        <stp/>
        <stp>BDP|9670468538493643813</stp>
        <tr r="O1349" s="2"/>
      </tp>
      <tp t="s">
        <v>#N/A N/A</v>
        <stp/>
        <stp>BDP|7586230119509758877</stp>
        <tr r="R1394" s="2"/>
      </tp>
      <tp t="s">
        <v>#N/A N/A</v>
        <stp/>
        <stp>BDP|5228318737020825037</stp>
        <tr r="G939" s="2"/>
      </tp>
      <tp t="s">
        <v>#N/A N/A</v>
        <stp/>
        <stp>BDP|3653319797079658596</stp>
        <tr r="O967" s="2"/>
      </tp>
      <tp t="s">
        <v>#N/A N/A</v>
        <stp/>
        <stp>BDP|4015313132887577692</stp>
        <tr r="K640" s="2"/>
      </tp>
      <tp t="s">
        <v>#N/A N/A</v>
        <stp/>
        <stp>BDP|5559529676552865061</stp>
        <tr r="H1176" s="2"/>
      </tp>
      <tp t="s">
        <v>#N/A N/A</v>
        <stp/>
        <stp>BDP|5758193812852562269</stp>
        <tr r="M262" s="2"/>
      </tp>
      <tp t="s">
        <v>#N/A N/A</v>
        <stp/>
        <stp>BDP|7193137237874221485</stp>
        <tr r="F1593" s="2"/>
      </tp>
      <tp t="s">
        <v>#N/A N/A</v>
        <stp/>
        <stp>BDP|1276305024234925103</stp>
        <tr r="Q884" s="2"/>
      </tp>
      <tp t="s">
        <v>#N/A N/A</v>
        <stp/>
        <stp>BDP|6796041623124791581</stp>
        <tr r="M945" s="2"/>
      </tp>
      <tp t="s">
        <v>#N/A N/A</v>
        <stp/>
        <stp>BDP|4863355842322584459</stp>
        <tr r="T933" s="2"/>
      </tp>
      <tp t="s">
        <v>#N/A N/A</v>
        <stp/>
        <stp>BDP|2323359549297099700</stp>
        <tr r="M201" s="2"/>
      </tp>
      <tp t="s">
        <v>#N/A N/A</v>
        <stp/>
        <stp>BDP|2246075409071519660</stp>
        <tr r="F1403" s="2"/>
      </tp>
      <tp t="s">
        <v>#N/A N/A</v>
        <stp/>
        <stp>BDP|5506873329682425807</stp>
        <tr r="S1134" s="2"/>
      </tp>
      <tp t="s">
        <v>#N/A N/A</v>
        <stp/>
        <stp>BDS|3868827174649904084</stp>
        <tr r="I1149" s="2"/>
      </tp>
      <tp t="s">
        <v>#N/A N/A</v>
        <stp/>
        <stp>BDP|8548900193648109581</stp>
        <tr r="G1104" s="2"/>
      </tp>
      <tp t="s">
        <v>#N/A N/A</v>
        <stp/>
        <stp>BDP|7805798408920303552</stp>
        <tr r="K469" s="2"/>
      </tp>
      <tp t="s">
        <v>#N/A N/A</v>
        <stp/>
        <stp>BDP|9872412382841668128</stp>
        <tr r="E1444" s="2"/>
      </tp>
      <tp t="s">
        <v>#N/A N/A</v>
        <stp/>
        <stp>BDP|7932409032947302271</stp>
        <tr r="C1367" s="2"/>
      </tp>
      <tp t="s">
        <v>#N/A N/A</v>
        <stp/>
        <stp>BDP|1133296142016725425</stp>
        <tr r="N186" s="2"/>
      </tp>
      <tp t="s">
        <v>#N/A N/A</v>
        <stp/>
        <stp>BDP|8003547799858046929</stp>
        <tr r="Q1575" s="2"/>
      </tp>
      <tp t="s">
        <v>#N/A N/A</v>
        <stp/>
        <stp>BDP|2292059048736743571</stp>
        <tr r="H1333" s="2"/>
      </tp>
      <tp t="s">
        <v>#N/A N/A</v>
        <stp/>
        <stp>BDP|2867166712350160721</stp>
        <tr r="H382" s="2"/>
      </tp>
      <tp t="s">
        <v>#N/A N/A</v>
        <stp/>
        <stp>BDP|4516307089408170221</stp>
        <tr r="G363" s="2"/>
      </tp>
      <tp t="s">
        <v>#N/A N/A</v>
        <stp/>
        <stp>BDP|3365186380257002846</stp>
        <tr r="P324" s="2"/>
      </tp>
      <tp t="s">
        <v>#N/A N/A</v>
        <stp/>
        <stp>BDP|4981786009367089171</stp>
        <tr r="G1748" s="2"/>
      </tp>
      <tp t="s">
        <v>#N/A N/A</v>
        <stp/>
        <stp>BDP|3974549421405779449</stp>
        <tr r="S405" s="2"/>
      </tp>
      <tp t="s">
        <v>#N/A N/A</v>
        <stp/>
        <stp>BDP|2363963089322517460</stp>
        <tr r="R1579" s="2"/>
      </tp>
      <tp t="s">
        <v>#N/A N/A</v>
        <stp/>
        <stp>BDP|1635104879324518652</stp>
        <tr r="D548" s="2"/>
      </tp>
      <tp t="s">
        <v>#N/A N/A</v>
        <stp/>
        <stp>BDP|7486932248407086801</stp>
        <tr r="D471" s="2"/>
      </tp>
      <tp t="s">
        <v>#N/A N/A</v>
        <stp/>
        <stp>BDP|9177255449289453362</stp>
        <tr r="Q1191" s="2"/>
      </tp>
      <tp t="s">
        <v>#N/A N/A</v>
        <stp/>
        <stp>BDP|5243741848842136109</stp>
        <tr r="S1273" s="2"/>
      </tp>
      <tp t="s">
        <v>#N/A N/A</v>
        <stp/>
        <stp>BDS|1908197114051908522</stp>
        <tr r="I732" s="2"/>
      </tp>
      <tp t="s">
        <v>#N/A N/A</v>
        <stp/>
        <stp>BDP|5105380609355633696</stp>
        <tr r="G1572" s="2"/>
      </tp>
      <tp t="s">
        <v>#N/A N/A</v>
        <stp/>
        <stp>BDP|2505511237530472185</stp>
        <tr r="N358" s="2"/>
      </tp>
      <tp t="s">
        <v>#N/A N/A</v>
        <stp/>
        <stp>BDP|8576986177760279377</stp>
        <tr r="K1497" s="2"/>
      </tp>
      <tp t="s">
        <v>#N/A N/A</v>
        <stp/>
        <stp>BDP|1828630209164865653</stp>
        <tr r="Q1364" s="2"/>
      </tp>
      <tp t="s">
        <v>#N/A N/A</v>
        <stp/>
        <stp>BDP|5794151989841502816</stp>
        <tr r="A204" s="2"/>
      </tp>
      <tp t="s">
        <v>#N/A N/A</v>
        <stp/>
        <stp>BDP|3501105530902110684</stp>
        <tr r="P55" s="2"/>
      </tp>
      <tp t="s">
        <v>#N/A N/A</v>
        <stp/>
        <stp>BDP|8352690084272063128</stp>
        <tr r="A1088" s="2"/>
      </tp>
      <tp t="s">
        <v>#N/A N/A</v>
        <stp/>
        <stp>BDP|5846968317819443119</stp>
        <tr r="J1321" s="2"/>
      </tp>
      <tp t="s">
        <v>#N/A N/A</v>
        <stp/>
        <stp>BDP|5971669536266035356</stp>
        <tr r="C950" s="2"/>
      </tp>
      <tp t="s">
        <v>#N/A N/A</v>
        <stp/>
        <stp>BDP|9289185392883050748</stp>
        <tr r="J40" s="2"/>
      </tp>
      <tp t="s">
        <v>#N/A N/A</v>
        <stp/>
        <stp>BDP|8078450097532738299</stp>
        <tr r="O1088" s="2"/>
      </tp>
      <tp t="s">
        <v>#N/A N/A</v>
        <stp/>
        <stp>BDP|3658434548225821399</stp>
        <tr r="O1641" s="2"/>
      </tp>
      <tp t="s">
        <v>#N/A N/A</v>
        <stp/>
        <stp>BDP|2199079467615494497</stp>
        <tr r="T1081" s="2"/>
      </tp>
      <tp t="s">
        <v>#N/A N/A</v>
        <stp/>
        <stp>BDP|8115881652024285453</stp>
        <tr r="A828" s="2"/>
      </tp>
      <tp t="s">
        <v>#N/A N/A</v>
        <stp/>
        <stp>BDP|3162141654314493696</stp>
        <tr r="G1556" s="2"/>
      </tp>
      <tp t="s">
        <v>#N/A N/A</v>
        <stp/>
        <stp>BDP|1129135438210487626</stp>
        <tr r="R1355" s="2"/>
      </tp>
      <tp t="s">
        <v>#N/A N/A</v>
        <stp/>
        <stp>BDS|6636307110361980036</stp>
        <tr r="I705" s="2"/>
      </tp>
      <tp t="s">
        <v>#N/A N/A</v>
        <stp/>
        <stp>BDP|7985002494032160906</stp>
        <tr r="P1428" s="2"/>
      </tp>
      <tp t="s">
        <v>#N/A N/A</v>
        <stp/>
        <stp>BDP|7988554951506803493</stp>
        <tr r="S1354" s="2"/>
      </tp>
      <tp t="s">
        <v>#N/A N/A</v>
        <stp/>
        <stp>BDP|1726495923976045410</stp>
        <tr r="H514" s="2"/>
      </tp>
      <tp t="s">
        <v>#N/A N/A</v>
        <stp/>
        <stp>BDP|6787318000057886725</stp>
        <tr r="M1515" s="2"/>
      </tp>
      <tp t="s">
        <v>#N/A N/A</v>
        <stp/>
        <stp>BDP|3938675107715180544</stp>
        <tr r="M445" s="2"/>
      </tp>
      <tp t="s">
        <v>#N/A N/A</v>
        <stp/>
        <stp>BDP|4500894310881531952</stp>
        <tr r="R651" s="2"/>
      </tp>
      <tp t="s">
        <v>#N/A N/A</v>
        <stp/>
        <stp>BDP|1490391936864353049</stp>
        <tr r="O1518" s="2"/>
      </tp>
      <tp t="s">
        <v>#N/A N/A</v>
        <stp/>
        <stp>BDP|6793043681692613981</stp>
        <tr r="R157" s="2"/>
      </tp>
      <tp t="s">
        <v>#N/A N/A</v>
        <stp/>
        <stp>BDP|7682741039682625411</stp>
        <tr r="G1100" s="2"/>
      </tp>
      <tp t="s">
        <v>#N/A N/A</v>
        <stp/>
        <stp>BDP|2168760226817441596</stp>
        <tr r="C11" s="2"/>
      </tp>
      <tp t="s">
        <v>#N/A N/A</v>
        <stp/>
        <stp>BDP|9862700475285038918</stp>
        <tr r="J1567" s="2"/>
      </tp>
      <tp t="s">
        <v>#N/A N/A</v>
        <stp/>
        <stp>BDP|8421828808311126434</stp>
        <tr r="S191" s="2"/>
      </tp>
      <tp t="s">
        <v>#N/A N/A</v>
        <stp/>
        <stp>BDP|2874741030882848184</stp>
        <tr r="P586" s="2"/>
      </tp>
      <tp t="s">
        <v>#N/A N/A</v>
        <stp/>
        <stp>BDP|5227248029463624352</stp>
        <tr r="O537" s="2"/>
      </tp>
      <tp t="s">
        <v>#N/A N/A</v>
        <stp/>
        <stp>BDP|7386080528512702283</stp>
        <tr r="J966" s="2"/>
      </tp>
      <tp t="s">
        <v>#N/A N/A</v>
        <stp/>
        <stp>BDP|9574229298933294410</stp>
        <tr r="M1612" s="2"/>
      </tp>
      <tp t="s">
        <v>#N/A N/A</v>
        <stp/>
        <stp>BDP|8973517136128069329</stp>
        <tr r="K1311" s="2"/>
      </tp>
      <tp t="s">
        <v>#N/A N/A</v>
        <stp/>
        <stp>BDP|6151951723458957024</stp>
        <tr r="K1278" s="2"/>
      </tp>
      <tp t="s">
        <v>#N/A N/A</v>
        <stp/>
        <stp>BDP|8187878008300750557</stp>
        <tr r="F220" s="2"/>
      </tp>
      <tp t="s">
        <v>#N/A N/A</v>
        <stp/>
        <stp>BDP|3871368372666084400</stp>
        <tr r="G189" s="2"/>
      </tp>
      <tp t="s">
        <v>#N/A N/A</v>
        <stp/>
        <stp>BDP|4214440339062406471</stp>
        <tr r="P554" s="2"/>
      </tp>
      <tp t="s">
        <v>#N/A N/A</v>
        <stp/>
        <stp>BDP|1809974692530217430</stp>
        <tr r="T573" s="2"/>
      </tp>
      <tp t="s">
        <v>#N/A N/A</v>
        <stp/>
        <stp>BDP|9923313540618746330</stp>
        <tr r="D1101" s="2"/>
      </tp>
      <tp t="s">
        <v>#N/A N/A</v>
        <stp/>
        <stp>BDP|5228402400581947572</stp>
        <tr r="G204" s="2"/>
      </tp>
      <tp t="s">
        <v>#N/A N/A</v>
        <stp/>
        <stp>BDP|6878072068515310082</stp>
        <tr r="A1403" s="2"/>
      </tp>
      <tp t="s">
        <v>#N/A N/A</v>
        <stp/>
        <stp>BDP|6549744198269705421</stp>
        <tr r="A172" s="2"/>
      </tp>
      <tp t="s">
        <v>#N/A N/A</v>
        <stp/>
        <stp>BDP|6776865091066936453</stp>
        <tr r="D828" s="2"/>
      </tp>
      <tp t="s">
        <v>#N/A N/A</v>
        <stp/>
        <stp>BDP|8931697639361332966</stp>
        <tr r="F283" s="2"/>
      </tp>
      <tp t="s">
        <v>#N/A N/A</v>
        <stp/>
        <stp>BDS|6849206550506454203</stp>
        <tr r="I971" s="2"/>
      </tp>
      <tp t="s">
        <v>#N/A N/A</v>
        <stp/>
        <stp>BDP|4524491025470567704</stp>
        <tr r="T608" s="2"/>
      </tp>
      <tp t="s">
        <v>#N/A N/A</v>
        <stp/>
        <stp>BDP|3080836797544096387</stp>
        <tr r="Q266" s="2"/>
      </tp>
      <tp t="s">
        <v>#N/A N/A</v>
        <stp/>
        <stp>BDP|6254531039340747536</stp>
        <tr r="C239" s="2"/>
      </tp>
      <tp t="s">
        <v>#N/A N/A</v>
        <stp/>
        <stp>BDP|3518408036645692493</stp>
        <tr r="Q186" s="2"/>
      </tp>
      <tp t="s">
        <v>#N/A N/A</v>
        <stp/>
        <stp>BDP|9947635082256364471</stp>
        <tr r="H1508" s="2"/>
      </tp>
      <tp t="s">
        <v>#N/A N/A</v>
        <stp/>
        <stp>BDS|2985994469708696035</stp>
        <tr r="I415" s="2"/>
      </tp>
      <tp t="s">
        <v>#N/A N/A</v>
        <stp/>
        <stp>BDP|8714484956055714920</stp>
        <tr r="E1070" s="2"/>
      </tp>
      <tp t="s">
        <v>#N/A N/A</v>
        <stp/>
        <stp>BDP|8468802965204579785</stp>
        <tr r="A486" s="2"/>
      </tp>
      <tp t="s">
        <v>#N/A N/A</v>
        <stp/>
        <stp>BDP|3135686396598746140</stp>
        <tr r="J908" s="2"/>
      </tp>
      <tp t="s">
        <v>#N/A N/A</v>
        <stp/>
        <stp>BDP|4911600710793216573</stp>
        <tr r="K367" s="2"/>
      </tp>
      <tp t="s">
        <v>#N/A N/A</v>
        <stp/>
        <stp>BDP|4711009264167763088</stp>
        <tr r="K1527" s="2"/>
      </tp>
      <tp t="s">
        <v>#N/A N/A</v>
        <stp/>
        <stp>BDP|3719554279137658316</stp>
        <tr r="P1602" s="2"/>
      </tp>
      <tp t="s">
        <v>#N/A N/A</v>
        <stp/>
        <stp>BDP|8210376797720863760</stp>
        <tr r="Q667" s="2"/>
      </tp>
      <tp t="s">
        <v>#N/A N/A</v>
        <stp/>
        <stp>BDP|8125424442759828455</stp>
        <tr r="R1305" s="2"/>
      </tp>
      <tp t="s">
        <v>#N/A N/A</v>
        <stp/>
        <stp>BDP|1527491673741568664</stp>
        <tr r="P1022" s="2"/>
      </tp>
      <tp t="s">
        <v>#N/A N/A</v>
        <stp/>
        <stp>BDP|2947534547320949681</stp>
        <tr r="E1496" s="2"/>
      </tp>
      <tp t="s">
        <v>#N/A N/A</v>
        <stp/>
        <stp>BDP|3579377913870488489</stp>
        <tr r="F993" s="2"/>
      </tp>
      <tp t="s">
        <v>#N/A N/A</v>
        <stp/>
        <stp>BDP|6642604732192017499</stp>
        <tr r="P536" s="2"/>
      </tp>
      <tp t="s">
        <v>#N/A N/A</v>
        <stp/>
        <stp>BDP|7667526178709785967</stp>
        <tr r="M1733" s="2"/>
      </tp>
      <tp t="s">
        <v>#N/A N/A</v>
        <stp/>
        <stp>BDP|3866559014781401300</stp>
        <tr r="M1749" s="2"/>
      </tp>
      <tp t="s">
        <v>#N/A N/A</v>
        <stp/>
        <stp>BDP|1099142539722539454</stp>
        <tr r="P678" s="2"/>
      </tp>
      <tp t="s">
        <v>#N/A N/A</v>
        <stp/>
        <stp>BDP|4815720137532796776</stp>
        <tr r="Q510" s="2"/>
      </tp>
      <tp t="s">
        <v>#N/A N/A</v>
        <stp/>
        <stp>BDP|2187793511643525214</stp>
        <tr r="E97" s="2"/>
      </tp>
      <tp t="s">
        <v>#N/A N/A</v>
        <stp/>
        <stp>BDP|5682002523464968613</stp>
        <tr r="Q29" s="2"/>
      </tp>
      <tp t="s">
        <v>#N/A N/A</v>
        <stp/>
        <stp>BDP|3553674039985231640</stp>
        <tr r="E520" s="2"/>
      </tp>
      <tp t="s">
        <v>#N/A N/A</v>
        <stp/>
        <stp>BDP|9450381597894569230</stp>
        <tr r="G1399" s="2"/>
      </tp>
      <tp t="s">
        <v>#N/A N/A</v>
        <stp/>
        <stp>BDP|1561463355163868638</stp>
        <tr r="N1116" s="2"/>
      </tp>
      <tp t="s">
        <v>#N/A N/A</v>
        <stp/>
        <stp>BDP|3765930570398075098</stp>
        <tr r="E1509" s="2"/>
      </tp>
      <tp t="s">
        <v>#N/A N/A</v>
        <stp/>
        <stp>BDP|9277277811367805819</stp>
        <tr r="N343" s="2"/>
      </tp>
      <tp t="s">
        <v>#N/A N/A</v>
        <stp/>
        <stp>BDP|1848662070952369704</stp>
        <tr r="K917" s="2"/>
      </tp>
      <tp t="s">
        <v>#N/A N/A</v>
        <stp/>
        <stp>BDP|7885180616274333684</stp>
        <tr r="O926" s="2"/>
      </tp>
      <tp t="s">
        <v>#N/A N/A</v>
        <stp/>
        <stp>BDP|7190638881584710898</stp>
        <tr r="C815" s="2"/>
      </tp>
      <tp t="s">
        <v>#N/A N/A</v>
        <stp/>
        <stp>BDP|1928819391157712236</stp>
        <tr r="T989" s="2"/>
      </tp>
      <tp t="s">
        <v>#N/A N/A</v>
        <stp/>
        <stp>BDP|6928964495841164265</stp>
        <tr r="G1653" s="2"/>
      </tp>
      <tp t="s">
        <v>#N/A N/A</v>
        <stp/>
        <stp>BDP|6040330407346188682</stp>
        <tr r="F1406" s="2"/>
      </tp>
      <tp t="s">
        <v>#N/A N/A</v>
        <stp/>
        <stp>BDP|8424885402083530669</stp>
        <tr r="Q1073" s="2"/>
      </tp>
      <tp t="s">
        <v>#N/A N/A</v>
        <stp/>
        <stp>BDP|9219082811585691802</stp>
        <tr r="O864" s="2"/>
      </tp>
      <tp t="s">
        <v>#N/A N/A</v>
        <stp/>
        <stp>BDS|4800799059203618034</stp>
        <tr r="I840" s="2"/>
      </tp>
      <tp t="s">
        <v>#N/A N/A</v>
        <stp/>
        <stp>BDP|8832945454875757427</stp>
        <tr r="Q1386" s="2"/>
      </tp>
      <tp t="s">
        <v>#N/A N/A</v>
        <stp/>
        <stp>BDP|2020809478418355066</stp>
        <tr r="C996" s="2"/>
      </tp>
      <tp t="s">
        <v>#N/A N/A</v>
        <stp/>
        <stp>BDP|9186992396455730941</stp>
        <tr r="R823" s="2"/>
      </tp>
      <tp t="s">
        <v>#N/A N/A</v>
        <stp/>
        <stp>BDP|4356034203126884764</stp>
        <tr r="R778" s="2"/>
      </tp>
      <tp t="s">
        <v>#N/A N/A</v>
        <stp/>
        <stp>BDP|3575489942773178532</stp>
        <tr r="P1336" s="2"/>
      </tp>
      <tp t="s">
        <v>#N/A N/A</v>
        <stp/>
        <stp>BDP|8506509379648312722</stp>
        <tr r="H1514" s="2"/>
      </tp>
      <tp t="s">
        <v>#N/A N/A</v>
        <stp/>
        <stp>BDP|4767409100072339790</stp>
        <tr r="N601" s="2"/>
      </tp>
      <tp t="s">
        <v>#N/A N/A</v>
        <stp/>
        <stp>BDP|2559821889217584061</stp>
        <tr r="J1628" s="2"/>
      </tp>
      <tp t="s">
        <v>#N/A N/A</v>
        <stp/>
        <stp>BDP|9853689307739877323</stp>
        <tr r="G407" s="2"/>
      </tp>
      <tp t="s">
        <v>#N/A N/A</v>
        <stp/>
        <stp>BDP|8807982013975835067</stp>
        <tr r="R971" s="2"/>
      </tp>
      <tp t="s">
        <v>#N/A N/A</v>
        <stp/>
        <stp>BDP|7318962886114754799</stp>
        <tr r="E940" s="2"/>
      </tp>
      <tp t="s">
        <v>#N/A N/A</v>
        <stp/>
        <stp>BDP|5007169950725336183</stp>
        <tr r="P451" s="2"/>
      </tp>
      <tp t="s">
        <v>#N/A N/A</v>
        <stp/>
        <stp>BDS|3904578021167138637</stp>
        <tr r="I809" s="2"/>
      </tp>
      <tp t="s">
        <v>#N/A N/A</v>
        <stp/>
        <stp>BDP|4622696653364256633</stp>
        <tr r="G1662" s="2"/>
      </tp>
      <tp t="s">
        <v>#N/A N/A</v>
        <stp/>
        <stp>BDP|9635288523319885581</stp>
        <tr r="C97" s="2"/>
      </tp>
      <tp t="s">
        <v>#N/A N/A</v>
        <stp/>
        <stp>BDP|1870492591250975941</stp>
        <tr r="P1189" s="2"/>
      </tp>
      <tp t="s">
        <v>#N/A N/A</v>
        <stp/>
        <stp>BDP|5066299594758694360</stp>
        <tr r="K27" s="2"/>
      </tp>
      <tp t="s">
        <v>#N/A N/A</v>
        <stp/>
        <stp>BDP|4759573711697859244</stp>
        <tr r="K292" s="2"/>
      </tp>
      <tp t="s">
        <v>#N/A N/A</v>
        <stp/>
        <stp>BDP|2262990434595456867</stp>
        <tr r="D1629" s="2"/>
      </tp>
      <tp t="s">
        <v>#N/A N/A</v>
        <stp/>
        <stp>BDP|3854230362077555510</stp>
        <tr r="G1190" s="2"/>
      </tp>
      <tp t="s">
        <v>#N/A N/A</v>
        <stp/>
        <stp>BDP|9270281290644191369</stp>
        <tr r="S1187" s="2"/>
      </tp>
      <tp t="s">
        <v>#N/A N/A</v>
        <stp/>
        <stp>BDS|3161061220561966537</stp>
        <tr r="I1138" s="2"/>
      </tp>
      <tp t="s">
        <v>#N/A N/A</v>
        <stp/>
        <stp>BDP|6941434560095011471</stp>
        <tr r="S614" s="2"/>
      </tp>
      <tp t="s">
        <v>#N/A N/A</v>
        <stp/>
        <stp>BDP|7758026269240343425</stp>
        <tr r="M1394" s="2"/>
      </tp>
      <tp t="s">
        <v>#N/A N/A</v>
        <stp/>
        <stp>BDP|4687591763987881598</stp>
        <tr r="D1242" s="2"/>
      </tp>
      <tp t="s">
        <v>#N/A N/A</v>
        <stp/>
        <stp>BDP|9960577695198318852</stp>
        <tr r="R1210" s="2"/>
      </tp>
      <tp t="s">
        <v>#N/A N/A</v>
        <stp/>
        <stp>BDP|5224608187947843904</stp>
        <tr r="J138" s="2"/>
      </tp>
      <tp t="s">
        <v>#N/A N/A</v>
        <stp/>
        <stp>BDP|7368491721530294448</stp>
        <tr r="J526" s="2"/>
      </tp>
      <tp t="s">
        <v>#N/A N/A</v>
        <stp/>
        <stp>BDS|2318358619752570779</stp>
        <tr r="I1166" s="2"/>
      </tp>
      <tp t="s">
        <v>#N/A N/A</v>
        <stp/>
        <stp>BDS|6159846463288992529</stp>
        <tr r="I1484" s="2"/>
      </tp>
      <tp t="s">
        <v>#N/A N/A</v>
        <stp/>
        <stp>BDP|1211223208571174742</stp>
        <tr r="T872" s="2"/>
      </tp>
      <tp t="s">
        <v>#N/A N/A</v>
        <stp/>
        <stp>BDP|2430368866334939609</stp>
        <tr r="A909" s="2"/>
      </tp>
      <tp t="s">
        <v>#N/A N/A</v>
        <stp/>
        <stp>BDP|4556565712175924051</stp>
        <tr r="S494" s="2"/>
      </tp>
      <tp t="s">
        <v>#N/A N/A</v>
        <stp/>
        <stp>BDP|6764282974451515733</stp>
        <tr r="Q33" s="2"/>
      </tp>
      <tp t="s">
        <v>#N/A N/A</v>
        <stp/>
        <stp>BDP|2747843869011735806</stp>
        <tr r="R1368" s="2"/>
      </tp>
      <tp t="s">
        <v>#N/A N/A</v>
        <stp/>
        <stp>BDP|9184056665242593890</stp>
        <tr r="K1638" s="2"/>
      </tp>
      <tp t="s">
        <v>#N/A N/A</v>
        <stp/>
        <stp>BDP|4523344975546123384</stp>
        <tr r="N548" s="2"/>
      </tp>
      <tp t="s">
        <v>#N/A N/A</v>
        <stp/>
        <stp>BDP|9324203043918883254</stp>
        <tr r="M1265" s="2"/>
      </tp>
      <tp t="s">
        <v>#N/A N/A</v>
        <stp/>
        <stp>BDP|3990110224142391725</stp>
        <tr r="E451" s="2"/>
      </tp>
      <tp t="s">
        <v>#N/A N/A</v>
        <stp/>
        <stp>BDP|9686089376663574804</stp>
        <tr r="R1138" s="2"/>
      </tp>
      <tp t="s">
        <v>#N/A N/A</v>
        <stp/>
        <stp>BDP|6236084039532976271</stp>
        <tr r="D745" s="2"/>
      </tp>
      <tp t="s">
        <v>#N/A N/A</v>
        <stp/>
        <stp>BDP|6327153941662957436</stp>
        <tr r="G463" s="2"/>
      </tp>
      <tp t="s">
        <v>#N/A N/A</v>
        <stp/>
        <stp>BDP|7192137948810471735</stp>
        <tr r="H365" s="2"/>
      </tp>
      <tp t="s">
        <v>#N/A N/A</v>
        <stp/>
        <stp>BDP|1168318380998415791</stp>
        <tr r="R886" s="2"/>
      </tp>
      <tp t="s">
        <v>#N/A N/A</v>
        <stp/>
        <stp>BDP|3172795161532611521</stp>
        <tr r="E1601" s="2"/>
      </tp>
      <tp t="s">
        <v>#N/A N/A</v>
        <stp/>
        <stp>BDP|1722535721115143694</stp>
        <tr r="P416" s="2"/>
      </tp>
      <tp t="s">
        <v>#N/A N/A</v>
        <stp/>
        <stp>BDP|1714271963090959073</stp>
        <tr r="M674" s="2"/>
      </tp>
      <tp t="s">
        <v>#N/A N/A</v>
        <stp/>
        <stp>BDP|9542814942600230093</stp>
        <tr r="P1131" s="2"/>
      </tp>
      <tp t="s">
        <v>#N/A N/A</v>
        <stp/>
        <stp>BDP|9982907447889635852</stp>
        <tr r="D763" s="2"/>
      </tp>
      <tp t="s">
        <v>#N/A N/A</v>
        <stp/>
        <stp>BDP|2971089771782782258</stp>
        <tr r="D675" s="2"/>
      </tp>
      <tp t="s">
        <v>#N/A N/A</v>
        <stp/>
        <stp>BDP|1753559471720868694</stp>
        <tr r="N25" s="2"/>
      </tp>
      <tp t="s">
        <v>#N/A N/A</v>
        <stp/>
        <stp>BDP|9710923357923005303</stp>
        <tr r="G990" s="2"/>
      </tp>
      <tp t="s">
        <v>#N/A N/A</v>
        <stp/>
        <stp>BDP|5776140548807910206</stp>
        <tr r="F943" s="2"/>
      </tp>
      <tp t="s">
        <v>#N/A N/A</v>
        <stp/>
        <stp>BDP|5904686630135692056</stp>
        <tr r="J1014" s="2"/>
      </tp>
      <tp t="s">
        <v>#N/A N/A</v>
        <stp/>
        <stp>BDP|1093960050271149957</stp>
        <tr r="M634" s="2"/>
      </tp>
      <tp t="s">
        <v>#N/A N/A</v>
        <stp/>
        <stp>BDP|7808297400029175928</stp>
        <tr r="Q700" s="2"/>
      </tp>
      <tp t="s">
        <v>#N/A N/A</v>
        <stp/>
        <stp>BDP|8872830972796295492</stp>
        <tr r="K1739" s="2"/>
      </tp>
      <tp t="s">
        <v>#N/A N/A</v>
        <stp/>
        <stp>BDP|3191541036046365625</stp>
        <tr r="A784" s="2"/>
      </tp>
      <tp t="s">
        <v>#N/A N/A</v>
        <stp/>
        <stp>BDP|4133218527729105847</stp>
        <tr r="D1406" s="2"/>
      </tp>
      <tp t="s">
        <v>#N/A N/A</v>
        <stp/>
        <stp>BDP|5354147724721362228</stp>
        <tr r="C981" s="2"/>
      </tp>
      <tp t="s">
        <v>#N/A N/A</v>
        <stp/>
        <stp>BDP|1098625695699440214</stp>
        <tr r="O1649" s="2"/>
      </tp>
      <tp t="s">
        <v>#N/A N/A</v>
        <stp/>
        <stp>BDP|5270916645638686525</stp>
        <tr r="H657" s="2"/>
      </tp>
      <tp t="s">
        <v>#N/A N/A</v>
        <stp/>
        <stp>BDP|7242714037820703612</stp>
        <tr r="G1051" s="2"/>
      </tp>
      <tp t="s">
        <v>#N/A N/A</v>
        <stp/>
        <stp>BDP|6159549367453156317</stp>
        <tr r="K1150" s="2"/>
      </tp>
      <tp t="s">
        <v>#N/A N/A</v>
        <stp/>
        <stp>BDP|4513878313379779140</stp>
        <tr r="H746" s="2"/>
      </tp>
      <tp t="s">
        <v>#N/A N/A</v>
        <stp/>
        <stp>BDP|8395201395686200063</stp>
        <tr r="M1583" s="2"/>
      </tp>
      <tp t="s">
        <v>#N/A N/A</v>
        <stp/>
        <stp>BDP|7756521436925618171</stp>
        <tr r="O647" s="2"/>
      </tp>
      <tp t="s">
        <v>#N/A N/A</v>
        <stp/>
        <stp>BDP|8357193609815068915</stp>
        <tr r="C363" s="2"/>
      </tp>
      <tp t="s">
        <v>#N/A N/A</v>
        <stp/>
        <stp>BDP|6665609963155048676</stp>
        <tr r="F221" s="2"/>
      </tp>
      <tp t="s">
        <v>#N/A N/A</v>
        <stp/>
        <stp>BDP|3013158916641003713</stp>
        <tr r="E1728" s="2"/>
      </tp>
      <tp t="s">
        <v>#N/A N/A</v>
        <stp/>
        <stp>BDP|2528597145697288197</stp>
        <tr r="S213" s="2"/>
      </tp>
      <tp t="s">
        <v>#N/A N/A</v>
        <stp/>
        <stp>BDP|4280999539493099803</stp>
        <tr r="K995" s="2"/>
      </tp>
      <tp t="s">
        <v>#N/A N/A</v>
        <stp/>
        <stp>BDP|8022535586953603311</stp>
        <tr r="H1082" s="2"/>
      </tp>
      <tp t="s">
        <v>#N/A N/A</v>
        <stp/>
        <stp>BDP|2658268175106715402</stp>
        <tr r="K710" s="2"/>
      </tp>
      <tp t="s">
        <v>#N/A N/A</v>
        <stp/>
        <stp>BDS|3697613149267929356</stp>
        <tr r="I1725" s="2"/>
      </tp>
      <tp t="s">
        <v>#N/A N/A</v>
        <stp/>
        <stp>BDP|8283497285230569194</stp>
        <tr r="T1210" s="2"/>
      </tp>
      <tp t="s">
        <v>#N/A N/A</v>
        <stp/>
        <stp>BDP|6539259043132679772</stp>
        <tr r="Q1173" s="2"/>
      </tp>
      <tp t="s">
        <v>#N/A N/A</v>
        <stp/>
        <stp>BDP|9156382978389524168</stp>
        <tr r="Q175" s="2"/>
      </tp>
      <tp t="s">
        <v>#N/A N/A</v>
        <stp/>
        <stp>BDP|9973184600179481474</stp>
        <tr r="J1207" s="2"/>
      </tp>
      <tp t="s">
        <v>#N/A N/A</v>
        <stp/>
        <stp>BDP|3720768912233477351</stp>
        <tr r="N759" s="2"/>
      </tp>
      <tp t="s">
        <v>#N/A N/A</v>
        <stp/>
        <stp>BDP|4404531867067765559</stp>
        <tr r="N1010" s="2"/>
      </tp>
      <tp t="s">
        <v>#N/A N/A</v>
        <stp/>
        <stp>BDP|1131455116527948699</stp>
        <tr r="M1525" s="2"/>
      </tp>
      <tp t="s">
        <v>#N/A N/A</v>
        <stp/>
        <stp>BDP|4729011550583234764</stp>
        <tr r="K248" s="2"/>
      </tp>
      <tp t="s">
        <v>#N/A N/A</v>
        <stp/>
        <stp>BDP|7531552342070546354</stp>
        <tr r="J527" s="2"/>
      </tp>
      <tp t="s">
        <v>#N/A N/A</v>
        <stp/>
        <stp>BDP|7093303857851378565</stp>
        <tr r="J861" s="2"/>
      </tp>
      <tp t="s">
        <v>#N/A N/A</v>
        <stp/>
        <stp>BDP|6106637061772176107</stp>
        <tr r="K1050" s="2"/>
      </tp>
      <tp t="s">
        <v>#N/A N/A</v>
        <stp/>
        <stp>BDP|8084950365674772659</stp>
        <tr r="D705" s="2"/>
      </tp>
      <tp t="s">
        <v>#N/A N/A</v>
        <stp/>
        <stp>BDP|1798734393509613339</stp>
        <tr r="A514" s="2"/>
      </tp>
      <tp t="s">
        <v>#N/A N/A</v>
        <stp/>
        <stp>BDP|1374313176881787114</stp>
        <tr r="T1159" s="2"/>
      </tp>
      <tp t="s">
        <v>#N/A N/A</v>
        <stp/>
        <stp>BDP|7698455441795211729</stp>
        <tr r="O914" s="2"/>
      </tp>
      <tp t="s">
        <v>#N/A N/A</v>
        <stp/>
        <stp>BDP|5146270527326647650</stp>
        <tr r="G386" s="2"/>
      </tp>
      <tp t="s">
        <v>#N/A N/A</v>
        <stp/>
        <stp>BDP|8935680261765130834</stp>
        <tr r="H1441" s="2"/>
      </tp>
      <tp t="s">
        <v>#N/A N/A</v>
        <stp/>
        <stp>BDP|9478997329305187278</stp>
        <tr r="E1300" s="2"/>
      </tp>
      <tp t="s">
        <v>#N/A N/A</v>
        <stp/>
        <stp>BDP|7663925969028847574</stp>
        <tr r="R760" s="2"/>
      </tp>
      <tp t="s">
        <v>#N/A N/A</v>
        <stp/>
        <stp>BDP|4472289812157497585</stp>
        <tr r="C838" s="2"/>
      </tp>
      <tp t="s">
        <v>#N/A N/A</v>
        <stp/>
        <stp>BDS|2058107103150717662</stp>
        <tr r="I1126" s="2"/>
      </tp>
      <tp t="s">
        <v>#N/A N/A</v>
        <stp/>
        <stp>BDS|5056235530747542642</stp>
        <tr r="I1483" s="2"/>
      </tp>
      <tp t="s">
        <v>#N/A N/A</v>
        <stp/>
        <stp>BDP|6789363817902550315</stp>
        <tr r="A447" s="2"/>
      </tp>
      <tp t="s">
        <v>#N/A N/A</v>
        <stp/>
        <stp>BDP|5016226161027629377</stp>
        <tr r="G663" s="2"/>
      </tp>
      <tp t="s">
        <v>#N/A N/A</v>
        <stp/>
        <stp>BDP|2778350254449164857</stp>
        <tr r="K172" s="2"/>
      </tp>
      <tp t="s">
        <v>#N/A N/A</v>
        <stp/>
        <stp>BDP|1370152434673848585</stp>
        <tr r="R590" s="2"/>
      </tp>
      <tp t="s">
        <v>#N/A N/A</v>
        <stp/>
        <stp>BDP|9179210768091960934</stp>
        <tr r="K16" s="2"/>
      </tp>
      <tp t="s">
        <v>#N/A N/A</v>
        <stp/>
        <stp>BDP|7920637408547809385</stp>
        <tr r="C1650" s="2"/>
      </tp>
      <tp t="s">
        <v>#N/A N/A</v>
        <stp/>
        <stp>BDP|6750119943352398442</stp>
        <tr r="J783" s="2"/>
      </tp>
      <tp t="s">
        <v>#N/A N/A</v>
        <stp/>
        <stp>BDS|9764021512908314568</stp>
        <tr r="I439" s="2"/>
      </tp>
      <tp t="s">
        <v>#N/A N/A</v>
        <stp/>
        <stp>BDP|7484910087062455149</stp>
        <tr r="N769" s="2"/>
      </tp>
      <tp t="s">
        <v>#N/A N/A</v>
        <stp/>
        <stp>BDP|7072309618864942436</stp>
        <tr r="J490" s="2"/>
      </tp>
      <tp t="s">
        <v>#N/A N/A</v>
        <stp/>
        <stp>BDP|8461304146649814381</stp>
        <tr r="M1557" s="2"/>
      </tp>
      <tp t="s">
        <v>#N/A N/A</v>
        <stp/>
        <stp>BDP|5562017257232102707</stp>
        <tr r="K673" s="2"/>
      </tp>
      <tp t="s">
        <v>#N/A N/A</v>
        <stp/>
        <stp>BDP|4608767362358653865</stp>
        <tr r="E920" s="2"/>
      </tp>
      <tp t="s">
        <v>#N/A N/A</v>
        <stp/>
        <stp>BDP|5008979490162444218</stp>
        <tr r="G221" s="2"/>
      </tp>
      <tp t="s">
        <v>#N/A N/A</v>
        <stp/>
        <stp>BDP|9634917615154399038</stp>
        <tr r="N1599" s="2"/>
      </tp>
      <tp t="s">
        <v>#N/A N/A</v>
        <stp/>
        <stp>BDP|7296551423490782510</stp>
        <tr r="C28" s="2"/>
      </tp>
      <tp t="s">
        <v>#N/A N/A</v>
        <stp/>
        <stp>BDP|3152482309005275707</stp>
        <tr r="E1071" s="2"/>
      </tp>
      <tp t="s">
        <v>#N/A N/A</v>
        <stp/>
        <stp>BDP|5744237737419577847</stp>
        <tr r="E1168" s="2"/>
      </tp>
      <tp t="s">
        <v>#N/A N/A</v>
        <stp/>
        <stp>BDP|7642727776077367532</stp>
        <tr r="S1264" s="2"/>
      </tp>
      <tp t="s">
        <v>#N/A N/A</v>
        <stp/>
        <stp>BDP|7757332589168875176</stp>
        <tr r="C498" s="2"/>
      </tp>
      <tp t="s">
        <v>#N/A N/A</v>
        <stp/>
        <stp>BDP|8140897267355935644</stp>
        <tr r="O165" s="2"/>
      </tp>
      <tp t="s">
        <v>#N/A N/A</v>
        <stp/>
        <stp>BDP|1180169825871093607</stp>
        <tr r="O102" s="2"/>
      </tp>
      <tp t="s">
        <v>#N/A N/A</v>
        <stp/>
        <stp>BDP|7609359057375352158</stp>
        <tr r="T1735" s="2"/>
      </tp>
      <tp t="s">
        <v>#N/A N/A</v>
        <stp/>
        <stp>BDS|1622526762202249566</stp>
        <tr r="I894" s="2"/>
      </tp>
      <tp t="s">
        <v>#N/A N/A</v>
        <stp/>
        <stp>BDP|4439427150920797033</stp>
        <tr r="P1091" s="2"/>
      </tp>
      <tp t="s">
        <v>#N/A N/A</v>
        <stp/>
        <stp>BDS|5207050278260537784</stp>
        <tr r="I516" s="2"/>
      </tp>
      <tp t="s">
        <v>#N/A N/A</v>
        <stp/>
        <stp>BDP|2541334459716845755</stp>
        <tr r="M1038" s="2"/>
      </tp>
      <tp t="s">
        <v>#N/A N/A</v>
        <stp/>
        <stp>BDP|8598449918608852035</stp>
        <tr r="F1480" s="2"/>
      </tp>
      <tp t="s">
        <v>#N/A N/A</v>
        <stp/>
        <stp>BDP|3922665116552348380</stp>
        <tr r="S869" s="2"/>
      </tp>
      <tp t="s">
        <v>#N/A N/A</v>
        <stp/>
        <stp>BDS|2616135546654208637</stp>
        <tr r="I31" s="2"/>
      </tp>
      <tp t="s">
        <v>#N/A N/A</v>
        <stp/>
        <stp>BDP|3976186052216838496</stp>
        <tr r="D29" s="2"/>
      </tp>
      <tp t="s">
        <v>#N/A N/A</v>
        <stp/>
        <stp>BDP|4351060879752754491</stp>
        <tr r="P35" s="2"/>
      </tp>
      <tp t="s">
        <v>#N/A N/A</v>
        <stp/>
        <stp>BDP|1341149341223105246</stp>
        <tr r="D1104" s="2"/>
      </tp>
      <tp t="s">
        <v>#N/A N/A</v>
        <stp/>
        <stp>BDP|5701235615784699742</stp>
        <tr r="S1695" s="2"/>
      </tp>
      <tp t="s">
        <v>#N/A N/A</v>
        <stp/>
        <stp>BDP|5900676349661706339</stp>
        <tr r="D720" s="2"/>
      </tp>
      <tp t="s">
        <v>#N/A N/A</v>
        <stp/>
        <stp>BDP|9660875465732058078</stp>
        <tr r="T27" s="2"/>
      </tp>
      <tp t="s">
        <v>#N/A N/A</v>
        <stp/>
        <stp>BDP|4263451294874514856</stp>
        <tr r="E91" s="2"/>
      </tp>
      <tp t="s">
        <v>#N/A N/A</v>
        <stp/>
        <stp>BDS|6911494796347590904</stp>
        <tr r="I820" s="2"/>
      </tp>
      <tp t="s">
        <v>#N/A N/A</v>
        <stp/>
        <stp>BDP|6927266648673198653</stp>
        <tr r="S689" s="2"/>
      </tp>
      <tp t="s">
        <v>#N/A N/A</v>
        <stp/>
        <stp>BDP|6696005333722368255</stp>
        <tr r="P1325" s="2"/>
      </tp>
      <tp t="s">
        <v>#N/A N/A</v>
        <stp/>
        <stp>BDP|4969845675607946929</stp>
        <tr r="R1189" s="2"/>
      </tp>
      <tp t="s">
        <v>#N/A N/A</v>
        <stp/>
        <stp>BDP|4113207905691509228</stp>
        <tr r="G207" s="2"/>
      </tp>
      <tp t="s">
        <v>#N/A N/A</v>
        <stp/>
        <stp>BDP|5612947723083167838</stp>
        <tr r="E1596" s="2"/>
      </tp>
      <tp t="s">
        <v>#N/A N/A</v>
        <stp/>
        <stp>BDP|6144445307805972285</stp>
        <tr r="K1688" s="2"/>
      </tp>
      <tp t="s">
        <v>#N/A N/A</v>
        <stp/>
        <stp>BDP|4894397505736473435</stp>
        <tr r="H1618" s="2"/>
      </tp>
      <tp t="s">
        <v>#N/A N/A</v>
        <stp/>
        <stp>BDP|2247248906774786148</stp>
        <tr r="S412" s="2"/>
      </tp>
      <tp t="s">
        <v>#N/A N/A</v>
        <stp/>
        <stp>BDP|1678214664074790471</stp>
        <tr r="M1395" s="2"/>
      </tp>
      <tp t="s">
        <v>#N/A N/A</v>
        <stp/>
        <stp>BDP|2072095037933468796</stp>
        <tr r="J231" s="2"/>
      </tp>
      <tp t="s">
        <v>#N/A N/A</v>
        <stp/>
        <stp>BDP|6059930632049360018</stp>
        <tr r="A1679" s="2"/>
      </tp>
      <tp t="s">
        <v>#N/A N/A</v>
        <stp/>
        <stp>BDP|2245863481271370658</stp>
        <tr r="D557" s="2"/>
      </tp>
      <tp t="s">
        <v>#N/A N/A</v>
        <stp/>
        <stp>BDP|5183352935093134333</stp>
        <tr r="P1537" s="2"/>
      </tp>
      <tp t="s">
        <v>#N/A N/A</v>
        <stp/>
        <stp>BDP|8627637696074798676</stp>
        <tr r="E883" s="2"/>
      </tp>
      <tp t="s">
        <v>#N/A N/A</v>
        <stp/>
        <stp>BDP|9562842710331482462</stp>
        <tr r="J18" s="2"/>
      </tp>
      <tp t="s">
        <v>#N/A N/A</v>
        <stp/>
        <stp>BDP|5382477392309604431</stp>
        <tr r="H534" s="2"/>
      </tp>
      <tp t="s">
        <v>#N/A N/A</v>
        <stp/>
        <stp>BDP|6798938502639196343</stp>
        <tr r="P749" s="2"/>
      </tp>
      <tp t="s">
        <v>#N/A N/A</v>
        <stp/>
        <stp>BDP|9250624596481488211</stp>
        <tr r="D468" s="2"/>
      </tp>
      <tp t="s">
        <v>#N/A N/A</v>
        <stp/>
        <stp>BDP|4187742650287769412</stp>
        <tr r="P1360" s="2"/>
      </tp>
      <tp t="s">
        <v>#N/A N/A</v>
        <stp/>
        <stp>BDP|6817682646770387160</stp>
        <tr r="C697" s="2"/>
      </tp>
      <tp t="s">
        <v>#N/A N/A</v>
        <stp/>
        <stp>BDP|8686151170318017307</stp>
        <tr r="M508" s="2"/>
      </tp>
      <tp t="s">
        <v>#N/A N/A</v>
        <stp/>
        <stp>BDP|1725111847361397015</stp>
        <tr r="D1390" s="2"/>
      </tp>
      <tp t="s">
        <v>#N/A N/A</v>
        <stp/>
        <stp>BDP|5958634631182158799</stp>
        <tr r="E115" s="2"/>
      </tp>
      <tp t="s">
        <v>#N/A N/A</v>
        <stp/>
        <stp>BDP|7931868444528122693</stp>
        <tr r="T1284" s="2"/>
      </tp>
      <tp t="s">
        <v>#N/A N/A</v>
        <stp/>
        <stp>BDP|6205795518200196511</stp>
        <tr r="C1497" s="2"/>
      </tp>
      <tp t="s">
        <v>#N/A N/A</v>
        <stp/>
        <stp>BDP|7212436394908406721</stp>
        <tr r="O301" s="2"/>
      </tp>
      <tp t="s">
        <v>#N/A N/A</v>
        <stp/>
        <stp>BDP|5026336753106191023</stp>
        <tr r="R1073" s="2"/>
      </tp>
      <tp t="s">
        <v>#N/A N/A</v>
        <stp/>
        <stp>BDP|8285507776768246753</stp>
        <tr r="C534" s="2"/>
      </tp>
      <tp t="s">
        <v>#N/A N/A</v>
        <stp/>
        <stp>BDP|3710751002947428674</stp>
        <tr r="A1196" s="2"/>
      </tp>
      <tp t="s">
        <v>#N/A N/A</v>
        <stp/>
        <stp>BDP|2620847097887676105</stp>
        <tr r="A1453" s="2"/>
      </tp>
      <tp t="s">
        <v>#N/A N/A</v>
        <stp/>
        <stp>BDP|9970899082038289439</stp>
        <tr r="C1188" s="2"/>
      </tp>
      <tp t="s">
        <v>#N/A N/A</v>
        <stp/>
        <stp>BDP|4199988387088867859</stp>
        <tr r="D302" s="2"/>
      </tp>
      <tp t="s">
        <v>#N/A N/A</v>
        <stp/>
        <stp>BDP|4011939157609430433</stp>
        <tr r="D320" s="2"/>
      </tp>
      <tp t="s">
        <v>#N/A N/A</v>
        <stp/>
        <stp>BDS|9767944469447036498</stp>
        <tr r="I611" s="2"/>
      </tp>
      <tp t="s">
        <v>#N/A N/A</v>
        <stp/>
        <stp>BDP|6132484036955838143</stp>
        <tr r="J1429" s="2"/>
      </tp>
      <tp t="s">
        <v>#N/A N/A</v>
        <stp/>
        <stp>BDP|1876696328883945333</stp>
        <tr r="J43" s="2"/>
      </tp>
      <tp t="s">
        <v>#N/A N/A</v>
        <stp/>
        <stp>BDP|6751609350936775633</stp>
        <tr r="A1295" s="2"/>
      </tp>
      <tp t="s">
        <v>#N/A N/A</v>
        <stp/>
        <stp>BDP|1551263219126864110</stp>
        <tr r="J462" s="2"/>
      </tp>
      <tp t="s">
        <v>#N/A N/A</v>
        <stp/>
        <stp>BDP|1783029745156279616</stp>
        <tr r="E786" s="2"/>
      </tp>
      <tp t="s">
        <v>#N/A N/A</v>
        <stp/>
        <stp>BDP|2508683292361975956</stp>
        <tr r="M1230" s="2"/>
      </tp>
      <tp t="s">
        <v>#N/A N/A</v>
        <stp/>
        <stp>BDP|2869784051167505272</stp>
        <tr r="Q13" s="2"/>
      </tp>
      <tp t="s">
        <v>#N/A N/A</v>
        <stp/>
        <stp>BDP|8344310739608908513</stp>
        <tr r="C879" s="2"/>
      </tp>
      <tp t="s">
        <v>#N/A N/A</v>
        <stp/>
        <stp>BDP|2405785129445556734</stp>
        <tr r="G615" s="2"/>
      </tp>
      <tp t="s">
        <v>#N/A N/A</v>
        <stp/>
        <stp>BDP|4711503210182616722</stp>
        <tr r="T420" s="2"/>
      </tp>
      <tp t="s">
        <v>#N/A N/A</v>
        <stp/>
        <stp>BDP|7640375675434133265</stp>
        <tr r="D311" s="2"/>
      </tp>
      <tp t="s">
        <v>#N/A N/A</v>
        <stp/>
        <stp>BDP|5931857608310754801</stp>
        <tr r="G1526" s="2"/>
      </tp>
      <tp t="s">
        <v>#N/A N/A</v>
        <stp/>
        <stp>BDP|9576375420194748964</stp>
        <tr r="O792" s="2"/>
      </tp>
      <tp t="s">
        <v>#N/A N/A</v>
        <stp/>
        <stp>BDP|3523625511356723724</stp>
        <tr r="P1270" s="2"/>
      </tp>
      <tp t="s">
        <v>#N/A N/A</v>
        <stp/>
        <stp>BDP|6136329651341396422</stp>
        <tr r="D950" s="2"/>
      </tp>
      <tp t="s">
        <v>#N/A N/A</v>
        <stp/>
        <stp>BDP|7322147121245048451</stp>
        <tr r="M722" s="2"/>
      </tp>
      <tp t="s">
        <v>#N/A N/A</v>
        <stp/>
        <stp>BDP|3120435758095806215</stp>
        <tr r="M1306" s="2"/>
      </tp>
      <tp t="s">
        <v>#N/A N/A</v>
        <stp/>
        <stp>BDP|7417246600209128925</stp>
        <tr r="E198" s="2"/>
      </tp>
      <tp t="s">
        <v>#N/A N/A</v>
        <stp/>
        <stp>BDP|2648344947547350755</stp>
        <tr r="T1043" s="2"/>
      </tp>
      <tp t="s">
        <v>#N/A N/A</v>
        <stp/>
        <stp>BDP|4520634566316135723</stp>
        <tr r="C106" s="2"/>
      </tp>
      <tp t="s">
        <v>#N/A N/A</v>
        <stp/>
        <stp>BDP|8540143534437114877</stp>
        <tr r="R1450" s="2"/>
      </tp>
      <tp t="s">
        <v>#N/A N/A</v>
        <stp/>
        <stp>BDP|3799071121043494764</stp>
        <tr r="A455" s="2"/>
      </tp>
      <tp t="s">
        <v>#N/A N/A</v>
        <stp/>
        <stp>BDP|3430464104617669532</stp>
        <tr r="P375" s="2"/>
      </tp>
      <tp t="s">
        <v>#N/A N/A</v>
        <stp/>
        <stp>BDP|6002610019921384585</stp>
        <tr r="E186" s="2"/>
      </tp>
      <tp t="s">
        <v>#N/A N/A</v>
        <stp/>
        <stp>BDP|1252966864458039330</stp>
        <tr r="E294" s="2"/>
      </tp>
      <tp t="s">
        <v>#N/A N/A</v>
        <stp/>
        <stp>BDP|2488031745910839397</stp>
        <tr r="O223" s="2"/>
      </tp>
      <tp t="s">
        <v>#N/A N/A</v>
        <stp/>
        <stp>BDP|5571548953336816699</stp>
        <tr r="T215" s="2"/>
      </tp>
      <tp t="s">
        <v>#N/A N/A</v>
        <stp/>
        <stp>BDP|4487775490456988995</stp>
        <tr r="G453" s="2"/>
      </tp>
      <tp t="s">
        <v>#N/A N/A</v>
        <stp/>
        <stp>BDP|6964742188238770416</stp>
        <tr r="C230" s="2"/>
      </tp>
      <tp t="s">
        <v>#N/A N/A</v>
        <stp/>
        <stp>BDS|7729442536441408420</stp>
        <tr r="I1687" s="2"/>
      </tp>
      <tp t="s">
        <v>#N/A N/A</v>
        <stp/>
        <stp>BDP|5024981058214301807</stp>
        <tr r="R1718" s="2"/>
      </tp>
      <tp t="s">
        <v>#N/A N/A</v>
        <stp/>
        <stp>BDP|2375309519862973707</stp>
        <tr r="F27" s="2"/>
      </tp>
      <tp t="s">
        <v>#N/A N/A</v>
        <stp/>
        <stp>BDP|9503472595703063245</stp>
        <tr r="J1440" s="2"/>
      </tp>
      <tp t="s">
        <v>#N/A N/A</v>
        <stp/>
        <stp>BDP|4697938322349620326</stp>
        <tr r="R232" s="2"/>
      </tp>
      <tp t="s">
        <v>#N/A N/A</v>
        <stp/>
        <stp>BDP|7642905988372557181</stp>
        <tr r="H1365" s="2"/>
      </tp>
      <tp t="s">
        <v>#N/A N/A</v>
        <stp/>
        <stp>BDP|5003788712670916636</stp>
        <tr r="Q1041" s="2"/>
      </tp>
      <tp t="s">
        <v>#N/A N/A</v>
        <stp/>
        <stp>BDP|8487288737925961926</stp>
        <tr r="O1172" s="2"/>
      </tp>
      <tp t="s">
        <v>#N/A N/A</v>
        <stp/>
        <stp>BDP|2310322202291396501</stp>
        <tr r="O1454" s="2"/>
      </tp>
      <tp t="s">
        <v>#N/A N/A</v>
        <stp/>
        <stp>BDP|4726634285349688674</stp>
        <tr r="R144" s="2"/>
      </tp>
      <tp t="s">
        <v>#N/A N/A</v>
        <stp/>
        <stp>BDP|2580739505208098832</stp>
        <tr r="D795" s="2"/>
      </tp>
      <tp t="s">
        <v>#N/A N/A</v>
        <stp/>
        <stp>BDP|8572834880378217549</stp>
        <tr r="O784" s="2"/>
      </tp>
      <tp t="s">
        <v>#N/A N/A</v>
        <stp/>
        <stp>BDP|1307840254928707142</stp>
        <tr r="A359" s="2"/>
      </tp>
      <tp t="s">
        <v>#N/A N/A</v>
        <stp/>
        <stp>BDP|4953799721613008711</stp>
        <tr r="M246" s="2"/>
      </tp>
      <tp t="s">
        <v>#N/A N/A</v>
        <stp/>
        <stp>BDS|3330052075874672557</stp>
        <tr r="I1339" s="2"/>
      </tp>
      <tp t="s">
        <v>#N/A N/A</v>
        <stp/>
        <stp>BDP|2766527050162033559</stp>
        <tr r="H524" s="2"/>
      </tp>
      <tp t="s">
        <v>#N/A N/A</v>
        <stp/>
        <stp>BDP|2349483163695197095</stp>
        <tr r="J910" s="2"/>
      </tp>
      <tp t="s">
        <v>#N/A N/A</v>
        <stp/>
        <stp>BDP|5256266031014370569</stp>
        <tr r="G626" s="2"/>
      </tp>
      <tp t="s">
        <v>#N/A N/A</v>
        <stp/>
        <stp>BDP|9451063785362707608</stp>
        <tr r="H655" s="2"/>
      </tp>
      <tp t="s">
        <v>#N/A N/A</v>
        <stp/>
        <stp>BDP|7849086971391449458</stp>
        <tr r="F1695" s="2"/>
      </tp>
      <tp t="s">
        <v>#N/A N/A</v>
        <stp/>
        <stp>BDP|4693465841013695278</stp>
        <tr r="Q568" s="2"/>
      </tp>
      <tp t="s">
        <v>#N/A N/A</v>
        <stp/>
        <stp>BDP|5549027703909745933</stp>
        <tr r="O487" s="2"/>
      </tp>
      <tp t="s">
        <v>#N/A N/A</v>
        <stp/>
        <stp>BDP|3131460537855476440</stp>
        <tr r="M494" s="2"/>
      </tp>
      <tp t="s">
        <v>#N/A N/A</v>
        <stp/>
        <stp>BDP|7497347453312751644</stp>
        <tr r="A1296" s="2"/>
      </tp>
      <tp t="s">
        <v>#N/A N/A</v>
        <stp/>
        <stp>BDP|7493339341287094267</stp>
        <tr r="T92" s="2"/>
      </tp>
      <tp t="s">
        <v>#N/A N/A</v>
        <stp/>
        <stp>BDP|7678702836955468346</stp>
        <tr r="N799" s="2"/>
      </tp>
      <tp t="s">
        <v>#N/A N/A</v>
        <stp/>
        <stp>BDP|9270875914842933785</stp>
        <tr r="T576" s="2"/>
      </tp>
      <tp t="s">
        <v>#N/A N/A</v>
        <stp/>
        <stp>BDP|4709541345912523236</stp>
        <tr r="G452" s="2"/>
      </tp>
      <tp t="s">
        <v>#N/A N/A</v>
        <stp/>
        <stp>BDP|7323939338751022981</stp>
        <tr r="E778" s="2"/>
      </tp>
      <tp t="s">
        <v>#N/A N/A</v>
        <stp/>
        <stp>BDP|3309544421143539239</stp>
        <tr r="C1139" s="2"/>
      </tp>
      <tp t="s">
        <v>#N/A N/A</v>
        <stp/>
        <stp>BDP|4563958800720639865</stp>
        <tr r="P185" s="2"/>
      </tp>
      <tp t="s">
        <v>#N/A N/A</v>
        <stp/>
        <stp>BDP|5487687376686260780</stp>
        <tr r="P1680" s="2"/>
      </tp>
      <tp t="s">
        <v>#N/A N/A</v>
        <stp/>
        <stp>BDP|4641744944625015768</stp>
        <tr r="S1659" s="2"/>
      </tp>
      <tp t="s">
        <v>#N/A N/A</v>
        <stp/>
        <stp>BDP|8352316912847960892</stp>
        <tr r="G500" s="2"/>
      </tp>
      <tp t="s">
        <v>#N/A N/A</v>
        <stp/>
        <stp>BDP|7113336590920670847</stp>
        <tr r="H1469" s="2"/>
      </tp>
      <tp t="s">
        <v>#N/A N/A</v>
        <stp/>
        <stp>BDP|3984374128004142376</stp>
        <tr r="R966" s="2"/>
      </tp>
      <tp t="s">
        <v>#N/A N/A</v>
        <stp/>
        <stp>BDP|5101558407085622054</stp>
        <tr r="P604" s="2"/>
      </tp>
      <tp t="s">
        <v>#N/A N/A</v>
        <stp/>
        <stp>BDP|9717507015789264109</stp>
        <tr r="H246" s="2"/>
      </tp>
      <tp t="s">
        <v>#N/A N/A</v>
        <stp/>
        <stp>BDP|4746921702220436835</stp>
        <tr r="G1131" s="2"/>
      </tp>
      <tp t="s">
        <v>#N/A N/A</v>
        <stp/>
        <stp>BDP|7766038569552437699</stp>
        <tr r="F1069" s="2"/>
      </tp>
      <tp t="s">
        <v>#N/A N/A</v>
        <stp/>
        <stp>BDP|2769526241645300377</stp>
        <tr r="J1218" s="2"/>
      </tp>
      <tp t="s">
        <v>#N/A N/A</v>
        <stp/>
        <stp>BDP|5025439533871301633</stp>
        <tr r="G71" s="2"/>
      </tp>
      <tp t="s">
        <v>#N/A N/A</v>
        <stp/>
        <stp>BDP|3415166411232515464</stp>
        <tr r="R1083" s="2"/>
      </tp>
      <tp t="s">
        <v>#N/A N/A</v>
        <stp/>
        <stp>BDP|1573463639631247286</stp>
        <tr r="D61" s="2"/>
      </tp>
      <tp t="s">
        <v>#N/A N/A</v>
        <stp/>
        <stp>BDP|1812021272576176592</stp>
        <tr r="F1515" s="2"/>
      </tp>
      <tp t="s">
        <v>#N/A N/A</v>
        <stp/>
        <stp>BDP|5122970197735078512</stp>
        <tr r="A1726" s="2"/>
      </tp>
      <tp t="s">
        <v>#N/A N/A</v>
        <stp/>
        <stp>BDP|4374358170337063269</stp>
        <tr r="K442" s="2"/>
      </tp>
      <tp t="s">
        <v>#N/A N/A</v>
        <stp/>
        <stp>BDP|6950117275963803658</stp>
        <tr r="S625" s="2"/>
      </tp>
      <tp t="s">
        <v>#N/A N/A</v>
        <stp/>
        <stp>BDP|9982897216873366652</stp>
        <tr r="S181" s="2"/>
      </tp>
      <tp t="s">
        <v>#N/A N/A</v>
        <stp/>
        <stp>BDS|2763450536746230662</stp>
        <tr r="I567" s="2"/>
      </tp>
      <tp t="s">
        <v>#N/A N/A</v>
        <stp/>
        <stp>BDS|1018534890559156125</stp>
        <tr r="I833" s="2"/>
      </tp>
      <tp t="s">
        <v>#N/A N/A</v>
        <stp/>
        <stp>BDP|9884101621968859716</stp>
        <tr r="H327" s="2"/>
      </tp>
      <tp t="s">
        <v>#N/A N/A</v>
        <stp/>
        <stp>BDP|8038950115242543756</stp>
        <tr r="A706" s="2"/>
      </tp>
      <tp t="s">
        <v>#N/A N/A</v>
        <stp/>
        <stp>BDP|8514985991424561995</stp>
        <tr r="O415" s="2"/>
      </tp>
      <tp t="s">
        <v>#N/A N/A</v>
        <stp/>
        <stp>BDS|2304920985744671220</stp>
        <tr r="I1440" s="2"/>
      </tp>
      <tp t="s">
        <v>#N/A N/A</v>
        <stp/>
        <stp>BDS|1628706620177620607</stp>
        <tr r="I721" s="2"/>
      </tp>
      <tp t="s">
        <v>#N/A N/A</v>
        <stp/>
        <stp>BDS|5059407620335436342</stp>
        <tr r="I756" s="2"/>
      </tp>
      <tp t="s">
        <v>#N/A N/A</v>
        <stp/>
        <stp>BDP|9402208682074638208</stp>
        <tr r="S613" s="2"/>
      </tp>
      <tp t="s">
        <v>#N/A N/A</v>
        <stp/>
        <stp>BDP|9676502220042274940</stp>
        <tr r="D1190" s="2"/>
      </tp>
      <tp t="s">
        <v>#N/A N/A</v>
        <stp/>
        <stp>BDP|5675589359669185962</stp>
        <tr r="H12" s="2"/>
      </tp>
      <tp t="s">
        <v>#N/A N/A</v>
        <stp/>
        <stp>BDP|6108623203090976596</stp>
        <tr r="J855" s="2"/>
      </tp>
      <tp t="s">
        <v>#N/A N/A</v>
        <stp/>
        <stp>BDP|5676254631675149433</stp>
        <tr r="A871" s="2"/>
      </tp>
      <tp t="s">
        <v>#N/A N/A</v>
        <stp/>
        <stp>BDP|2028398718220836599</stp>
        <tr r="H1110" s="2"/>
      </tp>
      <tp t="s">
        <v>#N/A N/A</v>
        <stp/>
        <stp>BDP|3543215687149374502</stp>
        <tr r="E806" s="2"/>
      </tp>
      <tp t="s">
        <v>#N/A N/A</v>
        <stp/>
        <stp>BDP|7476574635233714715</stp>
        <tr r="P850" s="2"/>
      </tp>
      <tp t="s">
        <v>#N/A N/A</v>
        <stp/>
        <stp>BDP|3847041484006020882</stp>
        <tr r="S1034" s="2"/>
      </tp>
      <tp t="s">
        <v>#N/A N/A</v>
        <stp/>
        <stp>BDP|5134049990660796921</stp>
        <tr r="H1296" s="2"/>
      </tp>
      <tp t="s">
        <v>#N/A N/A</v>
        <stp/>
        <stp>BDP|5746756063400749166</stp>
        <tr r="M1642" s="2"/>
      </tp>
      <tp t="s">
        <v>#N/A N/A</v>
        <stp/>
        <stp>BDP|2774503317742875183</stp>
        <tr r="P168" s="2"/>
      </tp>
      <tp t="s">
        <v>#N/A N/A</v>
        <stp/>
        <stp>BDP|8291023044438213168</stp>
        <tr r="D423" s="2"/>
      </tp>
      <tp t="s">
        <v>#N/A N/A</v>
        <stp/>
        <stp>BDP|7268557097148305637</stp>
        <tr r="R89" s="2"/>
      </tp>
      <tp t="s">
        <v>#N/A N/A</v>
        <stp/>
        <stp>BDP|7414101534713179317</stp>
        <tr r="P285" s="2"/>
      </tp>
      <tp t="s">
        <v>#N/A N/A</v>
        <stp/>
        <stp>BDP|4131645340503645031</stp>
        <tr r="O1421" s="2"/>
      </tp>
      <tp t="s">
        <v>#N/A N/A</v>
        <stp/>
        <stp>BDP|6575320608536727686</stp>
        <tr r="E1129" s="2"/>
      </tp>
      <tp t="s">
        <v>#N/A N/A</v>
        <stp/>
        <stp>BDP|3504203823074737216</stp>
        <tr r="S1432" s="2"/>
      </tp>
      <tp t="s">
        <v>#N/A N/A</v>
        <stp/>
        <stp>BDP|4255213545867798011</stp>
        <tr r="E1124" s="2"/>
      </tp>
      <tp t="s">
        <v>#N/A N/A</v>
        <stp/>
        <stp>BDS|5442530127386752177</stp>
        <tr r="I1123" s="2"/>
      </tp>
      <tp t="s">
        <v>#N/A N/A</v>
        <stp/>
        <stp>BDP|1712295863775837556</stp>
        <tr r="E74" s="2"/>
      </tp>
      <tp t="s">
        <v>#N/A N/A</v>
        <stp/>
        <stp>BDP|2923076191338885666</stp>
        <tr r="F326" s="2"/>
      </tp>
      <tp t="s">
        <v>#N/A N/A</v>
        <stp/>
        <stp>BDP|6146944896833128033</stp>
        <tr r="J275" s="2"/>
      </tp>
      <tp t="s">
        <v>#N/A N/A</v>
        <stp/>
        <stp>BDP|1064237443211586342</stp>
        <tr r="D481" s="2"/>
      </tp>
      <tp t="s">
        <v>#N/A N/A</v>
        <stp/>
        <stp>BDP|9810023684745643198</stp>
        <tr r="K973" s="2"/>
      </tp>
      <tp t="s">
        <v>#N/A N/A</v>
        <stp/>
        <stp>BDP|2553168134672709712</stp>
        <tr r="D528" s="2"/>
      </tp>
      <tp t="s">
        <v>#N/A N/A</v>
        <stp/>
        <stp>BDP|2236709899688271183</stp>
        <tr r="C420" s="2"/>
      </tp>
      <tp t="s">
        <v>#N/A N/A</v>
        <stp/>
        <stp>BDP|2356798569526216001</stp>
        <tr r="M368" s="2"/>
      </tp>
      <tp t="s">
        <v>#N/A N/A</v>
        <stp/>
        <stp>BDP|5329224830554297522</stp>
        <tr r="F1410" s="2"/>
      </tp>
      <tp t="s">
        <v>#N/A N/A</v>
        <stp/>
        <stp>BDP|8522138446490542842</stp>
        <tr r="N588" s="2"/>
      </tp>
      <tp t="s">
        <v>#N/A N/A</v>
        <stp/>
        <stp>BDP|5982577139300408624</stp>
        <tr r="G1532" s="2"/>
      </tp>
      <tp t="s">
        <v>#N/A N/A</v>
        <stp/>
        <stp>BDP|6371653669266781595</stp>
        <tr r="C932" s="2"/>
      </tp>
      <tp t="s">
        <v>#N/A N/A</v>
        <stp/>
        <stp>BDP|8357452658154985865</stp>
        <tr r="K1195" s="2"/>
      </tp>
      <tp t="s">
        <v>#N/A N/A</v>
        <stp/>
        <stp>BDP|1557229330450553536</stp>
        <tr r="G51" s="2"/>
      </tp>
      <tp t="s">
        <v>#N/A N/A</v>
        <stp/>
        <stp>BDP|4934268168787131274</stp>
        <tr r="R1723" s="2"/>
      </tp>
      <tp t="s">
        <v>#N/A N/A</v>
        <stp/>
        <stp>BDP|1197313374920115048</stp>
        <tr r="K243" s="2"/>
      </tp>
      <tp t="s">
        <v>#N/A N/A</v>
        <stp/>
        <stp>BDP|3589111325696910394</stp>
        <tr r="D929" s="2"/>
      </tp>
      <tp t="s">
        <v>#N/A N/A</v>
        <stp/>
        <stp>BDP|5117077614870402173</stp>
        <tr r="R243" s="2"/>
      </tp>
      <tp t="s">
        <v>#N/A N/A</v>
        <stp/>
        <stp>BDP|9467368685475460221</stp>
        <tr r="O1750" s="2"/>
      </tp>
      <tp t="s">
        <v>#N/A N/A</v>
        <stp/>
        <stp>BDP|2248701648971399588</stp>
        <tr r="J708" s="2"/>
      </tp>
      <tp t="s">
        <v>#N/A N/A</v>
        <stp/>
        <stp>BDP|9522377321348437568</stp>
        <tr r="K1325" s="2"/>
      </tp>
      <tp t="s">
        <v>#N/A N/A</v>
        <stp/>
        <stp>BDP|6087049030587413718</stp>
        <tr r="J324" s="2"/>
      </tp>
      <tp t="s">
        <v>#N/A N/A</v>
        <stp/>
        <stp>BDP|7238660454760313128</stp>
        <tr r="T1661" s="2"/>
      </tp>
      <tp t="s">
        <v>#N/A N/A</v>
        <stp/>
        <stp>BDP|9502870374801020276</stp>
        <tr r="M1343" s="2"/>
      </tp>
      <tp t="s">
        <v>#N/A N/A</v>
        <stp/>
        <stp>BDP|5150410049349098983</stp>
        <tr r="G1287" s="2"/>
      </tp>
      <tp t="s">
        <v>#N/A N/A</v>
        <stp/>
        <stp>BDP|6004438516755318372</stp>
        <tr r="T991" s="2"/>
      </tp>
      <tp t="s">
        <v>#N/A N/A</v>
        <stp/>
        <stp>BDP|5426469562251409355</stp>
        <tr r="F1382" s="2"/>
      </tp>
      <tp t="s">
        <v>#N/A N/A</v>
        <stp/>
        <stp>BDP|7909762714177961339</stp>
        <tr r="D1670" s="2"/>
      </tp>
      <tp t="s">
        <v>#N/A N/A</v>
        <stp/>
        <stp>BDP|3041707343934726157</stp>
        <tr r="H1060" s="2"/>
      </tp>
      <tp t="s">
        <v>#N/A N/A</v>
        <stp/>
        <stp>BDS|8651288625855815828</stp>
        <tr r="I1732" s="2"/>
      </tp>
      <tp t="s">
        <v>#N/A N/A</v>
        <stp/>
        <stp>BDP|7240451611462490537</stp>
        <tr r="S583" s="2"/>
      </tp>
      <tp t="s">
        <v>#N/A N/A</v>
        <stp/>
        <stp>BDP|3214204974903120061</stp>
        <tr r="H317" s="2"/>
      </tp>
      <tp t="s">
        <v>#N/A N/A</v>
        <stp/>
        <stp>BDP|2195744152026442327</stp>
        <tr r="H1701" s="2"/>
      </tp>
      <tp t="s">
        <v>#N/A N/A</v>
        <stp/>
        <stp>BDP|3115832362520510849</stp>
        <tr r="S697" s="2"/>
      </tp>
      <tp t="s">
        <v>#N/A N/A</v>
        <stp/>
        <stp>BDP|7053189948487054013</stp>
        <tr r="A212" s="2"/>
      </tp>
      <tp t="s">
        <v>#N/A N/A</v>
        <stp/>
        <stp>BDP|4224517180985205902</stp>
        <tr r="H1715" s="2"/>
      </tp>
      <tp t="s">
        <v>#N/A N/A</v>
        <stp/>
        <stp>BDP|8918882125453494410</stp>
        <tr r="D1121" s="2"/>
      </tp>
      <tp t="s">
        <v>#N/A N/A</v>
        <stp/>
        <stp>BDP|6621535565485555548</stp>
        <tr r="O785" s="2"/>
      </tp>
      <tp t="s">
        <v>#N/A N/A</v>
        <stp/>
        <stp>BDP|4666683129705113072</stp>
        <tr r="Q421" s="2"/>
      </tp>
      <tp t="s">
        <v>#N/A N/A</v>
        <stp/>
        <stp>BDP|9444685385912914018</stp>
        <tr r="T366" s="2"/>
      </tp>
      <tp t="s">
        <v>#N/A N/A</v>
        <stp/>
        <stp>BDP|7842012015294960743</stp>
        <tr r="G517" s="2"/>
      </tp>
      <tp t="s">
        <v>#N/A N/A</v>
        <stp/>
        <stp>BDP|3818020498768217717</stp>
        <tr r="Q725" s="2"/>
      </tp>
      <tp t="s">
        <v>#N/A N/A</v>
        <stp/>
        <stp>BDP|9444889718735638039</stp>
        <tr r="K399" s="2"/>
      </tp>
      <tp t="s">
        <v>#N/A N/A</v>
        <stp/>
        <stp>BDP|7197739184315201850</stp>
        <tr r="K946" s="2"/>
      </tp>
      <tp t="s">
        <v>#N/A N/A</v>
        <stp/>
        <stp>BDP|9057724341016022920</stp>
        <tr r="K46" s="2"/>
      </tp>
      <tp t="s">
        <v>#N/A N/A</v>
        <stp/>
        <stp>BDP|5509050403040478065</stp>
        <tr r="O1166" s="2"/>
      </tp>
      <tp t="s">
        <v>#N/A N/A</v>
        <stp/>
        <stp>BDP|3095736957326084256</stp>
        <tr r="J888" s="2"/>
      </tp>
      <tp t="s">
        <v>#N/A N/A</v>
        <stp/>
        <stp>BDP|2776077707126518132</stp>
        <tr r="G1307" s="2"/>
      </tp>
      <tp t="s">
        <v>#N/A N/A</v>
        <stp/>
        <stp>BDP|7847637121435336381</stp>
        <tr r="F1421" s="2"/>
      </tp>
      <tp t="s">
        <v>#N/A N/A</v>
        <stp/>
        <stp>BDP|7902783304533161655</stp>
        <tr r="R1157" s="2"/>
      </tp>
      <tp t="s">
        <v>#N/A N/A</v>
        <stp/>
        <stp>BDP|5684631466570419068</stp>
        <tr r="P1416" s="2"/>
      </tp>
      <tp t="s">
        <v>#N/A N/A</v>
        <stp/>
        <stp>BDP|4465521787534178810</stp>
        <tr r="P502" s="2"/>
      </tp>
      <tp t="s">
        <v>#N/A N/A</v>
        <stp/>
        <stp>BDP|3033440414330333327</stp>
        <tr r="K1703" s="2"/>
      </tp>
      <tp t="s">
        <v>#N/A N/A</v>
        <stp/>
        <stp>BDP|7548141543446628157</stp>
        <tr r="C1517" s="2"/>
      </tp>
      <tp t="s">
        <v>#N/A N/A</v>
        <stp/>
        <stp>BDP|7541371271441145731</stp>
        <tr r="F1179" s="2"/>
      </tp>
      <tp t="s">
        <v>#N/A N/A</v>
        <stp/>
        <stp>BDP|7324203970600550776</stp>
        <tr r="Q1007" s="2"/>
      </tp>
      <tp t="s">
        <v>#N/A N/A</v>
        <stp/>
        <stp>BDP|3762031706035247314</stp>
        <tr r="K4" s="2"/>
      </tp>
      <tp t="s">
        <v>#N/A N/A</v>
        <stp/>
        <stp>BDP|7847590661314701560</stp>
        <tr r="O29" s="2"/>
      </tp>
      <tp t="s">
        <v>#N/A N/A</v>
        <stp/>
        <stp>BDP|1094119840173471241</stp>
        <tr r="J763" s="2"/>
      </tp>
      <tp t="s">
        <v>#N/A N/A</v>
        <stp/>
        <stp>BDP|5141856383322737214</stp>
        <tr r="N1485" s="2"/>
      </tp>
      <tp t="s">
        <v>#N/A N/A</v>
        <stp/>
        <stp>BDP|6407903692547274457</stp>
        <tr r="R1611" s="2"/>
      </tp>
      <tp t="s">
        <v>#N/A N/A</v>
        <stp/>
        <stp>BDP|1562659752643092436</stp>
        <tr r="P1097" s="2"/>
      </tp>
      <tp t="s">
        <v>#N/A N/A</v>
        <stp/>
        <stp>BDP|5360769209855849255</stp>
        <tr r="J669" s="2"/>
      </tp>
      <tp t="s">
        <v>#N/A N/A</v>
        <stp/>
        <stp>BDP|4304131114288222977</stp>
        <tr r="J1011" s="2"/>
      </tp>
      <tp t="s">
        <v>#N/A N/A</v>
        <stp/>
        <stp>BDP|9563069339557931850</stp>
        <tr r="J540" s="2"/>
      </tp>
      <tp t="s">
        <v>#N/A N/A</v>
        <stp/>
        <stp>BDP|1280631725510420067</stp>
        <tr r="P1685" s="2"/>
      </tp>
      <tp t="s">
        <v>#N/A N/A</v>
        <stp/>
        <stp>BDP|2249548164174469002</stp>
        <tr r="Q1045" s="2"/>
      </tp>
      <tp t="s">
        <v>#N/A N/A</v>
        <stp/>
        <stp>BDP|4161400354020776048</stp>
        <tr r="F700" s="2"/>
      </tp>
      <tp t="s">
        <v>#N/A N/A</v>
        <stp/>
        <stp>BDP|5884564659930446058</stp>
        <tr r="O822" s="2"/>
      </tp>
      <tp t="s">
        <v>#N/A N/A</v>
        <stp/>
        <stp>BDP|4458208965296474331</stp>
        <tr r="K1231" s="2"/>
      </tp>
      <tp t="s">
        <v>#N/A N/A</v>
        <stp/>
        <stp>BDS|6725127937438033948</stp>
        <tr r="I1263" s="2"/>
      </tp>
      <tp t="s">
        <v>#N/A N/A</v>
        <stp/>
        <stp>BDP|7323931729478862179</stp>
        <tr r="O1364" s="2"/>
      </tp>
      <tp t="s">
        <v>#N/A N/A</v>
        <stp/>
        <stp>BDP|8307405939352885846</stp>
        <tr r="H425" s="2"/>
      </tp>
      <tp t="s">
        <v>#N/A N/A</v>
        <stp/>
        <stp>BDP|9634583518711189917</stp>
        <tr r="T1408" s="2"/>
      </tp>
      <tp t="s">
        <v>#N/A N/A</v>
        <stp/>
        <stp>BDP|6987010116625910714</stp>
        <tr r="Q470" s="2"/>
      </tp>
      <tp t="s">
        <v>#N/A N/A</v>
        <stp/>
        <stp>BDP|6083290731422750092</stp>
        <tr r="D1576" s="2"/>
      </tp>
      <tp t="s">
        <v>#N/A N/A</v>
        <stp/>
        <stp>BDP|5788416551860689175</stp>
        <tr r="R285" s="2"/>
      </tp>
      <tp t="s">
        <v>#N/A N/A</v>
        <stp/>
        <stp>BDP|9611082075268584382</stp>
        <tr r="S7" s="2"/>
      </tp>
      <tp t="s">
        <v>#N/A N/A</v>
        <stp/>
        <stp>BDP|8713920513707388235</stp>
        <tr r="J1165" s="2"/>
      </tp>
      <tp t="s">
        <v>#N/A N/A</v>
        <stp/>
        <stp>BDP|6808267217740991062</stp>
        <tr r="R45" s="2"/>
      </tp>
      <tp t="s">
        <v>#N/A N/A</v>
        <stp/>
        <stp>BDP|1873269807056669092</stp>
        <tr r="S1719" s="2"/>
      </tp>
      <tp t="s">
        <v>#N/A N/A</v>
        <stp/>
        <stp>BDP|8020580258789493426</stp>
        <tr r="E1679" s="2"/>
      </tp>
      <tp t="s">
        <v>#N/A N/A</v>
        <stp/>
        <stp>BDP|4577277545717598044</stp>
        <tr r="P1052" s="2"/>
      </tp>
      <tp t="s">
        <v>#N/A N/A</v>
        <stp/>
        <stp>BDP|4390931574269544673</stp>
        <tr r="F762" s="2"/>
      </tp>
      <tp t="s">
        <v>#N/A N/A</v>
        <stp/>
        <stp>BDP|4349230067122711768</stp>
        <tr r="P498" s="2"/>
      </tp>
      <tp t="s">
        <v>#N/A N/A</v>
        <stp/>
        <stp>BDP|9277698479649452403</stp>
        <tr r="F492" s="2"/>
      </tp>
      <tp t="s">
        <v>#N/A N/A</v>
        <stp/>
        <stp>BDS|4587528340934521447</stp>
        <tr r="I1296" s="2"/>
      </tp>
      <tp t="s">
        <v>#N/A N/A</v>
        <stp/>
        <stp>BDP|9173970130533496544</stp>
        <tr r="M1024" s="2"/>
      </tp>
      <tp t="s">
        <v>#N/A N/A</v>
        <stp/>
        <stp>BDP|6908291760506180173</stp>
        <tr r="E650" s="2"/>
      </tp>
      <tp t="s">
        <v>#N/A N/A</v>
        <stp/>
        <stp>BDP|7497572792088657611</stp>
        <tr r="C67" s="2"/>
      </tp>
      <tp t="s">
        <v>#N/A N/A</v>
        <stp/>
        <stp>BDP|9583843144247272710</stp>
        <tr r="T1583" s="2"/>
      </tp>
      <tp t="s">
        <v>#N/A N/A</v>
        <stp/>
        <stp>BDP|4020631657924154631</stp>
        <tr r="D1440" s="2"/>
      </tp>
      <tp t="s">
        <v>#N/A N/A</v>
        <stp/>
        <stp>BDS|5039347224813579236</stp>
        <tr r="I590" s="2"/>
      </tp>
      <tp t="s">
        <v>#N/A N/A</v>
        <stp/>
        <stp>BDP|1521098606885891145</stp>
        <tr r="N510" s="2"/>
      </tp>
      <tp t="s">
        <v>#N/A N/A</v>
        <stp/>
        <stp>BDP|6290500837677704241</stp>
        <tr r="S1492" s="2"/>
      </tp>
      <tp t="s">
        <v>#N/A N/A</v>
        <stp/>
        <stp>BDS|3874400506491803301</stp>
        <tr r="I72" s="2"/>
      </tp>
      <tp t="s">
        <v>#N/A N/A</v>
        <stp/>
        <stp>BDP|3771036620415213104</stp>
        <tr r="E1254" s="2"/>
      </tp>
      <tp t="s">
        <v>#N/A N/A</v>
        <stp/>
        <stp>BDP|4407415159727927730</stp>
        <tr r="J875" s="2"/>
      </tp>
      <tp t="s">
        <v>#N/A N/A</v>
        <stp/>
        <stp>BDP|6646980203643373985</stp>
        <tr r="E1341" s="2"/>
      </tp>
      <tp t="s">
        <v>#N/A N/A</v>
        <stp/>
        <stp>BDP|8710895165355518686</stp>
        <tr r="H1185" s="2"/>
      </tp>
      <tp t="s">
        <v>#N/A N/A</v>
        <stp/>
        <stp>BDP|6679540452346400524</stp>
        <tr r="O1539" s="2"/>
      </tp>
      <tp t="s">
        <v>#N/A N/A</v>
        <stp/>
        <stp>BDP|1532714956527752137</stp>
        <tr r="R630" s="2"/>
      </tp>
      <tp t="s">
        <v>#N/A N/A</v>
        <stp/>
        <stp>BDP|1137423473535054263</stp>
        <tr r="R895" s="2"/>
      </tp>
      <tp t="s">
        <v>#N/A N/A</v>
        <stp/>
        <stp>BDP|1775589675784438289</stp>
        <tr r="M1040" s="2"/>
      </tp>
      <tp t="s">
        <v>#N/A N/A</v>
        <stp/>
        <stp>BDP|4736483601544137195</stp>
        <tr r="D1002" s="2"/>
      </tp>
      <tp t="s">
        <v>#N/A N/A</v>
        <stp/>
        <stp>BDP|6100942856149410611</stp>
        <tr r="J1176" s="2"/>
      </tp>
      <tp t="s">
        <v>#N/A N/A</v>
        <stp/>
        <stp>BDP|7420028609822908001</stp>
        <tr r="O239" s="2"/>
      </tp>
      <tp t="s">
        <v>#N/A N/A</v>
        <stp/>
        <stp>BDP|6278018078550804459</stp>
        <tr r="H1289" s="2"/>
      </tp>
      <tp t="s">
        <v>#N/A N/A</v>
        <stp/>
        <stp>BDP|1554762802144523727</stp>
        <tr r="C1302" s="2"/>
      </tp>
      <tp t="s">
        <v>#N/A N/A</v>
        <stp/>
        <stp>BDP|2933296768667866467</stp>
        <tr r="F749" s="2"/>
      </tp>
      <tp t="s">
        <v>#N/A N/A</v>
        <stp/>
        <stp>BDP|4803295246946860198</stp>
        <tr r="E825" s="2"/>
      </tp>
      <tp t="s">
        <v>#N/A N/A</v>
        <stp/>
        <stp>BDP|9457250102146074851</stp>
        <tr r="R1550" s="2"/>
      </tp>
      <tp t="s">
        <v>#N/A N/A</v>
        <stp/>
        <stp>BDP|3553189256421824358</stp>
        <tr r="P197" s="2"/>
      </tp>
      <tp t="s">
        <v>#N/A N/A</v>
        <stp/>
        <stp>BDP|7939767739217608164</stp>
        <tr r="R119" s="2"/>
      </tp>
      <tp t="s">
        <v>#N/A N/A</v>
        <stp/>
        <stp>BDS|6742578244840773252</stp>
        <tr r="I7" s="2"/>
      </tp>
      <tp t="s">
        <v>#N/A N/A</v>
        <stp/>
        <stp>BDP|3791800190923742466</stp>
        <tr r="S756" s="2"/>
      </tp>
      <tp t="s">
        <v>#N/A N/A</v>
        <stp/>
        <stp>BDP|5405965512708000060</stp>
        <tr r="T644" s="2"/>
      </tp>
      <tp t="s">
        <v>#N/A N/A</v>
        <stp/>
        <stp>BDP|7965286135534736754</stp>
        <tr r="Q176" s="2"/>
      </tp>
      <tp t="s">
        <v>#N/A N/A</v>
        <stp/>
        <stp>BDP|1020333831330499409</stp>
        <tr r="G184" s="2"/>
      </tp>
      <tp t="s">
        <v>#N/A N/A</v>
        <stp/>
        <stp>BDP|1247829616814338934</stp>
        <tr r="A299" s="2"/>
      </tp>
      <tp t="s">
        <v>#N/A N/A</v>
        <stp/>
        <stp>BDP|2029526792808186376</stp>
        <tr r="E523" s="2"/>
      </tp>
      <tp t="s">
        <v>#N/A N/A</v>
        <stp/>
        <stp>BDP|8355450395428661832</stp>
        <tr r="Q1256" s="2"/>
      </tp>
      <tp t="s">
        <v>#N/A N/A</v>
        <stp/>
        <stp>BDP|5987132731566927448</stp>
        <tr r="O1110" s="2"/>
      </tp>
      <tp t="s">
        <v>#N/A N/A</v>
        <stp/>
        <stp>BDP|4515234274471223566</stp>
        <tr r="S1126" s="2"/>
      </tp>
      <tp t="s">
        <v>#N/A N/A</v>
        <stp/>
        <stp>BDP|2705971944138772252</stp>
        <tr r="E1549" s="2"/>
      </tp>
      <tp t="s">
        <v>#N/A N/A</v>
        <stp/>
        <stp>BDP|5569736087826446939</stp>
        <tr r="C1383" s="2"/>
      </tp>
      <tp t="s">
        <v>#N/A N/A</v>
        <stp/>
        <stp>BDP|5671065285158658053</stp>
        <tr r="K1049" s="2"/>
      </tp>
      <tp t="s">
        <v>#N/A N/A</v>
        <stp/>
        <stp>BDP|8567079794965339130</stp>
        <tr r="E372" s="2"/>
      </tp>
      <tp t="s">
        <v>#N/A N/A</v>
        <stp/>
        <stp>BDP|9714730982974395734</stp>
        <tr r="O1667" s="2"/>
      </tp>
      <tp t="s">
        <v>#N/A N/A</v>
        <stp/>
        <stp>BDP|7687183220613810208</stp>
        <tr r="A153" s="2"/>
      </tp>
      <tp t="s">
        <v>#N/A N/A</v>
        <stp/>
        <stp>BDP|7980167308057922489</stp>
        <tr r="G232" s="2"/>
      </tp>
      <tp t="s">
        <v>#N/A N/A</v>
        <stp/>
        <stp>BDP|8062004754008301016</stp>
        <tr r="G577" s="2"/>
      </tp>
      <tp t="s">
        <v>#N/A N/A</v>
        <stp/>
        <stp>BDP|1029720308513924051</stp>
        <tr r="E808" s="2"/>
      </tp>
      <tp t="s">
        <v>#N/A N/A</v>
        <stp/>
        <stp>BDP|4200779202352188406</stp>
        <tr r="A1319" s="2"/>
      </tp>
      <tp t="s">
        <v>#N/A N/A</v>
        <stp/>
        <stp>BDP|9211697002528924266</stp>
        <tr r="R1752" s="2"/>
      </tp>
      <tp t="s">
        <v>#N/A N/A</v>
        <stp/>
        <stp>BDP|3098341897955075951</stp>
        <tr r="G209" s="2"/>
      </tp>
      <tp t="s">
        <v>#N/A N/A</v>
        <stp/>
        <stp>BDP|9606167953478461012</stp>
        <tr r="J1531" s="2"/>
      </tp>
      <tp t="s">
        <v>#N/A N/A</v>
        <stp/>
        <stp>BDP|4898967402549846129</stp>
        <tr r="D1681" s="2"/>
      </tp>
      <tp t="s">
        <v>#N/A N/A</v>
        <stp/>
        <stp>BDP|2773823034559296541</stp>
        <tr r="S24" s="2"/>
      </tp>
      <tp t="s">
        <v>#N/A N/A</v>
        <stp/>
        <stp>BDP|9784875604620010433</stp>
        <tr r="O774" s="2"/>
      </tp>
      <tp t="s">
        <v>#N/A N/A</v>
        <stp/>
        <stp>BDP|6634253528901990259</stp>
        <tr r="O478" s="2"/>
      </tp>
      <tp t="s">
        <v>#N/A N/A</v>
        <stp/>
        <stp>BDP|9851568198461425152</stp>
        <tr r="E1587" s="2"/>
      </tp>
      <tp t="s">
        <v>#N/A N/A</v>
        <stp/>
        <stp>BDP|2664484929723386234</stp>
        <tr r="R1733" s="2"/>
      </tp>
      <tp t="s">
        <v>#N/A N/A</v>
        <stp/>
        <stp>BDP|6880922812978695393</stp>
        <tr r="T1182" s="2"/>
      </tp>
      <tp t="s">
        <v>#N/A N/A</v>
        <stp/>
        <stp>BDP|1734667366002492645</stp>
        <tr r="M1259" s="2"/>
      </tp>
      <tp t="s">
        <v>#N/A N/A</v>
        <stp/>
        <stp>BDP|2509058656096080418</stp>
        <tr r="C1110" s="2"/>
      </tp>
      <tp t="s">
        <v>#N/A N/A</v>
        <stp/>
        <stp>BDP|1181905291381246552</stp>
        <tr r="M1597" s="2"/>
      </tp>
      <tp t="s">
        <v>#N/A N/A</v>
        <stp/>
        <stp>BDP|5582402895149661415</stp>
        <tr r="C1438" s="2"/>
      </tp>
      <tp t="s">
        <v>#N/A N/A</v>
        <stp/>
        <stp>BDP|3493694252866974319</stp>
        <tr r="S52" s="2"/>
      </tp>
      <tp t="s">
        <v>#N/A N/A</v>
        <stp/>
        <stp>BDP|2962553976155880057</stp>
        <tr r="M720" s="2"/>
      </tp>
      <tp t="s">
        <v>#N/A N/A</v>
        <stp/>
        <stp>BDP|7627668834323769445</stp>
        <tr r="J58" s="2"/>
      </tp>
      <tp t="s">
        <v>#N/A N/A</v>
        <stp/>
        <stp>BDP|1450415037570566309</stp>
        <tr r="T51" s="2"/>
      </tp>
      <tp t="s">
        <v>#N/A N/A</v>
        <stp/>
        <stp>BDP|1483684009684696649</stp>
        <tr r="T1037" s="2"/>
      </tp>
      <tp t="s">
        <v>#N/A N/A</v>
        <stp/>
        <stp>BDP|2232475956907053140</stp>
        <tr r="T214" s="2"/>
      </tp>
      <tp t="s">
        <v>#N/A N/A</v>
        <stp/>
        <stp>BDP|4330173374036187165</stp>
        <tr r="C743" s="2"/>
      </tp>
      <tp t="s">
        <v>#N/A N/A</v>
        <stp/>
        <stp>BDP|1714467553775581005</stp>
        <tr r="C497" s="2"/>
      </tp>
      <tp t="s">
        <v>#N/A N/A</v>
        <stp/>
        <stp>BDP|5298596485888994502</stp>
        <tr r="Q313" s="2"/>
      </tp>
      <tp t="s">
        <v>#N/A N/A</v>
        <stp/>
        <stp>BDP|6183944630100515970</stp>
        <tr r="G13" s="2"/>
      </tp>
      <tp t="s">
        <v>#N/A N/A</v>
        <stp/>
        <stp>BDS|2396569701526432479</stp>
        <tr r="I1189" s="2"/>
      </tp>
      <tp t="s">
        <v>#N/A N/A</v>
        <stp/>
        <stp>BDS|7665599643144926723</stp>
        <tr r="I762" s="2"/>
      </tp>
      <tp t="s">
        <v>#N/A N/A</v>
        <stp/>
        <stp>BDP|9723631160758705448</stp>
        <tr r="S792" s="2"/>
      </tp>
      <tp t="s">
        <v>#N/A N/A</v>
        <stp/>
        <stp>BDP|9589826307750521427</stp>
        <tr r="N297" s="2"/>
      </tp>
      <tp t="s">
        <v>#N/A N/A</v>
        <stp/>
        <stp>BDP|1082333944525651667</stp>
        <tr r="S938" s="2"/>
      </tp>
      <tp t="s">
        <v>#N/A N/A</v>
        <stp/>
        <stp>BDP|7506032107952630007</stp>
        <tr r="A1302" s="2"/>
      </tp>
      <tp t="s">
        <v>#N/A N/A</v>
        <stp/>
        <stp>BDP|8286367005026061867</stp>
        <tr r="T1535" s="2"/>
      </tp>
      <tp t="s">
        <v>#N/A N/A</v>
        <stp/>
        <stp>BDP|1683751322029273840</stp>
        <tr r="H784" s="2"/>
      </tp>
      <tp t="s">
        <v>#N/A N/A</v>
        <stp/>
        <stp>BDP|5890387344186229113</stp>
        <tr r="E491" s="2"/>
      </tp>
      <tp t="s">
        <v>#N/A N/A</v>
        <stp/>
        <stp>BDP|6511059780992165969</stp>
        <tr r="K15" s="2"/>
      </tp>
      <tp t="s">
        <v>#N/A N/A</v>
        <stp/>
        <stp>BDP|1073467571064590358</stp>
        <tr r="J1366" s="2"/>
      </tp>
      <tp t="s">
        <v>#N/A N/A</v>
        <stp/>
        <stp>BDP|5537095149401647547</stp>
        <tr r="K1626" s="2"/>
      </tp>
      <tp t="s">
        <v>#N/A N/A</v>
        <stp/>
        <stp>BDP|2142252953708520852</stp>
        <tr r="T1515" s="2"/>
      </tp>
      <tp t="s">
        <v>#N/A N/A</v>
        <stp/>
        <stp>BDP|8233729073805036841</stp>
        <tr r="H1449" s="2"/>
      </tp>
      <tp t="s">
        <v>#N/A N/A</v>
        <stp/>
        <stp>BDP|6131574465272603225</stp>
        <tr r="N360" s="2"/>
      </tp>
      <tp t="s">
        <v>#N/A N/A</v>
        <stp/>
        <stp>BDP|5831807751038659581</stp>
        <tr r="E764" s="2"/>
      </tp>
      <tp t="s">
        <v>#N/A N/A</v>
        <stp/>
        <stp>BDP|8310824815574302000</stp>
        <tr r="C883" s="2"/>
      </tp>
      <tp t="s">
        <v>#N/A N/A</v>
        <stp/>
        <stp>BDP|9786323271540546869</stp>
        <tr r="G1250" s="2"/>
      </tp>
      <tp t="s">
        <v>#N/A N/A</v>
        <stp/>
        <stp>BDP|1421364440965282674</stp>
        <tr r="E610" s="2"/>
      </tp>
      <tp t="s">
        <v>#N/A N/A</v>
        <stp/>
        <stp>BDP|7464566624372057715</stp>
        <tr r="G366" s="2"/>
      </tp>
      <tp t="s">
        <v>#N/A N/A</v>
        <stp/>
        <stp>BDP|6316941180491036304</stp>
        <tr r="Q362" s="2"/>
      </tp>
      <tp t="s">
        <v>#N/A N/A</v>
        <stp/>
        <stp>BDP|7657339414394050469</stp>
        <tr r="H124" s="2"/>
      </tp>
      <tp t="s">
        <v>#N/A N/A</v>
        <stp/>
        <stp>BDP|3327419238566497795</stp>
        <tr r="T963" s="2"/>
      </tp>
      <tp t="s">
        <v>#N/A N/A</v>
        <stp/>
        <stp>BDP|7462834128721940913</stp>
        <tr r="F837" s="2"/>
      </tp>
      <tp t="s">
        <v>#N/A N/A</v>
        <stp/>
        <stp>BDP|7313017930787621631</stp>
        <tr r="N1039" s="2"/>
      </tp>
      <tp t="s">
        <v>#N/A N/A</v>
        <stp/>
        <stp>BDP|9083431558688551598</stp>
        <tr r="N1333" s="2"/>
      </tp>
      <tp t="s">
        <v>#N/A N/A</v>
        <stp/>
        <stp>BDP|8380466852899428546</stp>
        <tr r="D1469" s="2"/>
      </tp>
      <tp t="s">
        <v>#N/A N/A</v>
        <stp/>
        <stp>BDP|6150862435559655132</stp>
        <tr r="S210" s="2"/>
      </tp>
      <tp t="s">
        <v>#N/A N/A</v>
        <stp/>
        <stp>BDP|6662524906101639735</stp>
        <tr r="O110" s="2"/>
      </tp>
      <tp t="s">
        <v>#N/A N/A</v>
        <stp/>
        <stp>BDP|1931636718776364560</stp>
        <tr r="O67" s="2"/>
      </tp>
      <tp t="s">
        <v>#N/A N/A</v>
        <stp/>
        <stp>BDP|3601346445606020706</stp>
        <tr r="C963" s="2"/>
      </tp>
      <tp t="s">
        <v>#N/A N/A</v>
        <stp/>
        <stp>BDP|3968761684800538998</stp>
        <tr r="F1469" s="2"/>
      </tp>
      <tp t="s">
        <v>#N/A N/A</v>
        <stp/>
        <stp>BDS|8899219847172066990</stp>
        <tr r="I934" s="2"/>
      </tp>
      <tp t="s">
        <v>#N/A N/A</v>
        <stp/>
        <stp>BDP|1626624411402553173</stp>
        <tr r="H1131" s="2"/>
      </tp>
      <tp t="s">
        <v>#N/A N/A</v>
        <stp/>
        <stp>BDP|9286251642988067222</stp>
        <tr r="E1634" s="2"/>
      </tp>
      <tp t="s">
        <v>#N/A N/A</v>
        <stp/>
        <stp>BDP|3623431371301738447</stp>
        <tr r="Q264" s="2"/>
      </tp>
      <tp t="s">
        <v>#N/A N/A</v>
        <stp/>
        <stp>BDP|6246572525186340247</stp>
        <tr r="G448" s="2"/>
      </tp>
      <tp t="s">
        <v>#N/A N/A</v>
        <stp/>
        <stp>BDP|1178273634685570002</stp>
        <tr r="G703" s="2"/>
      </tp>
      <tp t="s">
        <v>#N/A N/A</v>
        <stp/>
        <stp>BDP|3954345755320957061</stp>
        <tr r="N1608" s="2"/>
      </tp>
      <tp t="s">
        <v>#N/A N/A</v>
        <stp/>
        <stp>BDP|1968281955053443074</stp>
        <tr r="Q1721" s="2"/>
      </tp>
      <tp t="s">
        <v>#N/A N/A</v>
        <stp/>
        <stp>BDP|6135266792259565176</stp>
        <tr r="N53" s="2"/>
      </tp>
      <tp t="s">
        <v>#N/A N/A</v>
        <stp/>
        <stp>BDP|8383305381137093153</stp>
        <tr r="G655" s="2"/>
      </tp>
      <tp t="s">
        <v>#N/A N/A</v>
        <stp/>
        <stp>BDP|4278677831055113118</stp>
        <tr r="E1311" s="2"/>
      </tp>
      <tp t="s">
        <v>#N/A N/A</v>
        <stp/>
        <stp>BDP|4811118218631646032</stp>
        <tr r="D1504" s="2"/>
      </tp>
      <tp t="s">
        <v>#N/A N/A</v>
        <stp/>
        <stp>BDP|9475098864399903345</stp>
        <tr r="N1578" s="2"/>
      </tp>
      <tp t="s">
        <v>#N/A N/A</v>
        <stp/>
        <stp>BDP|4193329251120293741</stp>
        <tr r="Q1701" s="2"/>
      </tp>
      <tp t="s">
        <v>#N/A N/A</v>
        <stp/>
        <stp>BDP|5658148245407410271</stp>
        <tr r="K1538" s="2"/>
      </tp>
      <tp t="s">
        <v>#N/A N/A</v>
        <stp/>
        <stp>BDP|6048468874571681109</stp>
        <tr r="O1719" s="2"/>
      </tp>
      <tp t="s">
        <v>#N/A N/A</v>
        <stp/>
        <stp>BDP|4300201352401184745</stp>
        <tr r="O1303" s="2"/>
      </tp>
      <tp t="s">
        <v>#N/A N/A</v>
        <stp/>
        <stp>BDP|1193939971472590825</stp>
        <tr r="F641" s="2"/>
      </tp>
      <tp t="s">
        <v>#N/A N/A</v>
        <stp/>
        <stp>BDP|9081434890328556922</stp>
        <tr r="D1214" s="2"/>
      </tp>
      <tp t="s">
        <v>#N/A N/A</v>
        <stp/>
        <stp>BDP|1507251396988724752</stp>
        <tr r="F835" s="2"/>
      </tp>
      <tp t="s">
        <v>#N/A N/A</v>
        <stp/>
        <stp>BDP|4598657135532310622</stp>
        <tr r="R1290" s="2"/>
      </tp>
      <tp t="s">
        <v>#N/A N/A</v>
        <stp/>
        <stp>BDP|7599123978141900520</stp>
        <tr r="E1246" s="2"/>
      </tp>
      <tp t="s">
        <v>#N/A N/A</v>
        <stp/>
        <stp>BDP|8403753269905495988</stp>
        <tr r="Q688" s="2"/>
      </tp>
      <tp t="s">
        <v>#N/A N/A</v>
        <stp/>
        <stp>BDP|5037214820741594102</stp>
        <tr r="E1223" s="2"/>
      </tp>
      <tp t="s">
        <v>#N/A N/A</v>
        <stp/>
        <stp>BDP|3881415476607882239</stp>
        <tr r="A269" s="2"/>
      </tp>
      <tp t="s">
        <v>#N/A N/A</v>
        <stp/>
        <stp>BDP|9702048367349808381</stp>
        <tr r="K1642" s="2"/>
      </tp>
      <tp t="s">
        <v>#N/A N/A</v>
        <stp/>
        <stp>BDP|5234557392055188906</stp>
        <tr r="C1129" s="2"/>
      </tp>
      <tp t="s">
        <v>#N/A N/A</v>
        <stp/>
        <stp>BDP|7018556298406190880</stp>
        <tr r="S117" s="2"/>
      </tp>
      <tp t="s">
        <v>#N/A N/A</v>
        <stp/>
        <stp>BDP|8419326087007123149</stp>
        <tr r="C702" s="2"/>
      </tp>
      <tp t="s">
        <v>#N/A N/A</v>
        <stp/>
        <stp>BDP|6424168060282667602</stp>
        <tr r="H239" s="2"/>
      </tp>
      <tp t="s">
        <v>#N/A N/A</v>
        <stp/>
        <stp>BDP|6950796270860641320</stp>
        <tr r="J1016" s="2"/>
      </tp>
      <tp t="s">
        <v>#N/A N/A</v>
        <stp/>
        <stp>BDP|7752934947369698614</stp>
        <tr r="H1051" s="2"/>
      </tp>
      <tp t="s">
        <v>#N/A N/A</v>
        <stp/>
        <stp>BDP|5020003952062394757</stp>
        <tr r="C979" s="2"/>
      </tp>
      <tp t="s">
        <v>#N/A N/A</v>
        <stp/>
        <stp>BDP|6014646186155496821</stp>
        <tr r="H1035" s="2"/>
      </tp>
      <tp t="s">
        <v>#N/A N/A</v>
        <stp/>
        <stp>BDP|4465212483849767254</stp>
        <tr r="M1686" s="2"/>
      </tp>
      <tp t="s">
        <v>#N/A N/A</v>
        <stp/>
        <stp>BDP|1982950219164455852</stp>
        <tr r="J1683" s="2"/>
      </tp>
      <tp t="s">
        <v>#N/A N/A</v>
        <stp/>
        <stp>BDP|1350923192692281656</stp>
        <tr r="O1235" s="2"/>
      </tp>
      <tp t="s">
        <v>#N/A N/A</v>
        <stp/>
        <stp>BDP|9060025640271285948</stp>
        <tr r="O1512" s="2"/>
      </tp>
      <tp t="s">
        <v>#N/A N/A</v>
        <stp/>
        <stp>BDP|9707554056649037500</stp>
        <tr r="R1449" s="2"/>
      </tp>
      <tp t="s">
        <v>#N/A N/A</v>
        <stp/>
        <stp>BDP|3201449752977466047</stp>
        <tr r="P138" s="2"/>
      </tp>
      <tp t="s">
        <v>#N/A N/A</v>
        <stp/>
        <stp>BDP|3763024021550827484</stp>
        <tr r="G35" s="2"/>
      </tp>
      <tp t="s">
        <v>#N/A N/A</v>
        <stp/>
        <stp>BDP|1781664211001581215</stp>
        <tr r="T844" s="2"/>
      </tp>
      <tp t="s">
        <v>#N/A N/A</v>
        <stp/>
        <stp>BDP|3853414731369971854</stp>
        <tr r="C1031" s="2"/>
      </tp>
      <tp t="s">
        <v>#N/A N/A</v>
        <stp/>
        <stp>BDP|8758744278115658894</stp>
        <tr r="S1374" s="2"/>
      </tp>
      <tp t="s">
        <v>#N/A N/A</v>
        <stp/>
        <stp>BDP|3482042968114534499</stp>
        <tr r="D1690" s="2"/>
      </tp>
      <tp t="s">
        <v>#N/A N/A</v>
        <stp/>
        <stp>BDP|2057408637471703149</stp>
        <tr r="D87" s="2"/>
      </tp>
      <tp t="s">
        <v>#N/A N/A</v>
        <stp/>
        <stp>BDP|1627150433180168655</stp>
        <tr r="A31" s="2"/>
      </tp>
      <tp t="s">
        <v>#N/A N/A</v>
        <stp/>
        <stp>BDP|4567110190720327933</stp>
        <tr r="T1469" s="2"/>
      </tp>
      <tp t="s">
        <v>#N/A N/A</v>
        <stp/>
        <stp>BDP|9258617194226237513</stp>
        <tr r="F279" s="2"/>
      </tp>
      <tp t="s">
        <v>#N/A N/A</v>
        <stp/>
        <stp>BDP|6109164428469976927</stp>
        <tr r="O660" s="2"/>
      </tp>
      <tp t="s">
        <v>#N/A N/A</v>
        <stp/>
        <stp>BDP|2616943885236572067</stp>
        <tr r="P727" s="2"/>
      </tp>
      <tp t="s">
        <v>#N/A N/A</v>
        <stp/>
        <stp>BDP|4003999097498845929</stp>
        <tr r="A1259" s="2"/>
      </tp>
      <tp t="s">
        <v>#N/A N/A</v>
        <stp/>
        <stp>BDP|4307357019815389687</stp>
        <tr r="D1197" s="2"/>
      </tp>
      <tp t="s">
        <v>#N/A N/A</v>
        <stp/>
        <stp>BDP|4394827455368449449</stp>
        <tr r="R618" s="2"/>
      </tp>
      <tp t="s">
        <v>#N/A N/A</v>
        <stp/>
        <stp>BDP|4201634441573039042</stp>
        <tr r="D1158" s="2"/>
      </tp>
      <tp t="s">
        <v>#N/A N/A</v>
        <stp/>
        <stp>BDP|4461075042132239771</stp>
        <tr r="O1090" s="2"/>
      </tp>
      <tp t="s">
        <v>#N/A N/A</v>
        <stp/>
        <stp>BDP|3903615299128717126</stp>
        <tr r="Q1330" s="2"/>
      </tp>
      <tp t="s">
        <v>#N/A N/A</v>
        <stp/>
        <stp>BDP|2522231077423107144</stp>
        <tr r="S1729" s="2"/>
      </tp>
      <tp t="s">
        <v>#N/A N/A</v>
        <stp/>
        <stp>BDP|5372592745098304986</stp>
        <tr r="C918" s="2"/>
      </tp>
      <tp t="s">
        <v>#N/A N/A</v>
        <stp/>
        <stp>BDP|5976749902512895531</stp>
        <tr r="Q414" s="2"/>
      </tp>
      <tp t="s">
        <v>#N/A N/A</v>
        <stp/>
        <stp>BDP|2141540854685305260</stp>
        <tr r="Q1019" s="2"/>
      </tp>
      <tp t="s">
        <v>#N/A N/A</v>
        <stp/>
        <stp>BDP|5092461614871756417</stp>
        <tr r="R388" s="2"/>
      </tp>
      <tp t="s">
        <v>#N/A N/A</v>
        <stp/>
        <stp>BDP|9174366030979381502</stp>
        <tr r="Q799" s="2"/>
      </tp>
      <tp t="s">
        <v>#N/A N/A</v>
        <stp/>
        <stp>BDP|7551514693909794743</stp>
        <tr r="J733" s="2"/>
      </tp>
      <tp t="s">
        <v>#N/A N/A</v>
        <stp/>
        <stp>BDP|5052752440671709263</stp>
        <tr r="E288" s="2"/>
      </tp>
      <tp t="s">
        <v>#N/A N/A</v>
        <stp/>
        <stp>BDP|5944914807468901126</stp>
        <tr r="A1523" s="2"/>
      </tp>
      <tp t="s">
        <v>#N/A N/A</v>
        <stp/>
        <stp>BDP|3562743201547730636</stp>
        <tr r="R995" s="2"/>
      </tp>
      <tp t="s">
        <v>#N/A N/A</v>
        <stp/>
        <stp>BDP|3922290469236833456</stp>
        <tr r="K332" s="2"/>
      </tp>
      <tp t="s">
        <v>#N/A N/A</v>
        <stp/>
        <stp>BDP|1925791739774432492</stp>
        <tr r="M1709" s="2"/>
      </tp>
      <tp t="s">
        <v>#N/A N/A</v>
        <stp/>
        <stp>BDP|2906661332075075793</stp>
        <tr r="F350" s="2"/>
      </tp>
      <tp t="s">
        <v>#N/A N/A</v>
        <stp/>
        <stp>BDP|6277546332044267122</stp>
        <tr r="S501" s="2"/>
      </tp>
      <tp t="s">
        <v>#N/A N/A</v>
        <stp/>
        <stp>BDP|2149347606791646515</stp>
        <tr r="D941" s="2"/>
      </tp>
      <tp t="s">
        <v>#N/A N/A</v>
        <stp/>
        <stp>BDP|6378435617582126420</stp>
        <tr r="H1237" s="2"/>
      </tp>
      <tp t="s">
        <v>#N/A N/A</v>
        <stp/>
        <stp>BDP|5103180596841250998</stp>
        <tr r="O1565" s="2"/>
      </tp>
      <tp t="s">
        <v>#N/A N/A</v>
        <stp/>
        <stp>BDP|9084758595251129355</stp>
        <tr r="J1084" s="2"/>
      </tp>
      <tp t="s">
        <v>#N/A N/A</v>
        <stp/>
        <stp>BDP|9422546592798171871</stp>
        <tr r="E1673" s="2"/>
      </tp>
      <tp t="s">
        <v>#N/A N/A</v>
        <stp/>
        <stp>BDP|1537287139055087008</stp>
        <tr r="F310" s="2"/>
      </tp>
      <tp t="s">
        <v>#N/A N/A</v>
        <stp/>
        <stp>BDP|6547222057910220469</stp>
        <tr r="J1229" s="2"/>
      </tp>
      <tp t="s">
        <v>#N/A N/A</v>
        <stp/>
        <stp>BDP|5753694556442553194</stp>
        <tr r="T1203" s="2"/>
      </tp>
      <tp t="s">
        <v>#N/A N/A</v>
        <stp/>
        <stp>BDP|5902545137615673380</stp>
        <tr r="K284" s="2"/>
      </tp>
      <tp t="s">
        <v>#N/A N/A</v>
        <stp/>
        <stp>BDP|3424926314577353950</stp>
        <tr r="S1564" s="2"/>
      </tp>
      <tp t="s">
        <v>#N/A N/A</v>
        <stp/>
        <stp>BDP|6296607814813273705</stp>
        <tr r="M1427" s="2"/>
      </tp>
      <tp t="s">
        <v>#N/A N/A</v>
        <stp/>
        <stp>BDP|6703096705200629392</stp>
        <tr r="F891" s="2"/>
      </tp>
      <tp t="s">
        <v>#N/A N/A</v>
        <stp/>
        <stp>BDP|9735972976253014126</stp>
        <tr r="R1338" s="2"/>
      </tp>
      <tp t="s">
        <v>#N/A N/A</v>
        <stp/>
        <stp>BDP|6525111753361451672</stp>
        <tr r="G347" s="2"/>
      </tp>
      <tp t="s">
        <v>#N/A N/A</v>
        <stp/>
        <stp>BDP|1523176996324833883</stp>
        <tr r="N687" s="2"/>
      </tp>
      <tp t="s">
        <v>#N/A N/A</v>
        <stp/>
        <stp>BDP|3751258740801472124</stp>
        <tr r="M460" s="2"/>
      </tp>
      <tp t="s">
        <v>#N/A N/A</v>
        <stp/>
        <stp>BDP|7131175311274761644</stp>
        <tr r="D1485" s="2"/>
      </tp>
      <tp t="s">
        <v>#N/A N/A</v>
        <stp/>
        <stp>BDP|8536625184974582721</stp>
        <tr r="F743" s="2"/>
      </tp>
      <tp t="s">
        <v>#N/A N/A</v>
        <stp/>
        <stp>BDP|2133370350389066820</stp>
        <tr r="Q1232" s="2"/>
      </tp>
      <tp t="s">
        <v>#N/A N/A</v>
        <stp/>
        <stp>BDP|6477710924422553400</stp>
        <tr r="K389" s="2"/>
      </tp>
      <tp t="s">
        <v>#N/A N/A</v>
        <stp/>
        <stp>BDP|2208236733011269759</stp>
        <tr r="P642" s="2"/>
      </tp>
      <tp t="s">
        <v>#N/A N/A</v>
        <stp/>
        <stp>BDP|5344302252571731739</stp>
        <tr r="E679" s="2"/>
      </tp>
      <tp t="s">
        <v>#N/A N/A</v>
        <stp/>
        <stp>BDP|7108276927620512218</stp>
        <tr r="G1225" s="2"/>
      </tp>
      <tp t="s">
        <v>#N/A N/A</v>
        <stp/>
        <stp>BDP|8937394925179771578</stp>
        <tr r="C437" s="2"/>
      </tp>
      <tp t="s">
        <v>#N/A N/A</v>
        <stp/>
        <stp>BDP|6057551146692136079</stp>
        <tr r="F249" s="2"/>
      </tp>
      <tp t="s">
        <v>#N/A N/A</v>
        <stp/>
        <stp>BDP|5472940084907212634</stp>
        <tr r="J1248" s="2"/>
      </tp>
      <tp t="s">
        <v>#N/A N/A</v>
        <stp/>
        <stp>BDP|4030244557923053561</stp>
        <tr r="J1110" s="2"/>
      </tp>
      <tp t="s">
        <v>#N/A N/A</v>
        <stp/>
        <stp>BDP|2264773462371050729</stp>
        <tr r="N1368" s="2"/>
      </tp>
      <tp t="s">
        <v>#N/A N/A</v>
        <stp/>
        <stp>BDP|2515055542503620019</stp>
        <tr r="E1531" s="2"/>
      </tp>
      <tp t="s">
        <v>#N/A N/A</v>
        <stp/>
        <stp>BDP|7482105431011416146</stp>
        <tr r="M769" s="2"/>
      </tp>
      <tp t="s">
        <v>#N/A N/A</v>
        <stp/>
        <stp>BDP|2464489809585677667</stp>
        <tr r="Q1572" s="2"/>
      </tp>
      <tp t="s">
        <v>#N/A N/A</v>
        <stp/>
        <stp>BDP|5151566586518746538</stp>
        <tr r="O107" s="2"/>
      </tp>
      <tp t="s">
        <v>#N/A N/A</v>
        <stp/>
        <stp>BDP|8069744677654369958</stp>
        <tr r="T727" s="2"/>
      </tp>
      <tp t="s">
        <v>#N/A N/A</v>
        <stp/>
        <stp>BDP|5559724503611541649</stp>
        <tr r="A1254" s="2"/>
      </tp>
      <tp t="s">
        <v>#N/A N/A</v>
        <stp/>
        <stp>BDP|4972772020840942424</stp>
        <tr r="E1060" s="2"/>
      </tp>
      <tp t="s">
        <v>#N/A N/A</v>
        <stp/>
        <stp>BDP|8553368295557323007</stp>
        <tr r="D476" s="2"/>
      </tp>
      <tp t="s">
        <v>#N/A N/A</v>
        <stp/>
        <stp>BDP|1186727333467572701</stp>
        <tr r="J1151" s="2"/>
      </tp>
      <tp t="s">
        <v>#N/A N/A</v>
        <stp/>
        <stp>BDP|7265108670866687213</stp>
        <tr r="N76" s="2"/>
      </tp>
      <tp t="s">
        <v>#N/A N/A</v>
        <stp/>
        <stp>BDP|9027354015629189745</stp>
        <tr r="J692" s="2"/>
      </tp>
      <tp t="s">
        <v>#N/A N/A</v>
        <stp/>
        <stp>BDP|5496565384245528861</stp>
        <tr r="S1684" s="2"/>
      </tp>
      <tp t="s">
        <v>#N/A N/A</v>
        <stp/>
        <stp>BDP|6570488069718050911</stp>
        <tr r="K88" s="2"/>
      </tp>
      <tp t="s">
        <v>#N/A N/A</v>
        <stp/>
        <stp>BDP|6441885509018849389</stp>
        <tr r="C1620" s="2"/>
      </tp>
      <tp t="s">
        <v>#N/A N/A</v>
        <stp/>
        <stp>BDS|1545741243952209553</stp>
        <tr r="I974" s="2"/>
      </tp>
      <tp t="s">
        <v>#N/A N/A</v>
        <stp/>
        <stp>BDP|4512762255113255018</stp>
        <tr r="A905" s="2"/>
      </tp>
      <tp t="s">
        <v>#N/A N/A</v>
        <stp/>
        <stp>BDP|2203564287808064265</stp>
        <tr r="D861" s="2"/>
      </tp>
      <tp t="s">
        <v>#N/A N/A</v>
        <stp/>
        <stp>BDP|6525136603211387331</stp>
        <tr r="Q194" s="2"/>
      </tp>
      <tp t="s">
        <v>#N/A N/A</v>
        <stp/>
        <stp>BDP|7481467042627750523</stp>
        <tr r="G1369" s="2"/>
      </tp>
      <tp t="s">
        <v>#N/A N/A</v>
        <stp/>
        <stp>BDP|8773948942010755035</stp>
        <tr r="S1532" s="2"/>
      </tp>
      <tp t="s">
        <v>#N/A N/A</v>
        <stp/>
        <stp>BDP|2646895291555929329</stp>
        <tr r="N613" s="2"/>
      </tp>
      <tp t="s">
        <v>#N/A N/A</v>
        <stp/>
        <stp>BDP|1753613602647488557</stp>
        <tr r="M107" s="2"/>
      </tp>
      <tp t="s">
        <v>#N/A N/A</v>
        <stp/>
        <stp>BDP|6696600153077619767</stp>
        <tr r="R977" s="2"/>
      </tp>
      <tp t="s">
        <v>#N/A N/A</v>
        <stp/>
        <stp>BDP|7587641911423369665</stp>
        <tr r="G1477" s="2"/>
      </tp>
      <tp t="s">
        <v>#N/A N/A</v>
        <stp/>
        <stp>BDP|1166099078326255577</stp>
        <tr r="N591" s="2"/>
      </tp>
      <tp t="s">
        <v>#N/A N/A</v>
        <stp/>
        <stp>BDP|4789344123612204274</stp>
        <tr r="E689" s="2"/>
      </tp>
      <tp t="s">
        <v>#N/A N/A</v>
        <stp/>
        <stp>BDP|8238674690797441545</stp>
        <tr r="M551" s="2"/>
      </tp>
      <tp t="s">
        <v>#N/A N/A</v>
        <stp/>
        <stp>BDP|4810947649248035406</stp>
        <tr r="R527" s="2"/>
      </tp>
      <tp t="s">
        <v>#N/A N/A</v>
        <stp/>
        <stp>BDP|5462144506044360505</stp>
        <tr r="F974" s="2"/>
      </tp>
      <tp t="s">
        <v>#N/A N/A</v>
        <stp/>
        <stp>BDP|2441813695952566408</stp>
        <tr r="A50" s="2"/>
      </tp>
      <tp t="s">
        <v>#N/A N/A</v>
        <stp/>
        <stp>BDP|3738271133463378451</stp>
        <tr r="H1119" s="2"/>
      </tp>
      <tp t="s">
        <v>#N/A N/A</v>
        <stp/>
        <stp>BDP|8737708607118597203</stp>
        <tr r="A108" s="2"/>
      </tp>
      <tp t="s">
        <v>#N/A N/A</v>
        <stp/>
        <stp>BDP|3732134077641766117</stp>
        <tr r="M829" s="2"/>
      </tp>
      <tp t="s">
        <v>#N/A N/A</v>
        <stp/>
        <stp>BDP|9548981949543625272</stp>
        <tr r="F803" s="2"/>
      </tp>
      <tp t="s">
        <v>#N/A N/A</v>
        <stp/>
        <stp>BDP|9124548210809945196</stp>
        <tr r="P14" s="2"/>
      </tp>
      <tp t="s">
        <v>#N/A N/A</v>
        <stp/>
        <stp>BDP|5232642238640938524</stp>
        <tr r="N606" s="2"/>
      </tp>
      <tp t="s">
        <v>#N/A N/A</v>
        <stp/>
        <stp>BDP|7063606076886096531</stp>
        <tr r="N1566" s="2"/>
      </tp>
      <tp t="s">
        <v>#N/A N/A</v>
        <stp/>
        <stp>BDP|1456443675772909591</stp>
        <tr r="K163" s="2"/>
      </tp>
      <tp t="s">
        <v>#N/A N/A</v>
        <stp/>
        <stp>BDP|8079636045897719848</stp>
        <tr r="M1215" s="2"/>
      </tp>
      <tp t="s">
        <v>#N/A N/A</v>
        <stp/>
        <stp>BDP|4504123133663308025</stp>
        <tr r="F673" s="2"/>
      </tp>
      <tp t="s">
        <v>#N/A N/A</v>
        <stp/>
        <stp>BDP|7348976664989587400</stp>
        <tr r="Q1183" s="2"/>
      </tp>
      <tp t="s">
        <v>#N/A N/A</v>
        <stp/>
        <stp>BDP|9317739492873357146</stp>
        <tr r="S172" s="2"/>
      </tp>
      <tp t="s">
        <v>#N/A N/A</v>
        <stp/>
        <stp>BDP|5718856726653566944</stp>
        <tr r="A457" s="2"/>
      </tp>
      <tp t="s">
        <v>#N/A N/A</v>
        <stp/>
        <stp>BDP|5232348815306535438</stp>
        <tr r="H404" s="2"/>
      </tp>
      <tp t="s">
        <v>#N/A N/A</v>
        <stp/>
        <stp>BDP|2752711524961079379</stp>
        <tr r="K436" s="2"/>
      </tp>
      <tp t="s">
        <v>#N/A N/A</v>
        <stp/>
        <stp>BDP|6922796655591266024</stp>
        <tr r="J57" s="2"/>
      </tp>
      <tp t="s">
        <v>#N/A N/A</v>
        <stp/>
        <stp>BDP|8671929719524010188</stp>
        <tr r="R1543" s="2"/>
      </tp>
      <tp t="s">
        <v>#N/A N/A</v>
        <stp/>
        <stp>BDP|4311176152366376301</stp>
        <tr r="K948" s="2"/>
      </tp>
      <tp t="s">
        <v>#N/A N/A</v>
        <stp/>
        <stp>BDP|5985238707511013386</stp>
        <tr r="T538" s="2"/>
      </tp>
      <tp t="s">
        <v>#N/A N/A</v>
        <stp/>
        <stp>BDP|7421109130851664177</stp>
        <tr r="R1683" s="2"/>
      </tp>
      <tp t="s">
        <v>#N/A N/A</v>
        <stp/>
        <stp>BDP|7962798477163382115</stp>
        <tr r="R830" s="2"/>
      </tp>
      <tp t="s">
        <v>#N/A N/A</v>
        <stp/>
        <stp>BDP|1878480278225854252</stp>
        <tr r="M1140" s="2"/>
      </tp>
      <tp t="s">
        <v>#N/A N/A</v>
        <stp/>
        <stp>BDP|3218447170462071737</stp>
        <tr r="J198" s="2"/>
      </tp>
      <tp t="s">
        <v>#N/A N/A</v>
        <stp/>
        <stp>BDP|9949396372200620810</stp>
        <tr r="S523" s="2"/>
      </tp>
      <tp t="s">
        <v>#N/A N/A</v>
        <stp/>
        <stp>BDP|6078870751797271912</stp>
        <tr r="O92" s="2"/>
      </tp>
      <tp t="s">
        <v>#N/A N/A</v>
        <stp/>
        <stp>BDP|9572983639574119205</stp>
        <tr r="C1674" s="2"/>
      </tp>
      <tp t="s">
        <v>#N/A N/A</v>
        <stp/>
        <stp>BDP|4304570501304717076</stp>
        <tr r="E1205" s="2"/>
      </tp>
      <tp t="s">
        <v>#N/A N/A</v>
        <stp/>
        <stp>BDS|7408833980270275201</stp>
        <tr r="I55" s="2"/>
      </tp>
      <tp t="s">
        <v>#N/A N/A</v>
        <stp/>
        <stp>BDP|7094474636742068748</stp>
        <tr r="E1685" s="2"/>
      </tp>
      <tp t="s">
        <v>#N/A N/A</v>
        <stp/>
        <stp>BDP|2958753090009028093</stp>
        <tr r="R1732" s="2"/>
      </tp>
      <tp t="s">
        <v>#N/A N/A</v>
        <stp/>
        <stp>BDP|6792036364387329269</stp>
        <tr r="P591" s="2"/>
      </tp>
      <tp t="s">
        <v>#N/A N/A</v>
        <stp/>
        <stp>BDP|7636173315612705061</stp>
        <tr r="A593" s="2"/>
      </tp>
      <tp t="s">
        <v>#N/A N/A</v>
        <stp/>
        <stp>BDP|6627718806025740139</stp>
        <tr r="D608" s="2"/>
      </tp>
      <tp t="s">
        <v>#N/A N/A</v>
        <stp/>
        <stp>BDP|5780166578492943459</stp>
        <tr r="F184" s="2"/>
      </tp>
      <tp t="s">
        <v>#N/A N/A</v>
        <stp/>
        <stp>BDP|4941476856535450595</stp>
        <tr r="M1056" s="2"/>
      </tp>
      <tp t="s">
        <v>#N/A N/A</v>
        <stp/>
        <stp>BDP|7518701771721756365</stp>
        <tr r="T35" s="2"/>
      </tp>
      <tp t="s">
        <v>#N/A N/A</v>
        <stp/>
        <stp>BDP|9717976041680574111</stp>
        <tr r="T1704" s="2"/>
      </tp>
      <tp t="s">
        <v>#N/A N/A</v>
        <stp/>
        <stp>BDP|2820824066600810917</stp>
        <tr r="J1435" s="2"/>
      </tp>
      <tp t="s">
        <v>#N/A N/A</v>
        <stp/>
        <stp>BDP|9955854537512640586</stp>
        <tr r="G450" s="2"/>
      </tp>
      <tp t="s">
        <v>#N/A N/A</v>
        <stp/>
        <stp>BDS|7252368574221139749</stp>
        <tr r="I1657" s="2"/>
      </tp>
      <tp t="s">
        <v>#N/A N/A</v>
        <stp/>
        <stp>BDP|8089601563639681401</stp>
        <tr r="Q943" s="2"/>
      </tp>
      <tp t="s">
        <v>#N/A N/A</v>
        <stp/>
        <stp>BDP|3917378401281628730</stp>
        <tr r="A1152" s="2"/>
      </tp>
      <tp t="s">
        <v>#N/A N/A</v>
        <stp/>
        <stp>BDP|9881668086343188232</stp>
        <tr r="M292" s="2"/>
      </tp>
      <tp t="s">
        <v>#N/A N/A</v>
        <stp/>
        <stp>BDP|1651199173599707810</stp>
        <tr r="Q610" s="2"/>
      </tp>
      <tp t="s">
        <v>#N/A N/A</v>
        <stp/>
        <stp>BDP|3571805218054788803</stp>
        <tr r="J463" s="2"/>
      </tp>
      <tp t="s">
        <v>#N/A N/A</v>
        <stp/>
        <stp>BDP|4848728411357342322</stp>
        <tr r="C23" s="2"/>
      </tp>
      <tp t="s">
        <v>#N/A N/A</v>
        <stp/>
        <stp>BDP|1083629528606786577</stp>
        <tr r="P808" s="2"/>
      </tp>
      <tp t="s">
        <v>#N/A N/A</v>
        <stp/>
        <stp>BDP|4073020787992811877</stp>
        <tr r="C543" s="2"/>
      </tp>
      <tp t="s">
        <v>#N/A N/A</v>
        <stp/>
        <stp>BDP|3973410837850110246</stp>
        <tr r="F612" s="2"/>
      </tp>
      <tp t="s">
        <v>#N/A N/A</v>
        <stp/>
        <stp>BDP|9621223297832139682</stp>
        <tr r="F369" s="2"/>
      </tp>
      <tp t="s">
        <v>#N/A N/A</v>
        <stp/>
        <stp>BDP|1452117079900172177</stp>
        <tr r="J882" s="2"/>
      </tp>
      <tp t="s">
        <v>#N/A N/A</v>
        <stp/>
        <stp>BDP|7513460023163328499</stp>
        <tr r="P369" s="2"/>
      </tp>
      <tp t="s">
        <v>#N/A N/A</v>
        <stp/>
        <stp>BDP|9569595592667374478</stp>
        <tr r="G1204" s="2"/>
      </tp>
      <tp t="s">
        <v>#N/A N/A</v>
        <stp/>
        <stp>BDP|9397588201089486343</stp>
        <tr r="F1076" s="2"/>
      </tp>
      <tp t="s">
        <v>#N/A N/A</v>
        <stp/>
        <stp>BDP|8156939564752557393</stp>
        <tr r="K1424" s="2"/>
      </tp>
      <tp t="s">
        <v>#N/A N/A</v>
        <stp/>
        <stp>BDP|5303289401537249625</stp>
        <tr r="M96" s="2"/>
      </tp>
      <tp t="s">
        <v>#N/A N/A</v>
        <stp/>
        <stp>BDP|2080375239543529717</stp>
        <tr r="S225" s="2"/>
      </tp>
      <tp t="s">
        <v>#N/A N/A</v>
        <stp/>
        <stp>BDP|3873685739897112726</stp>
        <tr r="J1018" s="2"/>
      </tp>
      <tp t="s">
        <v>#N/A N/A</v>
        <stp/>
        <stp>BDP|9626801967195893437</stp>
        <tr r="J779" s="2"/>
      </tp>
      <tp t="s">
        <v>#N/A N/A</v>
        <stp/>
        <stp>BDP|6991451313853551609</stp>
        <tr r="O1416" s="2"/>
      </tp>
      <tp t="s">
        <v>#N/A N/A</v>
        <stp/>
        <stp>BDS|2972215266834572412</stp>
        <tr r="I811" s="2"/>
      </tp>
      <tp t="s">
        <v>#N/A N/A</v>
        <stp/>
        <stp>BDP|4615419989349662721</stp>
        <tr r="N442" s="2"/>
      </tp>
      <tp t="s">
        <v>#N/A N/A</v>
        <stp/>
        <stp>BDP|2872838984377017351</stp>
        <tr r="E124" s="2"/>
      </tp>
      <tp t="s">
        <v>#N/A N/A</v>
        <stp/>
        <stp>BDP|6488397096009848394</stp>
        <tr r="O1752" s="2"/>
      </tp>
      <tp t="s">
        <v>#N/A N/A</v>
        <stp/>
        <stp>BDP|4516420107330895624</stp>
        <tr r="S1668" s="2"/>
      </tp>
      <tp t="s">
        <v>#N/A N/A</v>
        <stp/>
        <stp>BDP|5868702157926628730</stp>
        <tr r="N1177" s="2"/>
      </tp>
      <tp t="s">
        <v>#N/A N/A</v>
        <stp/>
        <stp>BDP|6698572349217127634</stp>
        <tr r="P1071" s="2"/>
      </tp>
      <tp t="s">
        <v>#N/A N/A</v>
        <stp/>
        <stp>BDP|6742708226137803233</stp>
        <tr r="C477" s="2"/>
      </tp>
      <tp t="s">
        <v>#N/A N/A</v>
        <stp/>
        <stp>BDP|1856050643987739431</stp>
        <tr r="R282" s="2"/>
      </tp>
      <tp t="s">
        <v>#N/A N/A</v>
        <stp/>
        <stp>BDP|4965776496768199430</stp>
        <tr r="Q1197" s="2"/>
      </tp>
      <tp t="s">
        <v>#N/A N/A</v>
        <stp/>
        <stp>BDP|8092183403407028812</stp>
        <tr r="H1491" s="2"/>
      </tp>
      <tp t="s">
        <v>#N/A N/A</v>
        <stp/>
        <stp>BDP|2710822876359987206</stp>
        <tr r="J416" s="2"/>
      </tp>
      <tp t="s">
        <v>#N/A N/A</v>
        <stp/>
        <stp>BDP|6313801556608752582</stp>
        <tr r="T456" s="2"/>
      </tp>
      <tp t="s">
        <v>#N/A N/A</v>
        <stp/>
        <stp>BDP|2789849806115940965</stp>
        <tr r="Q492" s="2"/>
      </tp>
      <tp t="s">
        <v>#N/A N/A</v>
        <stp/>
        <stp>BDP|5604235148077101264</stp>
        <tr r="E977" s="2"/>
      </tp>
      <tp t="s">
        <v>#N/A N/A</v>
        <stp/>
        <stp>BDP|8745247677502640983</stp>
        <tr r="D1240" s="2"/>
      </tp>
      <tp t="s">
        <v>#N/A N/A</v>
        <stp/>
        <stp>BDP|1390176956913850002</stp>
        <tr r="F985" s="2"/>
      </tp>
      <tp t="s">
        <v>#N/A N/A</v>
        <stp/>
        <stp>BDP|5946217205642546321</stp>
        <tr r="Q1309" s="2"/>
      </tp>
      <tp t="s">
        <v>#N/A N/A</v>
        <stp/>
        <stp>BDP|7806141614020460167</stp>
        <tr r="A1352" s="2"/>
      </tp>
      <tp t="s">
        <v>#N/A N/A</v>
        <stp/>
        <stp>BDS|5226835953529153794</stp>
        <tr r="I1051" s="2"/>
      </tp>
      <tp t="s">
        <v>#N/A N/A</v>
        <stp/>
        <stp>BDP|2598044667852922057</stp>
        <tr r="G1300" s="2"/>
      </tp>
      <tp t="s">
        <v>#N/A N/A</v>
        <stp/>
        <stp>BDP|5289893195025293762</stp>
        <tr r="J1310" s="2"/>
      </tp>
      <tp t="s">
        <v>#N/A N/A</v>
        <stp/>
        <stp>BDP|1344768369940129677</stp>
        <tr r="T633" s="2"/>
      </tp>
      <tp t="s">
        <v>#N/A N/A</v>
        <stp/>
        <stp>BDP|3575139008975248163</stp>
        <tr r="S1399" s="2"/>
      </tp>
      <tp t="s">
        <v>#N/A N/A</v>
        <stp/>
        <stp>BDP|6089785812134698265</stp>
        <tr r="K1099" s="2"/>
      </tp>
      <tp t="s">
        <v>#N/A N/A</v>
        <stp/>
        <stp>BDP|6390101055736579298</stp>
        <tr r="P316" s="2"/>
      </tp>
      <tp t="s">
        <v>#N/A N/A</v>
        <stp/>
        <stp>BDP|5776644123092818521</stp>
        <tr r="P436" s="2"/>
      </tp>
      <tp t="s">
        <v>#N/A N/A</v>
        <stp/>
        <stp>BDP|2315443666140200690</stp>
        <tr r="E1143" s="2"/>
      </tp>
      <tp t="s">
        <v>#N/A N/A</v>
        <stp/>
        <stp>BDP|6015524734221927756</stp>
        <tr r="D731" s="2"/>
      </tp>
      <tp t="s">
        <v>#N/A N/A</v>
        <stp/>
        <stp>BDP|5601553792159211690</stp>
        <tr r="R468" s="2"/>
      </tp>
      <tp t="s">
        <v>#N/A N/A</v>
        <stp/>
        <stp>BDP|4122305170476218091</stp>
        <tr r="N1056" s="2"/>
      </tp>
      <tp t="s">
        <v>#N/A N/A</v>
        <stp/>
        <stp>BDS|6915378534966738673</stp>
        <tr r="I797" s="2"/>
      </tp>
      <tp t="s">
        <v>#N/A N/A</v>
        <stp/>
        <stp>BDP|5970278942495507039</stp>
        <tr r="A727" s="2"/>
      </tp>
      <tp t="s">
        <v>#N/A N/A</v>
        <stp/>
        <stp>BDP|1138843287711027687</stp>
        <tr r="R1181" s="2"/>
      </tp>
      <tp t="s">
        <v>#N/A N/A</v>
        <stp/>
        <stp>BDP|2541361015573459587</stp>
        <tr r="A1341" s="2"/>
      </tp>
      <tp t="s">
        <v>#N/A N/A</v>
        <stp/>
        <stp>BDP|7412370623014811425</stp>
        <tr r="D126" s="2"/>
      </tp>
      <tp t="s">
        <v>#N/A N/A</v>
        <stp/>
        <stp>BDP|3093733379243882685</stp>
        <tr r="R1610" s="2"/>
      </tp>
      <tp t="s">
        <v>#N/A N/A</v>
        <stp/>
        <stp>BDP|9788182773641703819</stp>
        <tr r="F558" s="2"/>
      </tp>
      <tp t="s">
        <v>#N/A N/A</v>
        <stp/>
        <stp>BDP|7933747265489630946</stp>
        <tr r="G695" s="2"/>
      </tp>
      <tp t="s">
        <v>#N/A N/A</v>
        <stp/>
        <stp>BDP|8552382064622616954</stp>
        <tr r="Q1382" s="2"/>
      </tp>
      <tp t="s">
        <v>#N/A N/A</v>
        <stp/>
        <stp>BDP|9874829171210917089</stp>
        <tr r="N701" s="2"/>
      </tp>
      <tp t="s">
        <v>#N/A N/A</v>
        <stp/>
        <stp>BDP|1806408553995673372</stp>
        <tr r="G182" s="2"/>
      </tp>
      <tp t="s">
        <v>#N/A N/A</v>
        <stp/>
        <stp>BDS|8302944566088854936</stp>
        <tr r="I1004" s="2"/>
      </tp>
      <tp t="s">
        <v>#N/A N/A</v>
        <stp/>
        <stp>BDP|2873976705034851983</stp>
        <tr r="K512" s="2"/>
      </tp>
      <tp t="s">
        <v>#N/A N/A</v>
        <stp/>
        <stp>BDP|7143772367468310884</stp>
        <tr r="T1743" s="2"/>
      </tp>
      <tp t="s">
        <v>#N/A N/A</v>
        <stp/>
        <stp>BDP|6631625879079352844</stp>
        <tr r="E501" s="2"/>
      </tp>
      <tp t="s">
        <v>#N/A N/A</v>
        <stp/>
        <stp>BDP|7914347337050689169</stp>
        <tr r="P1671" s="2"/>
      </tp>
      <tp t="s">
        <v>#N/A N/A</v>
        <stp/>
        <stp>BDP|8029547690787660582</stp>
        <tr r="S1616" s="2"/>
      </tp>
      <tp t="s">
        <v>#N/A N/A</v>
        <stp/>
        <stp>BDP|2397795340334819388</stp>
        <tr r="D1122" s="2"/>
      </tp>
      <tp t="s">
        <v>#N/A N/A</v>
        <stp/>
        <stp>BDP|6816166932110580238</stp>
        <tr r="H1509" s="2"/>
      </tp>
      <tp t="s">
        <v>#N/A N/A</v>
        <stp/>
        <stp>BDP|5929718658813375293</stp>
        <tr r="S745" s="2"/>
      </tp>
      <tp t="s">
        <v>#N/A N/A</v>
        <stp/>
        <stp>BDP|7638386325897302734</stp>
        <tr r="H1739" s="2"/>
      </tp>
      <tp t="s">
        <v>#N/A N/A</v>
        <stp/>
        <stp>BDP|1688710881069935142</stp>
        <tr r="S1108" s="2"/>
      </tp>
      <tp t="s">
        <v>#N/A N/A</v>
        <stp/>
        <stp>BDS|8051381115149267549</stp>
        <tr r="I472" s="2"/>
      </tp>
      <tp t="s">
        <v>#N/A N/A</v>
        <stp/>
        <stp>BDP|5405604064103853038</stp>
        <tr r="A830" s="2"/>
      </tp>
      <tp t="s">
        <v>#N/A N/A</v>
        <stp/>
        <stp>BDP|5061582739937275282</stp>
        <tr r="F488" s="2"/>
      </tp>
      <tp t="s">
        <v>#N/A N/A</v>
        <stp/>
        <stp>BDP|3451600163867865243</stp>
        <tr r="E333" s="2"/>
      </tp>
      <tp t="s">
        <v>#N/A N/A</v>
        <stp/>
        <stp>BDP|9947834865014613529</stp>
        <tr r="E1404" s="2"/>
      </tp>
      <tp t="s">
        <v>#N/A N/A</v>
        <stp/>
        <stp>BDP|2727055909645930199</stp>
        <tr r="K1165" s="2"/>
      </tp>
      <tp t="s">
        <v>#N/A N/A</v>
        <stp/>
        <stp>BDP|5994763005510421457</stp>
        <tr r="H179" s="2"/>
      </tp>
      <tp t="s">
        <v>#N/A N/A</v>
        <stp/>
        <stp>BDP|3498895326696233923</stp>
        <tr r="T649" s="2"/>
      </tp>
      <tp t="s">
        <v>#N/A N/A</v>
        <stp/>
        <stp>BDP|4697381837146078424</stp>
        <tr r="A1200" s="2"/>
      </tp>
      <tp t="s">
        <v>#N/A N/A</v>
        <stp/>
        <stp>BDP|6000154808468585932</stp>
        <tr r="M714" s="2"/>
      </tp>
      <tp t="s">
        <v>#N/A N/A</v>
        <stp/>
        <stp>BDP|7400295234433544378</stp>
        <tr r="P1206" s="2"/>
      </tp>
      <tp t="s">
        <v>#N/A N/A</v>
        <stp/>
        <stp>BDP|1996637464174671334</stp>
        <tr r="F875" s="2"/>
      </tp>
      <tp t="s">
        <v>#N/A N/A</v>
        <stp/>
        <stp>BDP|4718927245656888934</stp>
        <tr r="R1184" s="2"/>
      </tp>
      <tp t="s">
        <v>#N/A N/A</v>
        <stp/>
        <stp>BDP|8362955228757392261</stp>
        <tr r="J1363" s="2"/>
      </tp>
      <tp t="s">
        <v>#N/A N/A</v>
        <stp/>
        <stp>BDP|6730925013238503088</stp>
        <tr r="T1494" s="2"/>
      </tp>
      <tp t="s">
        <v>#N/A N/A</v>
        <stp/>
        <stp>BDP|2232374538904605002</stp>
        <tr r="K847" s="2"/>
      </tp>
      <tp t="s">
        <v>#N/A N/A</v>
        <stp/>
        <stp>BDP|5616759655013942240</stp>
        <tr r="S698" s="2"/>
      </tp>
      <tp t="s">
        <v>#N/A N/A</v>
        <stp/>
        <stp>BDP|6605817267818929621</stp>
        <tr r="E311" s="2"/>
      </tp>
      <tp t="s">
        <v>#N/A N/A</v>
        <stp/>
        <stp>BDP|7399987384187168755</stp>
        <tr r="J642" s="2"/>
      </tp>
      <tp t="s">
        <v>#N/A N/A</v>
        <stp/>
        <stp>BDP|7550333484292888813</stp>
        <tr r="A1545" s="2"/>
      </tp>
      <tp t="s">
        <v>#N/A N/A</v>
        <stp/>
        <stp>BDP|3349702889769569348</stp>
        <tr r="J707" s="2"/>
      </tp>
      <tp t="s">
        <v>#N/A N/A</v>
        <stp/>
        <stp>BDP|2851633267572681615</stp>
        <tr r="F1630" s="2"/>
      </tp>
      <tp t="s">
        <v>#N/A N/A</v>
        <stp/>
        <stp>BDP|3669418415733002397</stp>
        <tr r="R1139" s="2"/>
      </tp>
      <tp t="s">
        <v>#N/A N/A</v>
        <stp/>
        <stp>BDS|5487883186180107307</stp>
        <tr r="I1276" s="2"/>
      </tp>
      <tp t="s">
        <v>#N/A N/A</v>
        <stp/>
        <stp>BDP|1772998091861408606</stp>
        <tr r="O1578" s="2"/>
      </tp>
      <tp t="s">
        <v>#N/A N/A</v>
        <stp/>
        <stp>BDP|4790318509434518515</stp>
        <tr r="O780" s="2"/>
      </tp>
      <tp t="s">
        <v>#N/A N/A</v>
        <stp/>
        <stp>BDP|1719469457956537083</stp>
        <tr r="D1044" s="2"/>
      </tp>
      <tp t="s">
        <v>#N/A N/A</v>
        <stp/>
        <stp>BDP|4778446567191605190</stp>
        <tr r="J149" s="2"/>
      </tp>
      <tp t="s">
        <v>#N/A N/A</v>
        <stp/>
        <stp>BDP|2271720375297679382</stp>
        <tr r="H100" s="2"/>
      </tp>
      <tp t="s">
        <v>#N/A N/A</v>
        <stp/>
        <stp>BDP|5896777872924631704</stp>
        <tr r="S1556" s="2"/>
      </tp>
      <tp t="s">
        <v>#N/A N/A</v>
        <stp/>
        <stp>BDP|8670829407724908219</stp>
        <tr r="H871" s="2"/>
      </tp>
      <tp t="s">
        <v>#N/A N/A</v>
        <stp/>
        <stp>BDP|5203682232534758242</stp>
        <tr r="G44" s="2"/>
      </tp>
      <tp t="s">
        <v>#N/A N/A</v>
        <stp/>
        <stp>BDP|8015636168447774977</stp>
        <tr r="J1345" s="2"/>
      </tp>
      <tp t="s">
        <v>#N/A N/A</v>
        <stp/>
        <stp>BDP|2055070662343927177</stp>
        <tr r="E500" s="2"/>
      </tp>
      <tp t="s">
        <v>#N/A N/A</v>
        <stp/>
        <stp>BDP|4870454494149232602</stp>
        <tr r="P750" s="2"/>
      </tp>
      <tp t="s">
        <v>#N/A N/A</v>
        <stp/>
        <stp>BDP|8224836820775209180</stp>
        <tr r="C807" s="2"/>
      </tp>
      <tp t="s">
        <v>#N/A N/A</v>
        <stp/>
        <stp>BDP|6515983997774927484</stp>
        <tr r="Q77" s="2"/>
      </tp>
      <tp t="s">
        <v>#N/A N/A</v>
        <stp/>
        <stp>BDP|6584536419875169153</stp>
        <tr r="G105" s="2"/>
      </tp>
      <tp t="s">
        <v>#N/A N/A</v>
        <stp/>
        <stp>BDP|6962409616443399671</stp>
        <tr r="S446" s="2"/>
      </tp>
      <tp t="s">
        <v>#N/A N/A</v>
        <stp/>
        <stp>BDP|4642485856263158024</stp>
        <tr r="S833" s="2"/>
      </tp>
      <tp t="s">
        <v>#N/A N/A</v>
        <stp/>
        <stp>BDP|3629684514586402451</stp>
        <tr r="D58" s="2"/>
      </tp>
      <tp t="s">
        <v>#N/A N/A</v>
        <stp/>
        <stp>BDS|4556987296205373736</stp>
        <tr r="I1481" s="2"/>
      </tp>
      <tp t="s">
        <v>#N/A N/A</v>
        <stp/>
        <stp>BDP|6996940670968076665</stp>
        <tr r="G351" s="2"/>
      </tp>
      <tp t="s">
        <v>#N/A N/A</v>
        <stp/>
        <stp>BDP|7683889117329031123</stp>
        <tr r="F1362" s="2"/>
      </tp>
      <tp t="s">
        <v>#N/A N/A</v>
        <stp/>
        <stp>BDP|3757308512816651182</stp>
        <tr r="O1447" s="2"/>
      </tp>
      <tp t="s">
        <v>#N/A N/A</v>
        <stp/>
        <stp>BDP|7404325869511414503</stp>
        <tr r="J1633" s="2"/>
      </tp>
      <tp t="s">
        <v>#N/A N/A</v>
        <stp/>
        <stp>BDP|3977376855015429646</stp>
        <tr r="O1176" s="2"/>
      </tp>
      <tp t="s">
        <v>#N/A N/A</v>
        <stp/>
        <stp>BDP|1559290573195049745</stp>
        <tr r="R827" s="2"/>
      </tp>
      <tp t="s">
        <v>#N/A N/A</v>
        <stp/>
        <stp>BDP|2564427095441818811</stp>
        <tr r="K8" s="2"/>
      </tp>
      <tp t="s">
        <v>#N/A N/A</v>
        <stp/>
        <stp>BDP|7847445661270504337</stp>
        <tr r="C1621" s="2"/>
      </tp>
      <tp t="s">
        <v>#N/A N/A</v>
        <stp/>
        <stp>BDP|2781951003919225485</stp>
        <tr r="A438" s="2"/>
      </tp>
      <tp t="s">
        <v>#N/A N/A</v>
        <stp/>
        <stp>BDS|6530184541343514621</stp>
        <tr r="I272" s="2"/>
      </tp>
      <tp t="s">
        <v>#N/A N/A</v>
        <stp/>
        <stp>BDP|8075951223501474493</stp>
        <tr r="J302" s="2"/>
      </tp>
      <tp t="s">
        <v>#N/A N/A</v>
        <stp/>
        <stp>BDP|1256691824562770131</stp>
        <tr r="G382" s="2"/>
      </tp>
      <tp t="s">
        <v>#N/A N/A</v>
        <stp/>
        <stp>BDP|2324537206585507487</stp>
        <tr r="E302" s="2"/>
      </tp>
      <tp t="s">
        <v>#N/A N/A</v>
        <stp/>
        <stp>BDP|7356891866728505724</stp>
        <tr r="F1597" s="2"/>
      </tp>
      <tp t="s">
        <v>#N/A N/A</v>
        <stp/>
        <stp>BDP|7470941985039811960</stp>
        <tr r="C992" s="2"/>
      </tp>
      <tp t="s">
        <v>#N/A N/A</v>
        <stp/>
        <stp>BDP|2194686430945723452</stp>
        <tr r="F1135" s="2"/>
      </tp>
      <tp t="s">
        <v>#N/A N/A</v>
        <stp/>
        <stp>BDP|6975855887997156718</stp>
        <tr r="N702" s="2"/>
      </tp>
      <tp t="s">
        <v>#N/A N/A</v>
        <stp/>
        <stp>BDP|8835243780910579428</stp>
        <tr r="H98" s="2"/>
      </tp>
      <tp t="s">
        <v>#N/A N/A</v>
        <stp/>
        <stp>BDP|5921206822285784647</stp>
        <tr r="D1466" s="2"/>
      </tp>
      <tp t="s">
        <v>#N/A N/A</v>
        <stp/>
        <stp>BDP|9972698285668413991</stp>
        <tr r="F1523" s="2"/>
      </tp>
      <tp t="s">
        <v>#N/A N/A</v>
        <stp/>
        <stp>BDP|9496920545801200398</stp>
        <tr r="R1483" s="2"/>
      </tp>
      <tp t="s">
        <v>#N/A N/A</v>
        <stp/>
        <stp>BDP|7553859963388821735</stp>
        <tr r="C1561" s="2"/>
      </tp>
      <tp t="s">
        <v>#N/A N/A</v>
        <stp/>
        <stp>BDP|1500181204385132309</stp>
        <tr r="J1602" s="2"/>
      </tp>
      <tp t="s">
        <v>#N/A N/A</v>
        <stp/>
        <stp>BDP|2311935795544522088</stp>
        <tr r="S1068" s="2"/>
      </tp>
      <tp t="s">
        <v>#N/A N/A</v>
        <stp/>
        <stp>BDP|1697398799688740598</stp>
        <tr r="M1666" s="2"/>
      </tp>
      <tp t="s">
        <v>#N/A N/A</v>
        <stp/>
        <stp>BDP|8128216997062771789</stp>
        <tr r="R1243" s="2"/>
      </tp>
      <tp t="s">
        <v>#N/A N/A</v>
        <stp/>
        <stp>BDP|5706796954987479662</stp>
        <tr r="E1752" s="2"/>
      </tp>
      <tp t="s">
        <v>#N/A N/A</v>
        <stp/>
        <stp>BDP|4351311519381193124</stp>
        <tr r="S691" s="2"/>
      </tp>
      <tp t="s">
        <v>#N/A N/A</v>
        <stp/>
        <stp>BDP|7116418579634328627</stp>
        <tr r="S531" s="2"/>
      </tp>
      <tp t="s">
        <v>#N/A N/A</v>
        <stp/>
        <stp>BDP|7847321632723586257</stp>
        <tr r="Q1216" s="2"/>
      </tp>
      <tp t="s">
        <v>#N/A N/A</v>
        <stp/>
        <stp>BDP|8982254012025607801</stp>
        <tr r="O132" s="2"/>
      </tp>
      <tp t="s">
        <v>#N/A N/A</v>
        <stp/>
        <stp>BDP|7024267175544940029</stp>
        <tr r="F1496" s="2"/>
      </tp>
      <tp t="s">
        <v>#N/A N/A</v>
        <stp/>
        <stp>BDS|2008800051201154889</stp>
        <tr r="I1459" s="2"/>
      </tp>
      <tp t="s">
        <v>#N/A N/A</v>
        <stp/>
        <stp>BDS|8913333683684082112</stp>
        <tr r="I1363" s="2"/>
      </tp>
      <tp t="s">
        <v>#N/A N/A</v>
        <stp/>
        <stp>BDP|6147697287999266751</stp>
        <tr r="E1348" s="2"/>
      </tp>
      <tp t="s">
        <v>#N/A N/A</v>
        <stp/>
        <stp>BDP|4645284488799620189</stp>
        <tr r="S656" s="2"/>
      </tp>
      <tp t="s">
        <v>#N/A N/A</v>
        <stp/>
        <stp>BDP|7626081860933705416</stp>
        <tr r="N1076" s="2"/>
      </tp>
      <tp t="s">
        <v>#N/A N/A</v>
        <stp/>
        <stp>BDP|1566006838855321166</stp>
        <tr r="F248" s="2"/>
      </tp>
      <tp t="s">
        <v>#N/A N/A</v>
        <stp/>
        <stp>BDP|2522317211244900248</stp>
        <tr r="N977" s="2"/>
      </tp>
      <tp t="s">
        <v>#N/A N/A</v>
        <stp/>
        <stp>BDP|1920393991298955509</stp>
        <tr r="Q1703" s="2"/>
      </tp>
      <tp t="s">
        <v>#N/A N/A</v>
        <stp/>
        <stp>BDP|8402926043946987548</stp>
        <tr r="O127" s="2"/>
      </tp>
      <tp t="s">
        <v>#N/A N/A</v>
        <stp/>
        <stp>BDP|2009912951958917014</stp>
        <tr r="J1078" s="2"/>
      </tp>
      <tp t="s">
        <v>#N/A N/A</v>
        <stp/>
        <stp>BDP|7237091015374779418</stp>
        <tr r="T746" s="2"/>
      </tp>
      <tp t="s">
        <v>#N/A N/A</v>
        <stp/>
        <stp>BDP|3932847784324031115</stp>
        <tr r="E1057" s="2"/>
      </tp>
      <tp t="s">
        <v>#N/A N/A</v>
        <stp/>
        <stp>BDP|1220529286268716299</stp>
        <tr r="A742" s="2"/>
      </tp>
      <tp t="s">
        <v>#N/A N/A</v>
        <stp/>
        <stp>BDP|4982284025494496680</stp>
        <tr r="H393" s="2"/>
      </tp>
      <tp t="s">
        <v>#N/A N/A</v>
        <stp/>
        <stp>BDP|5995353324490587257</stp>
        <tr r="Q478" s="2"/>
      </tp>
      <tp t="s">
        <v>#N/A N/A</v>
        <stp/>
        <stp>BDP|4328532579825996580</stp>
        <tr r="T1039" s="2"/>
      </tp>
      <tp t="s">
        <v>#N/A N/A</v>
        <stp/>
        <stp>BDP|2931553125634057713</stp>
        <tr r="N699" s="2"/>
      </tp>
      <tp t="s">
        <v>#N/A N/A</v>
        <stp/>
        <stp>BDP|4956279565415405378</stp>
        <tr r="Q552" s="2"/>
      </tp>
      <tp t="s">
        <v>#N/A N/A</v>
        <stp/>
        <stp>BDP|7823206910287108516</stp>
        <tr r="Q598" s="2"/>
      </tp>
      <tp t="s">
        <v>#N/A N/A</v>
        <stp/>
        <stp>BDP|1257725359220473556</stp>
        <tr r="O86" s="2"/>
      </tp>
      <tp t="s">
        <v>#N/A N/A</v>
        <stp/>
        <stp>BDP|1527176792709995619</stp>
        <tr r="H261" s="2"/>
      </tp>
      <tp t="s">
        <v>#N/A N/A</v>
        <stp/>
        <stp>BDP|3866760232557301670</stp>
        <tr r="D290" s="2"/>
      </tp>
      <tp t="s">
        <v>#N/A N/A</v>
        <stp/>
        <stp>BDP|1864763761854264258</stp>
        <tr r="E1115" s="2"/>
      </tp>
      <tp t="s">
        <v>#N/A N/A</v>
        <stp/>
        <stp>BDP|6480293372804101160</stp>
        <tr r="R1195" s="2"/>
      </tp>
      <tp t="s">
        <v>#N/A N/A</v>
        <stp/>
        <stp>BDP|4488783291909328562</stp>
        <tr r="G1208" s="2"/>
      </tp>
      <tp t="s">
        <v>#N/A N/A</v>
        <stp/>
        <stp>BDP|8461857958986793563</stp>
        <tr r="O1293" s="2"/>
      </tp>
      <tp t="s">
        <v>#N/A N/A</v>
        <stp/>
        <stp>BDP|6594162777664489287</stp>
        <tr r="F232" s="2"/>
      </tp>
      <tp t="s">
        <v>#N/A N/A</v>
        <stp/>
        <stp>BDP|5635652844571930065</stp>
        <tr r="R58" s="2"/>
      </tp>
      <tp t="s">
        <v>#N/A N/A</v>
        <stp/>
        <stp>BDP|1939400422999087837</stp>
        <tr r="N529" s="2"/>
      </tp>
      <tp t="s">
        <v>#N/A N/A</v>
        <stp/>
        <stp>BDP|8592583387486390512</stp>
        <tr r="D1180" s="2"/>
      </tp>
      <tp t="s">
        <v>#N/A N/A</v>
        <stp/>
        <stp>BDP|9488078238529391509</stp>
        <tr r="K1737" s="2"/>
      </tp>
      <tp t="s">
        <v>#N/A N/A</v>
        <stp/>
        <stp>BDP|2913173040011119076</stp>
        <tr r="Q394" s="2"/>
      </tp>
      <tp t="s">
        <v>#N/A N/A</v>
        <stp/>
        <stp>BDP|8026483394932663129</stp>
        <tr r="P189" s="2"/>
      </tp>
      <tp t="s">
        <v>#N/A N/A</v>
        <stp/>
        <stp>BDP|3805507011421737067</stp>
        <tr r="F1125" s="2"/>
      </tp>
      <tp t="s">
        <v>#N/A N/A</v>
        <stp/>
        <stp>BDS|7729473547721912063</stp>
        <tr r="I1600" s="2"/>
      </tp>
      <tp t="s">
        <v>#N/A N/A</v>
        <stp/>
        <stp>BDP|7101823387726539790</stp>
        <tr r="S1702" s="2"/>
      </tp>
      <tp t="s">
        <v>#N/A N/A</v>
        <stp/>
        <stp>BDP|5224495888486321987</stp>
        <tr r="N854" s="2"/>
      </tp>
      <tp t="s">
        <v>#N/A N/A</v>
        <stp/>
        <stp>BDP|6501136672161980759</stp>
        <tr r="A1347" s="2"/>
      </tp>
      <tp t="s">
        <v>#N/A N/A</v>
        <stp/>
        <stp>BDP|7009213291749031381</stp>
        <tr r="H55" s="2"/>
      </tp>
      <tp t="s">
        <v>#N/A N/A</v>
        <stp/>
        <stp>BDP|6120957609459101058</stp>
        <tr r="A1162" s="2"/>
      </tp>
      <tp t="s">
        <v>#N/A N/A</v>
        <stp/>
        <stp>BDP|2455804060828976246</stp>
        <tr r="F855" s="2"/>
      </tp>
      <tp t="s">
        <v>#N/A N/A</v>
        <stp/>
        <stp>BDP|6981220525750010076</stp>
        <tr r="M395" s="2"/>
      </tp>
      <tp t="s">
        <v>#N/A N/A</v>
        <stp/>
        <stp>BDP|4556316177316904038</stp>
        <tr r="Q369" s="2"/>
      </tp>
      <tp t="s">
        <v>#N/A N/A</v>
        <stp/>
        <stp>BDP|8128359342328765186</stp>
        <tr r="C302" s="2"/>
      </tp>
      <tp t="s">
        <v>#N/A N/A</v>
        <stp/>
        <stp>BDP|3911394873630327199</stp>
        <tr r="D814" s="2"/>
      </tp>
      <tp t="s">
        <v>#N/A N/A</v>
        <stp/>
        <stp>BDP|2493583616683353301</stp>
        <tr r="P1722" s="2"/>
      </tp>
      <tp t="s">
        <v>#N/A N/A</v>
        <stp/>
        <stp>BDP|6446382623886201746</stp>
        <tr r="H1335" s="2"/>
      </tp>
      <tp t="s">
        <v>#N/A N/A</v>
        <stp/>
        <stp>BDP|5458623138583506528</stp>
        <tr r="E142" s="2"/>
      </tp>
      <tp t="s">
        <v>#N/A N/A</v>
        <stp/>
        <stp>BDP|2468766631264989431</stp>
        <tr r="F660" s="2"/>
      </tp>
      <tp t="s">
        <v>#N/A N/A</v>
        <stp/>
        <stp>BDS|8817934232327982397</stp>
        <tr r="I1606" s="2"/>
      </tp>
      <tp t="s">
        <v>#N/A N/A</v>
        <stp/>
        <stp>BDP|3820812499420887416</stp>
        <tr r="D82" s="2"/>
      </tp>
      <tp t="s">
        <v>#N/A N/A</v>
        <stp/>
        <stp>BDP|8013038738405315816</stp>
        <tr r="E584" s="2"/>
      </tp>
      <tp t="s">
        <v>#N/A N/A</v>
        <stp/>
        <stp>BDS|3294793121324106420</stp>
        <tr r="I1435" s="2"/>
      </tp>
      <tp t="s">
        <v>#N/A N/A</v>
        <stp/>
        <stp>BDP|1205740287349868108</stp>
        <tr r="F199" s="2"/>
      </tp>
      <tp t="s">
        <v>#N/A N/A</v>
        <stp/>
        <stp>BDP|7952698194537536987</stp>
        <tr r="A583" s="2"/>
      </tp>
      <tp t="s">
        <v>#N/A N/A</v>
        <stp/>
        <stp>BDP|3334823179442906888</stp>
        <tr r="H1312" s="2"/>
      </tp>
      <tp t="s">
        <v>#N/A N/A</v>
        <stp/>
        <stp>BDP|8189894596727378843</stp>
        <tr r="F1104" s="2"/>
      </tp>
      <tp t="s">
        <v>#N/A N/A</v>
        <stp/>
        <stp>BDP|4246769616291345584</stp>
        <tr r="M729" s="2"/>
      </tp>
      <tp t="s">
        <v>#N/A N/A</v>
        <stp/>
        <stp>BDP|1011409189609578256</stp>
        <tr r="S1184" s="2"/>
      </tp>
      <tp t="s">
        <v>#N/A N/A</v>
        <stp/>
        <stp>BDP|7038124250883217690</stp>
        <tr r="H1292" s="2"/>
      </tp>
      <tp t="s">
        <v>#N/A N/A</v>
        <stp/>
        <stp>BDP|8471055991800039797</stp>
        <tr r="S1144" s="2"/>
      </tp>
      <tp t="s">
        <v>#N/A N/A</v>
        <stp/>
        <stp>BDS|9166761632862844949</stp>
        <tr r="I351" s="2"/>
      </tp>
      <tp t="s">
        <v>#N/A N/A</v>
        <stp/>
        <stp>BDP|3864734740581403766</stp>
        <tr r="D1596" s="2"/>
      </tp>
      <tp t="s">
        <v>#N/A N/A</v>
        <stp/>
        <stp>BDP|6105857808159610136</stp>
        <tr r="J89" s="2"/>
      </tp>
      <tp t="s">
        <v>#N/A N/A</v>
        <stp/>
        <stp>BDP|6104276172466457397</stp>
        <tr r="O1446" s="2"/>
      </tp>
      <tp t="s">
        <v>#N/A N/A</v>
        <stp/>
        <stp>BDP|4313331019377413742</stp>
        <tr r="T1587" s="2"/>
      </tp>
      <tp t="s">
        <v>#N/A N/A</v>
        <stp/>
        <stp>BDP|4817013518712170192</stp>
        <tr r="T1395" s="2"/>
      </tp>
      <tp t="s">
        <v>#N/A N/A</v>
        <stp/>
        <stp>BDP|8754962338876593256</stp>
        <tr r="N620" s="2"/>
      </tp>
      <tp t="s">
        <v>#N/A N/A</v>
        <stp/>
        <stp>BDS|2919446976783515472</stp>
        <tr r="I1130" s="2"/>
      </tp>
      <tp t="s">
        <v>#N/A N/A</v>
        <stp/>
        <stp>BDP|3473297592496600804</stp>
        <tr r="G1081" s="2"/>
      </tp>
      <tp t="s">
        <v>#N/A N/A</v>
        <stp/>
        <stp>BDP|4093055870213896644</stp>
        <tr r="J1598" s="2"/>
      </tp>
      <tp t="s">
        <v>#N/A N/A</v>
        <stp/>
        <stp>BDP|5622560668059330923</stp>
        <tr r="F1603" s="2"/>
      </tp>
      <tp t="s">
        <v>#N/A N/A</v>
        <stp/>
        <stp>BDP|8837431783135052714</stp>
        <tr r="M466" s="2"/>
      </tp>
      <tp t="s">
        <v>#N/A N/A</v>
        <stp/>
        <stp>BDP|2511896217288347513</stp>
        <tr r="T1698" s="2"/>
      </tp>
      <tp t="s">
        <v>#N/A N/A</v>
        <stp/>
        <stp>BDP|1387946795194941329</stp>
        <tr r="K1317" s="2"/>
      </tp>
      <tp t="s">
        <v>#N/A N/A</v>
        <stp/>
        <stp>BDP|1951139112341021618</stp>
        <tr r="O1260" s="2"/>
      </tp>
      <tp t="s">
        <v>#N/A N/A</v>
        <stp/>
        <stp>BDP|6333466641375959546</stp>
        <tr r="N507" s="2"/>
      </tp>
      <tp t="s">
        <v>#N/A N/A</v>
        <stp/>
        <stp>BDP|7301032119208526856</stp>
        <tr r="K521" s="2"/>
      </tp>
      <tp t="s">
        <v>#N/A N/A</v>
        <stp/>
        <stp>BDP|8554561596544578692</stp>
        <tr r="Q1513" s="2"/>
      </tp>
      <tp t="s">
        <v>#N/A N/A</v>
        <stp/>
        <stp>BDP|6011258446531827729</stp>
        <tr r="O1000" s="2"/>
      </tp>
      <tp t="s">
        <v>#N/A N/A</v>
        <stp/>
        <stp>BDP|4603374138767336537</stp>
        <tr r="C768" s="2"/>
      </tp>
      <tp t="s">
        <v>#N/A N/A</v>
        <stp/>
        <stp>BDP|7959565592565318873</stp>
        <tr r="T163" s="2"/>
      </tp>
      <tp t="s">
        <v>#N/A N/A</v>
        <stp/>
        <stp>BDP|4337480842126518455</stp>
        <tr r="C446" s="2"/>
      </tp>
      <tp t="s">
        <v>#N/A N/A</v>
        <stp/>
        <stp>BDP|4743063338514366532</stp>
        <tr r="M1664" s="2"/>
      </tp>
      <tp t="s">
        <v>#N/A N/A</v>
        <stp/>
        <stp>BDP|1378653207951836008</stp>
        <tr r="F1351" s="2"/>
      </tp>
      <tp t="s">
        <v>#N/A N/A</v>
        <stp/>
        <stp>BDP|1875633294398777016</stp>
        <tr r="N1370" s="2"/>
      </tp>
      <tp t="s">
        <v>#N/A N/A</v>
        <stp/>
        <stp>BDP|2502624119724608715</stp>
        <tr r="R829" s="2"/>
      </tp>
      <tp t="s">
        <v>#N/A N/A</v>
        <stp/>
        <stp>BDP|3645488571155552341</stp>
        <tr r="D761" s="2"/>
      </tp>
      <tp t="s">
        <v>#N/A N/A</v>
        <stp/>
        <stp>BDP|4189653668172533070</stp>
        <tr r="T901" s="2"/>
      </tp>
      <tp t="s">
        <v>#N/A N/A</v>
        <stp/>
        <stp>BDP|4296705327662361584</stp>
        <tr r="M1717" s="2"/>
      </tp>
      <tp t="s">
        <v>#N/A N/A</v>
        <stp/>
        <stp>BDP|7679787616137497020</stp>
        <tr r="E751" s="2"/>
      </tp>
      <tp t="s">
        <v>#N/A N/A</v>
        <stp/>
        <stp>BDP|4979433840150692227</stp>
        <tr r="G605" s="2"/>
      </tp>
      <tp t="s">
        <v>#N/A N/A</v>
        <stp/>
        <stp>BDP|3805430671386499001</stp>
        <tr r="E1465" s="2"/>
      </tp>
      <tp t="s">
        <v>#N/A N/A</v>
        <stp/>
        <stp>BDP|4074813486931121384</stp>
        <tr r="S827" s="2"/>
      </tp>
      <tp t="s">
        <v>#N/A N/A</v>
        <stp/>
        <stp>BDS|2275685424253097301</stp>
        <tr r="I1132" s="2"/>
      </tp>
      <tp t="s">
        <v>#N/A N/A</v>
        <stp/>
        <stp>BDP|9214219449381622822</stp>
        <tr r="F956" s="2"/>
      </tp>
      <tp t="s">
        <v>#N/A N/A</v>
        <stp/>
        <stp>BDP|3556472707840866133</stp>
        <tr r="N1552" s="2"/>
      </tp>
      <tp t="s">
        <v>#N/A N/A</v>
        <stp/>
        <stp>BDP|6984610505587376100</stp>
        <tr r="P701" s="2"/>
      </tp>
      <tp t="s">
        <v>#N/A N/A</v>
        <stp/>
        <stp>BDP|6811608325172313604</stp>
        <tr r="M109" s="2"/>
      </tp>
      <tp t="s">
        <v>#N/A N/A</v>
        <stp/>
        <stp>BDP|8835433183370365258</stp>
        <tr r="S1384" s="2"/>
      </tp>
      <tp t="s">
        <v>#N/A N/A</v>
        <stp/>
        <stp>BDP|1813105002856620022</stp>
        <tr r="S373" s="2"/>
      </tp>
      <tp t="s">
        <v>#N/A N/A</v>
        <stp/>
        <stp>BDP|6652378939785735515</stp>
        <tr r="J1693" s="2"/>
      </tp>
      <tp t="s">
        <v>#N/A N/A</v>
        <stp/>
        <stp>BDP|3918546667943018543</stp>
        <tr r="Q837" s="2"/>
      </tp>
      <tp t="s">
        <v>#N/A N/A</v>
        <stp/>
        <stp>BDP|6267388600463444002</stp>
        <tr r="G946" s="2"/>
      </tp>
      <tp t="s">
        <v>#N/A N/A</v>
        <stp/>
        <stp>BDP|8698417708209384328</stp>
        <tr r="E870" s="2"/>
      </tp>
      <tp t="s">
        <v>#N/A N/A</v>
        <stp/>
        <stp>BDP|8932318780466152374</stp>
        <tr r="K1719" s="2"/>
      </tp>
      <tp t="s">
        <v>#N/A N/A</v>
        <stp/>
        <stp>BDP|1458879475479129194</stp>
        <tr r="O348" s="2"/>
      </tp>
      <tp t="s">
        <v>#N/A N/A</v>
        <stp/>
        <stp>BDP|9313148391746147194</stp>
        <tr r="O568" s="2"/>
      </tp>
      <tp t="s">
        <v>#N/A N/A</v>
        <stp/>
        <stp>BDP|1653642997888985026</stp>
        <tr r="A651" s="2"/>
      </tp>
      <tp t="s">
        <v>#N/A N/A</v>
        <stp/>
        <stp>BDP|9369084590270745625</stp>
        <tr r="D917" s="2"/>
      </tp>
      <tp t="s">
        <v>#N/A N/A</v>
        <stp/>
        <stp>BDP|9440122482390333697</stp>
        <tr r="O1433" s="2"/>
      </tp>
      <tp t="s">
        <v>#N/A N/A</v>
        <stp/>
        <stp>BDP|5138072382978915338</stp>
        <tr r="N1264" s="2"/>
      </tp>
      <tp t="s">
        <v>#N/A N/A</v>
        <stp/>
        <stp>BDP|4672196747035179276</stp>
        <tr r="D553" s="2"/>
      </tp>
      <tp t="s">
        <v>#N/A N/A</v>
        <stp/>
        <stp>BDP|8232392620047405812</stp>
        <tr r="G72" s="2"/>
      </tp>
      <tp t="s">
        <v>#N/A N/A</v>
        <stp/>
        <stp>BDP|5378741968162950081</stp>
        <tr r="F1235" s="2"/>
      </tp>
      <tp t="s">
        <v>#N/A N/A</v>
        <stp/>
        <stp>BDP|6357986104348850197</stp>
        <tr r="Q311" s="2"/>
      </tp>
      <tp t="s">
        <v>#N/A N/A</v>
        <stp/>
        <stp>BDP|2188927654841147981</stp>
        <tr r="P165" s="2"/>
      </tp>
      <tp t="s">
        <v>#N/A N/A</v>
        <stp/>
        <stp>BDP|1848701546103234725</stp>
        <tr r="D850" s="2"/>
      </tp>
      <tp t="s">
        <v>#N/A N/A</v>
        <stp/>
        <stp>BDP|7639892728769052291</stp>
        <tr r="D910" s="2"/>
      </tp>
      <tp t="s">
        <v>#N/A N/A</v>
        <stp/>
        <stp>BDP|3769371337232032794</stp>
        <tr r="E935" s="2"/>
      </tp>
      <tp t="s">
        <v>#N/A N/A</v>
        <stp/>
        <stp>BDP|4905852136351776833</stp>
        <tr r="C1206" s="2"/>
      </tp>
      <tp t="s">
        <v>#N/A N/A</v>
        <stp/>
        <stp>BDP|4076191451687571132</stp>
        <tr r="O1200" s="2"/>
      </tp>
      <tp t="s">
        <v>#N/A N/A</v>
        <stp/>
        <stp>BDP|6198656321250905428</stp>
        <tr r="E353" s="2"/>
      </tp>
      <tp t="s">
        <v>#N/A N/A</v>
        <stp/>
        <stp>BDP|9756655261216435995</stp>
        <tr r="K372" s="2"/>
      </tp>
      <tp t="s">
        <v>#N/A N/A</v>
        <stp/>
        <stp>BDP|3146267060334019595</stp>
        <tr r="C848" s="2"/>
      </tp>
      <tp t="s">
        <v>#N/A N/A</v>
        <stp/>
        <stp>BDP|8014396980021072474</stp>
        <tr r="A255" s="2"/>
      </tp>
      <tp t="s">
        <v>#N/A N/A</v>
        <stp/>
        <stp>BDP|5238790724792539443</stp>
        <tr r="E1449" s="2"/>
      </tp>
      <tp t="s">
        <v>#N/A N/A</v>
        <stp/>
        <stp>BDP|1379509216850377385</stp>
        <tr r="E587" s="2"/>
      </tp>
      <tp t="s">
        <v>#N/A N/A</v>
        <stp/>
        <stp>BDP|3303580974176037116</stp>
        <tr r="O467" s="2"/>
      </tp>
      <tp t="s">
        <v>#N/A N/A</v>
        <stp/>
        <stp>BDP|3911522982289664110</stp>
        <tr r="M967" s="2"/>
      </tp>
      <tp t="s">
        <v>#N/A N/A</v>
        <stp/>
        <stp>BDP|6979545952322422254</stp>
        <tr r="R1371" s="2"/>
      </tp>
      <tp t="s">
        <v>#N/A N/A</v>
        <stp/>
        <stp>BDP|4409172507376936535</stp>
        <tr r="T524" s="2"/>
      </tp>
      <tp t="s">
        <v>#N/A N/A</v>
        <stp/>
        <stp>BDP|7209083055347164301</stp>
        <tr r="F827" s="2"/>
      </tp>
      <tp t="s">
        <v>#N/A N/A</v>
        <stp/>
        <stp>BDP|6348453790218914513</stp>
        <tr r="K1264" s="2"/>
      </tp>
      <tp t="s">
        <v>#N/A N/A</v>
        <stp/>
        <stp>BDP|7368832231493739984</stp>
        <tr r="G11" s="2"/>
      </tp>
      <tp t="s">
        <v>#N/A N/A</v>
        <stp/>
        <stp>BDP|7912011827857069418</stp>
        <tr r="J80" s="2"/>
      </tp>
      <tp t="s">
        <v>#N/A N/A</v>
        <stp/>
        <stp>BDP|1127240096308827455</stp>
        <tr r="T304" s="2"/>
      </tp>
      <tp t="s">
        <v>#N/A N/A</v>
        <stp/>
        <stp>BDP|2022986753308204071</stp>
        <tr r="J247" s="2"/>
      </tp>
      <tp t="s">
        <v>#N/A N/A</v>
        <stp/>
        <stp>BDP|7623527517431566481</stp>
        <tr r="Q357" s="2"/>
      </tp>
      <tp t="s">
        <v>#N/A N/A</v>
        <stp/>
        <stp>BDP|9795854254860972214</stp>
        <tr r="O192" s="2"/>
      </tp>
      <tp t="s">
        <v>#N/A N/A</v>
        <stp/>
        <stp>BDP|2838472125337262562</stp>
        <tr r="Q1574" s="2"/>
      </tp>
      <tp t="s">
        <v>#N/A N/A</v>
        <stp/>
        <stp>BDP|1821926966231300910</stp>
        <tr r="Q28" s="2"/>
      </tp>
      <tp t="s">
        <v>#N/A N/A</v>
        <stp/>
        <stp>BDP|6963419423422320470</stp>
        <tr r="M348" s="2"/>
      </tp>
      <tp t="s">
        <v>#N/A N/A</v>
        <stp/>
        <stp>BDS|2664712288318056308</stp>
        <tr r="I1706" s="2"/>
      </tp>
      <tp t="s">
        <v>#N/A N/A</v>
        <stp/>
        <stp>BDP|1853544941214026228</stp>
        <tr r="C197" s="2"/>
      </tp>
      <tp t="s">
        <v>#N/A N/A</v>
        <stp/>
        <stp>BDP|1761390785994547812</stp>
        <tr r="Q1170" s="2"/>
      </tp>
      <tp t="s">
        <v>#N/A N/A</v>
        <stp/>
        <stp>BDP|6678063452214487197</stp>
        <tr r="C76" s="2"/>
      </tp>
      <tp t="s">
        <v>#N/A N/A</v>
        <stp/>
        <stp>BDP|4376443304897938157</stp>
        <tr r="E83" s="2"/>
      </tp>
      <tp t="s">
        <v>#N/A N/A</v>
        <stp/>
        <stp>BDP|4468141057816009087</stp>
        <tr r="M810" s="2"/>
      </tp>
      <tp t="s">
        <v>#N/A N/A</v>
        <stp/>
        <stp>BDP|7258418238513029542</stp>
        <tr r="E586" s="2"/>
      </tp>
      <tp t="s">
        <v>#N/A N/A</v>
        <stp/>
        <stp>BDP|3418139919782025715</stp>
        <tr r="F1732" s="2"/>
      </tp>
      <tp t="s">
        <v>#N/A N/A</v>
        <stp/>
        <stp>BDP|1074172108003088505</stp>
        <tr r="A258" s="2"/>
      </tp>
      <tp t="s">
        <v>#N/A N/A</v>
        <stp/>
        <stp>BDP|8387095744108626275</stp>
        <tr r="M1572" s="2"/>
      </tp>
      <tp t="s">
        <v>#N/A N/A</v>
        <stp/>
        <stp>BDS|6909997984057264699</stp>
        <tr r="I1073" s="2"/>
      </tp>
      <tp t="s">
        <v>#N/A N/A</v>
        <stp/>
        <stp>BDP|4300652229915660366</stp>
        <tr r="S961" s="2"/>
      </tp>
      <tp t="s">
        <v>#N/A N/A</v>
        <stp/>
        <stp>BDP|5091090965475233015</stp>
        <tr r="H728" s="2"/>
      </tp>
      <tp t="s">
        <v>#N/A N/A</v>
        <stp/>
        <stp>BDP|5133234710821918145</stp>
        <tr r="O1684" s="2"/>
      </tp>
      <tp t="s">
        <v>#N/A N/A</v>
        <stp/>
        <stp>BDP|2989220864213444344</stp>
        <tr r="O534" s="2"/>
      </tp>
      <tp t="s">
        <v>#N/A N/A</v>
        <stp/>
        <stp>BDP|5417777314900821507</stp>
        <tr r="R674" s="2"/>
      </tp>
      <tp t="s">
        <v>#N/A N/A</v>
        <stp/>
        <stp>BDP|2888950426587463801</stp>
        <tr r="F1121" s="2"/>
      </tp>
      <tp t="s">
        <v>#N/A N/A</v>
        <stp/>
        <stp>BDP|2892885269583428921</stp>
        <tr r="H1576" s="2"/>
      </tp>
      <tp t="s">
        <v>#N/A N/A</v>
        <stp/>
        <stp>BDP|1990937175529632062</stp>
        <tr r="D538" s="2"/>
      </tp>
      <tp t="s">
        <v>#N/A N/A</v>
        <stp/>
        <stp>BDP|3646259198406164855</stp>
        <tr r="A1491" s="2"/>
      </tp>
      <tp t="s">
        <v>#N/A N/A</v>
        <stp/>
        <stp>BDP|8892158126768659529</stp>
        <tr r="J519" s="2"/>
      </tp>
      <tp t="s">
        <v>#N/A N/A</v>
        <stp/>
        <stp>BDP|7814763170911073011</stp>
        <tr r="G348" s="2"/>
      </tp>
      <tp t="s">
        <v>#N/A N/A</v>
        <stp/>
        <stp>BDP|1342540849990189608</stp>
        <tr r="T1193" s="2"/>
      </tp>
      <tp t="s">
        <v>#N/A N/A</v>
        <stp/>
        <stp>BDP|2597352361415850466</stp>
        <tr r="P1470" s="2"/>
      </tp>
      <tp t="s">
        <v>#N/A N/A</v>
        <stp/>
        <stp>BDP|6244696063102251259</stp>
        <tr r="M652" s="2"/>
      </tp>
      <tp t="s">
        <v>#N/A N/A</v>
        <stp/>
        <stp>BDP|4875940306389099252</stp>
        <tr r="M792" s="2"/>
      </tp>
      <tp t="s">
        <v>#N/A N/A</v>
        <stp/>
        <stp>BDP|5950392539375721619</stp>
        <tr r="G20" s="2"/>
      </tp>
      <tp t="s">
        <v>#N/A N/A</v>
        <stp/>
        <stp>BDP|8611954987509295696</stp>
        <tr r="C1392" s="2"/>
      </tp>
      <tp t="s">
        <v>#N/A N/A</v>
        <stp/>
        <stp>BDP|1252036114844929236</stp>
        <tr r="O882" s="2"/>
      </tp>
      <tp t="s">
        <v>#N/A N/A</v>
        <stp/>
        <stp>BDP|6847298497093171884</stp>
        <tr r="F821" s="2"/>
      </tp>
      <tp t="s">
        <v>#N/A N/A</v>
        <stp/>
        <stp>BDP|5818009275184434064</stp>
        <tr r="A1382" s="2"/>
      </tp>
      <tp t="s">
        <v>#N/A N/A</v>
        <stp/>
        <stp>BDP|3729289401413781469</stp>
        <tr r="A1253" s="2"/>
      </tp>
      <tp t="s">
        <v>#N/A N/A</v>
        <stp/>
        <stp>BDP|9322096803348200749</stp>
        <tr r="S609" s="2"/>
      </tp>
      <tp t="s">
        <v>#N/A N/A</v>
        <stp/>
        <stp>BDP|5249645150781805117</stp>
        <tr r="E174" s="2"/>
      </tp>
      <tp t="s">
        <v>#N/A N/A</v>
        <stp/>
        <stp>BDP|8497423347708681684</stp>
        <tr r="O1428" s="2"/>
      </tp>
      <tp t="s">
        <v>#N/A N/A</v>
        <stp/>
        <stp>BDP|8260988565436298722</stp>
        <tr r="G558" s="2"/>
      </tp>
      <tp t="s">
        <v>#N/A N/A</v>
        <stp/>
        <stp>BDP|2911694224789837931</stp>
        <tr r="P689" s="2"/>
      </tp>
      <tp t="s">
        <v>#N/A N/A</v>
        <stp/>
        <stp>BDP|3402600408040516362</stp>
        <tr r="T753" s="2"/>
      </tp>
      <tp t="s">
        <v>#N/A N/A</v>
        <stp/>
        <stp>BDP|9314289485823604673</stp>
        <tr r="G541" s="2"/>
      </tp>
      <tp t="s">
        <v>#N/A N/A</v>
        <stp/>
        <stp>BDP|3774291796927050979</stp>
        <tr r="N823" s="2"/>
      </tp>
      <tp t="s">
        <v>#N/A N/A</v>
        <stp/>
        <stp>BDP|5434671101784970141</stp>
        <tr r="M608" s="2"/>
      </tp>
      <tp t="s">
        <v>#N/A N/A</v>
        <stp/>
        <stp>BDP|9683029540488200396</stp>
        <tr r="D421" s="2"/>
      </tp>
      <tp t="s">
        <v>#N/A N/A</v>
        <stp/>
        <stp>BDP|5013542523135168196</stp>
        <tr r="R1066" s="2"/>
      </tp>
      <tp t="s">
        <v>#N/A N/A</v>
        <stp/>
        <stp>BDP|9077884278381714183</stp>
        <tr r="F946" s="2"/>
      </tp>
      <tp t="s">
        <v>#N/A N/A</v>
        <stp/>
        <stp>BDP|3044575216680615184</stp>
        <tr r="O1217" s="2"/>
      </tp>
      <tp t="s">
        <v>#N/A N/A</v>
        <stp/>
        <stp>BDP|2790619211142179193</stp>
        <tr r="K1391" s="2"/>
      </tp>
      <tp t="s">
        <v>#N/A N/A</v>
        <stp/>
        <stp>BDP|6427427875781856243</stp>
        <tr r="F1407" s="2"/>
      </tp>
      <tp t="s">
        <v>#N/A N/A</v>
        <stp/>
        <stp>BDP|5811379947936617214</stp>
        <tr r="M735" s="2"/>
      </tp>
      <tp t="s">
        <v>#N/A N/A</v>
        <stp/>
        <stp>BDP|5428583513762913593</stp>
        <tr r="C490" s="2"/>
      </tp>
      <tp t="s">
        <v>#N/A N/A</v>
        <stp/>
        <stp>BDP|9613634274307806961</stp>
        <tr r="S178" s="2"/>
      </tp>
      <tp t="s">
        <v>#N/A N/A</v>
        <stp/>
        <stp>BDS|3699811782591200489</stp>
        <tr r="I628" s="2"/>
      </tp>
      <tp t="s">
        <v>#N/A N/A</v>
        <stp/>
        <stp>BDP|3080997273892244974</stp>
        <tr r="N1104" s="2"/>
      </tp>
      <tp t="s">
        <v>#N/A N/A</v>
        <stp/>
        <stp>BDP|2129622240597538191</stp>
        <tr r="Q1506" s="2"/>
      </tp>
      <tp t="s">
        <v>#N/A N/A</v>
        <stp/>
        <stp>BDP|2302989985580629579</stp>
        <tr r="Q125" s="2"/>
      </tp>
      <tp t="s">
        <v>#N/A N/A</v>
        <stp/>
        <stp>BDP|2545397954400156265</stp>
        <tr r="E1014" s="2"/>
      </tp>
      <tp t="s">
        <v>#N/A N/A</v>
        <stp/>
        <stp>BDP|5849601304946138329</stp>
        <tr r="S1624" s="2"/>
      </tp>
      <tp t="s">
        <v>#N/A N/A</v>
        <stp/>
        <stp>BDP|9916873371416022602</stp>
        <tr r="E62" s="2"/>
      </tp>
      <tp t="s">
        <v>#N/A N/A</v>
        <stp/>
        <stp>BDP|6502635623256826223</stp>
        <tr r="P320" s="2"/>
      </tp>
      <tp t="s">
        <v>#N/A N/A</v>
        <stp/>
        <stp>BDP|9182779249769125512</stp>
        <tr r="Q207" s="2"/>
      </tp>
      <tp t="s">
        <v>#N/A N/A</v>
        <stp/>
        <stp>BDP|6258483245461860182</stp>
        <tr r="T950" s="2"/>
      </tp>
      <tp t="s">
        <v>#N/A N/A</v>
        <stp/>
        <stp>BDP|5802510829630904460</stp>
        <tr r="Q1218" s="2"/>
      </tp>
      <tp t="s">
        <v>#N/A N/A</v>
        <stp/>
        <stp>BDP|3287090129584891352</stp>
        <tr r="F1070" s="2"/>
      </tp>
      <tp t="s">
        <v>#N/A N/A</v>
        <stp/>
        <stp>BDP|9241445881692158194</stp>
        <tr r="P1458" s="2"/>
      </tp>
      <tp t="s">
        <v>#N/A N/A</v>
        <stp/>
        <stp>BDP|5599470780427937848</stp>
        <tr r="Q834" s="2"/>
      </tp>
      <tp t="s">
        <v>#N/A N/A</v>
        <stp/>
        <stp>BDP|4679937986474992764</stp>
        <tr r="S490" s="2"/>
      </tp>
      <tp t="s">
        <v>#N/A N/A</v>
        <stp/>
        <stp>BDP|9302853069946300703</stp>
        <tr r="N1041" s="2"/>
      </tp>
      <tp t="s">
        <v>#N/A N/A</v>
        <stp/>
        <stp>BDP|3743667373921600583</stp>
        <tr r="M280" s="2"/>
      </tp>
      <tp t="s">
        <v>#N/A N/A</v>
        <stp/>
        <stp>BDP|4132071416452898146</stp>
        <tr r="R806" s="2"/>
      </tp>
      <tp t="s">
        <v>#N/A N/A</v>
        <stp/>
        <stp>BDP|7027904994705885400</stp>
        <tr r="A1272" s="2"/>
      </tp>
      <tp t="s">
        <v>#N/A N/A</v>
        <stp/>
        <stp>BDS|3557996850980052904</stp>
        <tr r="I678" s="2"/>
      </tp>
      <tp t="s">
        <v>#N/A N/A</v>
        <stp/>
        <stp>BDP|6916453448252195291</stp>
        <tr r="R759" s="2"/>
      </tp>
      <tp t="s">
        <v>#N/A N/A</v>
        <stp/>
        <stp>BDP|2735991112335609969</stp>
        <tr r="A1416" s="2"/>
      </tp>
      <tp t="s">
        <v>#N/A N/A</v>
        <stp/>
        <stp>BDP|2182308907562892524</stp>
        <tr r="T1502" s="2"/>
      </tp>
      <tp t="s">
        <v>#N/A N/A</v>
        <stp/>
        <stp>BDS|9813927872375483406</stp>
        <tr r="I643" s="2"/>
      </tp>
      <tp t="s">
        <v>#N/A N/A</v>
        <stp/>
        <stp>BDP|5645102711926259592</stp>
        <tr r="T696" s="2"/>
      </tp>
      <tp t="s">
        <v>#N/A N/A</v>
        <stp/>
        <stp>BDP|2449332828230473578</stp>
        <tr r="G1636" s="2"/>
      </tp>
      <tp t="s">
        <v>#N/A N/A</v>
        <stp/>
        <stp>BDP|5580603059510300035</stp>
        <tr r="M473" s="2"/>
      </tp>
      <tp t="s">
        <v>#N/A N/A</v>
        <stp/>
        <stp>BDP|7818777953325862688</stp>
        <tr r="F11" s="2"/>
      </tp>
      <tp t="s">
        <v>#N/A N/A</v>
        <stp/>
        <stp>BDP|7225483456971834181</stp>
        <tr r="R482" s="2"/>
      </tp>
      <tp t="s">
        <v>#N/A N/A</v>
        <stp/>
        <stp>BDP|2710897240939423161</stp>
        <tr r="A859" s="2"/>
      </tp>
      <tp t="s">
        <v>#N/A N/A</v>
        <stp/>
        <stp>BDP|6599871165276950823</stp>
        <tr r="T1257" s="2"/>
      </tp>
      <tp t="s">
        <v>#N/A N/A</v>
        <stp/>
        <stp>BDP|2521746309632179159</stp>
        <tr r="H1425" s="2"/>
      </tp>
      <tp t="s">
        <v>#N/A N/A</v>
        <stp/>
        <stp>BDP|6234978733522977836</stp>
        <tr r="P199" s="2"/>
      </tp>
      <tp t="s">
        <v>#N/A N/A</v>
        <stp/>
        <stp>BDP|4472805588834235626</stp>
        <tr r="K1022" s="2"/>
      </tp>
      <tp t="s">
        <v>#N/A N/A</v>
        <stp/>
        <stp>BDP|1315830890866914057</stp>
        <tr r="E164" s="2"/>
      </tp>
      <tp t="s">
        <v>#N/A N/A</v>
        <stp/>
        <stp>BDP|2742199374446260441</stp>
        <tr r="T448" s="2"/>
      </tp>
      <tp t="s">
        <v>#N/A N/A</v>
        <stp/>
        <stp>BDP|7905198566044264280</stp>
        <tr r="O341" s="2"/>
      </tp>
      <tp t="s">
        <v>#N/A N/A</v>
        <stp/>
        <stp>BDP|7068090272121796700</stp>
        <tr r="F1097" s="2"/>
      </tp>
      <tp t="s">
        <v>#N/A N/A</v>
        <stp/>
        <stp>BDP|1887232371074529636</stp>
        <tr r="M908" s="2"/>
      </tp>
      <tp t="s">
        <v>#N/A N/A</v>
        <stp/>
        <stp>BDP|7023145619973228232</stp>
        <tr r="M968" s="2"/>
      </tp>
      <tp t="s">
        <v>#N/A N/A</v>
        <stp/>
        <stp>BDP|4703734319242313626</stp>
        <tr r="J342" s="2"/>
      </tp>
      <tp t="s">
        <v>#N/A N/A</v>
        <stp/>
        <stp>BDP|9118831972047812740</stp>
        <tr r="J1039" s="2"/>
      </tp>
      <tp t="s">
        <v>#N/A N/A</v>
        <stp/>
        <stp>BDP|4359276064623475583</stp>
        <tr r="A1299" s="2"/>
      </tp>
      <tp t="s">
        <v>#N/A N/A</v>
        <stp/>
        <stp>BDP|2298582275824230211</stp>
        <tr r="F1015" s="2"/>
      </tp>
      <tp t="s">
        <v>#N/A N/A</v>
        <stp/>
        <stp>BDP|9810419990115481710</stp>
        <tr r="R1366" s="2"/>
      </tp>
      <tp t="s">
        <v>#N/A N/A</v>
        <stp/>
        <stp>BDP|2345437801836838658</stp>
        <tr r="O690" s="2"/>
      </tp>
      <tp t="s">
        <v>#N/A N/A</v>
        <stp/>
        <stp>BDP|3553259929925424017</stp>
        <tr r="P899" s="2"/>
      </tp>
      <tp t="s">
        <v>#N/A N/A</v>
        <stp/>
        <stp>BDP|3870656330294637470</stp>
        <tr r="S1231" s="2"/>
      </tp>
      <tp t="s">
        <v>#N/A N/A</v>
        <stp/>
        <stp>BDP|9880389867609357382</stp>
        <tr r="O1417" s="2"/>
      </tp>
      <tp t="s">
        <v>#N/A N/A</v>
        <stp/>
        <stp>BDS|2395398368710818164</stp>
        <tr r="I1738" s="2"/>
      </tp>
      <tp t="s">
        <v>#N/A N/A</v>
        <stp/>
        <stp>BDP|4316690135644277313</stp>
        <tr r="O1332" s="2"/>
      </tp>
      <tp t="s">
        <v>#N/A N/A</v>
        <stp/>
        <stp>BDP|3980305129550521499</stp>
        <tr r="S611" s="2"/>
      </tp>
      <tp t="s">
        <v>#N/A N/A</v>
        <stp/>
        <stp>BDP|3868602230449719932</stp>
        <tr r="N973" s="2"/>
      </tp>
      <tp t="s">
        <v>#N/A N/A</v>
        <stp/>
        <stp>BDP|1739687741783606640</stp>
        <tr r="C227" s="2"/>
      </tp>
      <tp t="s">
        <v>#N/A N/A</v>
        <stp/>
        <stp>BDP|9662737997398892968</stp>
        <tr r="J1676" s="2"/>
      </tp>
      <tp t="s">
        <v>#N/A N/A</v>
        <stp/>
        <stp>BDP|3890500512874533530</stp>
        <tr r="J345" s="2"/>
      </tp>
      <tp t="s">
        <v>#N/A N/A</v>
        <stp/>
        <stp>BDP|1767992373481465854</stp>
        <tr r="T645" s="2"/>
      </tp>
      <tp t="s">
        <v>#N/A N/A</v>
        <stp/>
        <stp>BDP|1646590522113976387</stp>
        <tr r="J66" s="2"/>
      </tp>
      <tp t="s">
        <v>#N/A N/A</v>
        <stp/>
        <stp>BDP|5566634188788388518</stp>
        <tr r="G379" s="2"/>
      </tp>
      <tp t="s">
        <v>#N/A N/A</v>
        <stp/>
        <stp>BDP|3833690663775893068</stp>
        <tr r="K606" s="2"/>
      </tp>
      <tp t="s">
        <v>#N/A N/A</v>
        <stp/>
        <stp>BDP|8623996521842280701</stp>
        <tr r="O1048" s="2"/>
      </tp>
      <tp t="s">
        <v>#N/A N/A</v>
        <stp/>
        <stp>BDP|9705323273599216282</stp>
        <tr r="E1715" s="2"/>
      </tp>
      <tp t="s">
        <v>#N/A N/A</v>
        <stp/>
        <stp>BDP|5942408934044795060</stp>
        <tr r="K278" s="2"/>
      </tp>
      <tp t="s">
        <v>#N/A N/A</v>
        <stp/>
        <stp>BDP|3873710343925799312</stp>
        <tr r="D788" s="2"/>
      </tp>
      <tp t="s">
        <v>#N/A N/A</v>
        <stp/>
        <stp>BDP|4188840358476299931</stp>
        <tr r="A1013" s="2"/>
      </tp>
      <tp t="s">
        <v>#N/A N/A</v>
        <stp/>
        <stp>BDP|6532186200072550344</stp>
        <tr r="A844" s="2"/>
      </tp>
      <tp t="s">
        <v>#N/A N/A</v>
        <stp/>
        <stp>BDS|8827923220450053567</stp>
        <tr r="I426" s="2"/>
      </tp>
      <tp t="s">
        <v>#N/A N/A</v>
        <stp/>
        <stp>BDP|1659402557250945645</stp>
        <tr r="J487" s="2"/>
      </tp>
      <tp t="s">
        <v>#N/A N/A</v>
        <stp/>
        <stp>BDP|4701163686473906820</stp>
        <tr r="N1188" s="2"/>
      </tp>
      <tp t="s">
        <v>#N/A N/A</v>
        <stp/>
        <stp>BDP|3893646943841159625</stp>
        <tr r="Q396" s="2"/>
      </tp>
      <tp t="s">
        <v>#N/A N/A</v>
        <stp/>
        <stp>BDP|2645691764163749707</stp>
        <tr r="M359" s="2"/>
      </tp>
      <tp t="s">
        <v>#N/A N/A</v>
        <stp/>
        <stp>BDP|6468063404316330692</stp>
        <tr r="D127" s="2"/>
      </tp>
      <tp t="s">
        <v>#N/A N/A</v>
        <stp/>
        <stp>BDP|7961113944241463546</stp>
        <tr r="C916" s="2"/>
      </tp>
      <tp t="s">
        <v>#N/A N/A</v>
        <stp/>
        <stp>BDP|3078470726723417096</stp>
        <tr r="N316" s="2"/>
      </tp>
      <tp t="s">
        <v>#N/A N/A</v>
        <stp/>
        <stp>BDP|1515354303655727187</stp>
        <tr r="E149" s="2"/>
      </tp>
      <tp t="s">
        <v>#N/A N/A</v>
        <stp/>
        <stp>BDP|2183935280841877464</stp>
        <tr r="T1168" s="2"/>
      </tp>
      <tp t="s">
        <v>#N/A N/A</v>
        <stp/>
        <stp>BDP|8968993928267119250</stp>
        <tr r="T1337" s="2"/>
      </tp>
      <tp t="s">
        <v>#N/A N/A</v>
        <stp/>
        <stp>BDP|9686243739989217755</stp>
        <tr r="F551" s="2"/>
      </tp>
      <tp t="s">
        <v>#N/A N/A</v>
        <stp/>
        <stp>BDP|9936696983876930768</stp>
        <tr r="P867" s="2"/>
      </tp>
      <tp t="s">
        <v>#N/A N/A</v>
        <stp/>
        <stp>BDP|3543049507747859229</stp>
        <tr r="N222" s="2"/>
      </tp>
      <tp t="s">
        <v>#N/A N/A</v>
        <stp/>
        <stp>BDP|3403386105755590311</stp>
        <tr r="G110" s="2"/>
      </tp>
      <tp t="s">
        <v>#N/A N/A</v>
        <stp/>
        <stp>BDP|5234094751144167269</stp>
        <tr r="H487" s="2"/>
      </tp>
      <tp t="s">
        <v>#N/A N/A</v>
        <stp/>
        <stp>BDP|5952398448834144048</stp>
        <tr r="C1584" s="2"/>
      </tp>
      <tp t="s">
        <v>#N/A N/A</v>
        <stp/>
        <stp>BDP|8886872763180516043</stp>
        <tr r="M383" s="2"/>
      </tp>
      <tp t="s">
        <v>#N/A N/A</v>
        <stp/>
        <stp>BDP|4360422648086488404</stp>
        <tr r="D453" s="2"/>
      </tp>
      <tp t="s">
        <v>#N/A N/A</v>
        <stp/>
        <stp>BDP|4839744917165376159</stp>
        <tr r="T224" s="2"/>
      </tp>
      <tp t="s">
        <v>#N/A N/A</v>
        <stp/>
        <stp>BDP|6878217652643795417</stp>
        <tr r="C644" s="2"/>
      </tp>
      <tp t="s">
        <v>#N/A N/A</v>
        <stp/>
        <stp>BDP|9931183998143215468</stp>
        <tr r="Q333" s="2"/>
      </tp>
      <tp t="s">
        <v>#N/A N/A</v>
        <stp/>
        <stp>BDP|1729625353473927729</stp>
        <tr r="N274" s="2"/>
      </tp>
      <tp t="s">
        <v>#N/A N/A</v>
        <stp/>
        <stp>BDP|9310527896931371290</stp>
        <tr r="F1219" s="2"/>
      </tp>
      <tp t="s">
        <v>#N/A N/A</v>
        <stp/>
        <stp>BDP|7778007721446250599</stp>
        <tr r="A1427" s="2"/>
      </tp>
      <tp t="s">
        <v>#N/A N/A</v>
        <stp/>
        <stp>BDP|1492030419727563163</stp>
        <tr r="D934" s="2"/>
      </tp>
      <tp t="s">
        <v>#N/A N/A</v>
        <stp/>
        <stp>BDP|5618394159953905627</stp>
        <tr r="F533" s="2"/>
      </tp>
      <tp t="s">
        <v>#N/A N/A</v>
        <stp/>
        <stp>BDP|4574955635641182996</stp>
        <tr r="Q110" s="2"/>
      </tp>
      <tp t="s">
        <v>#N/A N/A</v>
        <stp/>
        <stp>BDP|2211788926366328722</stp>
        <tr r="J1114" s="2"/>
      </tp>
      <tp t="s">
        <v>#N/A N/A</v>
        <stp/>
        <stp>BDP|7257521966940326285</stp>
        <tr r="K313" s="2"/>
      </tp>
      <tp t="s">
        <v>#N/A N/A</v>
        <stp/>
        <stp>BDP|7789574839567368075</stp>
        <tr r="O1138" s="2"/>
      </tp>
      <tp t="s">
        <v>#N/A N/A</v>
        <stp/>
        <stp>BDP|6254780062234587502</stp>
        <tr r="J97" s="2"/>
      </tp>
      <tp t="s">
        <v>#N/A N/A</v>
        <stp/>
        <stp>BDP|2085986183235086069</stp>
        <tr r="J951" s="2"/>
      </tp>
      <tp t="s">
        <v>#N/A N/A</v>
        <stp/>
        <stp>BDP|4722503124671896463</stp>
        <tr r="J1496" s="2"/>
      </tp>
      <tp t="s">
        <v>#N/A N/A</v>
        <stp/>
        <stp>BDP|8558241901888530482</stp>
        <tr r="E415" s="2"/>
      </tp>
      <tp t="s">
        <v>#N/A N/A</v>
        <stp/>
        <stp>BDP|9093323711254856961</stp>
        <tr r="O1028" s="2"/>
      </tp>
      <tp t="s">
        <v>#N/A N/A</v>
        <stp/>
        <stp>BDP|9065126294702827539</stp>
        <tr r="M1225" s="2"/>
      </tp>
      <tp t="s">
        <v>#N/A N/A</v>
        <stp/>
        <stp>BDP|2829453420321570359</stp>
        <tr r="H1527" s="2"/>
      </tp>
      <tp t="s">
        <v>#N/A N/A</v>
        <stp/>
        <stp>BDP|6949841614848346177</stp>
        <tr r="E941" s="2"/>
      </tp>
      <tp t="s">
        <v>#N/A N/A</v>
        <stp/>
        <stp>BDP|2844063643158889880</stp>
        <tr r="A173" s="2"/>
      </tp>
      <tp t="s">
        <v>#N/A N/A</v>
        <stp/>
        <stp>BDP|1418133045286678499</stp>
        <tr r="D354" s="2"/>
      </tp>
      <tp t="s">
        <v>#N/A N/A</v>
        <stp/>
        <stp>BDP|8433174688697428022</stp>
        <tr r="G111" s="2"/>
      </tp>
      <tp t="s">
        <v>#N/A N/A</v>
        <stp/>
        <stp>BDP|6932148114038280862</stp>
        <tr r="E1412" s="2"/>
      </tp>
      <tp t="s">
        <v>#N/A N/A</v>
        <stp/>
        <stp>BDP|7613625209033741471</stp>
        <tr r="K1632" s="2"/>
      </tp>
      <tp t="s">
        <v>#N/A N/A</v>
        <stp/>
        <stp>BDP|2850833726789570757</stp>
        <tr r="E1625" s="2"/>
      </tp>
      <tp t="s">
        <v>#N/A N/A</v>
        <stp/>
        <stp>BDP|1967934750563172860</stp>
        <tr r="H357" s="2"/>
      </tp>
      <tp t="s">
        <v>#N/A N/A</v>
        <stp/>
        <stp>BDP|2575511676432714483</stp>
        <tr r="G559" s="2"/>
      </tp>
      <tp t="s">
        <v>#N/A N/A</v>
        <stp/>
        <stp>BDP|1643225169571040200</stp>
        <tr r="T460" s="2"/>
      </tp>
      <tp t="s">
        <v>#N/A N/A</v>
        <stp/>
        <stp>BDP|4254064437506857761</stp>
        <tr r="D1318" s="2"/>
      </tp>
      <tp t="s">
        <v>#N/A N/A</v>
        <stp/>
        <stp>BDP|9616808418095208319</stp>
        <tr r="G1142" s="2"/>
      </tp>
      <tp t="s">
        <v>#N/A N/A</v>
        <stp/>
        <stp>BDP|9258820827581845424</stp>
        <tr r="G1123" s="2"/>
      </tp>
      <tp t="s">
        <v>#N/A N/A</v>
        <stp/>
        <stp>BDP|7054647019017791178</stp>
        <tr r="C1755" s="2"/>
      </tp>
      <tp t="s">
        <v>#N/A N/A</v>
        <stp/>
        <stp>BDP|7446435633417855113</stp>
        <tr r="G601" s="2"/>
      </tp>
      <tp t="s">
        <v>#N/A N/A</v>
        <stp/>
        <stp>BDP|5535917758358061712</stp>
        <tr r="E402" s="2"/>
      </tp>
      <tp t="s">
        <v>#N/A N/A</v>
        <stp/>
        <stp>BDP|9995629111520224854</stp>
        <tr r="G1229" s="2"/>
      </tp>
      <tp t="s">
        <v>#N/A N/A</v>
        <stp/>
        <stp>BDP|1422347130680473797</stp>
        <tr r="T710" s="2"/>
      </tp>
      <tp t="s">
        <v>#N/A N/A</v>
        <stp/>
        <stp>BDP|4166394931747650523</stp>
        <tr r="M928" s="2"/>
      </tp>
      <tp t="s">
        <v>#N/A N/A</v>
        <stp/>
        <stp>BDP|7656983583567521753</stp>
        <tr r="A1216" s="2"/>
      </tp>
      <tp t="s">
        <v>#N/A N/A</v>
        <stp/>
        <stp>BDP|7470591490308334534</stp>
        <tr r="T1001" s="2"/>
      </tp>
      <tp t="s">
        <v>#N/A N/A</v>
        <stp/>
        <stp>BDP|4891572975032705209</stp>
        <tr r="A892" s="2"/>
      </tp>
      <tp t="s">
        <v>#N/A N/A</v>
        <stp/>
        <stp>BDP|5128112268534141043</stp>
        <tr r="K92" s="2"/>
      </tp>
      <tp t="s">
        <v>#N/A N/A</v>
        <stp/>
        <stp>BDS|3432466980639612093</stp>
        <tr r="I37" s="2"/>
      </tp>
      <tp t="s">
        <v>#N/A N/A</v>
        <stp/>
        <stp>BDP|4990424302100668628</stp>
        <tr r="J895" s="2"/>
      </tp>
      <tp t="s">
        <v>#N/A N/A</v>
        <stp/>
        <stp>BDP|4176444139156364321</stp>
        <tr r="Q1101" s="2"/>
      </tp>
      <tp t="s">
        <v>#N/A N/A</v>
        <stp/>
        <stp>BDP|9620736184830884041</stp>
        <tr r="F847" s="2"/>
      </tp>
      <tp t="s">
        <v>#N/A N/A</v>
        <stp/>
        <stp>BDP|7430380943491612743</stp>
        <tr r="R1377" s="2"/>
      </tp>
      <tp t="s">
        <v>#N/A N/A</v>
        <stp/>
        <stp>BDP|4128501850277954551</stp>
        <tr r="C1320" s="2"/>
      </tp>
      <tp t="s">
        <v>#N/A N/A</v>
        <stp/>
        <stp>BDP|8961553195896295461</stp>
        <tr r="G722" s="2"/>
      </tp>
      <tp t="s">
        <v>#N/A N/A</v>
        <stp/>
        <stp>BDP|5533795442580361000</stp>
        <tr r="O966" s="2"/>
      </tp>
      <tp t="s">
        <v>#N/A N/A</v>
        <stp/>
        <stp>BDP|2591654048967754125</stp>
        <tr r="M700" s="2"/>
      </tp>
      <tp t="s">
        <v>#N/A N/A</v>
        <stp/>
        <stp>BDP|3865445024760370367</stp>
        <tr r="H493" s="2"/>
      </tp>
      <tp t="s">
        <v>#N/A N/A</v>
        <stp/>
        <stp>BDP|4776749655520996025</stp>
        <tr r="S768" s="2"/>
      </tp>
      <tp t="s">
        <v>#N/A N/A</v>
        <stp/>
        <stp>BDP|7857261563854232128</stp>
        <tr r="M1551" s="2"/>
      </tp>
      <tp t="s">
        <v>#N/A N/A</v>
        <stp/>
        <stp>BDP|5360376268687907181</stp>
        <tr r="P501" s="2"/>
      </tp>
      <tp t="s">
        <v>#N/A N/A</v>
        <stp/>
        <stp>BDP|2575690271521230427</stp>
        <tr r="D1079" s="2"/>
      </tp>
      <tp t="s">
        <v>#N/A N/A</v>
        <stp/>
        <stp>BDP|9866865471738711853</stp>
        <tr r="S557" s="2"/>
      </tp>
      <tp t="s">
        <v>#N/A N/A</v>
        <stp/>
        <stp>BDP|1104453639844658468</stp>
        <tr r="R661" s="2"/>
      </tp>
      <tp t="s">
        <v>#N/A N/A</v>
        <stp/>
        <stp>BDP|7709000012445155597</stp>
        <tr r="Q811" s="2"/>
      </tp>
      <tp t="s">
        <v>#N/A N/A</v>
        <stp/>
        <stp>BDP|5986287446204317165</stp>
        <tr r="K1551" s="2"/>
      </tp>
      <tp t="s">
        <v>#N/A N/A</v>
        <stp/>
        <stp>BDP|5375558773374747501</stp>
        <tr r="P464" s="2"/>
      </tp>
      <tp t="s">
        <v>#N/A N/A</v>
        <stp/>
        <stp>BDP|6656969165677463835</stp>
        <tr r="H477" s="2"/>
      </tp>
      <tp t="s">
        <v>#N/A N/A</v>
        <stp/>
        <stp>BDP|2699760665314533120</stp>
        <tr r="P1219" s="2"/>
      </tp>
      <tp t="s">
        <v>#N/A N/A</v>
        <stp/>
        <stp>BDP|6963594755782546228</stp>
        <tr r="O1465" s="2"/>
      </tp>
      <tp t="s">
        <v>#N/A N/A</v>
        <stp/>
        <stp>BDP|7521269931573859383</stp>
        <tr r="J1709" s="2"/>
      </tp>
      <tp t="s">
        <v>#N/A N/A</v>
        <stp/>
        <stp>BDP|1866782617709597802</stp>
        <tr r="Q800" s="2"/>
      </tp>
      <tp t="s">
        <v>#N/A N/A</v>
        <stp/>
        <stp>BDP|3056138407241051562</stp>
        <tr r="T838" s="2"/>
      </tp>
      <tp t="s">
        <v>#N/A N/A</v>
        <stp/>
        <stp>BDP|8261890518471024618</stp>
        <tr r="F1438" s="2"/>
      </tp>
      <tp t="s">
        <v>#N/A N/A</v>
        <stp/>
        <stp>BDP|2475930324409135608</stp>
        <tr r="N1627" s="2"/>
      </tp>
      <tp t="s">
        <v>#N/A N/A</v>
        <stp/>
        <stp>BDP|3424792277814094189</stp>
        <tr r="D1112" s="2"/>
      </tp>
      <tp t="s">
        <v>#N/A N/A</v>
        <stp/>
        <stp>BDP|8841399971562741854</stp>
        <tr r="T103" s="2"/>
      </tp>
      <tp t="s">
        <v>#N/A N/A</v>
        <stp/>
        <stp>BDP|9899977043512931070</stp>
        <tr r="D715" s="2"/>
      </tp>
      <tp t="s">
        <v>#N/A N/A</v>
        <stp/>
        <stp>BDP|6291655852594004772</stp>
        <tr r="E943" s="2"/>
      </tp>
      <tp t="s">
        <v>#N/A N/A</v>
        <stp/>
        <stp>BDS|9119645200721131868</stp>
        <tr r="I726" s="2"/>
      </tp>
      <tp t="s">
        <v>#N/A N/A</v>
        <stp/>
        <stp>BDP|7923773595278110788</stp>
        <tr r="G15" s="2"/>
      </tp>
      <tp t="s">
        <v>#N/A N/A</v>
        <stp/>
        <stp>BDP|1469029330096170252</stp>
        <tr r="C1433" s="2"/>
      </tp>
      <tp t="s">
        <v>#N/A N/A</v>
        <stp/>
        <stp>BDS|3750715963930667416</stp>
        <tr r="I1610" s="2"/>
      </tp>
      <tp t="s">
        <v>#N/A N/A</v>
        <stp/>
        <stp>BDP|1370909716088431737</stp>
        <tr r="O25" s="2"/>
      </tp>
      <tp t="s">
        <v>#N/A N/A</v>
        <stp/>
        <stp>BDP|6066756199658884663</stp>
        <tr r="M897" s="2"/>
      </tp>
      <tp t="s">
        <v>#N/A N/A</v>
        <stp/>
        <stp>BDP|3596602640190018776</stp>
        <tr r="G1099" s="2"/>
      </tp>
      <tp t="s">
        <v>#N/A N/A</v>
        <stp/>
        <stp>BDP|8286091335764972954</stp>
        <tr r="J986" s="2"/>
      </tp>
      <tp t="s">
        <v>#N/A N/A</v>
        <stp/>
        <stp>BDP|2103457262420360678</stp>
        <tr r="A256" s="2"/>
      </tp>
      <tp t="s">
        <v>#N/A N/A</v>
        <stp/>
        <stp>BDP|6691142943610496579</stp>
        <tr r="K933" s="2"/>
      </tp>
      <tp t="s">
        <v>#N/A N/A</v>
        <stp/>
        <stp>BDS|3922940169992175872</stp>
        <tr r="I1008" s="2"/>
      </tp>
      <tp t="s">
        <v>#N/A N/A</v>
        <stp/>
        <stp>BDP|3519731850691123659</stp>
        <tr r="Q41" s="2"/>
      </tp>
      <tp t="s">
        <v>#N/A N/A</v>
        <stp/>
        <stp>BDP|3675000554777250729</stp>
        <tr r="M1588" s="2"/>
      </tp>
      <tp t="s">
        <v>#N/A N/A</v>
        <stp/>
        <stp>BDP|2248937957620297863</stp>
        <tr r="M702" s="2"/>
      </tp>
      <tp t="s">
        <v>#N/A N/A</v>
        <stp/>
        <stp>BDP|4892317008238644957</stp>
        <tr r="D1631" s="2"/>
      </tp>
      <tp t="s">
        <v>#N/A N/A</v>
        <stp/>
        <stp>BDP|9257559394123927080</stp>
        <tr r="N710" s="2"/>
      </tp>
      <tp t="s">
        <v>#N/A N/A</v>
        <stp/>
        <stp>BDP|8758338879598603297</stp>
        <tr r="G494" s="2"/>
      </tp>
      <tp t="s">
        <v>#N/A N/A</v>
        <stp/>
        <stp>BDP|4009513683337591857</stp>
        <tr r="E105" s="2"/>
      </tp>
      <tp t="s">
        <v>#N/A N/A</v>
        <stp/>
        <stp>BDP|8209967955841729343</stp>
        <tr r="E827" s="2"/>
      </tp>
      <tp t="s">
        <v>#N/A N/A</v>
        <stp/>
        <stp>BDP|2576310717732688476</stp>
        <tr r="P1105" s="2"/>
      </tp>
      <tp t="s">
        <v>#N/A N/A</v>
        <stp/>
        <stp>BDP|8056320432889111732</stp>
        <tr r="M1514" s="2"/>
      </tp>
      <tp t="s">
        <v>#N/A N/A</v>
        <stp/>
        <stp>BDP|4455885498047093468</stp>
        <tr r="F1080" s="2"/>
      </tp>
      <tp t="s">
        <v>#N/A N/A</v>
        <stp/>
        <stp>BDP|4301263804492402276</stp>
        <tr r="H1431" s="2"/>
      </tp>
      <tp t="s">
        <v>#N/A N/A</v>
        <stp/>
        <stp>BDP|1308522818020211392</stp>
        <tr r="C276" s="2"/>
      </tp>
      <tp t="s">
        <v>#N/A N/A</v>
        <stp/>
        <stp>BDP|1356414409443135087</stp>
        <tr r="A1310" s="2"/>
      </tp>
      <tp t="s">
        <v>#N/A N/A</v>
        <stp/>
        <stp>BDP|4289323060352111538</stp>
        <tr r="C1582" s="2"/>
      </tp>
      <tp t="s">
        <v>#N/A N/A</v>
        <stp/>
        <stp>BDP|7497018111728461820</stp>
        <tr r="K379" s="2"/>
      </tp>
      <tp t="s">
        <v>#N/A N/A</v>
        <stp/>
        <stp>BDS|4063559163238174959</stp>
        <tr r="I701" s="2"/>
      </tp>
      <tp t="s">
        <v>#N/A N/A</v>
        <stp/>
        <stp>BDP|4383041296868791348</stp>
        <tr r="G153" s="2"/>
      </tp>
      <tp t="s">
        <v>#N/A N/A</v>
        <stp/>
        <stp>BDP|8646307812539456523</stp>
        <tr r="R197" s="2"/>
      </tp>
      <tp t="s">
        <v>#N/A N/A</v>
        <stp/>
        <stp>BDP|1158646731327419522</stp>
        <tr r="J1576" s="2"/>
      </tp>
      <tp t="s">
        <v>#N/A N/A</v>
        <stp/>
        <stp>BDP|6082723979688182886</stp>
        <tr r="A1576" s="2"/>
      </tp>
      <tp t="s">
        <v>#N/A N/A</v>
        <stp/>
        <stp>BDP|8019910381179660645</stp>
        <tr r="C507" s="2"/>
      </tp>
      <tp t="s">
        <v>#N/A N/A</v>
        <stp/>
        <stp>BDP|9814152684683847532</stp>
        <tr r="A1654" s="2"/>
      </tp>
      <tp t="s">
        <v>#N/A N/A</v>
        <stp/>
        <stp>BDP|2878487693759215035</stp>
        <tr r="E526" s="2"/>
      </tp>
      <tp t="s">
        <v>#N/A N/A</v>
        <stp/>
        <stp>BDP|7538526700110540403</stp>
        <tr r="N953" s="2"/>
      </tp>
      <tp t="s">
        <v>#N/A N/A</v>
        <stp/>
        <stp>BDP|2343509797890067860</stp>
        <tr r="T349" s="2"/>
      </tp>
      <tp t="s">
        <v>#N/A N/A</v>
        <stp/>
        <stp>BDP|1014566507783342107</stp>
        <tr r="G193" s="2"/>
      </tp>
      <tp t="s">
        <v>#N/A N/A</v>
        <stp/>
        <stp>BDP|8041542113563143945</stp>
        <tr r="R1419" s="2"/>
      </tp>
      <tp t="s">
        <v>#N/A N/A</v>
        <stp/>
        <stp>BDP|4799538173378181848</stp>
        <tr r="F1272" s="2"/>
      </tp>
      <tp t="s">
        <v>#N/A N/A</v>
        <stp/>
        <stp>BDP|2402576522733603054</stp>
        <tr r="M388" s="2"/>
      </tp>
      <tp t="s">
        <v>#N/A N/A</v>
        <stp/>
        <stp>BDP|5842693803640874583</stp>
        <tr r="T693" s="2"/>
      </tp>
      <tp t="s">
        <v>#N/A N/A</v>
        <stp/>
        <stp>BDP|2006108732823258520</stp>
        <tr r="S829" s="2"/>
      </tp>
      <tp t="s">
        <v>#N/A N/A</v>
        <stp/>
        <stp>BDP|4272692174434834756</stp>
        <tr r="E193" s="2"/>
      </tp>
      <tp t="s">
        <v>#N/A N/A</v>
        <stp/>
        <stp>BDP|1291330032037882095</stp>
        <tr r="R931" s="2"/>
      </tp>
      <tp t="s">
        <v>#N/A N/A</v>
        <stp/>
        <stp>BDP|4549470516051259645</stp>
        <tr r="R574" s="2"/>
      </tp>
      <tp t="s">
        <v>#N/A N/A</v>
        <stp/>
        <stp>BDP|5444166416370437326</stp>
        <tr r="E437" s="2"/>
      </tp>
      <tp t="s">
        <v>#N/A N/A</v>
        <stp/>
        <stp>BDP|9959034142409398298</stp>
        <tr r="Q1300" s="2"/>
      </tp>
      <tp t="s">
        <v>#N/A N/A</v>
        <stp/>
        <stp>BDP|4554139093868470237</stp>
        <tr r="S1321" s="2"/>
      </tp>
      <tp t="s">
        <v>#N/A N/A</v>
        <stp/>
        <stp>BDP|2350852381741262571</stp>
        <tr r="A217" s="2"/>
      </tp>
      <tp t="s">
        <v>#N/A N/A</v>
        <stp/>
        <stp>BDP|5132004452416507044</stp>
        <tr r="A1659" s="2"/>
      </tp>
      <tp t="s">
        <v>#N/A N/A</v>
        <stp/>
        <stp>BDP|3209557037393522071</stp>
        <tr r="R1667" s="2"/>
      </tp>
      <tp t="s">
        <v>#N/A N/A</v>
        <stp/>
        <stp>BDP|7839552567274007684</stp>
        <tr r="F1157" s="2"/>
      </tp>
      <tp t="s">
        <v>#N/A N/A</v>
        <stp/>
        <stp>BDP|5671399919909226862</stp>
        <tr r="D1085" s="2"/>
      </tp>
      <tp t="s">
        <v>#N/A N/A</v>
        <stp/>
        <stp>BDP|6389169420743561027</stp>
        <tr r="S81" s="2"/>
      </tp>
      <tp t="s">
        <v>#N/A N/A</v>
        <stp/>
        <stp>BDP|6315049372744419339</stp>
        <tr r="G180" s="2"/>
      </tp>
      <tp t="s">
        <v>#N/A N/A</v>
        <stp/>
        <stp>BDP|2954568365061894602</stp>
        <tr r="R812" s="2"/>
      </tp>
      <tp t="s">
        <v>#N/A N/A</v>
        <stp/>
        <stp>BDP|9408321964738472247</stp>
        <tr r="J782" s="2"/>
      </tp>
      <tp t="s">
        <v>#N/A N/A</v>
        <stp/>
        <stp>BDP|1840860128349747435</stp>
        <tr r="P1628" s="2"/>
      </tp>
      <tp t="s">
        <v>#N/A N/A</v>
        <stp/>
        <stp>BDP|8861782125998596322</stp>
        <tr r="Q993" s="2"/>
      </tp>
      <tp t="s">
        <v>#N/A N/A</v>
        <stp/>
        <stp>BDP|8699106299755867358</stp>
        <tr r="S893" s="2"/>
      </tp>
      <tp t="s">
        <v>#N/A N/A</v>
        <stp/>
        <stp>BDP|5639833506219326226</stp>
        <tr r="F1360" s="2"/>
      </tp>
      <tp t="s">
        <v>#N/A N/A</v>
        <stp/>
        <stp>BDP|5390270601969384851</stp>
        <tr r="Q1605" s="2"/>
      </tp>
      <tp t="s">
        <v>#N/A N/A</v>
        <stp/>
        <stp>BDP|1509446054464339258</stp>
        <tr r="S789" s="2"/>
      </tp>
      <tp t="s">
        <v>#N/A N/A</v>
        <stp/>
        <stp>BDP|8743752397171583137</stp>
        <tr r="O82" s="2"/>
      </tp>
      <tp t="s">
        <v>#N/A N/A</v>
        <stp/>
        <stp>BDP|7576276248847133082</stp>
        <tr r="C194" s="2"/>
      </tp>
      <tp t="s">
        <v>#N/A N/A</v>
        <stp/>
        <stp>BDP|3162708492263258821</stp>
        <tr r="G474" s="2"/>
      </tp>
      <tp t="s">
        <v>#N/A N/A</v>
        <stp/>
        <stp>BDP|2503916485664535178</stp>
        <tr r="A1688" s="2"/>
      </tp>
      <tp t="s">
        <v>#N/A N/A</v>
        <stp/>
        <stp>BDP|6932282010857101432</stp>
        <tr r="P1396" s="2"/>
      </tp>
      <tp t="s">
        <v>#N/A N/A</v>
        <stp/>
        <stp>BDP|2292827674268252352</stp>
        <tr r="C1345" s="2"/>
      </tp>
      <tp t="s">
        <v>#N/A N/A</v>
        <stp/>
        <stp>BDP|8650604371839263664</stp>
        <tr r="N278" s="2"/>
      </tp>
      <tp t="s">
        <v>#N/A N/A</v>
        <stp/>
        <stp>BDP|3375054785988610560</stp>
        <tr r="K208" s="2"/>
      </tp>
      <tp t="s">
        <v>#N/A N/A</v>
        <stp/>
        <stp>BDP|7368810861076592955</stp>
        <tr r="O50" s="2"/>
      </tp>
      <tp t="s">
        <v>#N/A N/A</v>
        <stp/>
        <stp>BDP|7628422818273886770</stp>
        <tr r="T170" s="2"/>
      </tp>
      <tp t="s">
        <v>#N/A N/A</v>
        <stp/>
        <stp>BDP|4431824120890457810</stp>
        <tr r="T503" s="2"/>
      </tp>
      <tp t="s">
        <v>#N/A N/A</v>
        <stp/>
        <stp>BDP|7106867514850408845</stp>
        <tr r="E614" s="2"/>
      </tp>
      <tp t="s">
        <v>#N/A N/A</v>
        <stp/>
        <stp>BDP|5170035340673883491</stp>
        <tr r="N478" s="2"/>
      </tp>
      <tp t="s">
        <v>#N/A N/A</v>
        <stp/>
        <stp>BDP|9205868662886285775</stp>
        <tr r="M1026" s="2"/>
      </tp>
      <tp t="s">
        <v>#N/A N/A</v>
        <stp/>
        <stp>BDP|7741689058086711431</stp>
        <tr r="C1275" s="2"/>
      </tp>
      <tp t="s">
        <v>#N/A N/A</v>
        <stp/>
        <stp>BDP|1060448356367254134</stp>
        <tr r="G1009" s="2"/>
      </tp>
      <tp t="s">
        <v>#N/A N/A</v>
        <stp/>
        <stp>BDP|3477223390738576608</stp>
        <tr r="O1483" s="2"/>
      </tp>
      <tp t="s">
        <v>#N/A N/A</v>
        <stp/>
        <stp>BDP|1211646306656255718</stp>
        <tr r="Q973" s="2"/>
      </tp>
      <tp t="s">
        <v>#N/A N/A</v>
        <stp/>
        <stp>BDP|9518768436072771912</stp>
        <tr r="J1188" s="2"/>
      </tp>
      <tp t="s">
        <v>#N/A N/A</v>
        <stp/>
        <stp>BDP|4616716351838192849</stp>
        <tr r="T123" s="2"/>
      </tp>
      <tp t="s">
        <v>#N/A N/A</v>
        <stp/>
        <stp>BDP|2496746842560517744</stp>
        <tr r="O735" s="2"/>
      </tp>
      <tp t="s">
        <v>#N/A N/A</v>
        <stp/>
        <stp>BDP|5001808877014320875</stp>
        <tr r="S565" s="2"/>
      </tp>
      <tp t="s">
        <v>#N/A N/A</v>
        <stp/>
        <stp>BDP|6664360613901079307</stp>
        <tr r="G1172" s="2"/>
      </tp>
      <tp t="s">
        <v>#N/A N/A</v>
        <stp/>
        <stp>BDP|3049940407014830889</stp>
        <tr r="T1450" s="2"/>
      </tp>
      <tp t="s">
        <v>#N/A N/A</v>
        <stp/>
        <stp>BDP|2816872639246117941</stp>
        <tr r="C228" s="2"/>
      </tp>
      <tp t="s">
        <v>#N/A N/A</v>
        <stp/>
        <stp>BDP|1874334369680712265</stp>
        <tr r="O1744" s="2"/>
      </tp>
      <tp t="s">
        <v>#N/A N/A</v>
        <stp/>
        <stp>BDP|7715257103692747155</stp>
        <tr r="F1639" s="2"/>
      </tp>
      <tp t="s">
        <v>#N/A N/A</v>
        <stp/>
        <stp>BDP|4140955582366045556</stp>
        <tr r="M206" s="2"/>
      </tp>
      <tp t="s">
        <v>#N/A N/A</v>
        <stp/>
        <stp>BDP|4873079327511291192</stp>
        <tr r="E305" s="2"/>
      </tp>
      <tp t="s">
        <v>#N/A N/A</v>
        <stp/>
        <stp>BDP|5306424695459405730</stp>
        <tr r="T1516" s="2"/>
      </tp>
      <tp t="s">
        <v>#N/A N/A</v>
        <stp/>
        <stp>BDP|7096440123213526419</stp>
        <tr r="F1024" s="2"/>
      </tp>
      <tp t="s">
        <v>#N/A N/A</v>
        <stp/>
        <stp>BDP|9959862821823970648</stp>
        <tr r="Q1495" s="2"/>
      </tp>
      <tp t="s">
        <v>#N/A N/A</v>
        <stp/>
        <stp>BDP|9632852727455159060</stp>
        <tr r="M831" s="2"/>
      </tp>
      <tp t="s">
        <v>#N/A N/A</v>
        <stp/>
        <stp>BDP|9472173811096305927</stp>
        <tr r="P1660" s="2"/>
      </tp>
      <tp t="s">
        <v>#N/A N/A</v>
        <stp/>
        <stp>BDP|6349626970806582771</stp>
        <tr r="E765" s="2"/>
      </tp>
      <tp t="s">
        <v>#N/A N/A</v>
        <stp/>
        <stp>BDP|7664631709495633293</stp>
        <tr r="G1360" s="2"/>
      </tp>
      <tp t="s">
        <v>#N/A N/A</v>
        <stp/>
        <stp>BDP|7410705673142508316</stp>
        <tr r="J1313" s="2"/>
      </tp>
      <tp t="s">
        <v>#N/A N/A</v>
        <stp/>
        <stp>BDP|4464935391692579000</stp>
        <tr r="T1212" s="2"/>
      </tp>
      <tp t="s">
        <v>#N/A N/A</v>
        <stp/>
        <stp>BDP|4807901334759856171</stp>
        <tr r="H1484" s="2"/>
      </tp>
      <tp t="s">
        <v>#N/A N/A</v>
        <stp/>
        <stp>BDP|5788374986768705029</stp>
        <tr r="R263" s="2"/>
      </tp>
      <tp t="s">
        <v>#N/A N/A</v>
        <stp/>
        <stp>BDP|5458469743096185536</stp>
        <tr r="G1679" s="2"/>
      </tp>
      <tp t="s">
        <v>#N/A N/A</v>
        <stp/>
        <stp>BDP|7506231332289330942</stp>
        <tr r="A825" s="2"/>
      </tp>
      <tp t="s">
        <v>#N/A N/A</v>
        <stp/>
        <stp>BDP|3458813616008804484</stp>
        <tr r="H1383" s="2"/>
      </tp>
      <tp t="s">
        <v>#N/A N/A</v>
        <stp/>
        <stp>BDP|3924095755411634105</stp>
        <tr r="J1009" s="2"/>
      </tp>
      <tp t="s">
        <v>#N/A N/A</v>
        <stp/>
        <stp>BDS|4161452431950237548</stp>
        <tr r="I1392" s="2"/>
      </tp>
      <tp t="s">
        <v>#N/A N/A</v>
        <stp/>
        <stp>BDS|5548845921708383108</stp>
        <tr r="I904" s="2"/>
      </tp>
      <tp t="s">
        <v>#N/A N/A</v>
        <stp/>
        <stp>BDP|2432403417679914893</stp>
        <tr r="O769" s="2"/>
      </tp>
      <tp t="s">
        <v>#N/A N/A</v>
        <stp/>
        <stp>BDP|9515821280536733932</stp>
        <tr r="H1000" s="2"/>
      </tp>
      <tp t="s">
        <v>#N/A N/A</v>
        <stp/>
        <stp>BDP|2594577473134331218</stp>
        <tr r="C629" s="2"/>
      </tp>
      <tp t="s">
        <v>#N/A N/A</v>
        <stp/>
        <stp>BDP|2415436090031336873</stp>
        <tr r="G970" s="2"/>
      </tp>
      <tp t="s">
        <v>#N/A N/A</v>
        <stp/>
        <stp>BDP|5579217393230029847</stp>
        <tr r="A1233" s="2"/>
      </tp>
      <tp t="s">
        <v>#N/A N/A</v>
        <stp/>
        <stp>BDP|8312875735382621743</stp>
        <tr r="K290" s="2"/>
      </tp>
      <tp t="s">
        <v>#N/A N/A</v>
        <stp/>
        <stp>BDP|3468950480121299537</stp>
        <tr r="N1315" s="2"/>
      </tp>
      <tp t="s">
        <v>#N/A N/A</v>
        <stp/>
        <stp>BDP|9800380458199083080</stp>
        <tr r="G518" s="2"/>
      </tp>
      <tp t="s">
        <v>#N/A N/A</v>
        <stp/>
        <stp>BDP|4598101153220461625</stp>
        <tr r="P951" s="2"/>
      </tp>
      <tp t="s">
        <v>#N/A N/A</v>
        <stp/>
        <stp>BDP|5434286258567416309</stp>
        <tr r="C663" s="2"/>
      </tp>
      <tp t="s">
        <v>#N/A N/A</v>
        <stp/>
        <stp>BDP|2764076144004296461</stp>
        <tr r="P134" s="2"/>
      </tp>
      <tp t="s">
        <v>#N/A N/A</v>
        <stp/>
        <stp>BDP|1577769034294503724</stp>
        <tr r="M673" s="2"/>
      </tp>
      <tp t="s">
        <v>#N/A N/A</v>
        <stp/>
        <stp>BDP|7879102679105291235</stp>
        <tr r="G1685" s="2"/>
      </tp>
      <tp t="s">
        <v>#N/A N/A</v>
        <stp/>
        <stp>BDP|4507027114166289516</stp>
        <tr r="G1451" s="2"/>
      </tp>
      <tp t="s">
        <v>#N/A N/A</v>
        <stp/>
        <stp>BDP|4986392902440459160</stp>
        <tr r="P312" s="2"/>
      </tp>
      <tp t="s">
        <v>#N/A N/A</v>
        <stp/>
        <stp>BDS|3793458477343430519</stp>
        <tr r="I887" s="2"/>
      </tp>
      <tp t="s">
        <v>#N/A N/A</v>
        <stp/>
        <stp>BDP|3382208840966121520</stp>
        <tr r="Q1705" s="2"/>
      </tp>
      <tp t="s">
        <v>#N/A N/A</v>
        <stp/>
        <stp>BDP|4559959005203726827</stp>
        <tr r="N705" s="2"/>
      </tp>
      <tp t="s">
        <v>#N/A N/A</v>
        <stp/>
        <stp>BDP|4769873116993168871</stp>
        <tr r="T372" s="2"/>
      </tp>
      <tp t="s">
        <v>#N/A N/A</v>
        <stp/>
        <stp>BDP|1007507966232597637</stp>
        <tr r="R103" s="2"/>
      </tp>
      <tp t="s">
        <v>#N/A N/A</v>
        <stp/>
        <stp>BDP|9543979367797432712</stp>
        <tr r="E1089" s="2"/>
      </tp>
      <tp t="s">
        <v>#N/A N/A</v>
        <stp/>
        <stp>BDP|7400547509930128486</stp>
        <tr r="G687" s="2"/>
      </tp>
      <tp t="s">
        <v>#N/A N/A</v>
        <stp/>
        <stp>BDP|8381941447555964697</stp>
        <tr r="P988" s="2"/>
      </tp>
      <tp t="s">
        <v>#N/A N/A</v>
        <stp/>
        <stp>BDP|9706970751852114104</stp>
        <tr r="T966" s="2"/>
      </tp>
      <tp t="s">
        <v>#N/A N/A</v>
        <stp/>
        <stp>BDP|8708243986261154549</stp>
        <tr r="S1316" s="2"/>
      </tp>
      <tp t="s">
        <v>#N/A N/A</v>
        <stp/>
        <stp>BDP|2134153817911645550</stp>
        <tr r="C583" s="2"/>
      </tp>
      <tp t="s">
        <v>#N/A N/A</v>
        <stp/>
        <stp>BDP|2465286407044943228</stp>
        <tr r="A197" s="2"/>
      </tp>
      <tp t="s">
        <v>#N/A N/A</v>
        <stp/>
        <stp>BDS|2204516097618083047</stp>
        <tr r="I1730" s="2"/>
      </tp>
      <tp t="s">
        <v>#N/A N/A</v>
        <stp/>
        <stp>BDP|3686465057292433630</stp>
        <tr r="D559" s="2"/>
      </tp>
      <tp t="s">
        <v>#N/A N/A</v>
        <stp/>
        <stp>BDP|6006282209823329124</stp>
        <tr r="M615" s="2"/>
      </tp>
      <tp t="s">
        <v>#N/A N/A</v>
        <stp/>
        <stp>BDP|4985652848961571118</stp>
        <tr r="G248" s="2"/>
      </tp>
      <tp t="s">
        <v>#N/A N/A</v>
        <stp/>
        <stp>BDP|4125321737191180356</stp>
        <tr r="N780" s="2"/>
      </tp>
      <tp t="s">
        <v>#N/A N/A</v>
        <stp/>
        <stp>BDP|9196824104026530121</stp>
        <tr r="P439" s="2"/>
      </tp>
      <tp t="s">
        <v>#N/A N/A</v>
        <stp/>
        <stp>BDP|7551383527311827128</stp>
        <tr r="K646" s="2"/>
      </tp>
      <tp t="s">
        <v>#N/A N/A</v>
        <stp/>
        <stp>BDP|6269466220487080143</stp>
        <tr r="E888" s="2"/>
      </tp>
      <tp t="s">
        <v>#N/A N/A</v>
        <stp/>
        <stp>BDP|3181610128645138492</stp>
        <tr r="C244" s="2"/>
      </tp>
      <tp t="s">
        <v>#N/A N/A</v>
        <stp/>
        <stp>BDP|1260425698802018885</stp>
        <tr r="A1083" s="2"/>
      </tp>
      <tp t="s">
        <v>#N/A N/A</v>
        <stp/>
        <stp>BDP|1398870747062316907</stp>
        <tr r="A993" s="2"/>
      </tp>
      <tp t="s">
        <v>#N/A N/A</v>
        <stp/>
        <stp>BDP|6486475802672820696</stp>
        <tr r="P434" s="2"/>
      </tp>
      <tp t="s">
        <v>#N/A N/A</v>
        <stp/>
        <stp>BDP|3695626638072540295</stp>
        <tr r="E1087" s="2"/>
      </tp>
      <tp t="s">
        <v>#N/A N/A</v>
        <stp/>
        <stp>BDP|7680465205455514006</stp>
        <tr r="Q1363" s="2"/>
      </tp>
      <tp t="s">
        <v>#N/A N/A</v>
        <stp/>
        <stp>BDP|5380280332884095697</stp>
        <tr r="H1081" s="2"/>
      </tp>
      <tp t="s">
        <v>#N/A N/A</v>
        <stp/>
        <stp>BDP|5292524835173074655</stp>
        <tr r="Q44" s="2"/>
      </tp>
      <tp t="s">
        <v>#N/A N/A</v>
        <stp/>
        <stp>BDP|7420417159852852249</stp>
        <tr r="H298" s="2"/>
      </tp>
      <tp t="s">
        <v>#N/A N/A</v>
        <stp/>
        <stp>BDP|7491849777517711905</stp>
        <tr r="O1692" s="2"/>
      </tp>
      <tp t="s">
        <v>#N/A N/A</v>
        <stp/>
        <stp>BDP|3284606074912167670</stp>
        <tr r="G1492" s="2"/>
      </tp>
      <tp t="s">
        <v>#N/A N/A</v>
        <stp/>
        <stp>BDP|8847334586722448792</stp>
        <tr r="T704" s="2"/>
      </tp>
      <tp t="s">
        <v>#N/A N/A</v>
        <stp/>
        <stp>BDP|7657412824734648354</stp>
        <tr r="C1377" s="2"/>
      </tp>
      <tp t="s">
        <v>#N/A N/A</v>
        <stp/>
        <stp>BDP|3375960734847876898</stp>
        <tr r="Q923" s="2"/>
      </tp>
      <tp t="s">
        <v>#N/A N/A</v>
        <stp/>
        <stp>BDP|2289971319585883944</stp>
        <tr r="P1641" s="2"/>
      </tp>
      <tp t="s">
        <v>#N/A N/A</v>
        <stp/>
        <stp>BDP|1481260556892040244</stp>
        <tr r="P1051" s="2"/>
      </tp>
      <tp t="s">
        <v>#N/A N/A</v>
        <stp/>
        <stp>BDP|9524876367533619230</stp>
        <tr r="O358" s="2"/>
      </tp>
      <tp t="s">
        <v>#N/A N/A</v>
        <stp/>
        <stp>BDP|4130115052815687345</stp>
        <tr r="M488" s="2"/>
      </tp>
      <tp t="s">
        <v>#N/A N/A</v>
        <stp/>
        <stp>BDP|4656714450963192362</stp>
        <tr r="A1540" s="2"/>
      </tp>
      <tp t="s">
        <v>#N/A N/A</v>
        <stp/>
        <stp>BDP|6203621418710026787</stp>
        <tr r="R480" s="2"/>
      </tp>
      <tp t="s">
        <v>#N/A N/A</v>
        <stp/>
        <stp>BDP|9397803591878145635</stp>
        <tr r="Q1080" s="2"/>
      </tp>
      <tp t="s">
        <v>#N/A N/A</v>
        <stp/>
        <stp>BDP|1701113046827711579</stp>
        <tr r="S307" s="2"/>
      </tp>
      <tp t="s">
        <v>#N/A N/A</v>
        <stp/>
        <stp>BDP|5935873611373838973</stp>
        <tr r="H1446" s="2"/>
      </tp>
      <tp t="s">
        <v>#N/A N/A</v>
        <stp/>
        <stp>BDP|7290272427698182936</stp>
        <tr r="J71" s="2"/>
      </tp>
      <tp t="s">
        <v>#N/A N/A</v>
        <stp/>
        <stp>BDP|6360739861075997485</stp>
        <tr r="J507" s="2"/>
      </tp>
      <tp t="s">
        <v>#N/A N/A</v>
        <stp/>
        <stp>BDP|4913262476250906703</stp>
        <tr r="K1459" s="2"/>
      </tp>
      <tp t="s">
        <v>#N/A N/A</v>
        <stp/>
        <stp>BDP|1786158070056173735</stp>
        <tr r="H665" s="2"/>
      </tp>
      <tp t="s">
        <v>#N/A N/A</v>
        <stp/>
        <stp>BDP|9246711111758480168</stp>
        <tr r="K1469" s="2"/>
      </tp>
      <tp t="s">
        <v>#N/A N/A</v>
        <stp/>
        <stp>BDP|2209530405026232761</stp>
        <tr r="T945" s="2"/>
      </tp>
      <tp t="s">
        <v>#N/A N/A</v>
        <stp/>
        <stp>BDP|4265250022794654636</stp>
        <tr r="C1724" s="2"/>
      </tp>
      <tp t="s">
        <v>#N/A N/A</v>
        <stp/>
        <stp>BDP|1747825955368758272</stp>
        <tr r="K38" s="2"/>
      </tp>
      <tp t="s">
        <v>#N/A N/A</v>
        <stp/>
        <stp>BDS|5393971291421692233</stp>
        <tr r="I867" s="2"/>
      </tp>
      <tp t="s">
        <v>#N/A N/A</v>
        <stp/>
        <stp>BDP|3813036749744303515</stp>
        <tr r="M16" s="2"/>
      </tp>
      <tp t="s">
        <v>#N/A N/A</v>
        <stp/>
        <stp>BDP|8831973154151838337</stp>
        <tr r="H1254" s="2"/>
      </tp>
      <tp t="s">
        <v>#N/A N/A</v>
        <stp/>
        <stp>BDP|9329687536819412399</stp>
        <tr r="T774" s="2"/>
      </tp>
      <tp t="s">
        <v>#N/A N/A</v>
        <stp/>
        <stp>BDP|4098746019153434798</stp>
        <tr r="O1538" s="2"/>
      </tp>
      <tp t="s">
        <v>#N/A N/A</v>
        <stp/>
        <stp>BDP|8068958673588162879</stp>
        <tr r="E1678" s="2"/>
      </tp>
      <tp t="s">
        <v>#N/A N/A</v>
        <stp/>
        <stp>BDP|6671415347067971791</stp>
        <tr r="R1221" s="2"/>
      </tp>
      <tp t="s">
        <v>#N/A N/A</v>
        <stp/>
        <stp>BDP|8408966029106819332</stp>
        <tr r="T957" s="2"/>
      </tp>
      <tp t="s">
        <v>#N/A N/A</v>
        <stp/>
        <stp>BDP|3869813159289403143</stp>
        <tr r="R1064" s="2"/>
      </tp>
      <tp t="s">
        <v>#N/A N/A</v>
        <stp/>
        <stp>BDP|4469432935723271600</stp>
        <tr r="G696" s="2"/>
      </tp>
      <tp t="s">
        <v>#N/A N/A</v>
        <stp/>
        <stp>BDP|6893496503497377318</stp>
        <tr r="C665" s="2"/>
      </tp>
      <tp t="s">
        <v>#N/A N/A</v>
        <stp/>
        <stp>BDP|2017477857155101013</stp>
        <tr r="K1352" s="2"/>
      </tp>
      <tp t="s">
        <v>#N/A N/A</v>
        <stp/>
        <stp>BDP|7269481691745950921</stp>
        <tr r="R1272" s="2"/>
      </tp>
      <tp t="s">
        <v>#N/A N/A</v>
        <stp/>
        <stp>BDP|9908477996752946013</stp>
        <tr r="P1621" s="2"/>
      </tp>
      <tp t="s">
        <v>#N/A N/A</v>
        <stp/>
        <stp>BDP|7247063957357518362</stp>
        <tr r="F1390" s="2"/>
      </tp>
      <tp t="s">
        <v>#N/A N/A</v>
        <stp/>
        <stp>BDP|7350202162094107100</stp>
        <tr r="S647" s="2"/>
      </tp>
      <tp t="s">
        <v>#N/A N/A</v>
        <stp/>
        <stp>BDP|1109169154956337504</stp>
        <tr r="A1366" s="2"/>
      </tp>
      <tp t="s">
        <v>#N/A N/A</v>
        <stp/>
        <stp>BDP|4597745323900451766</stp>
        <tr r="J284" s="2"/>
      </tp>
      <tp t="s">
        <v>#N/A N/A</v>
        <stp/>
        <stp>BDP|7767439672333025168</stp>
        <tr r="K55" s="2"/>
      </tp>
      <tp t="s">
        <v>#N/A N/A</v>
        <stp/>
        <stp>BDP|9916984045213540115</stp>
        <tr r="H1100" s="2"/>
      </tp>
      <tp t="s">
        <v>#N/A N/A</v>
        <stp/>
        <stp>BDP|9167445367464672946</stp>
        <tr r="D295" s="2"/>
      </tp>
      <tp t="s">
        <v>#N/A N/A</v>
        <stp/>
        <stp>BDP|9435632084710637153</stp>
        <tr r="A1433" s="2"/>
      </tp>
      <tp t="s">
        <v>#N/A N/A</v>
        <stp/>
        <stp>BDP|2390999861368971322</stp>
        <tr r="J591" s="2"/>
      </tp>
      <tp t="s">
        <v>#N/A N/A</v>
        <stp/>
        <stp>BDP|3477686389193204876</stp>
        <tr r="K1519" s="2"/>
      </tp>
      <tp t="s">
        <v>#N/A N/A</v>
        <stp/>
        <stp>BDP|7288780418255580274</stp>
        <tr r="D1693" s="2"/>
      </tp>
      <tp t="s">
        <v>#N/A N/A</v>
        <stp/>
        <stp>BDP|3796048169257959430</stp>
        <tr r="C696" s="2"/>
      </tp>
      <tp t="s">
        <v>#N/A N/A</v>
        <stp/>
        <stp>BDP|5184152312462571120</stp>
        <tr r="O1191" s="2"/>
      </tp>
      <tp t="s">
        <v>#N/A N/A</v>
        <stp/>
        <stp>BDP|3346731939921817004</stp>
        <tr r="N58" s="2"/>
      </tp>
      <tp t="s">
        <v>#N/A N/A</v>
        <stp/>
        <stp>BDP|6795540256260427001</stp>
        <tr r="Q920" s="2"/>
      </tp>
      <tp t="s">
        <v>#N/A N/A</v>
        <stp/>
        <stp>BDP|9667363094376176349</stp>
        <tr r="F703" s="2"/>
      </tp>
      <tp t="s">
        <v>#N/A N/A</v>
        <stp/>
        <stp>BDP|4762537265893179216</stp>
        <tr r="M526" s="2"/>
      </tp>
      <tp t="s">
        <v>#N/A N/A</v>
        <stp/>
        <stp>BDP|2755145385054502928</stp>
        <tr r="O340" s="2"/>
      </tp>
      <tp t="s">
        <v>#N/A N/A</v>
        <stp/>
        <stp>BDS|4111567990908459621</stp>
        <tr r="I139" s="2"/>
      </tp>
      <tp t="s">
        <v>#N/A N/A</v>
        <stp/>
        <stp>BDP|5313607914622791611</stp>
        <tr r="H1680" s="2"/>
      </tp>
      <tp t="s">
        <v>#N/A N/A</v>
        <stp/>
        <stp>BDS|4091206945506091248</stp>
        <tr r="I1709" s="2"/>
      </tp>
      <tp t="s">
        <v>#N/A N/A</v>
        <stp/>
        <stp>BDP|7169028735385507726</stp>
        <tr r="G131" s="2"/>
      </tp>
      <tp t="s">
        <v>#N/A N/A</v>
        <stp/>
        <stp>BDP|6750126853150011478</stp>
        <tr r="T1330" s="2"/>
      </tp>
      <tp t="s">
        <v>#N/A N/A</v>
        <stp/>
        <stp>BDP|4225638501200357427</stp>
        <tr r="A483" s="2"/>
      </tp>
      <tp t="s">
        <v>#N/A N/A</v>
        <stp/>
        <stp>BDP|2143565417997942786</stp>
        <tr r="T1446" s="2"/>
      </tp>
      <tp t="s">
        <v>#N/A N/A</v>
        <stp/>
        <stp>BDP|1790572702085711740</stp>
        <tr r="F505" s="2"/>
      </tp>
      <tp t="s">
        <v>#N/A N/A</v>
        <stp/>
        <stp>BDP|4249673830702588512</stp>
        <tr r="G1642" s="2"/>
      </tp>
      <tp t="s">
        <v>#N/A N/A</v>
        <stp/>
        <stp>BDP|4286260181188772033</stp>
        <tr r="Q713" s="2"/>
      </tp>
      <tp t="s">
        <v>#N/A N/A</v>
        <stp/>
        <stp>BDP|5067196918410509358</stp>
        <tr r="P845" s="2"/>
      </tp>
      <tp t="s">
        <v>#N/A N/A</v>
        <stp/>
        <stp>BDP|5400636585405077839</stp>
        <tr r="G456" s="2"/>
      </tp>
      <tp t="s">
        <v>#N/A N/A</v>
        <stp/>
        <stp>BDP|3692548501983711355</stp>
        <tr r="G841" s="2"/>
      </tp>
      <tp t="s">
        <v>#N/A N/A</v>
        <stp/>
        <stp>BDP|4762387769230379748</stp>
        <tr r="J134" s="2"/>
      </tp>
      <tp t="s">
        <v>#N/A N/A</v>
        <stp/>
        <stp>BDP|3986650353790916672</stp>
        <tr r="K800" s="2"/>
      </tp>
      <tp t="s">
        <v>#N/A N/A</v>
        <stp/>
        <stp>BDP|5094414230565554152</stp>
        <tr r="N608" s="2"/>
      </tp>
      <tp t="s">
        <v>#N/A N/A</v>
        <stp/>
        <stp>BDP|4485327267752243523</stp>
        <tr r="D862" s="2"/>
      </tp>
      <tp t="s">
        <v>#N/A N/A</v>
        <stp/>
        <stp>BDP|8501826288726966879</stp>
        <tr r="J996" s="2"/>
      </tp>
      <tp t="s">
        <v>#N/A N/A</v>
        <stp/>
        <stp>BDP|3283317511157633053</stp>
        <tr r="C635" s="2"/>
      </tp>
      <tp t="s">
        <v>#N/A N/A</v>
        <stp/>
        <stp>BDP|3092152156061639046</stp>
        <tr r="Q1242" s="2"/>
      </tp>
      <tp t="s">
        <v>#N/A N/A</v>
        <stp/>
        <stp>BDP|1798710245713175738</stp>
        <tr r="O1168" s="2"/>
      </tp>
      <tp t="s">
        <v>#N/A N/A</v>
        <stp/>
        <stp>BDP|9789820221673264679</stp>
        <tr r="F1459" s="2"/>
      </tp>
      <tp t="s">
        <v>#N/A N/A</v>
        <stp/>
        <stp>BDP|7601308087323229928</stp>
        <tr r="G161" s="2"/>
      </tp>
      <tp t="s">
        <v>#N/A N/A</v>
        <stp/>
        <stp>BDS|8255321183290166532</stp>
        <tr r="I555" s="2"/>
      </tp>
      <tp t="s">
        <v>#N/A N/A</v>
        <stp/>
        <stp>BDP|6045549020715390263</stp>
        <tr r="T871" s="2"/>
      </tp>
      <tp t="s">
        <v>#N/A N/A</v>
        <stp/>
        <stp>BDP|5804231774256873064</stp>
        <tr r="K1644" s="2"/>
      </tp>
      <tp t="s">
        <v>#N/A N/A</v>
        <stp/>
        <stp>BDP|5214827654666416811</stp>
        <tr r="Q1508" s="2"/>
      </tp>
      <tp t="s">
        <v>#N/A N/A</v>
        <stp/>
        <stp>BDP|2298065170222683136</stp>
        <tr r="J556" s="2"/>
      </tp>
      <tp t="s">
        <v>#N/A N/A</v>
        <stp/>
        <stp>BDP|1759754473511916695</stp>
        <tr r="Q932" s="2"/>
      </tp>
      <tp t="s">
        <v>#N/A N/A</v>
        <stp/>
        <stp>BDP|1852032477157823757</stp>
        <tr r="Q1086" s="2"/>
      </tp>
      <tp t="s">
        <v>#N/A N/A</v>
        <stp/>
        <stp>BDP|8555801511376727126</stp>
        <tr r="A491" s="2"/>
      </tp>
      <tp t="s">
        <v>#N/A N/A</v>
        <stp/>
        <stp>BDP|5578110464733413752</stp>
        <tr r="R819" s="2"/>
      </tp>
      <tp t="s">
        <v>#N/A N/A</v>
        <stp/>
        <stp>BDP|5668327125526167411</stp>
        <tr r="Q1243" s="2"/>
      </tp>
      <tp t="s">
        <v>#N/A N/A</v>
        <stp/>
        <stp>BDP|3826888342829336003</stp>
        <tr r="A242" s="2"/>
      </tp>
      <tp t="s">
        <v>#N/A N/A</v>
        <stp/>
        <stp>BDP|5727787269904103669</stp>
        <tr r="J680" s="2"/>
      </tp>
      <tp t="s">
        <v>#N/A N/A</v>
        <stp/>
        <stp>BDP|3201953647930393826</stp>
        <tr r="P1481" s="2"/>
      </tp>
      <tp t="s">
        <v>#N/A N/A</v>
        <stp/>
        <stp>BDP|4950762776443801106</stp>
        <tr r="N34" s="2"/>
      </tp>
      <tp t="s">
        <v>#N/A N/A</v>
        <stp/>
        <stp>BDP|7430231061910792507</stp>
        <tr r="E1502" s="2"/>
      </tp>
      <tp t="s">
        <v>#N/A N/A</v>
        <stp/>
        <stp>BDP|4498341275981321777</stp>
        <tr r="F316" s="2"/>
      </tp>
      <tp t="s">
        <v>#N/A N/A</v>
        <stp/>
        <stp>BDP|5973011545190523791</stp>
        <tr r="D1705" s="2"/>
      </tp>
      <tp t="s">
        <v>#N/A N/A</v>
        <stp/>
        <stp>BDP|4400000811965456608</stp>
        <tr r="S672" s="2"/>
      </tp>
      <tp t="s">
        <v>#N/A N/A</v>
        <stp/>
        <stp>BDP|8392997957281981353</stp>
        <tr r="K1542" s="2"/>
      </tp>
      <tp t="s">
        <v>#N/A N/A</v>
        <stp/>
        <stp>BDP|9171980258183616060</stp>
        <tr r="Q1050" s="2"/>
      </tp>
      <tp t="s">
        <v>#N/A N/A</v>
        <stp/>
        <stp>BDP|5673684049192150370</stp>
        <tr r="T758" s="2"/>
      </tp>
      <tp t="s">
        <v>#N/A N/A</v>
        <stp/>
        <stp>BDP|6184744850117727538</stp>
        <tr r="F340" s="2"/>
      </tp>
      <tp t="s">
        <v>#N/A N/A</v>
        <stp/>
        <stp>BDP|9368878968842586388</stp>
        <tr r="Q1303" s="2"/>
      </tp>
      <tp t="s">
        <v>#N/A N/A</v>
        <stp/>
        <stp>BDP|1756772138250756399</stp>
        <tr r="A576" s="2"/>
      </tp>
      <tp t="s">
        <v>#N/A N/A</v>
        <stp/>
        <stp>BDP|5383919854789666669</stp>
        <tr r="Q262" s="2"/>
      </tp>
      <tp t="s">
        <v>#N/A N/A</v>
        <stp/>
        <stp>BDP|8124555752637597951</stp>
        <tr r="C600" s="2"/>
      </tp>
      <tp t="s">
        <v>#N/A N/A</v>
        <stp/>
        <stp>BDP|9320598512998631389</stp>
        <tr r="M1550" s="2"/>
      </tp>
      <tp t="s">
        <v>#N/A N/A</v>
        <stp/>
        <stp>BDP|1539220675965052746</stp>
        <tr r="R291" s="2"/>
      </tp>
      <tp t="s">
        <v>#N/A N/A</v>
        <stp/>
        <stp>BDP|1440769051113525606</stp>
        <tr r="J1031" s="2"/>
      </tp>
      <tp t="s">
        <v>#N/A N/A</v>
        <stp/>
        <stp>BDP|3088735717421199238</stp>
        <tr r="D1164" s="2"/>
      </tp>
      <tp t="s">
        <v>#N/A N/A</v>
        <stp/>
        <stp>BDP|3863318669806762618</stp>
        <tr r="K1587" s="2"/>
      </tp>
      <tp t="s">
        <v>#N/A N/A</v>
        <stp/>
        <stp>BDP|4831661456032827368</stp>
        <tr r="G822" s="2"/>
      </tp>
      <tp t="s">
        <v>#N/A N/A</v>
        <stp/>
        <stp>BDP|9511339866533378952</stp>
        <tr r="H1212" s="2"/>
      </tp>
      <tp t="s">
        <v>#N/A N/A</v>
        <stp/>
        <stp>BDP|7259033086838134105</stp>
        <tr r="S969" s="2"/>
      </tp>
      <tp t="s">
        <v>#N/A N/A</v>
        <stp/>
        <stp>BDP|8025873907842251444</stp>
        <tr r="J1436" s="2"/>
      </tp>
      <tp t="s">
        <v>#N/A N/A</v>
        <stp/>
        <stp>BDP|6955879373779855635</stp>
        <tr r="J645" s="2"/>
      </tp>
      <tp t="s">
        <v>#N/A N/A</v>
        <stp/>
        <stp>BDP|2923583003722686325</stp>
        <tr r="K1096" s="2"/>
      </tp>
      <tp t="s">
        <v>#N/A N/A</v>
        <stp/>
        <stp>BDP|2981108407733194695</stp>
        <tr r="R615" s="2"/>
      </tp>
      <tp t="s">
        <v>#N/A N/A</v>
        <stp/>
        <stp>BDP|6121834912129293045</stp>
        <tr r="F1730" s="2"/>
      </tp>
      <tp t="s">
        <v>#N/A N/A</v>
        <stp/>
        <stp>BDP|7775717854281514219</stp>
        <tr r="O1307" s="2"/>
      </tp>
      <tp t="s">
        <v>#N/A N/A</v>
        <stp/>
        <stp>BDP|3570854915838358404</stp>
        <tr r="N291" s="2"/>
      </tp>
      <tp t="s">
        <v>#N/A N/A</v>
        <stp/>
        <stp>BDP|8043869357734011771</stp>
        <tr r="K697" s="2"/>
      </tp>
      <tp t="s">
        <v>#N/A N/A</v>
        <stp/>
        <stp>BDP|6460841650254480927</stp>
        <tr r="O717" s="2"/>
      </tp>
      <tp t="s">
        <v>#N/A N/A</v>
        <stp/>
        <stp>BDP|6465550300881423436</stp>
        <tr r="P1199" s="2"/>
      </tp>
      <tp t="s">
        <v>#N/A N/A</v>
        <stp/>
        <stp>BDP|1699564915235449671</stp>
        <tr r="Q236" s="2"/>
      </tp>
      <tp t="s">
        <v>#N/A N/A</v>
        <stp/>
        <stp>BDP|5110579477479118867</stp>
        <tr r="D183" s="2"/>
      </tp>
      <tp t="s">
        <v>#N/A N/A</v>
        <stp/>
        <stp>BDP|4560421894426561908</stp>
        <tr r="A62" s="2"/>
      </tp>
      <tp t="s">
        <v>#N/A N/A</v>
        <stp/>
        <stp>BDP|8055567694272390075</stp>
        <tr r="G1162" s="2"/>
      </tp>
      <tp t="s">
        <v>#N/A N/A</v>
        <stp/>
        <stp>BDP|3247404300615480402</stp>
        <tr r="M1688" s="2"/>
      </tp>
      <tp t="s">
        <v>#N/A N/A</v>
        <stp/>
        <stp>BDP|6058547982314695967</stp>
        <tr r="G801" s="2"/>
      </tp>
      <tp t="s">
        <v>#N/A N/A</v>
        <stp/>
        <stp>BDP|5517056030785388557</stp>
        <tr r="P1634" s="2"/>
      </tp>
      <tp t="s">
        <v>#N/A N/A</v>
        <stp/>
        <stp>BDP|5182537059280452397</stp>
        <tr r="S161" s="2"/>
      </tp>
      <tp t="s">
        <v>#N/A N/A</v>
        <stp/>
        <stp>BDP|5785425173598548852</stp>
        <tr r="M941" s="2"/>
      </tp>
      <tp t="s">
        <v>#N/A N/A</v>
        <stp/>
        <stp>BDS|3475992419318137538</stp>
        <tr r="I1399" s="2"/>
      </tp>
      <tp t="s">
        <v>#N/A N/A</v>
        <stp/>
        <stp>BDP|5928694346798372938</stp>
        <tr r="S991" s="2"/>
      </tp>
      <tp t="s">
        <v>#N/A N/A</v>
        <stp/>
        <stp>BDP|9736858992467259944</stp>
        <tr r="H917" s="2"/>
      </tp>
      <tp t="s">
        <v>#N/A N/A</v>
        <stp/>
        <stp>BDP|9493630277777693906</stp>
        <tr r="O1585" s="2"/>
      </tp>
      <tp t="s">
        <v>#N/A N/A</v>
        <stp/>
        <stp>BDP|3157887313065544997</stp>
        <tr r="P1027" s="2"/>
      </tp>
      <tp t="s">
        <v>#N/A N/A</v>
        <stp/>
        <stp>BDP|4980135276832366692</stp>
        <tr r="T1439" s="2"/>
      </tp>
      <tp t="s">
        <v>#N/A N/A</v>
        <stp/>
        <stp>BDP|4411156692449353367</stp>
        <tr r="K1295" s="2"/>
      </tp>
      <tp t="s">
        <v>#N/A N/A</v>
        <stp/>
        <stp>BDP|2621605268622023682</stp>
        <tr r="N975" s="2"/>
      </tp>
      <tp t="s">
        <v>#N/A N/A</v>
        <stp/>
        <stp>BDP|1544118531435308009</stp>
        <tr r="H795" s="2"/>
      </tp>
      <tp t="s">
        <v>#N/A N/A</v>
        <stp/>
        <stp>BDP|2815761538243650367</stp>
        <tr r="D14" s="2"/>
      </tp>
      <tp t="s">
        <v>#N/A N/A</v>
        <stp/>
        <stp>BDP|4503673764301241324</stp>
        <tr r="K301" s="2"/>
      </tp>
      <tp t="s">
        <v>#N/A N/A</v>
        <stp/>
        <stp>BDP|2887657788813623955</stp>
        <tr r="E33" s="2"/>
      </tp>
      <tp t="s">
        <v>#N/A N/A</v>
        <stp/>
        <stp>BDP|4564173335441260137</stp>
        <tr r="Q59" s="2"/>
      </tp>
      <tp t="s">
        <v>#N/A N/A</v>
        <stp/>
        <stp>BDP|1600252550298593809</stp>
        <tr r="M396" s="2"/>
      </tp>
      <tp t="s">
        <v>#N/A N/A</v>
        <stp/>
        <stp>BDP|4813762328482477540</stp>
        <tr r="C379" s="2"/>
      </tp>
      <tp t="s">
        <v>#N/A N/A</v>
        <stp/>
        <stp>BDP|5238434654671773346</stp>
        <tr r="A456" s="2"/>
      </tp>
      <tp t="s">
        <v>#N/A N/A</v>
        <stp/>
        <stp>BDP|5507975684626767476</stp>
        <tr r="E1700" s="2"/>
      </tp>
      <tp t="s">
        <v>#N/A N/A</v>
        <stp/>
        <stp>BDP|6395298929533078350</stp>
        <tr r="C1675" s="2"/>
      </tp>
      <tp t="s">
        <v>#N/A N/A</v>
        <stp/>
        <stp>BDP|5012357063113303534</stp>
        <tr r="R259" s="2"/>
      </tp>
      <tp t="s">
        <v>#N/A N/A</v>
        <stp/>
        <stp>BDP|8072487798072751116</stp>
        <tr r="R1415" s="2"/>
      </tp>
      <tp t="s">
        <v>#N/A N/A</v>
        <stp/>
        <stp>BDP|8148544616723260972</stp>
        <tr r="O928" s="2"/>
      </tp>
      <tp t="s">
        <v>#N/A N/A</v>
        <stp/>
        <stp>BDP|4455746199925793981</stp>
        <tr r="D1210" s="2"/>
      </tp>
      <tp t="s">
        <v>#N/A N/A</v>
        <stp/>
        <stp>BDP|7476529709970950400</stp>
        <tr r="M821" s="2"/>
      </tp>
      <tp t="s">
        <v>#N/A N/A</v>
        <stp/>
        <stp>BDP|9311379061878057237</stp>
        <tr r="E695" s="2"/>
      </tp>
      <tp t="s">
        <v>#N/A N/A</v>
        <stp/>
        <stp>BDP|9538093904019756690</stp>
        <tr r="A482" s="2"/>
      </tp>
      <tp t="s">
        <v>#N/A N/A</v>
        <stp/>
        <stp>BDP|4904178647663937468</stp>
        <tr r="T190" s="2"/>
      </tp>
      <tp t="s">
        <v>#N/A N/A</v>
        <stp/>
        <stp>BDP|7463196968440662657</stp>
        <tr r="R66" s="2"/>
      </tp>
      <tp t="s">
        <v>#N/A N/A</v>
        <stp/>
        <stp>BDP|1273063567680553102</stp>
        <tr r="A796" s="2"/>
      </tp>
      <tp t="s">
        <v>#N/A N/A</v>
        <stp/>
        <stp>BDP|1814020439921386564</stp>
        <tr r="O1547" s="2"/>
      </tp>
      <tp t="s">
        <v>#N/A N/A</v>
        <stp/>
        <stp>BDP|1664000445437341462</stp>
        <tr r="M482" s="2"/>
      </tp>
      <tp t="s">
        <v>#N/A N/A</v>
        <stp/>
        <stp>BDP|5698621994094795815</stp>
        <tr r="S802" s="2"/>
      </tp>
      <tp t="s">
        <v>#N/A N/A</v>
        <stp/>
        <stp>BDP|7269019954414169009</stp>
        <tr r="E1041" s="2"/>
      </tp>
      <tp t="s">
        <v>#N/A N/A</v>
        <stp/>
        <stp>BDP|4679031053131560655</stp>
        <tr r="M1501" s="2"/>
      </tp>
      <tp t="s">
        <v>#N/A N/A</v>
        <stp/>
        <stp>BDP|1042422105727371421</stp>
        <tr r="D1397" s="2"/>
      </tp>
      <tp t="s">
        <v>#N/A N/A</v>
        <stp/>
        <stp>BDP|3846693409283869064</stp>
        <tr r="M873" s="2"/>
      </tp>
      <tp t="s">
        <v>#N/A N/A</v>
        <stp/>
        <stp>BDP|6658446662693678105</stp>
        <tr r="R329" s="2"/>
      </tp>
      <tp t="s">
        <v>#N/A N/A</v>
        <stp/>
        <stp>BDP|1923205038066480039</stp>
        <tr r="M638" s="2"/>
      </tp>
      <tp t="s">
        <v>#N/A N/A</v>
        <stp/>
        <stp>BDP|5662238200306590762</stp>
        <tr r="H1162" s="2"/>
      </tp>
      <tp t="s">
        <v>#N/A N/A</v>
        <stp/>
        <stp>BDP|7331336723878080853</stp>
        <tr r="R982" s="2"/>
      </tp>
      <tp t="s">
        <v>#N/A N/A</v>
        <stp/>
        <stp>BDP|4645138004582178177</stp>
        <tr r="G670" s="2"/>
      </tp>
      <tp t="s">
        <v>#N/A N/A</v>
        <stp/>
        <stp>BDP|5775523524901535537</stp>
        <tr r="O861" s="2"/>
      </tp>
      <tp t="s">
        <v>#N/A N/A</v>
        <stp/>
        <stp>BDP|5712060132355320579</stp>
        <tr r="S954" s="2"/>
      </tp>
      <tp t="s">
        <v>#N/A N/A</v>
        <stp/>
        <stp>BDP|3173129745544761464</stp>
        <tr r="E863" s="2"/>
      </tp>
      <tp t="s">
        <v>#N/A N/A</v>
        <stp/>
        <stp>BDP|6179245543213380521</stp>
        <tr r="A839" s="2"/>
      </tp>
      <tp t="s">
        <v>#N/A N/A</v>
        <stp/>
        <stp>BDP|7079313531765784402</stp>
        <tr r="M1512" s="2"/>
      </tp>
      <tp t="s">
        <v>#N/A N/A</v>
        <stp/>
        <stp>BDP|3349124014001592470</stp>
        <tr r="P748" s="2"/>
      </tp>
      <tp t="s">
        <v>#N/A N/A</v>
        <stp/>
        <stp>BDS|6122446172701498240</stp>
        <tr r="I1605" s="2"/>
      </tp>
      <tp t="s">
        <v>#N/A N/A</v>
        <stp/>
        <stp>BDP|2791440507246215611</stp>
        <tr r="G1723" s="2"/>
      </tp>
      <tp t="s">
        <v>#N/A N/A</v>
        <stp/>
        <stp>BDP|8153146160379720059</stp>
        <tr r="S1082" s="2"/>
      </tp>
      <tp t="s">
        <v>#N/A N/A</v>
        <stp/>
        <stp>BDP|5194528326881009522</stp>
        <tr r="O675" s="2"/>
      </tp>
      <tp t="s">
        <v>#N/A N/A</v>
        <stp/>
        <stp>BDP|6531757876626287631</stp>
        <tr r="E22" s="2"/>
      </tp>
      <tp t="s">
        <v>#N/A N/A</v>
        <stp/>
        <stp>BDP|3480271117093777545</stp>
        <tr r="M1596" s="2"/>
      </tp>
      <tp t="s">
        <v>#N/A N/A</v>
        <stp/>
        <stp>BDP|7379133370662408538</stp>
        <tr r="M493" s="2"/>
      </tp>
      <tp t="s">
        <v>#N/A N/A</v>
        <stp/>
        <stp>BDP|2886503865722268587</stp>
        <tr r="S579" s="2"/>
      </tp>
      <tp t="s">
        <v>#N/A N/A</v>
        <stp/>
        <stp>BDP|1151780493349524089</stp>
        <tr r="P231" s="2"/>
      </tp>
      <tp t="s">
        <v>#N/A N/A</v>
        <stp/>
        <stp>BDP|6886721656482959025</stp>
        <tr r="D1107" s="2"/>
      </tp>
      <tp t="s">
        <v>#N/A N/A</v>
        <stp/>
        <stp>BDP|8829191229059982466</stp>
        <tr r="A80" s="2"/>
      </tp>
      <tp t="s">
        <v>#N/A N/A</v>
        <stp/>
        <stp>BDP|3785564045381713543</stp>
        <tr r="K989" s="2"/>
      </tp>
      <tp t="s">
        <v>#N/A N/A</v>
        <stp/>
        <stp>BDP|1472791801268213898</stp>
        <tr r="F1062" s="2"/>
      </tp>
      <tp t="s">
        <v>#N/A N/A</v>
        <stp/>
        <stp>BDP|9353305114445309839</stp>
        <tr r="P831" s="2"/>
      </tp>
      <tp t="s">
        <v>#N/A N/A</v>
        <stp/>
        <stp>BDP|1746057438050464499</stp>
        <tr r="Q1519" s="2"/>
      </tp>
      <tp t="s">
        <v>#N/A N/A</v>
        <stp/>
        <stp>BDP|5324938975514020921</stp>
        <tr r="M264" s="2"/>
      </tp>
      <tp t="s">
        <v>#N/A N/A</v>
        <stp/>
        <stp>BDP|9791527936621637827</stp>
        <tr r="T1165" s="2"/>
      </tp>
      <tp t="s">
        <v>#N/A N/A</v>
        <stp/>
        <stp>BDP|7993062924144540792</stp>
        <tr r="T625" s="2"/>
      </tp>
      <tp t="s">
        <v>#N/A N/A</v>
        <stp/>
        <stp>BDP|4380256206155434533</stp>
        <tr r="Q1008" s="2"/>
      </tp>
      <tp t="s">
        <v>#N/A N/A</v>
        <stp/>
        <stp>BDP|7872974197826702784</stp>
        <tr r="S530" s="2"/>
      </tp>
      <tp t="s">
        <v>#N/A N/A</v>
        <stp/>
        <stp>BDP|2515378204203918485</stp>
        <tr r="M602" s="2"/>
      </tp>
      <tp t="s">
        <v>#N/A N/A</v>
        <stp/>
        <stp>BDP|8132650556904223976</stp>
        <tr r="C1480" s="2"/>
      </tp>
      <tp t="s">
        <v>#N/A N/A</v>
        <stp/>
        <stp>BDP|1228974785886695019</stp>
        <tr r="H980" s="2"/>
      </tp>
      <tp t="s">
        <v>#N/A N/A</v>
        <stp/>
        <stp>BDP|4812276312963885228</stp>
        <tr r="F457" s="2"/>
      </tp>
      <tp t="s">
        <v>#N/A N/A</v>
        <stp/>
        <stp>BDP|4349074548264353289</stp>
        <tr r="M1475" s="2"/>
      </tp>
      <tp t="s">
        <v>#N/A N/A</v>
        <stp/>
        <stp>BDP|7860179119519924889</stp>
        <tr r="C1547" s="2"/>
      </tp>
      <tp t="s">
        <v>#N/A N/A</v>
        <stp/>
        <stp>BDP|5726360922233019140</stp>
        <tr r="P826" s="2"/>
      </tp>
      <tp t="s">
        <v>#N/A N/A</v>
        <stp/>
        <stp>BDP|2881768712427323587</stp>
        <tr r="K1521" s="2"/>
      </tp>
      <tp t="s">
        <v>#N/A N/A</v>
        <stp/>
        <stp>BDP|6640701687158214744</stp>
        <tr r="A260" s="2"/>
      </tp>
      <tp t="s">
        <v>#N/A N/A</v>
        <stp/>
        <stp>BDP|7636274611152142063</stp>
        <tr r="K1684" s="2"/>
      </tp>
      <tp t="s">
        <v>#N/A N/A</v>
        <stp/>
        <stp>BDP|7421972296053558274</stp>
        <tr r="S987" s="2"/>
      </tp>
      <tp t="s">
        <v>#N/A N/A</v>
        <stp/>
        <stp>BDP|7611476032663649524</stp>
        <tr r="M985" s="2"/>
      </tp>
      <tp t="s">
        <v>#N/A N/A</v>
        <stp/>
        <stp>BDP|6753771126891041419</stp>
        <tr r="T1493" s="2"/>
      </tp>
      <tp t="s">
        <v>#N/A N/A</v>
        <stp/>
        <stp>BDP|4727281850516855302</stp>
        <tr r="N449" s="2"/>
      </tp>
      <tp t="s">
        <v>#N/A N/A</v>
        <stp/>
        <stp>BDP|3975540407668810850</stp>
        <tr r="Q8" s="2"/>
      </tp>
      <tp t="s">
        <v>#N/A N/A</v>
        <stp/>
        <stp>BDP|4533244426602574056</stp>
        <tr r="S1614" s="2"/>
      </tp>
      <tp t="s">
        <v>#N/A N/A</v>
        <stp/>
        <stp>BDP|7730771641527629505</stp>
        <tr r="N704" s="2"/>
      </tp>
      <tp t="s">
        <v>#N/A N/A</v>
        <stp/>
        <stp>BDP|1019743148516330284</stp>
        <tr r="F582" s="2"/>
      </tp>
      <tp t="s">
        <v>#N/A N/A</v>
        <stp/>
        <stp>BDP|5861709790984634995</stp>
        <tr r="S434" s="2"/>
      </tp>
      <tp t="s">
        <v>#N/A N/A</v>
        <stp/>
        <stp>BDP|9596758086636053611</stp>
        <tr r="A1256" s="2"/>
      </tp>
      <tp t="s">
        <v>#N/A N/A</v>
        <stp/>
        <stp>BDP|1173269001251765469</stp>
        <tr r="C180" s="2"/>
      </tp>
      <tp t="s">
        <v>#N/A N/A</v>
        <stp/>
        <stp>BDP|6629958519390999843</stp>
        <tr r="J259" s="2"/>
      </tp>
      <tp t="s">
        <v>#N/A N/A</v>
        <stp/>
        <stp>BDP|1277186423183936770</stp>
        <tr r="J26" s="2"/>
      </tp>
      <tp t="s">
        <v>#N/A N/A</v>
        <stp/>
        <stp>BDP|1557075668792962342</stp>
        <tr r="S787" s="2"/>
      </tp>
      <tp t="s">
        <v>#N/A N/A</v>
        <stp/>
        <stp>BDP|8628888985908483689</stp>
        <tr r="N243" s="2"/>
      </tp>
      <tp t="s">
        <v>#N/A N/A</v>
        <stp/>
        <stp>BDP|7329753544755115745</stp>
        <tr r="M1111" s="2"/>
      </tp>
      <tp t="s">
        <v>#N/A N/A</v>
        <stp/>
        <stp>BDP|1069451547263022455</stp>
        <tr r="H389" s="2"/>
      </tp>
      <tp t="s">
        <v>#N/A N/A</v>
        <stp/>
        <stp>BDP|1310924019288678795</stp>
        <tr r="P1516" s="2"/>
      </tp>
      <tp t="s">
        <v>#N/A N/A</v>
        <stp/>
        <stp>BDP|2988604577490055598</stp>
        <tr r="P981" s="2"/>
      </tp>
      <tp t="s">
        <v>#N/A N/A</v>
        <stp/>
        <stp>BDP|3169544521576111423</stp>
        <tr r="K1442" s="2"/>
      </tp>
      <tp t="s">
        <v>#N/A N/A</v>
        <stp/>
        <stp>BDP|2297748411321056303</stp>
        <tr r="O1580" s="2"/>
      </tp>
      <tp t="s">
        <v>#N/A N/A</v>
        <stp/>
        <stp>BDP|5492252519368840878</stp>
        <tr r="F1175" s="2"/>
      </tp>
      <tp t="s">
        <v>#N/A N/A</v>
        <stp/>
        <stp>BDP|7231480808480373564</stp>
        <tr r="N1729" s="2"/>
      </tp>
      <tp t="s">
        <v>#N/A N/A</v>
        <stp/>
        <stp>BDP|2716439739990941331</stp>
        <tr r="M840" s="2"/>
      </tp>
      <tp t="s">
        <v>#N/A N/A</v>
        <stp/>
        <stp>BDP|5884487972939404912</stp>
        <tr r="C1707" s="2"/>
      </tp>
      <tp t="s">
        <v>#N/A N/A</v>
        <stp/>
        <stp>BDP|7497216772285292120</stp>
        <tr r="N259" s="2"/>
      </tp>
      <tp t="s">
        <v>#N/A N/A</v>
        <stp/>
        <stp>BDS|5142108822970768037</stp>
        <tr r="I1543" s="2"/>
      </tp>
      <tp t="s">
        <v>#N/A N/A</v>
        <stp/>
        <stp>BDP|8474495728220130834</stp>
        <tr r="P1001" s="2"/>
      </tp>
      <tp t="s">
        <v>#N/A N/A</v>
        <stp/>
        <stp>BDP|2976762823510947123</stp>
        <tr r="A1081" s="2"/>
      </tp>
      <tp t="s">
        <v>#N/A N/A</v>
        <stp/>
        <stp>BDP|6541075273822598537</stp>
        <tr r="C1256" s="2"/>
      </tp>
      <tp t="s">
        <v>#N/A N/A</v>
        <stp/>
        <stp>BDS|5101144985098456234</stp>
        <tr r="I885" s="2"/>
      </tp>
      <tp t="s">
        <v>#N/A N/A</v>
        <stp/>
        <stp>BDP|8213893503371640793</stp>
        <tr r="C868" s="2"/>
      </tp>
      <tp t="s">
        <v>#N/A N/A</v>
        <stp/>
        <stp>BDP|9884284104475556854</stp>
        <tr r="Q429" s="2"/>
      </tp>
      <tp t="s">
        <v>#N/A N/A</v>
        <stp/>
        <stp>BDP|3776294992708897604</stp>
        <tr r="T1520" s="2"/>
      </tp>
      <tp t="s">
        <v>#N/A N/A</v>
        <stp/>
        <stp>BDP|5650860720048049148</stp>
        <tr r="N852" s="2"/>
      </tp>
      <tp t="s">
        <v>#N/A N/A</v>
        <stp/>
        <stp>BDP|3660539773813760459</stp>
        <tr r="O1337" s="2"/>
      </tp>
      <tp t="s">
        <v>#N/A N/A</v>
        <stp/>
        <stp>BDP|6132067027053256169</stp>
        <tr r="P978" s="2"/>
      </tp>
      <tp t="s">
        <v>#N/A N/A</v>
        <stp/>
        <stp>BDP|5222008172263219761</stp>
        <tr r="H1600" s="2"/>
      </tp>
      <tp t="s">
        <v>#N/A N/A</v>
        <stp/>
        <stp>BDP|1025138876044179506</stp>
        <tr r="H660" s="2"/>
      </tp>
      <tp t="s">
        <v>#N/A N/A</v>
        <stp/>
        <stp>BDP|1540833086266198157</stp>
        <tr r="P1640" s="2"/>
      </tp>
      <tp t="s">
        <v>#N/A N/A</v>
        <stp/>
        <stp>BDP|4706859010629761213</stp>
        <tr r="S1436" s="2"/>
      </tp>
      <tp t="s">
        <v>#N/A N/A</v>
        <stp/>
        <stp>BDP|6177074713734295537</stp>
        <tr r="P936" s="2"/>
      </tp>
      <tp t="s">
        <v>#N/A N/A</v>
        <stp/>
        <stp>BDP|8138485294451888217</stp>
        <tr r="N812" s="2"/>
      </tp>
      <tp t="s">
        <v>#N/A N/A</v>
        <stp/>
        <stp>BDP|4969097893559708209</stp>
        <tr r="M141" s="2"/>
      </tp>
      <tp t="s">
        <v>#N/A N/A</v>
        <stp/>
        <stp>BDP|8419736117320094840</stp>
        <tr r="P1014" s="2"/>
      </tp>
      <tp t="s">
        <v>#N/A N/A</v>
        <stp/>
        <stp>BDP|7053427475365589764</stp>
        <tr r="Q665" s="2"/>
      </tp>
      <tp t="s">
        <v>#N/A N/A</v>
        <stp/>
        <stp>BDP|9260250481581479468</stp>
        <tr r="N89" s="2"/>
      </tp>
      <tp t="s">
        <v>#N/A N/A</v>
        <stp/>
        <stp>BDP|9673645331353757908</stp>
        <tr r="D118" s="2"/>
      </tp>
      <tp t="s">
        <v>#N/A N/A</v>
        <stp/>
        <stp>BDP|7455724841155756749</stp>
        <tr r="J1441" s="2"/>
      </tp>
      <tp t="s">
        <v>#N/A N/A</v>
        <stp/>
        <stp>BDP|3320569842500633451</stp>
        <tr r="T839" s="2"/>
      </tp>
      <tp t="s">
        <v>#N/A N/A</v>
        <stp/>
        <stp>BDP|3568465006954619574</stp>
        <tr r="E875" s="2"/>
      </tp>
      <tp t="s">
        <v>#N/A N/A</v>
        <stp/>
        <stp>BDP|5383082215250226285</stp>
        <tr r="F719" s="2"/>
      </tp>
      <tp t="s">
        <v>#N/A N/A</v>
        <stp/>
        <stp>BDP|2469674271966300354</stp>
        <tr r="A712" s="2"/>
      </tp>
      <tp t="s">
        <v>#N/A N/A</v>
        <stp/>
        <stp>BDS|1321313066387770579</stp>
        <tr r="I889" s="2"/>
      </tp>
      <tp t="s">
        <v>#N/A N/A</v>
        <stp/>
        <stp>BDP|3292412473567320172</stp>
        <tr r="S426" s="2"/>
      </tp>
      <tp t="s">
        <v>#N/A N/A</v>
        <stp/>
        <stp>BDP|6410978592728117841</stp>
        <tr r="J1111" s="2"/>
      </tp>
      <tp t="s">
        <v>#N/A N/A</v>
        <stp/>
        <stp>BDP|6532456251269000856</stp>
        <tr r="N1374" s="2"/>
      </tp>
      <tp t="s">
        <v>#N/A N/A</v>
        <stp/>
        <stp>BDS|4801180526443236205</stp>
        <tr r="I269" s="2"/>
      </tp>
      <tp t="s">
        <v>#N/A N/A</v>
        <stp/>
        <stp>BDP|7757465895494121817</stp>
        <tr r="N1533" s="2"/>
      </tp>
      <tp t="s">
        <v>#N/A N/A</v>
        <stp/>
        <stp>BDP|3752533598878198196</stp>
        <tr r="A1020" s="2"/>
      </tp>
      <tp t="s">
        <v>#N/A N/A</v>
        <stp/>
        <stp>BDP|1669041633347222377</stp>
        <tr r="N1595" s="2"/>
      </tp>
      <tp t="s">
        <v>#N/A N/A</v>
        <stp/>
        <stp>BDP|2551660592459475216</stp>
        <tr r="D605" s="2"/>
      </tp>
      <tp t="s">
        <v>#N/A N/A</v>
        <stp/>
        <stp>BDP|5359522773384163572</stp>
        <tr r="N1586" s="2"/>
      </tp>
      <tp t="s">
        <v>#N/A N/A</v>
        <stp/>
        <stp>BDP|1436070902225313260</stp>
        <tr r="Q1637" s="2"/>
      </tp>
      <tp t="s">
        <v>#N/A N/A</v>
        <stp/>
        <stp>BDP|4730451740780377252</stp>
        <tr r="H924" s="2"/>
      </tp>
      <tp t="s">
        <v>#N/A N/A</v>
        <stp/>
        <stp>BDP|9943925872766425794</stp>
        <tr r="O208" s="2"/>
      </tp>
      <tp t="s">
        <v>#N/A N/A</v>
        <stp/>
        <stp>BDP|4431053005600028204</stp>
        <tr r="H259" s="2"/>
      </tp>
      <tp t="s">
        <v>#N/A N/A</v>
        <stp/>
        <stp>BDP|1976440869054466142</stp>
        <tr r="R151" s="2"/>
      </tp>
      <tp t="s">
        <v>#N/A N/A</v>
        <stp/>
        <stp>BDP|4098731907304208128</stp>
        <tr r="P384" s="2"/>
      </tp>
      <tp t="s">
        <v>#N/A N/A</v>
        <stp/>
        <stp>BDP|2577029693885523857</stp>
        <tr r="J1243" s="2"/>
      </tp>
      <tp t="s">
        <v>#N/A N/A</v>
        <stp/>
        <stp>BDP|6258047155086714301</stp>
        <tr r="M704" s="2"/>
      </tp>
      <tp t="s">
        <v>#N/A N/A</v>
        <stp/>
        <stp>BDP|6351734335212045615</stp>
        <tr r="C1192" s="2"/>
      </tp>
      <tp t="s">
        <v>#N/A N/A</v>
        <stp/>
        <stp>BDP|3603348595019620658</stp>
        <tr r="N1353" s="2"/>
      </tp>
      <tp t="s">
        <v>#N/A N/A</v>
        <stp/>
        <stp>BDP|1770588323612033288</stp>
        <tr r="D393" s="2"/>
      </tp>
      <tp t="s">
        <v>#N/A N/A</v>
        <stp/>
        <stp>BDP|6131141606729254852</stp>
        <tr r="M1351" s="2"/>
      </tp>
      <tp t="s">
        <v>#N/A N/A</v>
        <stp/>
        <stp>BDP|6330132527266642555</stp>
        <tr r="F629" s="2"/>
      </tp>
      <tp t="s">
        <v>#N/A N/A</v>
        <stp/>
        <stp>BDP|6813197180668045156</stp>
        <tr r="M1017" s="2"/>
      </tp>
      <tp t="s">
        <v>#N/A N/A</v>
        <stp/>
        <stp>BDP|1405254865663319031</stp>
        <tr r="P812" s="2"/>
      </tp>
      <tp t="s">
        <v>#N/A N/A</v>
        <stp/>
        <stp>BDP|6443647849683511186</stp>
        <tr r="T1004" s="2"/>
      </tp>
      <tp t="s">
        <v>#N/A N/A</v>
        <stp/>
        <stp>BDP|5555445767779578872</stp>
        <tr r="C1601" s="2"/>
      </tp>
      <tp t="s">
        <v>#N/A N/A</v>
        <stp/>
        <stp>BDP|3493671851177393152</stp>
        <tr r="H630" s="2"/>
      </tp>
      <tp t="s">
        <v>#N/A N/A</v>
        <stp/>
        <stp>BDP|7079341126738772814</stp>
        <tr r="C573" s="2"/>
      </tp>
      <tp t="s">
        <v>#N/A N/A</v>
        <stp/>
        <stp>BDP|2959875215519931464</stp>
        <tr r="J122" s="2"/>
      </tp>
      <tp t="s">
        <v>#N/A N/A</v>
        <stp/>
        <stp>BDP|1281986172120591993</stp>
        <tr r="M1090" s="2"/>
      </tp>
      <tp t="s">
        <v>#N/A N/A</v>
        <stp/>
        <stp>BDP|4151773730190120630</stp>
        <tr r="J1258" s="2"/>
      </tp>
      <tp t="s">
        <v>#N/A N/A</v>
        <stp/>
        <stp>BDP|2775374611574700222</stp>
        <tr r="C357" s="2"/>
      </tp>
      <tp t="s">
        <v>#N/A N/A</v>
        <stp/>
        <stp>BDP|5377428473955713513</stp>
        <tr r="C1458" s="2"/>
      </tp>
      <tp t="s">
        <v>#N/A N/A</v>
        <stp/>
        <stp>BDP|1535947374091548844</stp>
        <tr r="O1314" s="2"/>
      </tp>
      <tp t="s">
        <v>#N/A N/A</v>
        <stp/>
        <stp>BDP|5040867920669565077</stp>
        <tr r="K18" s="2"/>
      </tp>
      <tp t="s">
        <v>#N/A N/A</v>
        <stp/>
        <stp>BDP|9351965718160114787</stp>
        <tr r="J233" s="2"/>
      </tp>
      <tp t="s">
        <v>#N/A N/A</v>
        <stp/>
        <stp>BDP|2629309722694536159</stp>
        <tr r="J169" s="2"/>
      </tp>
      <tp t="s">
        <v>#N/A N/A</v>
        <stp/>
        <stp>BDP|1671813493876921099</stp>
        <tr r="P196" s="2"/>
      </tp>
      <tp t="s">
        <v>#N/A N/A</v>
        <stp/>
        <stp>BDP|1174876097704758224</stp>
        <tr r="P1721" s="2"/>
      </tp>
      <tp t="s">
        <v>#N/A N/A</v>
        <stp/>
        <stp>BDP|1545849344512689977</stp>
        <tr r="P1347" s="2"/>
      </tp>
      <tp t="s">
        <v>#N/A N/A</v>
        <stp/>
        <stp>BDS|4499900599966154481</stp>
        <tr r="I1581" s="2"/>
      </tp>
      <tp t="s">
        <v>#N/A N/A</v>
        <stp/>
        <stp>BDP|2167590261527848050</stp>
        <tr r="K260" s="2"/>
      </tp>
      <tp t="s">
        <v>#N/A N/A</v>
        <stp/>
        <stp>BDP|6742464509203548791</stp>
        <tr r="E671" s="2"/>
      </tp>
      <tp t="s">
        <v>#N/A N/A</v>
        <stp/>
        <stp>BDP|3219531519075910456</stp>
        <tr r="T534" s="2"/>
      </tp>
      <tp t="s">
        <v>#N/A N/A</v>
        <stp/>
        <stp>BDP|4410705624936132158</stp>
        <tr r="Q1024" s="2"/>
      </tp>
      <tp t="s">
        <v>#N/A N/A</v>
        <stp/>
        <stp>BDP|8302595284613303095</stp>
        <tr r="P370" s="2"/>
      </tp>
      <tp t="s">
        <v>#N/A N/A</v>
        <stp/>
        <stp>BDS|9521282049321610867</stp>
        <tr r="I1372" s="2"/>
      </tp>
      <tp t="s">
        <v>#N/A N/A</v>
        <stp/>
        <stp>BDP|3174292267780262192</stp>
        <tr r="A448" s="2"/>
      </tp>
      <tp t="s">
        <v>#N/A N/A</v>
        <stp/>
        <stp>BDP|7832556255286817740</stp>
        <tr r="A829" s="2"/>
      </tp>
      <tp t="s">
        <v>#N/A N/A</v>
        <stp/>
        <stp>BDP|2356960653251391907</stp>
        <tr r="C100" s="2"/>
      </tp>
      <tp t="s">
        <v>#N/A N/A</v>
        <stp/>
        <stp>BDP|6700564974926239427</stp>
        <tr r="P1222" s="2"/>
      </tp>
      <tp t="s">
        <v>#N/A N/A</v>
        <stp/>
        <stp>BDS|2194272954253173064</stp>
        <tr r="I1542" s="2"/>
      </tp>
      <tp t="s">
        <v>#N/A N/A</v>
        <stp/>
        <stp>BDP|6254419557209407856</stp>
        <tr r="T183" s="2"/>
      </tp>
      <tp t="s">
        <v>#N/A N/A</v>
        <stp/>
        <stp>BDP|6017992523533991867</stp>
        <tr r="J32" s="2"/>
      </tp>
      <tp t="s">
        <v>#N/A N/A</v>
        <stp/>
        <stp>BDP|5390575811055855281</stp>
        <tr r="G1439" s="2"/>
      </tp>
      <tp t="s">
        <v>#N/A N/A</v>
        <stp/>
        <stp>BDP|2064280949527794532</stp>
        <tr r="R348" s="2"/>
      </tp>
      <tp t="s">
        <v>#N/A N/A</v>
        <stp/>
        <stp>BDP|1716054921540229549</stp>
        <tr r="E763" s="2"/>
      </tp>
      <tp t="s">
        <v>#N/A N/A</v>
        <stp/>
        <stp>BDP|2271327847172327118</stp>
        <tr r="C1002" s="2"/>
      </tp>
      <tp t="s">
        <v>#N/A N/A</v>
        <stp/>
        <stp>BDP|3521208110632025404</stp>
        <tr r="Q1354" s="2"/>
      </tp>
      <tp t="s">
        <v>#N/A N/A</v>
        <stp/>
        <stp>BDS|3414529744565436137</stp>
        <tr r="I1583" s="2"/>
      </tp>
      <tp t="s">
        <v>#N/A N/A</v>
        <stp/>
        <stp>BDS|3548527756997305273</stp>
        <tr r="I206" s="2"/>
      </tp>
      <tp t="s">
        <v>#N/A N/A</v>
        <stp/>
        <stp>BDP|7389537734605572244</stp>
        <tr r="T782" s="2"/>
      </tp>
      <tp t="s">
        <v>#N/A N/A</v>
        <stp/>
        <stp>BDP|3599623231667760740</stp>
        <tr r="J504" s="2"/>
      </tp>
      <tp t="s">
        <v>#N/A N/A</v>
        <stp/>
        <stp>BDP|8389626455938383525</stp>
        <tr r="C1195" s="2"/>
      </tp>
      <tp t="s">
        <v>#N/A N/A</v>
        <stp/>
        <stp>BDP|5001724352991342063</stp>
        <tr r="J1347" s="2"/>
      </tp>
      <tp t="s">
        <v>#N/A N/A</v>
        <stp/>
        <stp>BDP|9795355545430649846</stp>
        <tr r="H244" s="2"/>
      </tp>
      <tp t="s">
        <v>#N/A N/A</v>
        <stp/>
        <stp>BDP|5077120323872335271</stp>
        <tr r="P1353" s="2"/>
      </tp>
      <tp t="s">
        <v>#N/A N/A</v>
        <stp/>
        <stp>BDP|7933346979403548648</stp>
        <tr r="N680" s="2"/>
      </tp>
      <tp t="s">
        <v>#N/A N/A</v>
        <stp/>
        <stp>BDS|8612552493973523106</stp>
        <tr r="I1087" s="2"/>
      </tp>
      <tp t="s">
        <v>#N/A N/A</v>
        <stp/>
        <stp>BDP|6193359711831774372</stp>
        <tr r="O1341" s="2"/>
      </tp>
      <tp t="s">
        <v>#N/A N/A</v>
        <stp/>
        <stp>BDP|6878853850495041889</stp>
        <tr r="H554" s="2"/>
      </tp>
      <tp t="s">
        <v>#N/A N/A</v>
        <stp/>
        <stp>BDP|7474123132816051515</stp>
        <tr r="N803" s="2"/>
      </tp>
      <tp t="s">
        <v>#N/A N/A</v>
        <stp/>
        <stp>BDP|7413157985299893191</stp>
        <tr r="S1136" s="2"/>
      </tp>
      <tp t="s">
        <v>#N/A N/A</v>
        <stp/>
        <stp>BDP|3875234965673205299</stp>
        <tr r="F702" s="2"/>
      </tp>
      <tp t="s">
        <v>#N/A N/A</v>
        <stp/>
        <stp>BDP|3397219090938374641</stp>
        <tr r="E1008" s="2"/>
      </tp>
      <tp t="s">
        <v>#N/A N/A</v>
        <stp/>
        <stp>BDP|8858708858279634533</stp>
        <tr r="O1329" s="2"/>
      </tp>
      <tp t="s">
        <v>#N/A N/A</v>
        <stp/>
        <stp>BDP|6978380055864370227</stp>
        <tr r="P1162" s="2"/>
      </tp>
      <tp t="s">
        <v>#N/A N/A</v>
        <stp/>
        <stp>BDP|2143438902895039558</stp>
        <tr r="J52" s="2"/>
      </tp>
      <tp t="s">
        <v>#N/A N/A</v>
        <stp/>
        <stp>BDP|1874142963680845029</stp>
        <tr r="T1701" s="2"/>
      </tp>
      <tp t="s">
        <v>#N/A N/A</v>
        <stp/>
        <stp>BDP|7245523421725193357</stp>
        <tr r="J260" s="2"/>
      </tp>
      <tp t="s">
        <v>#N/A N/A</v>
        <stp/>
        <stp>BDP|1329330322821739708</stp>
        <tr r="K1074" s="2"/>
      </tp>
      <tp t="s">
        <v>#N/A N/A</v>
        <stp/>
        <stp>BDP|1485153932194426129</stp>
        <tr r="G1242" s="2"/>
      </tp>
      <tp t="s">
        <v>#N/A N/A</v>
        <stp/>
        <stp>BDP|6664569315244440048</stp>
        <tr r="H376" s="2"/>
      </tp>
      <tp t="s">
        <v>#N/A N/A</v>
        <stp/>
        <stp>BDP|2610536572637493168</stp>
        <tr r="O1546" s="2"/>
      </tp>
      <tp t="s">
        <v>#N/A N/A</v>
        <stp/>
        <stp>BDP|4375843024469485128</stp>
        <tr r="G842" s="2"/>
      </tp>
      <tp t="s">
        <v>#N/A N/A</v>
        <stp/>
        <stp>BDP|2363840192746974396</stp>
        <tr r="S487" s="2"/>
      </tp>
      <tp t="s">
        <v>#N/A N/A</v>
        <stp/>
        <stp>BDP|8365602316410064906</stp>
        <tr r="N1075" s="2"/>
      </tp>
      <tp t="s">
        <v>#N/A N/A</v>
        <stp/>
        <stp>BDP|3051430573893480515</stp>
        <tr r="A787" s="2"/>
      </tp>
      <tp t="s">
        <v>#N/A N/A</v>
        <stp/>
        <stp>BDP|5757550595247628845</stp>
        <tr r="T937" s="2"/>
      </tp>
      <tp t="s">
        <v>#N/A N/A</v>
        <stp/>
        <stp>BDP|9484977415062798546</stp>
        <tr r="C1268" s="2"/>
      </tp>
      <tp t="s">
        <v>#N/A N/A</v>
        <stp/>
        <stp>BDP|5796977876495238819</stp>
        <tr r="R883" s="2"/>
      </tp>
      <tp t="s">
        <v>#N/A N/A</v>
        <stp/>
        <stp>BDP|2342734022338661916</stp>
        <tr r="G935" s="2"/>
      </tp>
      <tp t="s">
        <v>#N/A N/A</v>
        <stp/>
        <stp>BDP|4637801473578534557</stp>
        <tr r="Q251" s="2"/>
      </tp>
      <tp t="s">
        <v>#N/A N/A</v>
        <stp/>
        <stp>BDP|6759900893723393328</stp>
        <tr r="Q211" s="2"/>
      </tp>
      <tp t="s">
        <v>#N/A N/A</v>
        <stp/>
        <stp>BDP|1595696784010592985</stp>
        <tr r="F852" s="2"/>
      </tp>
      <tp t="s">
        <v>#N/A N/A</v>
        <stp/>
        <stp>BDP|4820824779184555931</stp>
        <tr r="C965" s="2"/>
      </tp>
      <tp t="s">
        <v>#N/A N/A</v>
        <stp/>
        <stp>BDP|5425142947700256601</stp>
        <tr r="A1307" s="2"/>
      </tp>
      <tp t="s">
        <v>#N/A N/A</v>
        <stp/>
        <stp>BDP|1089749247064526030</stp>
        <tr r="O618" s="2"/>
      </tp>
      <tp t="s">
        <v>#N/A N/A</v>
        <stp/>
        <stp>BDP|9524981018402652560</stp>
        <tr r="A405" s="2"/>
      </tp>
      <tp t="s">
        <v>#N/A N/A</v>
        <stp/>
        <stp>BDP|2029156867984168769</stp>
        <tr r="D889" s="2"/>
      </tp>
      <tp t="s">
        <v>#N/A N/A</v>
        <stp/>
        <stp>BDP|1508093168422321327</stp>
        <tr r="D1692" s="2"/>
      </tp>
      <tp t="s">
        <v>#N/A N/A</v>
        <stp/>
        <stp>BDP|8456626102981104908</stp>
        <tr r="T1178" s="2"/>
      </tp>
      <tp t="s">
        <v>#N/A N/A</v>
        <stp/>
        <stp>BDP|7208658864945411425</stp>
        <tr r="K1601" s="2"/>
      </tp>
      <tp t="s">
        <v>#N/A N/A</v>
        <stp/>
        <stp>BDP|5852192016690107334</stp>
        <tr r="P887" s="2"/>
      </tp>
      <tp t="s">
        <v>#N/A N/A</v>
        <stp/>
        <stp>BDP|8145321465683205816</stp>
        <tr r="K1511" s="2"/>
      </tp>
      <tp t="s">
        <v>#N/A N/A</v>
        <stp/>
        <stp>BDP|2135001861351507304</stp>
        <tr r="Q1505" s="2"/>
      </tp>
      <tp t="s">
        <v>#N/A N/A</v>
        <stp/>
        <stp>BDP|7373352974012320742</stp>
        <tr r="S194" s="2"/>
      </tp>
      <tp t="s">
        <v>#N/A N/A</v>
        <stp/>
        <stp>BDP|4974730158569333945</stp>
        <tr r="P1365" s="2"/>
      </tp>
      <tp t="s">
        <v>#N/A N/A</v>
        <stp/>
        <stp>BDP|6427658547260344208</stp>
        <tr r="R295" s="2"/>
      </tp>
      <tp t="s">
        <v>#N/A N/A</v>
        <stp/>
        <stp>BDP|6750476002474267055</stp>
        <tr r="M1164" s="2"/>
      </tp>
      <tp t="s">
        <v>#N/A N/A</v>
        <stp/>
        <stp>BDP|6442286130724013590</stp>
        <tr r="H613" s="2"/>
      </tp>
      <tp t="s">
        <v>#N/A N/A</v>
        <stp/>
        <stp>BDP|7713173070174659332</stp>
        <tr r="G440" s="2"/>
      </tp>
      <tp t="s">
        <v>#N/A N/A</v>
        <stp/>
        <stp>BDS|2753906933339777760</stp>
        <tr r="I962" s="2"/>
      </tp>
      <tp t="s">
        <v>#N/A N/A</v>
        <stp/>
        <stp>BDP|7818119202650636089</stp>
        <tr r="J317" s="2"/>
      </tp>
      <tp t="s">
        <v>#N/A N/A</v>
        <stp/>
        <stp>BDP|4207212263364557203</stp>
        <tr r="E1114" s="2"/>
      </tp>
      <tp t="s">
        <v>#N/A N/A</v>
        <stp/>
        <stp>BDP|8572734922468708360</stp>
        <tr r="M881" s="2"/>
      </tp>
      <tp t="s">
        <v>#N/A N/A</v>
        <stp/>
        <stp>BDP|3602324223792768652</stp>
        <tr r="K1541" s="2"/>
      </tp>
      <tp t="s">
        <v>#N/A N/A</v>
        <stp/>
        <stp>BDP|9813325087782169692</stp>
        <tr r="N1144" s="2"/>
      </tp>
      <tp t="s">
        <v>#N/A N/A</v>
        <stp/>
        <stp>BDP|2928601079171175442</stp>
        <tr r="T984" s="2"/>
      </tp>
      <tp t="s">
        <v>#N/A N/A</v>
        <stp/>
        <stp>BDP|9057954765730376067</stp>
        <tr r="A686" s="2"/>
      </tp>
      <tp t="s">
        <v>#N/A N/A</v>
        <stp/>
        <stp>BDP|3566261171666476630</stp>
        <tr r="K47" s="2"/>
      </tp>
      <tp t="s">
        <v>#N/A N/A</v>
        <stp/>
        <stp>BDP|3819987492670466530</stp>
        <tr r="T1586" s="2"/>
      </tp>
      <tp t="s">
        <v>#N/A N/A</v>
        <stp/>
        <stp>BDP|2929692094408466354</stp>
        <tr r="O51" s="2"/>
      </tp>
      <tp t="s">
        <v>#N/A N/A</v>
        <stp/>
        <stp>BDP|6595164844503194637</stp>
        <tr r="D657" s="2"/>
      </tp>
      <tp t="s">
        <v>#N/A N/A</v>
        <stp/>
        <stp>BDP|9371568389741713210</stp>
        <tr r="E924" s="2"/>
      </tp>
      <tp t="s">
        <v>#N/A N/A</v>
        <stp/>
        <stp>BDP|4303475037782894612</stp>
        <tr r="F623" s="2"/>
      </tp>
      <tp t="s">
        <v>#N/A N/A</v>
        <stp/>
        <stp>BDP|7911477751599380862</stp>
        <tr r="S70" s="2"/>
      </tp>
      <tp t="s">
        <v>#N/A N/A</v>
        <stp/>
        <stp>BDP|2348996220209881781</stp>
        <tr r="G337" s="2"/>
      </tp>
      <tp t="s">
        <v>#N/A N/A</v>
        <stp/>
        <stp>BDP|5923493269262785243</stp>
        <tr r="D276" s="2"/>
      </tp>
      <tp t="s">
        <v>#N/A N/A</v>
        <stp/>
        <stp>BDP|5545049128242273210</stp>
        <tr r="E1360" s="2"/>
      </tp>
      <tp t="s">
        <v>#N/A N/A</v>
        <stp/>
        <stp>BDP|7980366101384363773</stp>
        <tr r="D83" s="2"/>
      </tp>
      <tp t="s">
        <v>#N/A N/A</v>
        <stp/>
        <stp>BDP|5928739463303761045</stp>
        <tr r="F1364" s="2"/>
      </tp>
      <tp t="s">
        <v>#N/A N/A</v>
        <stp/>
        <stp>BDS|7579052841850909425</stp>
        <tr r="I794" s="2"/>
      </tp>
      <tp t="s">
        <v>#N/A N/A</v>
        <stp/>
        <stp>BDP|6413124250724599190</stp>
        <tr r="P440" s="2"/>
      </tp>
      <tp t="s">
        <v>#N/A N/A</v>
        <stp/>
        <stp>BDP|2851201951555436779</stp>
        <tr r="G560" s="2"/>
      </tp>
      <tp t="s">
        <v>#N/A N/A</v>
        <stp/>
        <stp>BDP|7296310095543530995</stp>
        <tr r="O1152" s="2"/>
      </tp>
      <tp t="s">
        <v>#N/A N/A</v>
        <stp/>
        <stp>BDP|7022292190693584864</stp>
        <tr r="O1479" s="2"/>
      </tp>
      <tp t="s">
        <v>#N/A N/A</v>
        <stp/>
        <stp>BDP|1187671866625340396</stp>
        <tr r="S398" s="2"/>
      </tp>
      <tp t="s">
        <v>#N/A N/A</v>
        <stp/>
        <stp>BDP|9683991588338426794</stp>
        <tr r="C1190" s="2"/>
      </tp>
      <tp t="s">
        <v>#N/A N/A</v>
        <stp/>
        <stp>BDP|3498478632731383281</stp>
        <tr r="P1016" s="2"/>
      </tp>
      <tp t="s">
        <v>#N/A N/A</v>
        <stp/>
        <stp>BDP|1627854970320826918</stp>
        <tr r="G1512" s="2"/>
      </tp>
      <tp t="s">
        <v>#N/A N/A</v>
        <stp/>
        <stp>BDP|3589002200661706583</stp>
        <tr r="K1339" s="2"/>
      </tp>
      <tp t="s">
        <v>#N/A N/A</v>
        <stp/>
        <stp>BDS|3673198725242912591</stp>
        <tr r="I970" s="2"/>
      </tp>
      <tp t="s">
        <v>#N/A N/A</v>
        <stp/>
        <stp>BDP|7965860376887306800</stp>
        <tr r="R1476" s="2"/>
      </tp>
      <tp t="s">
        <v>#N/A N/A</v>
        <stp/>
        <stp>BDP|8294344839159130641</stp>
        <tr r="S438" s="2"/>
      </tp>
      <tp t="s">
        <v>#N/A N/A</v>
        <stp/>
        <stp>BDP|5699926664669853422</stp>
        <tr r="P754" s="2"/>
      </tp>
      <tp t="s">
        <v>#N/A N/A</v>
        <stp/>
        <stp>BDP|2687350178063300229</stp>
        <tr r="T1239" s="2"/>
      </tp>
      <tp t="s">
        <v>#N/A N/A</v>
        <stp/>
        <stp>BDP|7467141327746933542</stp>
        <tr r="P580" s="2"/>
      </tp>
      <tp t="s">
        <v>#N/A N/A</v>
        <stp/>
        <stp>BDP|2827122308153002781</stp>
        <tr r="P1137" s="2"/>
      </tp>
      <tp t="s">
        <v>#N/A N/A</v>
        <stp/>
        <stp>BDP|7303510704140999558</stp>
        <tr r="M318" s="2"/>
      </tp>
      <tp t="s">
        <v>#N/A N/A</v>
        <stp/>
        <stp>BDP|7920631243190540266</stp>
        <tr r="K349" s="2"/>
      </tp>
      <tp t="s">
        <v>#N/A N/A</v>
        <stp/>
        <stp>BDP|8458186975660173921</stp>
        <tr r="O1490" s="2"/>
      </tp>
      <tp t="s">
        <v>#N/A N/A</v>
        <stp/>
        <stp>BDP|1753580140024556303</stp>
        <tr r="P1237" s="2"/>
      </tp>
      <tp t="s">
        <v>#N/A N/A</v>
        <stp/>
        <stp>BDP|9813871019313463486</stp>
        <tr r="A743" s="2"/>
      </tp>
      <tp t="s">
        <v>#N/A N/A</v>
        <stp/>
        <stp>BDP|3586370689249788661</stp>
        <tr r="A427" s="2"/>
      </tp>
      <tp t="s">
        <v>#N/A N/A</v>
        <stp/>
        <stp>BDP|6767593668182402087</stp>
        <tr r="H1270" s="2"/>
      </tp>
      <tp t="s">
        <v>#N/A N/A</v>
        <stp/>
        <stp>BDP|3600427843486986249</stp>
        <tr r="C1592" s="2"/>
      </tp>
      <tp t="s">
        <v>#N/A N/A</v>
        <stp/>
        <stp>BDP|6364792262354262403</stp>
        <tr r="T779" s="2"/>
      </tp>
      <tp t="s">
        <v>#N/A N/A</v>
        <stp/>
        <stp>BDP|2743151803527917323</stp>
        <tr r="N304" s="2"/>
      </tp>
      <tp t="s">
        <v>#N/A N/A</v>
        <stp/>
        <stp>BDP|4973845974798419476</stp>
        <tr r="H956" s="2"/>
      </tp>
      <tp t="s">
        <v>#N/A N/A</v>
        <stp/>
        <stp>BDP|7325599021094206339</stp>
        <tr r="S1563" s="2"/>
      </tp>
      <tp t="s">
        <v>#N/A N/A</v>
        <stp/>
        <stp>BDP|1629133659800194272</stp>
        <tr r="D65" s="2"/>
      </tp>
      <tp t="s">
        <v>#N/A N/A</v>
        <stp/>
        <stp>BDP|1968976211259356762</stp>
        <tr r="T1427" s="2"/>
      </tp>
      <tp t="s">
        <v>#N/A N/A</v>
        <stp/>
        <stp>BDP|7386160030172698095</stp>
        <tr r="F1475" s="2"/>
      </tp>
      <tp t="s">
        <v>#N/A N/A</v>
        <stp/>
        <stp>BDP|2639630005221941230</stp>
        <tr r="N408" s="2"/>
      </tp>
      <tp t="s">
        <v>#N/A N/A</v>
        <stp/>
        <stp>BDP|1110823117887999877</stp>
        <tr r="C1052" s="2"/>
      </tp>
      <tp t="s">
        <v>#N/A N/A</v>
        <stp/>
        <stp>BDP|8185993061741390101</stp>
        <tr r="T587" s="2"/>
      </tp>
      <tp t="s">
        <v>#N/A N/A</v>
        <stp/>
        <stp>BDS|3576795926442504351</stp>
        <tr r="I1179" s="2"/>
      </tp>
      <tp t="s">
        <v>#N/A N/A</v>
        <stp/>
        <stp>BDP|9705722015449805121</stp>
        <tr r="E1697" s="2"/>
      </tp>
      <tp t="s">
        <v>#N/A N/A</v>
        <stp/>
        <stp>BDP|3596154624834626380</stp>
        <tr r="D1245" s="2"/>
      </tp>
      <tp t="s">
        <v>#N/A N/A</v>
        <stp/>
        <stp>BDP|5090442067822944200</stp>
        <tr r="R838" s="2"/>
      </tp>
      <tp t="s">
        <v>#N/A N/A</v>
        <stp/>
        <stp>BDP|2833101723160342620</stp>
        <tr r="A1100" s="2"/>
      </tp>
      <tp t="s">
        <v>#N/A N/A</v>
        <stp/>
        <stp>BDP|6114645497228872606</stp>
        <tr r="R1344" s="2"/>
      </tp>
      <tp t="s">
        <v>#N/A N/A</v>
        <stp/>
        <stp>BDP|4719670831110373680</stp>
        <tr r="N31" s="2"/>
      </tp>
      <tp t="s">
        <v>#N/A N/A</v>
        <stp/>
        <stp>BDP|2233341634796027380</stp>
        <tr r="T1414" s="2"/>
      </tp>
      <tp t="s">
        <v>#N/A N/A</v>
        <stp/>
        <stp>BDP|1761562525547874660</stp>
        <tr r="O1583" s="2"/>
      </tp>
      <tp t="s">
        <v>#N/A N/A</v>
        <stp/>
        <stp>BDP|4939476919326585088</stp>
        <tr r="T1589" s="2"/>
      </tp>
      <tp t="s">
        <v>#N/A N/A</v>
        <stp/>
        <stp>BDP|5568664105371809547</stp>
        <tr r="S858" s="2"/>
      </tp>
      <tp t="s">
        <v>#N/A N/A</v>
        <stp/>
        <stp>BDP|4351583243575256700</stp>
        <tr r="C427" s="2"/>
      </tp>
      <tp t="s">
        <v>#N/A N/A</v>
        <stp/>
        <stp>BDP|5700589431640683421</stp>
        <tr r="F459" s="2"/>
      </tp>
      <tp t="s">
        <v>#N/A N/A</v>
        <stp/>
        <stp>BDP|4309518029035189119</stp>
        <tr r="J659" s="2"/>
      </tp>
      <tp t="s">
        <v>#N/A N/A</v>
        <stp/>
        <stp>BDP|9352278848209240152</stp>
        <tr r="Q1344" s="2"/>
      </tp>
      <tp t="s">
        <v>#N/A N/A</v>
        <stp/>
        <stp>BDP|1110604608115281504</stp>
        <tr r="Q1396" s="2"/>
      </tp>
      <tp t="s">
        <v>#N/A N/A</v>
        <stp/>
        <stp>BDP|3976176768223924049</stp>
        <tr r="Q844" s="2"/>
      </tp>
      <tp t="s">
        <v>#N/A N/A</v>
        <stp/>
        <stp>BDP|9896434732391008826</stp>
        <tr r="K1673" s="2"/>
      </tp>
      <tp t="s">
        <v>#N/A N/A</v>
        <stp/>
        <stp>BDP|5500781646867869687</stp>
        <tr r="H1662" s="2"/>
      </tp>
      <tp t="s">
        <v>#N/A N/A</v>
        <stp/>
        <stp>BDP|9692950898496743872</stp>
        <tr r="O81" s="2"/>
      </tp>
      <tp t="s">
        <v>#N/A N/A</v>
        <stp/>
        <stp>BDP|2691297095529230733</stp>
        <tr r="D974" s="2"/>
      </tp>
      <tp t="s">
        <v>#N/A N/A</v>
        <stp/>
        <stp>BDP|9386581608682125996</stp>
        <tr r="T1060" s="2"/>
      </tp>
      <tp t="s">
        <v>#N/A N/A</v>
        <stp/>
        <stp>BDS|4079306931795380696</stp>
        <tr r="I592" s="2"/>
      </tp>
      <tp t="s">
        <v>#N/A N/A</v>
        <stp/>
        <stp>BDP|1653483283538709218</stp>
        <tr r="K1369" s="2"/>
      </tp>
      <tp t="s">
        <v>#N/A N/A</v>
        <stp/>
        <stp>BDP|2179312252565097693</stp>
        <tr r="Q144" s="2"/>
      </tp>
      <tp t="s">
        <v>#N/A N/A</v>
        <stp/>
        <stp>BDP|6999245664724617140</stp>
        <tr r="H1642" s="2"/>
      </tp>
      <tp t="s">
        <v>#N/A N/A</v>
        <stp/>
        <stp>BDP|6948151960341120769</stp>
        <tr r="E928" s="2"/>
      </tp>
      <tp t="s">
        <v>#N/A N/A</v>
        <stp/>
        <stp>BDP|3219623364384645098</stp>
        <tr r="S752" s="2"/>
      </tp>
      <tp t="s">
        <v>#N/A N/A</v>
        <stp/>
        <stp>BDP|3068238962669277982</stp>
        <tr r="S781" s="2"/>
      </tp>
      <tp t="s">
        <v>#N/A N/A</v>
        <stp/>
        <stp>BDP|5295305235423939157</stp>
        <tr r="S119" s="2"/>
      </tp>
      <tp t="s">
        <v>#N/A N/A</v>
        <stp/>
        <stp>BDS|7345407964952900055</stp>
        <tr r="I1489" s="2"/>
      </tp>
      <tp t="s">
        <v>#N/A N/A</v>
        <stp/>
        <stp>BDP|3773358688129761667</stp>
        <tr r="N1487" s="2"/>
      </tp>
      <tp t="s">
        <v>#N/A N/A</v>
        <stp/>
        <stp>BDP|4388174985319376397</stp>
        <tr r="H1391" s="2"/>
      </tp>
      <tp t="s">
        <v>#N/A N/A</v>
        <stp/>
        <stp>BDP|8370419506968895371</stp>
        <tr r="J1130" s="2"/>
      </tp>
      <tp t="s">
        <v>#N/A N/A</v>
        <stp/>
        <stp>BDP|9231505548207628879</stp>
        <tr r="O336" s="2"/>
      </tp>
      <tp t="s">
        <v>#N/A N/A</v>
        <stp/>
        <stp>BDP|2584120978444216762</stp>
        <tr r="N787" s="2"/>
      </tp>
      <tp t="s">
        <v>#N/A N/A</v>
        <stp/>
        <stp>BDP|7251653505826806010</stp>
        <tr r="S150" s="2"/>
      </tp>
      <tp t="s">
        <v>#N/A N/A</v>
        <stp/>
        <stp>BDP|7891062505277533754</stp>
        <tr r="G1517" s="2"/>
      </tp>
      <tp t="s">
        <v>#N/A N/A</v>
        <stp/>
        <stp>BDP|6105196719885228482</stp>
        <tr r="O679" s="2"/>
      </tp>
      <tp t="s">
        <v>#N/A N/A</v>
        <stp/>
        <stp>BDP|2109440699251490935</stp>
        <tr r="Q497" s="2"/>
      </tp>
      <tp t="s">
        <v>#N/A N/A</v>
        <stp/>
        <stp>BDS|7300093706067254754</stp>
        <tr r="I1104" s="2"/>
      </tp>
      <tp t="s">
        <v>#N/A N/A</v>
        <stp/>
        <stp>BDP|7953608244132351058</stp>
        <tr r="H1026" s="2"/>
      </tp>
      <tp t="s">
        <v>#N/A N/A</v>
        <stp/>
        <stp>BDP|9704665987799827951</stp>
        <tr r="F690" s="2"/>
      </tp>
      <tp t="s">
        <v>#N/A N/A</v>
        <stp/>
        <stp>BDP|5385904789675488653</stp>
        <tr r="Q1070" s="2"/>
      </tp>
      <tp t="s">
        <v>#N/A N/A</v>
        <stp/>
        <stp>BDP|5572078168671994580</stp>
        <tr r="Q1168" s="2"/>
      </tp>
      <tp t="s">
        <v>#N/A N/A</v>
        <stp/>
        <stp>BDP|3233494172465117232</stp>
        <tr r="M513" s="2"/>
      </tp>
      <tp t="s">
        <v>#N/A N/A</v>
        <stp/>
        <stp>BDP|5887939597170089278</stp>
        <tr r="P917" s="2"/>
      </tp>
      <tp t="s">
        <v>#N/A N/A</v>
        <stp/>
        <stp>BDP|9973479958137485897</stp>
        <tr r="M1407" s="2"/>
      </tp>
      <tp t="s">
        <v>#N/A N/A</v>
        <stp/>
        <stp>BDP|2783098072570201256</stp>
        <tr r="H569" s="2"/>
      </tp>
      <tp t="s">
        <v>#N/A N/A</v>
        <stp/>
        <stp>BDP|4690436599748784603</stp>
        <tr r="F275" s="2"/>
      </tp>
      <tp t="s">
        <v>#N/A N/A</v>
        <stp/>
        <stp>BDP|5450025640730430697</stp>
        <tr r="A220" s="2"/>
      </tp>
      <tp t="s">
        <v>#N/A N/A</v>
        <stp/>
        <stp>BDP|4562986797567473451</stp>
        <tr r="R1454" s="2"/>
      </tp>
      <tp t="s">
        <v>#N/A N/A</v>
        <stp/>
        <stp>BDP|7897113071824035232</stp>
        <tr r="P1672" s="2"/>
      </tp>
      <tp t="s">
        <v>#N/A N/A</v>
        <stp/>
        <stp>BDP|5845953410258179271</stp>
        <tr r="P769" s="2"/>
      </tp>
      <tp t="s">
        <v>#N/A N/A</v>
        <stp/>
        <stp>BDP|3830004227545629325</stp>
        <tr r="D141" s="2"/>
      </tp>
      <tp t="s">
        <v>#N/A N/A</v>
        <stp/>
        <stp>BDP|9505487584314075627</stp>
        <tr r="P1653" s="2"/>
      </tp>
      <tp t="s">
        <v>#N/A N/A</v>
        <stp/>
        <stp>BDP|2913510754781714403</stp>
        <tr r="H1240" s="2"/>
      </tp>
      <tp t="s">
        <v>#N/A N/A</v>
        <stp/>
        <stp>BDP|2570877569888644368</stp>
        <tr r="K1273" s="2"/>
      </tp>
      <tp t="s">
        <v>#N/A N/A</v>
        <stp/>
        <stp>BDP|7419480011671547437</stp>
        <tr r="S55" s="2"/>
      </tp>
      <tp t="s">
        <v>#N/A N/A</v>
        <stp/>
        <stp>BDP|6371382526538675800</stp>
        <tr r="A1177" s="2"/>
      </tp>
      <tp t="s">
        <v>#N/A N/A</v>
        <stp/>
        <stp>BDP|3398998867982175978</stp>
        <tr r="H1158" s="2"/>
      </tp>
      <tp t="s">
        <v>#N/A N/A</v>
        <stp/>
        <stp>BDP|2230550008471738133</stp>
        <tr r="J1224" s="2"/>
      </tp>
      <tp t="s">
        <v>#N/A N/A</v>
        <stp/>
        <stp>BDP|9964486944356641880</stp>
        <tr r="D1577" s="2"/>
      </tp>
      <tp t="s">
        <v>#N/A N/A</v>
        <stp/>
        <stp>BDP|2276980642701373901</stp>
        <tr r="M768" s="2"/>
      </tp>
      <tp t="s">
        <v>#N/A N/A</v>
        <stp/>
        <stp>BDP|2816791368060140432</stp>
        <tr r="F583" s="2"/>
      </tp>
      <tp t="s">
        <v>#N/A N/A</v>
        <stp/>
        <stp>BDP|5509994541417351853</stp>
        <tr r="N1154" s="2"/>
      </tp>
      <tp t="s">
        <v>#N/A N/A</v>
        <stp/>
        <stp>BDP|9605710393692920262</stp>
        <tr r="K1562" s="2"/>
      </tp>
      <tp t="s">
        <v>#N/A N/A</v>
        <stp/>
        <stp>BDP|9167309692814128093</stp>
        <tr r="M736" s="2"/>
      </tp>
      <tp t="s">
        <v>#N/A N/A</v>
        <stp/>
        <stp>BDP|1498771707181562096</stp>
        <tr r="K325" s="2"/>
      </tp>
      <tp t="s">
        <v>#N/A N/A</v>
        <stp/>
        <stp>BDP|4157086939312198290</stp>
        <tr r="M800" s="2"/>
      </tp>
      <tp t="s">
        <v>#N/A N/A</v>
        <stp/>
        <stp>BDP|8852347782931101572</stp>
        <tr r="G1536" s="2"/>
      </tp>
      <tp t="s">
        <v>#N/A N/A</v>
        <stp/>
        <stp>BDS|8855384498312191711</stp>
        <tr r="I1117" s="2"/>
      </tp>
      <tp t="s">
        <v>#N/A N/A</v>
        <stp/>
        <stp>BDP|2742912434186364998</stp>
        <tr r="N1017" s="2"/>
      </tp>
      <tp t="s">
        <v>#N/A N/A</v>
        <stp/>
        <stp>BDS|6688477177770874265</stp>
        <tr r="I1359" s="2"/>
      </tp>
      <tp t="s">
        <v>#N/A N/A</v>
        <stp/>
        <stp>BDP|1191615438374444740</stp>
        <tr r="C1272" s="2"/>
      </tp>
      <tp t="s">
        <v>#N/A N/A</v>
        <stp/>
        <stp>BDP|1894244512644197179</stp>
        <tr r="D637" s="2"/>
      </tp>
      <tp t="s">
        <v>#N/A N/A</v>
        <stp/>
        <stp>BDP|7030910099919588959</stp>
        <tr r="O1284" s="2"/>
      </tp>
      <tp t="s">
        <v>#N/A N/A</v>
        <stp/>
        <stp>BDP|7049237948110698650</stp>
        <tr r="M1356" s="2"/>
      </tp>
      <tp t="s">
        <v>#N/A N/A</v>
        <stp/>
        <stp>BDP|8029707225019460398</stp>
        <tr r="C1193" s="2"/>
      </tp>
      <tp t="s">
        <v>#N/A N/A</v>
        <stp/>
        <stp>BDS|9116229096152557785</stp>
        <tr r="I1231" s="2"/>
      </tp>
      <tp t="s">
        <v>#N/A N/A</v>
        <stp/>
        <stp>BDP|5781016888778109273</stp>
        <tr r="P546" s="2"/>
      </tp>
      <tp t="s">
        <v>#N/A N/A</v>
        <stp/>
        <stp>BDS|2396623868581449452</stp>
        <tr r="I245" s="2"/>
      </tp>
      <tp t="s">
        <v>#N/A N/A</v>
        <stp/>
        <stp>BDP|3269897174798295352</stp>
        <tr r="T675" s="2"/>
      </tp>
      <tp t="s">
        <v>#N/A N/A</v>
        <stp/>
        <stp>BDP|9586890545163805194</stp>
        <tr r="R1169" s="2"/>
      </tp>
      <tp t="s">
        <v>#N/A N/A</v>
        <stp/>
        <stp>BDP|4321878366565346896</stp>
        <tr r="S1121" s="2"/>
      </tp>
      <tp t="s">
        <v>#N/A N/A</v>
        <stp/>
        <stp>BDP|3677162667050997361</stp>
        <tr r="K134" s="2"/>
      </tp>
      <tp t="s">
        <v>#N/A N/A</v>
        <stp/>
        <stp>BDP|3912515490450690864</stp>
        <tr r="S1477" s="2"/>
      </tp>
      <tp t="s">
        <v>#N/A N/A</v>
        <stp/>
        <stp>BDP|9954814225781333568</stp>
        <tr r="A306" s="2"/>
      </tp>
      <tp t="s">
        <v>#N/A N/A</v>
        <stp/>
        <stp>BDP|3158600097202637989</stp>
        <tr r="H25" s="2"/>
      </tp>
      <tp t="s">
        <v>#N/A N/A</v>
        <stp/>
        <stp>BDP|5805015667397330358</stp>
        <tr r="F668" s="2"/>
      </tp>
      <tp t="s">
        <v>#N/A N/A</v>
        <stp/>
        <stp>BDP|1877008602331789759</stp>
        <tr r="O738" s="2"/>
      </tp>
      <tp t="s">
        <v>#N/A N/A</v>
        <stp/>
        <stp>BDP|9275822255503455099</stp>
        <tr r="A401" s="2"/>
      </tp>
      <tp t="s">
        <v>#N/A N/A</v>
        <stp/>
        <stp>BDP|3698729840683490483</stp>
        <tr r="K471" s="2"/>
      </tp>
      <tp t="s">
        <v>#N/A N/A</v>
        <stp/>
        <stp>BDP|6477268231988994823</stp>
        <tr r="C1706" s="2"/>
      </tp>
      <tp t="s">
        <v>#N/A N/A</v>
        <stp/>
        <stp>BDP|6862408403474004135</stp>
        <tr r="N1536" s="2"/>
      </tp>
      <tp t="s">
        <v>#N/A N/A</v>
        <stp/>
        <stp>BDP|4090088169937154282</stp>
        <tr r="F103" s="2"/>
      </tp>
      <tp t="s">
        <v>#N/A N/A</v>
        <stp/>
        <stp>BDP|3127758856896351098</stp>
        <tr r="S1008" s="2"/>
      </tp>
      <tp t="s">
        <v>#N/A N/A</v>
        <stp/>
        <stp>BDP|2894173105071661543</stp>
        <tr r="C1364" s="2"/>
      </tp>
      <tp t="s">
        <v>#N/A N/A</v>
        <stp/>
        <stp>BDP|6889635903070338731</stp>
        <tr r="O372" s="2"/>
      </tp>
      <tp t="s">
        <v>#N/A N/A</v>
        <stp/>
        <stp>BDP|3267555439476290440</stp>
        <tr r="E450" s="2"/>
      </tp>
      <tp t="s">
        <v>#N/A N/A</v>
        <stp/>
        <stp>BDP|5964611449805835512</stp>
        <tr r="M996" s="2"/>
      </tp>
      <tp t="s">
        <v>#N/A N/A</v>
        <stp/>
        <stp>BDP|8948941027697387315</stp>
        <tr r="T100" s="2"/>
      </tp>
      <tp t="s">
        <v>#N/A N/A</v>
        <stp/>
        <stp>BDP|4010181124909656922</stp>
        <tr r="M1174" s="2"/>
      </tp>
      <tp t="s">
        <v>#N/A N/A</v>
        <stp/>
        <stp>BDP|2962540596149703049</stp>
        <tr r="P198" s="2"/>
      </tp>
      <tp t="s">
        <v>#N/A N/A</v>
        <stp/>
        <stp>BDP|4167117608551626368</stp>
        <tr r="Q1698" s="2"/>
      </tp>
      <tp t="s">
        <v>#N/A N/A</v>
        <stp/>
        <stp>BDP|5882527151133538163</stp>
        <tr r="D1747" s="2"/>
      </tp>
      <tp t="s">
        <v>#N/A N/A</v>
        <stp/>
        <stp>BDP|7746969336798724286</stp>
        <tr r="C1339" s="2"/>
      </tp>
      <tp t="s">
        <v>#N/A N/A</v>
        <stp/>
        <stp>BDP|5673228619830742122</stp>
        <tr r="J663" s="2"/>
      </tp>
      <tp t="s">
        <v>#N/A N/A</v>
        <stp/>
        <stp>BDP|2922655920251408004</stp>
        <tr r="Q1640" s="2"/>
      </tp>
      <tp t="s">
        <v>#N/A N/A</v>
        <stp/>
        <stp>BDP|4031157733785858467</stp>
        <tr r="O432" s="2"/>
      </tp>
      <tp t="s">
        <v>#N/A N/A</v>
        <stp/>
        <stp>BDP|4915232484809330059</stp>
        <tr r="H1652" s="2"/>
      </tp>
      <tp t="s">
        <v>#N/A N/A</v>
        <stp/>
        <stp>BDP|4898757164833664171</stp>
        <tr r="S132" s="2"/>
      </tp>
      <tp t="s">
        <v>#N/A N/A</v>
        <stp/>
        <stp>BDP|3727479999548275138</stp>
        <tr r="P67" s="2"/>
      </tp>
      <tp t="s">
        <v>#N/A N/A</v>
        <stp/>
        <stp>BDP|2138764221058665880</stp>
        <tr r="C1614" s="2"/>
      </tp>
      <tp t="s">
        <v>#N/A N/A</v>
        <stp/>
        <stp>BDP|4606186542614720232</stp>
        <tr r="R235" s="2"/>
      </tp>
      <tp t="s">
        <v>#N/A N/A</v>
        <stp/>
        <stp>BDS|8824932942532600076</stp>
        <tr r="I289" s="2"/>
      </tp>
      <tp t="s">
        <v>#N/A N/A</v>
        <stp/>
        <stp>BDP|6333923289751261122</stp>
        <tr r="J1685" s="2"/>
      </tp>
      <tp t="s">
        <v>#N/A N/A</v>
        <stp/>
        <stp>BDP|2210396840404469676</stp>
        <tr r="H814" s="2"/>
      </tp>
      <tp t="s">
        <v>#N/A N/A</v>
        <stp/>
        <stp>BDP|3274292652613192009</stp>
        <tr r="J1134" s="2"/>
      </tp>
      <tp t="s">
        <v>#N/A N/A</v>
        <stp/>
        <stp>BDP|5971784268856597541</stp>
        <tr r="D445" s="2"/>
      </tp>
      <tp t="s">
        <v>#N/A N/A</v>
        <stp/>
        <stp>BDP|6746619608732012568</stp>
        <tr r="M549" s="2"/>
      </tp>
      <tp t="s">
        <v>#N/A N/A</v>
        <stp/>
        <stp>BDP|4078394158192142785</stp>
        <tr r="T1246" s="2"/>
      </tp>
      <tp t="s">
        <v>#N/A N/A</v>
        <stp/>
        <stp>BDP|2648286200135216241</stp>
        <tr r="N1751" s="2"/>
      </tp>
      <tp t="s">
        <v>#N/A N/A</v>
        <stp/>
        <stp>BDP|8177391936688239740</stp>
        <tr r="H509" s="2"/>
      </tp>
      <tp t="s">
        <v>#N/A N/A</v>
        <stp/>
        <stp>BDP|7232524611775147186</stp>
        <tr r="P1088" s="2"/>
      </tp>
      <tp t="s">
        <v>#N/A N/A</v>
        <stp/>
        <stp>BDP|3638526351631959544</stp>
        <tr r="M1555" s="2"/>
      </tp>
      <tp t="s">
        <v>#N/A N/A</v>
        <stp/>
        <stp>BDS|8715218319875269956</stp>
        <tr r="I1470" s="2"/>
      </tp>
      <tp t="s">
        <v>#N/A N/A</v>
        <stp/>
        <stp>BDP|4990031626146338778</stp>
        <tr r="F1481" s="2"/>
      </tp>
      <tp t="s">
        <v>#N/A N/A</v>
        <stp/>
        <stp>BDP|1300027386396950864</stp>
        <tr r="R763" s="2"/>
      </tp>
      <tp t="s">
        <v>#N/A N/A</v>
        <stp/>
        <stp>BDP|2938151758296863742</stp>
        <tr r="J933" s="2"/>
      </tp>
      <tp t="s">
        <v>#N/A N/A</v>
        <stp/>
        <stp>BDP|5321624158275931483</stp>
        <tr r="Q332" s="2"/>
      </tp>
      <tp t="s">
        <v>#N/A N/A</v>
        <stp/>
        <stp>BDP|9055587294160373270</stp>
        <tr r="A970" s="2"/>
      </tp>
      <tp t="s">
        <v>#N/A N/A</v>
        <stp/>
        <stp>BDP|6868108806945738510</stp>
        <tr r="J928" s="2"/>
      </tp>
      <tp t="s">
        <v>#N/A N/A</v>
        <stp/>
        <stp>BDP|6231490216455292179</stp>
        <tr r="G1447" s="2"/>
      </tp>
      <tp t="s">
        <v>#N/A N/A</v>
        <stp/>
        <stp>BDP|8347880265588459923</stp>
        <tr r="C1615" s="2"/>
      </tp>
      <tp t="s">
        <v>#N/A N/A</v>
        <stp/>
        <stp>BDP|5732710514787839320</stp>
        <tr r="N43" s="2"/>
      </tp>
      <tp t="s">
        <v>#N/A N/A</v>
        <stp/>
        <stp>BDP|6393475969682751128</stp>
        <tr r="Q225" s="2"/>
      </tp>
      <tp t="s">
        <v>#N/A N/A</v>
        <stp/>
        <stp>BDP|4728494463623442213</stp>
        <tr r="G884" s="2"/>
      </tp>
      <tp t="s">
        <v>#N/A N/A</v>
        <stp/>
        <stp>BDP|9859147288506896148</stp>
        <tr r="O230" s="2"/>
      </tp>
      <tp t="s">
        <v>#N/A N/A</v>
        <stp/>
        <stp>BDS|5890348875942054418</stp>
        <tr r="I275" s="2"/>
      </tp>
      <tp t="s">
        <v>#N/A N/A</v>
        <stp/>
        <stp>BDP|4265259913437410793</stp>
        <tr r="E479" s="2"/>
      </tp>
      <tp t="s">
        <v>#N/A N/A</v>
        <stp/>
        <stp>BDS|9081902138892192601</stp>
        <tr r="I852" s="2"/>
      </tp>
      <tp t="s">
        <v>#N/A N/A</v>
        <stp/>
        <stp>BDP|8307458768615356840</stp>
        <tr r="C1403" s="2"/>
      </tp>
      <tp t="s">
        <v>#N/A N/A</v>
        <stp/>
        <stp>BDP|1980911208866124988</stp>
        <tr r="O827" s="2"/>
      </tp>
      <tp t="s">
        <v>#N/A N/A</v>
        <stp/>
        <stp>BDP|4821019596662332855</stp>
        <tr r="T1077" s="2"/>
      </tp>
      <tp t="s">
        <v>#N/A N/A</v>
        <stp/>
        <stp>BDP|6317578475965884603</stp>
        <tr r="A895" s="2"/>
      </tp>
      <tp t="s">
        <v>#N/A N/A</v>
        <stp/>
        <stp>BDS|3893123262744547741</stp>
        <tr r="I505" s="2"/>
      </tp>
      <tp t="s">
        <v>#N/A N/A</v>
        <stp/>
        <stp>BDP|2536317070028461998</stp>
        <tr r="G774" s="2"/>
      </tp>
      <tp t="s">
        <v>#N/A N/A</v>
        <stp/>
        <stp>BDP|2265101858196359709</stp>
        <tr r="T1398" s="2"/>
      </tp>
      <tp t="s">
        <v>#N/A N/A</v>
        <stp/>
        <stp>BDP|2534418582088904161</stp>
        <tr r="E170" s="2"/>
      </tp>
      <tp t="s">
        <v>#N/A N/A</v>
        <stp/>
        <stp>BDP|5798501064217309697</stp>
        <tr r="K489" s="2"/>
      </tp>
      <tp t="s">
        <v>#N/A N/A</v>
        <stp/>
        <stp>BDP|7958503240083429249</stp>
        <tr r="F778" s="2"/>
      </tp>
      <tp t="s">
        <v>#N/A N/A</v>
        <stp/>
        <stp>BDP|4594062845480624791</stp>
        <tr r="F1640" s="2"/>
      </tp>
      <tp t="s">
        <v>#N/A N/A</v>
        <stp/>
        <stp>BDP|3714415475696865128</stp>
        <tr r="N619" s="2"/>
      </tp>
      <tp t="s">
        <v>#N/A N/A</v>
        <stp/>
        <stp>BDP|3653468488481540941</stp>
        <tr r="E984" s="2"/>
      </tp>
      <tp t="s">
        <v>#N/A N/A</v>
        <stp/>
        <stp>BDP|7950278614596470573</stp>
        <tr r="K532" s="2"/>
      </tp>
      <tp t="s">
        <v>#N/A N/A</v>
        <stp/>
        <stp>BDP|4923542612257745019</stp>
        <tr r="G1749" s="2"/>
      </tp>
      <tp t="s">
        <v>#N/A N/A</v>
        <stp/>
        <stp>BDP|4664318698141630803</stp>
        <tr r="S702" s="2"/>
      </tp>
      <tp t="s">
        <v>#N/A N/A</v>
        <stp/>
        <stp>BDP|7324762683019871678</stp>
        <tr r="D362" s="2"/>
      </tp>
      <tp t="s">
        <v>#N/A N/A</v>
        <stp/>
        <stp>BDP|7848026545971408524</stp>
        <tr r="F186" s="2"/>
      </tp>
      <tp t="s">
        <v>#N/A N/A</v>
        <stp/>
        <stp>BDP|5347360038394301678</stp>
        <tr r="S1595" s="2"/>
      </tp>
      <tp t="s">
        <v>#N/A N/A</v>
        <stp/>
        <stp>BDP|7431087088990412893</stp>
        <tr r="R488" s="2"/>
      </tp>
      <tp t="s">
        <v>#N/A N/A</v>
        <stp/>
        <stp>BDP|2094094566664556730</stp>
        <tr r="S1704" s="2"/>
      </tp>
      <tp t="s">
        <v>#N/A N/A</v>
        <stp/>
        <stp>BDP|3711532161626981153</stp>
        <tr r="D1570" s="2"/>
      </tp>
      <tp t="s">
        <v>#N/A N/A</v>
        <stp/>
        <stp>BDP|7233298976201776430</stp>
        <tr r="S164" s="2"/>
      </tp>
      <tp t="s">
        <v>#N/A N/A</v>
        <stp/>
        <stp>BDP|6474572608653149739</stp>
        <tr r="J904" s="2"/>
      </tp>
      <tp t="s">
        <v>#N/A N/A</v>
        <stp/>
        <stp>BDP|5509012597852301994</stp>
        <tr r="J352" s="2"/>
      </tp>
      <tp t="s">
        <v>#N/A N/A</v>
        <stp/>
        <stp>BDP|7759206684323884926</stp>
        <tr r="K221" s="2"/>
      </tp>
      <tp t="s">
        <v>#N/A N/A</v>
        <stp/>
        <stp>BDP|6496291930497354778</stp>
        <tr r="G114" s="2"/>
      </tp>
      <tp t="s">
        <v>#N/A N/A</v>
        <stp/>
        <stp>BDP|2400195323785608313</stp>
        <tr r="S1698" s="2"/>
      </tp>
      <tp t="s">
        <v>#N/A N/A</v>
        <stp/>
        <stp>BDP|2892143955329405848</stp>
        <tr r="E1293" s="2"/>
      </tp>
      <tp t="s">
        <v>#N/A N/A</v>
        <stp/>
        <stp>BDP|3856981698465363126</stp>
        <tr r="C212" s="2"/>
      </tp>
      <tp t="s">
        <v>#N/A N/A</v>
        <stp/>
        <stp>BDP|9531768368667642849</stp>
        <tr r="N617" s="2"/>
      </tp>
      <tp t="s">
        <v>#N/A N/A</v>
        <stp/>
        <stp>BDP|7423777351461265397</stp>
        <tr r="G1328" s="2"/>
      </tp>
      <tp t="s">
        <v>#N/A N/A</v>
        <stp/>
        <stp>BDP|4817332110361652046</stp>
        <tr r="R1715" s="2"/>
      </tp>
      <tp t="s">
        <v>#N/A N/A</v>
        <stp/>
        <stp>BDP|2989867727147597844</stp>
        <tr r="G893" s="2"/>
      </tp>
      <tp t="s">
        <v>#N/A N/A</v>
        <stp/>
        <stp>BDP|1963672070436541126</stp>
        <tr r="T709" s="2"/>
      </tp>
      <tp t="s">
        <v>#N/A N/A</v>
        <stp/>
        <stp>BDP|1289609268855683353</stp>
        <tr r="C969" s="2"/>
      </tp>
      <tp t="s">
        <v>#N/A N/A</v>
        <stp/>
        <stp>BDP|2144668375463328788</stp>
        <tr r="A449" s="2"/>
      </tp>
      <tp t="s">
        <v>#N/A N/A</v>
        <stp/>
        <stp>BDP|3887354437910368401</stp>
        <tr r="S228" s="2"/>
      </tp>
      <tp t="s">
        <v>#N/A N/A</v>
        <stp/>
        <stp>BDP|4352152678755212054</stp>
        <tr r="A146" s="2"/>
      </tp>
      <tp t="s">
        <v>#N/A N/A</v>
        <stp/>
        <stp>BDP|2673351241496346483</stp>
        <tr r="R871" s="2"/>
      </tp>
      <tp t="s">
        <v>#N/A N/A</v>
        <stp/>
        <stp>BDP|1680358427353479491</stp>
        <tr r="K302" s="2"/>
      </tp>
      <tp t="s">
        <v>#N/A N/A</v>
        <stp/>
        <stp>BDS|4646721158294089558</stp>
        <tr r="I1423" s="2"/>
      </tp>
      <tp t="s">
        <v>#N/A N/A</v>
        <stp/>
        <stp>BDP|3474679150636896125</stp>
        <tr r="N848" s="2"/>
      </tp>
      <tp t="s">
        <v>#N/A N/A</v>
        <stp/>
        <stp>BDP|9212436959658949782</stp>
        <tr r="N1577" s="2"/>
      </tp>
      <tp t="s">
        <v>#N/A N/A</v>
        <stp/>
        <stp>BDP|5989742410850178452</stp>
        <tr r="R607" s="2"/>
      </tp>
      <tp t="s">
        <v>#N/A N/A</v>
        <stp/>
        <stp>BDP|1737817800776806874</stp>
        <tr r="A1297" s="2"/>
      </tp>
      <tp t="s">
        <v>#N/A N/A</v>
        <stp/>
        <stp>BDP|8322885603023580449</stp>
        <tr r="N1642" s="2"/>
      </tp>
      <tp t="s">
        <v>#N/A N/A</v>
        <stp/>
        <stp>BDP|9006916067990719188</stp>
        <tr r="N1337" s="2"/>
      </tp>
      <tp t="s">
        <v>#N/A N/A</v>
        <stp/>
        <stp>BDP|6345493007517363272</stp>
        <tr r="A295" s="2"/>
      </tp>
      <tp t="s">
        <v>#N/A N/A</v>
        <stp/>
        <stp>BDP|6942946294754604563</stp>
        <tr r="N1590" s="2"/>
      </tp>
      <tp t="s">
        <v>#N/A N/A</v>
        <stp/>
        <stp>BDP|6263439805967986248</stp>
        <tr r="P448" s="2"/>
      </tp>
      <tp t="s">
        <v>#N/A N/A</v>
        <stp/>
        <stp>BDP|8582991228526873222</stp>
        <tr r="J886" s="2"/>
      </tp>
      <tp t="s">
        <v>#N/A N/A</v>
        <stp/>
        <stp>BDP|3919478949036887219</stp>
        <tr r="S1583" s="2"/>
      </tp>
      <tp t="s">
        <v>#N/A N/A</v>
        <stp/>
        <stp>BDP|8504566781644581690</stp>
        <tr r="Q551" s="2"/>
      </tp>
      <tp t="s">
        <v>#N/A N/A</v>
        <stp/>
        <stp>BDP|6767800632013370989</stp>
        <tr r="H734" s="2"/>
      </tp>
      <tp t="s">
        <v>#N/A N/A</v>
        <stp/>
        <stp>BDP|5294181595453936987</stp>
        <tr r="E1154" s="2"/>
      </tp>
      <tp t="s">
        <v>#N/A N/A</v>
        <stp/>
        <stp>BDP|8152702794761997022</stp>
        <tr r="J1699" s="2"/>
      </tp>
      <tp t="s">
        <v>#N/A N/A</v>
        <stp/>
        <stp>BDP|2561723702204943628</stp>
        <tr r="N90" s="2"/>
      </tp>
      <tp t="s">
        <v>#N/A N/A</v>
        <stp/>
        <stp>BDP|5695084337727790609</stp>
        <tr r="E1151" s="2"/>
      </tp>
      <tp t="s">
        <v>#N/A N/A</v>
        <stp/>
        <stp>BDP|1821161793669376708</stp>
        <tr r="P828" s="2"/>
      </tp>
      <tp t="s">
        <v>#N/A N/A</v>
        <stp/>
        <stp>BDP|2339460751280830428</stp>
        <tr r="Q26" s="2"/>
      </tp>
      <tp t="s">
        <v>#N/A N/A</v>
        <stp/>
        <stp>BDP|2240373618822123527</stp>
        <tr r="N309" s="2"/>
      </tp>
      <tp t="s">
        <v>#N/A N/A</v>
        <stp/>
        <stp>BDP|3106645236632597380</stp>
        <tr r="F1307" s="2"/>
      </tp>
      <tp t="s">
        <v>#N/A N/A</v>
        <stp/>
        <stp>BDP|6779939105299671191</stp>
        <tr r="F564" s="2"/>
      </tp>
      <tp t="s">
        <v>#N/A N/A</v>
        <stp/>
        <stp>BDP|6581280876482759623</stp>
        <tr r="R497" s="2"/>
      </tp>
      <tp t="s">
        <v>#N/A N/A</v>
        <stp/>
        <stp>BDP|7342873703599192186</stp>
        <tr r="A1325" s="2"/>
      </tp>
      <tp t="s">
        <v>#N/A N/A</v>
        <stp/>
        <stp>BDP|5573334568182276528</stp>
        <tr r="K105" s="2"/>
      </tp>
      <tp t="s">
        <v>#N/A N/A</v>
        <stp/>
        <stp>BDP|6280175099808502179</stp>
        <tr r="D1212" s="2"/>
      </tp>
      <tp t="s">
        <v>#N/A N/A</v>
        <stp/>
        <stp>BDP|5537094827144428418</stp>
        <tr r="H879" s="2"/>
      </tp>
      <tp t="s">
        <v>#N/A N/A</v>
        <stp/>
        <stp>BDP|2349552449886593248</stp>
        <tr r="M795" s="2"/>
      </tp>
      <tp t="s">
        <v>#N/A N/A</v>
        <stp/>
        <stp>BDP|5779028213690934315</stp>
        <tr r="G1008" s="2"/>
      </tp>
      <tp t="s">
        <v>#N/A N/A</v>
        <stp/>
        <stp>BDP|4684611099908494446</stp>
        <tr r="F1151" s="2"/>
      </tp>
      <tp t="s">
        <v>#N/A N/A</v>
        <stp/>
        <stp>BDP|7870789207670026795</stp>
        <tr r="O1557" s="2"/>
      </tp>
      <tp t="s">
        <v>#N/A N/A</v>
        <stp/>
        <stp>BDP|1465687456997300277</stp>
        <tr r="K210" s="2"/>
      </tp>
      <tp t="s">
        <v>#N/A N/A</v>
        <stp/>
        <stp>BDP|1339011209913323566</stp>
        <tr r="T1617" s="2"/>
      </tp>
      <tp t="s">
        <v>#N/A N/A</v>
        <stp/>
        <stp>BDP|7991901692397453710</stp>
        <tr r="M1601" s="2"/>
      </tp>
      <tp t="s">
        <v>#N/A N/A</v>
        <stp/>
        <stp>BDP|5807570115956359072</stp>
        <tr r="A766" s="2"/>
      </tp>
      <tp t="s">
        <v>#N/A N/A</v>
        <stp/>
        <stp>BDP|7305997191869679936</stp>
        <tr r="E1722" s="2"/>
      </tp>
      <tp t="s">
        <v>#N/A N/A</v>
        <stp/>
        <stp>BDP|8941509911373199876</stp>
        <tr r="R951" s="2"/>
      </tp>
      <tp t="s">
        <v>#N/A N/A</v>
        <stp/>
        <stp>BDP|5008064462485803121</stp>
        <tr r="O1227" s="2"/>
      </tp>
      <tp t="s">
        <v>#N/A N/A</v>
        <stp/>
        <stp>BDP|4105116104011354392</stp>
        <tr r="Q1181" s="2"/>
      </tp>
      <tp t="s">
        <v>#N/A N/A</v>
        <stp/>
        <stp>BDP|1944075641680622274</stp>
        <tr r="H160" s="2"/>
      </tp>
      <tp t="s">
        <v>#N/A N/A</v>
        <stp/>
        <stp>BDS|8565402114793645995</stp>
        <tr r="I935" s="2"/>
      </tp>
      <tp t="s">
        <v>#N/A N/A</v>
        <stp/>
        <stp>BDP|4642688958593119399</stp>
        <tr r="P1550" s="2"/>
      </tp>
      <tp t="s">
        <v>#N/A N/A</v>
        <stp/>
        <stp>BDP|1341919635609189583</stp>
        <tr r="J515" s="2"/>
      </tp>
      <tp t="s">
        <v>#N/A N/A</v>
        <stp/>
        <stp>BDP|5805605690955272848</stp>
        <tr r="E1744" s="2"/>
      </tp>
      <tp t="s">
        <v>#N/A N/A</v>
        <stp/>
        <stp>BDP|6423980309548340080</stp>
        <tr r="C602" s="2"/>
      </tp>
      <tp t="s">
        <v>#N/A N/A</v>
        <stp/>
        <stp>BDP|5999909523271304871</stp>
        <tr r="F1071" s="2"/>
      </tp>
      <tp t="s">
        <v>#N/A N/A</v>
        <stp/>
        <stp>BDP|2521583261623107535</stp>
        <tr r="O1749" s="2"/>
      </tp>
      <tp t="s">
        <v>#N/A N/A</v>
        <stp/>
        <stp>BDP|1753391506734595138</stp>
        <tr r="M307" s="2"/>
      </tp>
      <tp t="s">
        <v>#N/A N/A</v>
        <stp/>
        <stp>BDP|8130690285060204111</stp>
        <tr r="P937" s="2"/>
      </tp>
      <tp t="s">
        <v>#N/A N/A</v>
        <stp/>
        <stp>BDP|3674370759842056068</stp>
        <tr r="O1423" s="2"/>
      </tp>
      <tp t="s">
        <v>#N/A N/A</v>
        <stp/>
        <stp>BDP|5593090649526895037</stp>
        <tr r="C1254" s="2"/>
      </tp>
      <tp t="s">
        <v>#N/A N/A</v>
        <stp/>
        <stp>BDP|7100409120726750089</stp>
        <tr r="C1654" s="2"/>
      </tp>
      <tp t="s">
        <v>#N/A N/A</v>
        <stp/>
        <stp>BDP|1110915970361647981</stp>
        <tr r="C1214" s="2"/>
      </tp>
      <tp t="s">
        <v>#N/A N/A</v>
        <stp/>
        <stp>BDP|2659857540850481990</stp>
        <tr r="R1229" s="2"/>
      </tp>
      <tp t="s">
        <v>#N/A N/A</v>
        <stp/>
        <stp>BDP|1830121612292776415</stp>
        <tr r="N1325" s="2"/>
      </tp>
      <tp t="s">
        <v>#N/A N/A</v>
        <stp/>
        <stp>BDP|2955076471873665178</stp>
        <tr r="T99" s="2"/>
      </tp>
      <tp t="s">
        <v>#N/A N/A</v>
        <stp/>
        <stp>BDP|5477637256690843177</stp>
        <tr r="E21" s="2"/>
      </tp>
      <tp t="s">
        <v>#N/A N/A</v>
        <stp/>
        <stp>BDP|4593254058431194574</stp>
        <tr r="D1034" s="2"/>
      </tp>
      <tp t="s">
        <v>#N/A N/A</v>
        <stp/>
        <stp>BDP|4654381303747104727</stp>
        <tr r="H870" s="2"/>
      </tp>
      <tp t="s">
        <v>#N/A N/A</v>
        <stp/>
        <stp>BDP|6615188317308466938</stp>
        <tr r="G480" s="2"/>
      </tp>
      <tp t="s">
        <v>#N/A N/A</v>
        <stp/>
        <stp>BDP|4521050157553104583</stp>
        <tr r="Q613" s="2"/>
      </tp>
      <tp t="s">
        <v>#N/A N/A</v>
        <stp/>
        <stp>BDP|8202644784684461580</stp>
        <tr r="K252" s="2"/>
      </tp>
      <tp t="s">
        <v>#N/A N/A</v>
        <stp/>
        <stp>BDP|7862213955304255307</stp>
        <tr r="G1537" s="2"/>
      </tp>
      <tp t="s">
        <v>#N/A N/A</v>
        <stp/>
        <stp>BDP|3443814581784374094</stp>
        <tr r="N1720" s="2"/>
      </tp>
      <tp t="s">
        <v>#N/A N/A</v>
        <stp/>
        <stp>BDS|1826472917300625306</stp>
        <tr r="I408" s="2"/>
      </tp>
      <tp t="s">
        <v>#N/A N/A</v>
        <stp/>
        <stp>BDP|5069273900261841114</stp>
        <tr r="G469" s="2"/>
      </tp>
      <tp t="s">
        <v>#N/A N/A</v>
        <stp/>
        <stp>BDP|3313813933016749981</stp>
        <tr r="C157" s="2"/>
      </tp>
      <tp t="s">
        <v>#N/A N/A</v>
        <stp/>
        <stp>BDP|9372422543776842841</stp>
        <tr r="E506" s="2"/>
      </tp>
      <tp t="s">
        <v>#N/A N/A</v>
        <stp/>
        <stp>BDP|9711495592440302317</stp>
        <tr r="K1109" s="2"/>
      </tp>
      <tp t="s">
        <v>#N/A N/A</v>
        <stp/>
        <stp>BDP|5333720103673876645</stp>
        <tr r="R1573" s="2"/>
      </tp>
      <tp t="s">
        <v>#N/A N/A</v>
        <stp/>
        <stp>BDP|5301175601472225195</stp>
        <tr r="O22" s="2"/>
      </tp>
      <tp t="s">
        <v>#N/A N/A</v>
        <stp/>
        <stp>BDP|9770628384168870860</stp>
        <tr r="G390" s="2"/>
      </tp>
      <tp t="s">
        <v>#N/A N/A</v>
        <stp/>
        <stp>BDP|3679603170182996705</stp>
        <tr r="G1498" s="2"/>
      </tp>
      <tp t="s">
        <v>#N/A N/A</v>
        <stp/>
        <stp>BDP|6266789367714492468</stp>
        <tr r="J907" s="2"/>
      </tp>
      <tp t="s">
        <v>#N/A N/A</v>
        <stp/>
        <stp>BDP|2021160901843125791</stp>
        <tr r="J1518" s="2"/>
      </tp>
      <tp t="s">
        <v>#N/A N/A</v>
        <stp/>
        <stp>BDP|5819030900231589312</stp>
        <tr r="R873" s="2"/>
      </tp>
      <tp t="s">
        <v>#N/A N/A</v>
        <stp/>
        <stp>BDP|6974109991009038075</stp>
        <tr r="P1711" s="2"/>
      </tp>
      <tp t="s">
        <v>#N/A N/A</v>
        <stp/>
        <stp>BDP|2887510627717667571</stp>
        <tr r="A1440" s="2"/>
      </tp>
      <tp t="s">
        <v>#N/A N/A</v>
        <stp/>
        <stp>BDP|6653061900591793080</stp>
        <tr r="S1509" s="2"/>
      </tp>
      <tp t="s">
        <v>#N/A N/A</v>
        <stp/>
        <stp>BDP|3926431034956072515</stp>
        <tr r="K1201" s="2"/>
      </tp>
      <tp t="s">
        <v>#N/A N/A</v>
        <stp/>
        <stp>BDP|4245617779837410512</stp>
        <tr r="R324" s="2"/>
      </tp>
      <tp t="s">
        <v>#N/A N/A</v>
        <stp/>
        <stp>BDP|5387990974284877895</stp>
        <tr r="M1746" s="2"/>
      </tp>
      <tp t="s">
        <v>#N/A N/A</v>
        <stp/>
        <stp>BDP|3861307606120206738</stp>
        <tr r="K543" s="2"/>
      </tp>
      <tp t="s">
        <v>#N/A N/A</v>
        <stp/>
        <stp>BDP|1799554839484721433</stp>
        <tr r="H1551" s="2"/>
      </tp>
      <tp t="s">
        <v>#N/A N/A</v>
        <stp/>
        <stp>BDP|4189494438036936267</stp>
        <tr r="A504" s="2"/>
      </tp>
      <tp t="s">
        <v>#N/A N/A</v>
        <stp/>
        <stp>BDP|6269307672915897079</stp>
        <tr r="H1679" s="2"/>
      </tp>
      <tp t="s">
        <v>#N/A N/A</v>
        <stp/>
        <stp>BDP|2278605037269204988</stp>
        <tr r="M1030" s="2"/>
      </tp>
      <tp t="s">
        <v>#N/A N/A</v>
        <stp/>
        <stp>BDS|2931614615043797156</stp>
        <tr r="I383" s="2"/>
      </tp>
      <tp t="s">
        <v>#N/A N/A</v>
        <stp/>
        <stp>BDP|6472524051237927618</stp>
        <tr r="J1718" s="2"/>
      </tp>
      <tp t="s">
        <v>#N/A N/A</v>
        <stp/>
        <stp>BDP|2839864602088285514</stp>
        <tr r="Q11" s="2"/>
      </tp>
      <tp t="s">
        <v>#N/A N/A</v>
        <stp/>
        <stp>BDP|7778954521073416889</stp>
        <tr r="R1544" s="2"/>
      </tp>
      <tp t="s">
        <v>#N/A N/A</v>
        <stp/>
        <stp>BDP|4860417512391383771</stp>
        <tr r="D1202" s="2"/>
      </tp>
      <tp t="s">
        <v>#N/A N/A</v>
        <stp/>
        <stp>BDP|3108618907194010683</stp>
        <tr r="Q1112" s="2"/>
      </tp>
      <tp t="s">
        <v>#N/A N/A</v>
        <stp/>
        <stp>BDP|6963153860534590262</stp>
        <tr r="G535" s="2"/>
      </tp>
      <tp t="s">
        <v>#N/A N/A</v>
        <stp/>
        <stp>BDP|2905501712417161659</stp>
        <tr r="K1288" s="2"/>
      </tp>
      <tp t="s">
        <v>#N/A N/A</v>
        <stp/>
        <stp>BDP|4881132727545731546</stp>
        <tr r="K219" s="2"/>
      </tp>
      <tp t="s">
        <v>#N/A N/A</v>
        <stp/>
        <stp>BDP|4169428704631073685</stp>
        <tr r="N1005" s="2"/>
      </tp>
      <tp t="s">
        <v>#N/A N/A</v>
        <stp/>
        <stp>BDP|5213427434002386783</stp>
        <tr r="R512" s="2"/>
      </tp>
      <tp t="s">
        <v>#N/A N/A</v>
        <stp/>
        <stp>BDP|2689803143649281088</stp>
        <tr r="G1408" s="2"/>
      </tp>
      <tp t="s">
        <v>#N/A N/A</v>
        <stp/>
        <stp>BDP|3636913689242979789</stp>
        <tr r="H95" s="2"/>
      </tp>
      <tp t="s">
        <v>#N/A N/A</v>
        <stp/>
        <stp>BDP|6267988734319778266</stp>
        <tr r="K1320" s="2"/>
      </tp>
      <tp t="s">
        <v>#N/A N/A</v>
        <stp/>
        <stp>BDP|6947320860720159459</stp>
        <tr r="G253" s="2"/>
      </tp>
      <tp t="s">
        <v>#N/A N/A</v>
        <stp/>
        <stp>BDP|8864548383924587650</stp>
        <tr r="N1101" s="2"/>
      </tp>
      <tp t="s">
        <v>#N/A N/A</v>
        <stp/>
        <stp>BDP|5693256926580909235</stp>
        <tr r="R484" s="2"/>
      </tp>
      <tp t="s">
        <v>#N/A N/A</v>
        <stp/>
        <stp>BDP|1384844237174737980</stp>
        <tr r="R946" s="2"/>
      </tp>
      <tp t="s">
        <v>#N/A N/A</v>
        <stp/>
        <stp>BDS|3482364518082461417</stp>
        <tr r="I1595" s="2"/>
      </tp>
      <tp t="s">
        <v>#N/A N/A</v>
        <stp/>
        <stp>BDP|7958159452133315722</stp>
        <tr r="N1464" s="2"/>
      </tp>
      <tp t="s">
        <v>#N/A N/A</v>
        <stp/>
        <stp>BDP|4993028691199249375</stp>
        <tr r="C1350" s="2"/>
      </tp>
      <tp t="s">
        <v>#N/A N/A</v>
        <stp/>
        <stp>BDP|8742884734713269760</stp>
        <tr r="N1652" s="2"/>
      </tp>
      <tp t="s">
        <v>#N/A N/A</v>
        <stp/>
        <stp>BDP|5544739628682332529</stp>
        <tr r="A1710" s="2"/>
      </tp>
      <tp t="s">
        <v>#N/A N/A</v>
        <stp/>
        <stp>BDP|4848750833267321024</stp>
        <tr r="J1375" s="2"/>
      </tp>
      <tp t="s">
        <v>#N/A N/A</v>
        <stp/>
        <stp>BDP|5937915386060160300</stp>
        <tr r="N1152" s="2"/>
      </tp>
      <tp t="s">
        <v>#N/A N/A</v>
        <stp/>
        <stp>BDP|3742459141581987550</stp>
        <tr r="G1015" s="2"/>
      </tp>
      <tp t="s">
        <v>#N/A N/A</v>
        <stp/>
        <stp>BDP|5082870910823095889</stp>
        <tr r="J1020" s="2"/>
      </tp>
      <tp t="s">
        <v>#N/A N/A</v>
        <stp/>
        <stp>BDS|1459928094482838459</stp>
        <tr r="I1055" s="2"/>
      </tp>
      <tp t="s">
        <v>#N/A N/A</v>
        <stp/>
        <stp>BDP|2420617133544064495</stp>
        <tr r="F874" s="2"/>
      </tp>
      <tp t="s">
        <v>#N/A N/A</v>
        <stp/>
        <stp>BDP|6742054985439935014</stp>
        <tr r="J726" s="2"/>
      </tp>
      <tp t="s">
        <v>#N/A N/A</v>
        <stp/>
        <stp>BDP|5469526720320102580</stp>
        <tr r="F172" s="2"/>
      </tp>
      <tp t="s">
        <v>#N/A N/A</v>
        <stp/>
        <stp>BDP|5599404801465228398</stp>
        <tr r="T1655" s="2"/>
      </tp>
      <tp t="s">
        <v>#N/A N/A</v>
        <stp/>
        <stp>BDP|3575713948937778048</stp>
        <tr r="M1212" s="2"/>
      </tp>
      <tp t="s">
        <v>#N/A N/A</v>
        <stp/>
        <stp>BDP|6074976887384875477</stp>
        <tr r="R410" s="2"/>
      </tp>
      <tp t="s">
        <v>#N/A N/A</v>
        <stp/>
        <stp>BDP|5232098685642891891</stp>
        <tr r="P869" s="2"/>
      </tp>
      <tp t="s">
        <v>#N/A N/A</v>
        <stp/>
        <stp>BDS|1675554609657234470</stp>
        <tr r="I975" s="2"/>
      </tp>
      <tp t="s">
        <v>#N/A N/A</v>
        <stp/>
        <stp>BDP|1658183274784039457</stp>
        <tr r="P1707" s="2"/>
      </tp>
      <tp t="s">
        <v>#N/A N/A</v>
        <stp/>
        <stp>BDP|1245855760149930117</stp>
        <tr r="E707" s="2"/>
      </tp>
      <tp t="s">
        <v>#N/A N/A</v>
        <stp/>
        <stp>BDP|7176496394469345405</stp>
        <tr r="N273" s="2"/>
      </tp>
      <tp t="s">
        <v>#N/A N/A</v>
        <stp/>
        <stp>BDP|8402234259679569140</stp>
        <tr r="J1618" s="2"/>
      </tp>
      <tp t="s">
        <v>#N/A N/A</v>
        <stp/>
        <stp>BDS|7957716903645135251</stp>
        <tr r="I1246" s="2"/>
      </tp>
      <tp t="s">
        <v>#N/A N/A</v>
        <stp/>
        <stp>BDP|2501582906218731837</stp>
        <tr r="N742" s="2"/>
      </tp>
      <tp t="s">
        <v>#N/A N/A</v>
        <stp/>
        <stp>BDP|6607679996756033889</stp>
        <tr r="K1079" s="2"/>
      </tp>
      <tp t="s">
        <v>#N/A N/A</v>
        <stp/>
        <stp>BDP|3566517938742758044</stp>
        <tr r="R1451" s="2"/>
      </tp>
      <tp t="s">
        <v>#N/A N/A</v>
        <stp/>
        <stp>BDS|6375100905901130189</stp>
        <tr r="I667" s="2"/>
      </tp>
      <tp t="s">
        <v>#N/A N/A</v>
        <stp/>
        <stp>BDP|7891408977827881486</stp>
        <tr r="S958" s="2"/>
      </tp>
      <tp t="s">
        <v>#N/A N/A</v>
        <stp/>
        <stp>BDP|7951265635613606230</stp>
        <tr r="G1674" s="2"/>
      </tp>
      <tp t="s">
        <v>#N/A N/A</v>
        <stp/>
        <stp>BDP|8724824342237044486</stp>
        <tr r="M1374" s="2"/>
      </tp>
      <tp t="s">
        <v>#N/A N/A</v>
        <stp/>
        <stp>BDP|5032298846606084203</stp>
        <tr r="N499" s="2"/>
      </tp>
      <tp t="s">
        <v>#N/A N/A</v>
        <stp/>
        <stp>BDP|2579413806851740091</stp>
        <tr r="T1425" s="2"/>
      </tp>
      <tp t="s">
        <v>#N/A N/A</v>
        <stp/>
        <stp>BDP|7384319105947924423</stp>
        <tr r="M1297" s="2"/>
      </tp>
      <tp t="s">
        <v>#N/A N/A</v>
        <stp/>
        <stp>BDP|2779741512925479691</stp>
        <tr r="J1117" s="2"/>
      </tp>
      <tp t="s">
        <v>#N/A N/A</v>
        <stp/>
        <stp>BDP|5273309659913285756</stp>
        <tr r="T830" s="2"/>
      </tp>
      <tp t="s">
        <v>#N/A N/A</v>
        <stp/>
        <stp>BDP|4797587784876482836</stp>
        <tr r="S610" s="2"/>
      </tp>
      <tp t="s">
        <v>#N/A N/A</v>
        <stp/>
        <stp>BDP|4897967542118811686</stp>
        <tr r="N1748" s="2"/>
      </tp>
      <tp t="s">
        <v>#N/A N/A</v>
        <stp/>
        <stp>BDP|9293566120610889909</stp>
        <tr r="N560" s="2"/>
      </tp>
      <tp t="s">
        <v>#N/A N/A</v>
        <stp/>
        <stp>BDP|1744261322107796186</stp>
        <tr r="N804" s="2"/>
      </tp>
      <tp t="s">
        <v>#N/A N/A</v>
        <stp/>
        <stp>BDS|3827791054870842617</stp>
        <tr r="I1173" s="2"/>
      </tp>
      <tp t="s">
        <v>#N/A N/A</v>
        <stp/>
        <stp>BDP|5348039202527940577</stp>
        <tr r="S612" s="2"/>
      </tp>
      <tp t="s">
        <v>#N/A N/A</v>
        <stp/>
        <stp>BDP|3750326563791997036</stp>
        <tr r="C1046" s="2"/>
      </tp>
      <tp t="s">
        <v>#N/A N/A</v>
        <stp/>
        <stp>BDP|3453730733435035588</stp>
        <tr r="E183" s="2"/>
      </tp>
      <tp t="s">
        <v>#N/A N/A</v>
        <stp/>
        <stp>BDP|7224350112435954709</stp>
        <tr r="H1363" s="2"/>
      </tp>
      <tp t="s">
        <v>#N/A N/A</v>
        <stp/>
        <stp>BDP|6937648170123310326</stp>
        <tr r="J985" s="2"/>
      </tp>
      <tp t="s">
        <v>#N/A N/A</v>
        <stp/>
        <stp>BDP|2855187245171196187</stp>
        <tr r="K51" s="2"/>
      </tp>
      <tp t="s">
        <v>#N/A N/A</v>
        <stp/>
        <stp>BDP|9941313829759455698</stp>
        <tr r="S1751" s="2"/>
      </tp>
      <tp t="s">
        <v>#N/A N/A</v>
        <stp/>
        <stp>BDP|2925215102764698304</stp>
        <tr r="P78" s="2"/>
      </tp>
      <tp t="s">
        <v>#N/A N/A</v>
        <stp/>
        <stp>BDS|8582992945084567603</stp>
        <tr r="I420" s="2"/>
      </tp>
      <tp t="s">
        <v>#N/A N/A</v>
        <stp/>
        <stp>BDP|9218586873264794820</stp>
        <tr r="N1754" s="2"/>
      </tp>
      <tp t="s">
        <v>#N/A N/A</v>
        <stp/>
        <stp>BDP|6530171008223077368</stp>
        <tr r="R257" s="2"/>
      </tp>
      <tp t="s">
        <v>#N/A N/A</v>
        <stp/>
        <stp>BDP|3650636131423005288</stp>
        <tr r="N1211" s="2"/>
      </tp>
      <tp t="s">
        <v>#N/A N/A</v>
        <stp/>
        <stp>BDP|7530537577873813152</stp>
        <tr r="M105" s="2"/>
      </tp>
      <tp t="s">
        <v>#N/A N/A</v>
        <stp/>
        <stp>BDP|6087445967042628190</stp>
        <tr r="F1445" s="2"/>
      </tp>
      <tp t="s">
        <v>#N/A N/A</v>
        <stp/>
        <stp>BDP|4745412279997636753</stp>
        <tr r="S155" s="2"/>
      </tp>
      <tp t="s">
        <v>#N/A N/A</v>
        <stp/>
        <stp>BDP|1703648854051317486</stp>
        <tr r="J1594" s="2"/>
      </tp>
      <tp t="s">
        <v>#N/A N/A</v>
        <stp/>
        <stp>BDP|5545506305452499580</stp>
        <tr r="E1623" s="2"/>
      </tp>
      <tp t="s">
        <v>#N/A N/A</v>
        <stp/>
        <stp>BDP|3574510448997163216</stp>
        <tr r="N1320" s="2"/>
      </tp>
      <tp t="s">
        <v>#N/A N/A</v>
        <stp/>
        <stp>BDP|4646088363132481754</stp>
        <tr r="E111" s="2"/>
      </tp>
      <tp t="s">
        <v>#N/A N/A</v>
        <stp/>
        <stp>BDP|7033287644223646563</stp>
        <tr r="E217" s="2"/>
      </tp>
      <tp t="s">
        <v>#N/A N/A</v>
        <stp/>
        <stp>BDP|9909397488083548612</stp>
        <tr r="F1734" s="2"/>
      </tp>
      <tp t="s">
        <v>#N/A N/A</v>
        <stp/>
        <stp>BDP|8888159782525752340</stp>
        <tr r="H1287" s="2"/>
      </tp>
      <tp t="s">
        <v>#N/A N/A</v>
        <stp/>
        <stp>BDP|9730890454253309050</stp>
        <tr r="H699" s="2"/>
      </tp>
      <tp t="s">
        <v>#N/A N/A</v>
        <stp/>
        <stp>BDP|1576053438304734134</stp>
        <tr r="R1445" s="2"/>
      </tp>
      <tp t="s">
        <v>#N/A N/A</v>
        <stp/>
        <stp>BDS|1129114770064444481</stp>
        <tr r="I1530" s="2"/>
      </tp>
      <tp t="s">
        <v>#N/A N/A</v>
        <stp/>
        <stp>BDP|9146297987975086132</stp>
        <tr r="C1577" s="2"/>
      </tp>
      <tp t="s">
        <v>#N/A N/A</v>
        <stp/>
        <stp>BDP|7331485977023900095</stp>
        <tr r="H1430" s="2"/>
      </tp>
      <tp t="s">
        <v>#N/A N/A</v>
        <stp/>
        <stp>BDP|1666190338100312484</stp>
        <tr r="E936" s="2"/>
      </tp>
      <tp t="s">
        <v>#N/A N/A</v>
        <stp/>
        <stp>BDP|4840278719508896822</stp>
        <tr r="N1708" s="2"/>
      </tp>
      <tp t="s">
        <v>#N/A N/A</v>
        <stp/>
        <stp>BDP|5330145042122823517</stp>
        <tr r="K444" s="2"/>
      </tp>
      <tp t="s">
        <v>#N/A N/A</v>
        <stp/>
        <stp>BDP|7847641245063002157</stp>
        <tr r="C687" s="2"/>
      </tp>
      <tp t="s">
        <v>#N/A N/A</v>
        <stp/>
        <stp>BDP|4336381360914408239</stp>
        <tr r="D1069" s="2"/>
      </tp>
      <tp t="s">
        <v>#N/A N/A</v>
        <stp/>
        <stp>BDP|1049464152136072184</stp>
        <tr r="G614" s="2"/>
      </tp>
      <tp t="s">
        <v>#N/A N/A</v>
        <stp/>
        <stp>BDP|2211892741761670806</stp>
        <tr r="S759" s="2"/>
      </tp>
      <tp t="s">
        <v>#N/A N/A</v>
        <stp/>
        <stp>BDP|2044772220486953622</stp>
        <tr r="F1542" s="2"/>
      </tp>
      <tp t="s">
        <v>#N/A N/A</v>
        <stp/>
        <stp>BDP|6800389016905200684</stp>
        <tr r="R189" s="2"/>
      </tp>
      <tp t="s">
        <v>#N/A N/A</v>
        <stp/>
        <stp>BDP|3434207295766528985</stp>
        <tr r="E1717" s="2"/>
      </tp>
      <tp t="s">
        <v>#N/A N/A</v>
        <stp/>
        <stp>BDP|9143109063861963874</stp>
        <tr r="S1408" s="2"/>
      </tp>
      <tp t="s">
        <v>#N/A N/A</v>
        <stp/>
        <stp>BDP|9462435101232872821</stp>
        <tr r="T1191" s="2"/>
      </tp>
      <tp t="s">
        <v>#N/A N/A</v>
        <stp/>
        <stp>BDS|4748057035539369984</stp>
        <tr r="I767" s="2"/>
      </tp>
      <tp t="s">
        <v>#N/A N/A</v>
        <stp/>
        <stp>BDP|3505022350486228792</stp>
        <tr r="E40" s="2"/>
      </tp>
      <tp t="s">
        <v>#N/A N/A</v>
        <stp/>
        <stp>BDP|6962618516047285100</stp>
        <tr r="P344" s="2"/>
      </tp>
      <tp t="s">
        <v>#N/A N/A</v>
        <stp/>
        <stp>BDP|5949234504251379113</stp>
        <tr r="Q413" s="2"/>
      </tp>
      <tp t="s">
        <v>#N/A N/A</v>
        <stp/>
        <stp>BDP|9984675044615697904</stp>
        <tr r="R1407" s="2"/>
      </tp>
      <tp t="s">
        <v>#N/A N/A</v>
        <stp/>
        <stp>BDP|3091195531290469611</stp>
        <tr r="J1458" s="2"/>
      </tp>
      <tp t="s">
        <v>#N/A N/A</v>
        <stp/>
        <stp>BDP|3283690052004597318</stp>
        <tr r="T808" s="2"/>
      </tp>
      <tp t="s">
        <v>#N/A N/A</v>
        <stp/>
        <stp>BDP|6085190131383339061</stp>
        <tr r="Q1676" s="2"/>
      </tp>
      <tp t="s">
        <v>#N/A N/A</v>
        <stp/>
        <stp>BDP|2352810986941169483</stp>
        <tr r="F2" s="2"/>
      </tp>
      <tp t="s">
        <v>#N/A N/A</v>
        <stp/>
        <stp>BDP|8518568407189814310</stp>
        <tr r="D1199" s="2"/>
      </tp>
      <tp t="s">
        <v>#N/A N/A</v>
        <stp/>
        <stp>BDP|6305183216039584853</stp>
        <tr r="T1415" s="2"/>
      </tp>
      <tp t="s">
        <v>#N/A N/A</v>
        <stp/>
        <stp>BDP|8625863058844438612</stp>
        <tr r="S37" s="2"/>
      </tp>
      <tp t="s">
        <v>#N/A N/A</v>
        <stp/>
        <stp>BDP|5338582936262200628</stp>
        <tr r="E1632" s="2"/>
      </tp>
      <tp t="s">
        <v>#N/A N/A</v>
        <stp/>
        <stp>BDP|5682080084922083872</stp>
        <tr r="H412" s="2"/>
      </tp>
      <tp t="s">
        <v>#N/A N/A</v>
        <stp/>
        <stp>BDP|3257275865465884557</stp>
        <tr r="P1459" s="2"/>
      </tp>
      <tp t="s">
        <v>#N/A N/A</v>
        <stp/>
        <stp>BDP|2969073483049676469</stp>
        <tr r="S838" s="2"/>
      </tp>
      <tp t="s">
        <v>#N/A N/A</v>
        <stp/>
        <stp>BDP|6122727003190974648</stp>
        <tr r="A1260" s="2"/>
      </tp>
      <tp t="s">
        <v>#N/A N/A</v>
        <stp/>
        <stp>BDP|1078787628013526089</stp>
        <tr r="D1745" s="2"/>
      </tp>
      <tp t="s">
        <v>#N/A N/A</v>
        <stp/>
        <stp>BDP|3778488666231016747</stp>
        <tr r="E36" s="2"/>
      </tp>
      <tp t="s">
        <v>#N/A N/A</v>
        <stp/>
        <stp>BDP|4518312856456983365</stp>
        <tr r="G554" s="2"/>
      </tp>
      <tp t="s">
        <v>#N/A N/A</v>
        <stp/>
        <stp>BDP|5816659075104031750</stp>
        <tr r="M1316" s="2"/>
      </tp>
      <tp t="s">
        <v>#N/A N/A</v>
        <stp/>
        <stp>BDP|9079847334522888757</stp>
        <tr r="Q321" s="2"/>
      </tp>
      <tp t="s">
        <v>#N/A N/A</v>
        <stp/>
        <stp>BDP|2542668716516827401</stp>
        <tr r="S432" s="2"/>
      </tp>
      <tp t="s">
        <v>#N/A N/A</v>
        <stp/>
        <stp>BDP|3369423347954815037</stp>
        <tr r="K1086" s="2"/>
      </tp>
      <tp t="s">
        <v>#N/A N/A</v>
        <stp/>
        <stp>BDP|5100539210542752484</stp>
        <tr r="K1613" s="2"/>
      </tp>
      <tp t="s">
        <v>#N/A N/A</v>
        <stp/>
        <stp>BDS|5466316835294552689</stp>
        <tr r="I1579" s="2"/>
      </tp>
      <tp t="s">
        <v>#N/A N/A</v>
        <stp/>
        <stp>BDP|4716729661543824112</stp>
        <tr r="Q1279" s="2"/>
      </tp>
      <tp t="s">
        <v>#N/A N/A</v>
        <stp/>
        <stp>BDP|5573420794399892660</stp>
        <tr r="N1532" s="2"/>
      </tp>
      <tp t="s">
        <v>#N/A N/A</v>
        <stp/>
        <stp>BDP|6567977725398396296</stp>
        <tr r="J1464" s="2"/>
      </tp>
      <tp t="s">
        <v>#N/A N/A</v>
        <stp/>
        <stp>BDP|4034206647012991730</stp>
        <tr r="D1161" s="2"/>
      </tp>
      <tp t="s">
        <v>#N/A N/A</v>
        <stp/>
        <stp>BDP|2754188477117699439</stp>
        <tr r="C1585" s="2"/>
      </tp>
      <tp t="s">
        <v>#N/A N/A</v>
        <stp/>
        <stp>BDP|7299192626115215627</stp>
        <tr r="N810" s="2"/>
      </tp>
      <tp t="s">
        <v>#N/A N/A</v>
        <stp/>
        <stp>BDP|1839968616138338666</stp>
        <tr r="P187" s="2"/>
      </tp>
      <tp t="s">
        <v>#N/A N/A</v>
        <stp/>
        <stp>BDP|9841703040974563907</stp>
        <tr r="H1272" s="2"/>
      </tp>
      <tp t="s">
        <v>#N/A N/A</v>
        <stp/>
        <stp>BDP|8486687566027676817</stp>
        <tr r="O76" s="2"/>
      </tp>
      <tp t="s">
        <v>#N/A N/A</v>
        <stp/>
        <stp>BDP|4594391827385345750</stp>
        <tr r="C762" s="2"/>
      </tp>
      <tp t="s">
        <v>#N/A N/A</v>
        <stp/>
        <stp>BDP|3712984317378316469</stp>
        <tr r="M1502" s="2"/>
      </tp>
      <tp t="s">
        <v>#N/A N/A</v>
        <stp/>
        <stp>BDP|9675294718054903932</stp>
        <tr r="O231" s="2"/>
      </tp>
      <tp t="s">
        <v>#N/A N/A</v>
        <stp/>
        <stp>BDP|8790825960490985111</stp>
        <tr r="D507" s="2"/>
      </tp>
      <tp t="s">
        <v>#N/A N/A</v>
        <stp/>
        <stp>BDP|2763000259164130425</stp>
        <tr r="D1501" s="2"/>
      </tp>
      <tp t="s">
        <v>#N/A N/A</v>
        <stp/>
        <stp>BDP|4648137115207974447</stp>
        <tr r="N1081" s="2"/>
      </tp>
      <tp t="s">
        <v>#N/A N/A</v>
        <stp/>
        <stp>BDP|1270271339653768467</stp>
        <tr r="G225" s="2"/>
      </tp>
      <tp t="s">
        <v>#N/A N/A</v>
        <stp/>
        <stp>BDP|7870644303027429160</stp>
        <tr r="A109" s="2"/>
      </tp>
      <tp t="s">
        <v>#N/A N/A</v>
        <stp/>
        <stp>BDP|6737504378037022425</stp>
        <tr r="S1417" s="2"/>
      </tp>
      <tp t="s">
        <v>#N/A N/A</v>
        <stp/>
        <stp>BDP|9120978045965940677</stp>
        <tr r="T1371" s="2"/>
      </tp>
      <tp t="s">
        <v>#N/A N/A</v>
        <stp/>
        <stp>BDP|6411394837069037876</stp>
        <tr r="T597" s="2"/>
      </tp>
      <tp t="s">
        <v>#N/A N/A</v>
        <stp/>
        <stp>BDP|1134136754910397286</stp>
        <tr r="Q1162" s="2"/>
      </tp>
      <tp t="s">
        <v>#N/A N/A</v>
        <stp/>
        <stp>BDP|8705396997412668727</stp>
        <tr r="A191" s="2"/>
      </tp>
      <tp t="s">
        <v>#N/A N/A</v>
        <stp/>
        <stp>BDP|8952921329837782387</stp>
        <tr r="P1590" s="2"/>
      </tp>
      <tp t="s">
        <v>#N/A N/A</v>
        <stp/>
        <stp>BDP|1035575036679960955</stp>
        <tr r="K552" s="2"/>
      </tp>
      <tp t="s">
        <v>#N/A N/A</v>
        <stp/>
        <stp>BDP|7819620485696756851</stp>
        <tr r="P1622" s="2"/>
      </tp>
      <tp t="s">
        <v>#N/A N/A</v>
        <stp/>
        <stp>BDP|6277340941026362092</stp>
        <tr r="K736" s="2"/>
      </tp>
      <tp t="s">
        <v>#N/A N/A</v>
        <stp/>
        <stp>BDP|6564502649444418452</stp>
        <tr r="K1178" s="2"/>
      </tp>
      <tp t="s">
        <v>#N/A N/A</v>
        <stp/>
        <stp>BDP|7069005631366953556</stp>
        <tr r="O953" s="2"/>
      </tp>
      <tp t="s">
        <v>#N/A N/A</v>
        <stp/>
        <stp>BDP|4682088371387472367</stp>
        <tr r="N1436" s="2"/>
      </tp>
      <tp t="s">
        <v>#N/A N/A</v>
        <stp/>
        <stp>BDP|9921961874693455322</stp>
        <tr r="J660" s="2"/>
      </tp>
      <tp t="s">
        <v>#N/A N/A</v>
        <stp/>
        <stp>BDP|6934115918140918144</stp>
        <tr r="D273" s="2"/>
      </tp>
      <tp t="s">
        <v>#N/A N/A</v>
        <stp/>
        <stp>BDP|1282389318316802270</stp>
        <tr r="E512" s="2"/>
      </tp>
      <tp t="s">
        <v>#N/A N/A</v>
        <stp/>
        <stp>BDP|2336212239556073261</stp>
        <tr r="G660" s="2"/>
      </tp>
      <tp t="s">
        <v>#N/A N/A</v>
        <stp/>
        <stp>BDP|2726589454485589035</stp>
        <tr r="S1244" s="2"/>
      </tp>
      <tp t="s">
        <v>#N/A N/A</v>
        <stp/>
        <stp>BDP|8982421783220504309</stp>
        <tr r="Q1118" s="2"/>
      </tp>
      <tp t="s">
        <v>#N/A N/A</v>
        <stp/>
        <stp>BDP|5593378589790449927</stp>
        <tr r="S1446" s="2"/>
      </tp>
      <tp t="s">
        <v>#N/A N/A</v>
        <stp/>
        <stp>BDP|2206683343166764131</stp>
        <tr r="D1185" s="2"/>
      </tp>
      <tp t="s">
        <v>#N/A N/A</v>
        <stp/>
        <stp>BDP|5332954578389768547</stp>
        <tr r="C1222" s="2"/>
      </tp>
      <tp t="s">
        <v>#N/A N/A</v>
        <stp/>
        <stp>BDP|1896698559494384168</stp>
        <tr r="R1480" s="2"/>
      </tp>
      <tp t="s">
        <v>#N/A N/A</v>
        <stp/>
        <stp>BDP|4422715048382281229</stp>
        <tr r="D1636" s="2"/>
      </tp>
      <tp t="s">
        <v>#N/A N/A</v>
        <stp/>
        <stp>BDS|7256090503956623639</stp>
        <tr r="I1674" s="2"/>
      </tp>
      <tp t="s">
        <v>#N/A N/A</v>
        <stp/>
        <stp>BDP|6331150473663880409</stp>
        <tr r="J1032" s="2"/>
      </tp>
      <tp t="s">
        <v>#N/A N/A</v>
        <stp/>
        <stp>BDP|1277460057127839061</stp>
        <tr r="M435" s="2"/>
      </tp>
      <tp t="s">
        <v>#N/A N/A</v>
        <stp/>
        <stp>BDP|7423325528683442271</stp>
        <tr r="Q721" s="2"/>
      </tp>
      <tp t="s">
        <v>#N/A N/A</v>
        <stp/>
        <stp>BDP|7045546978315947781</stp>
        <tr r="T530" s="2"/>
      </tp>
      <tp t="s">
        <v>#N/A N/A</v>
        <stp/>
        <stp>BDP|6217498786134688964</stp>
        <tr r="G1578" s="2"/>
      </tp>
      <tp t="s">
        <v>#N/A N/A</v>
        <stp/>
        <stp>BDP|6703888457919422514</stp>
        <tr r="S1219" s="2"/>
      </tp>
      <tp t="s">
        <v>#N/A N/A</v>
        <stp/>
        <stp>BDP|6138755123445838126</stp>
        <tr r="T219" s="2"/>
      </tp>
      <tp t="s">
        <v>#N/A N/A</v>
        <stp/>
        <stp>BDP|7033809246625991922</stp>
        <tr r="Q349" s="2"/>
      </tp>
      <tp t="s">
        <v>#N/A N/A</v>
        <stp/>
        <stp>BDP|3764342852434933654</stp>
        <tr r="O300" s="2"/>
      </tp>
      <tp t="s">
        <v>#N/A N/A</v>
        <stp/>
        <stp>BDP|9698480245966642803</stp>
        <tr r="N1208" s="2"/>
      </tp>
      <tp t="s">
        <v>#N/A N/A</v>
        <stp/>
        <stp>BDP|7339458433883811404</stp>
        <tr r="K1630" s="2"/>
      </tp>
      <tp t="s">
        <v>#N/A N/A</v>
        <stp/>
        <stp>BDP|4011084620112641336</stp>
        <tr r="K1066" s="2"/>
      </tp>
      <tp t="s">
        <v>#N/A N/A</v>
        <stp/>
        <stp>BDP|3053771572763003785</stp>
        <tr r="N755" s="2"/>
      </tp>
      <tp t="s">
        <v>#N/A N/A</v>
        <stp/>
        <stp>BDP|4795947965914388877</stp>
        <tr r="K109" s="2"/>
      </tp>
      <tp t="s">
        <v>#N/A N/A</v>
        <stp/>
        <stp>BDS|6296753116192529562</stp>
        <tr r="I1331" s="2"/>
      </tp>
      <tp t="s">
        <v>#N/A N/A</v>
        <stp/>
        <stp>BDP|6441207609283793080</stp>
        <tr r="F1426" s="2"/>
      </tp>
      <tp t="s">
        <v>#N/A N/A</v>
        <stp/>
        <stp>BDP|6461519342347423715</stp>
        <tr r="G354" s="2"/>
      </tp>
      <tp t="s">
        <v>#N/A N/A</v>
        <stp/>
        <stp>BDP|8325708744124736823</stp>
        <tr r="A8" s="2"/>
      </tp>
      <tp t="s">
        <v>#N/A N/A</v>
        <stp/>
        <stp>BDS|6114899183123065297</stp>
        <tr r="I457" s="2"/>
      </tp>
      <tp t="s">
        <v>#N/A N/A</v>
        <stp/>
        <stp>BDP|7047939829779904211</stp>
        <tr r="D1603" s="2"/>
      </tp>
      <tp t="s">
        <v>#N/A N/A</v>
        <stp/>
        <stp>BDP|1064865594410889784</stp>
        <tr r="Q1432" s="2"/>
      </tp>
      <tp t="s">
        <v>#N/A N/A</v>
        <stp/>
        <stp>BDP|1369803093527132038</stp>
        <tr r="N1132" s="2"/>
      </tp>
      <tp t="s">
        <v>#N/A N/A</v>
        <stp/>
        <stp>BDP|9886228023568989626</stp>
        <tr r="H541" s="2"/>
      </tp>
      <tp t="s">
        <v>#N/A N/A</v>
        <stp/>
        <stp>BDS|9580414721440255854</stp>
        <tr r="I191" s="2"/>
      </tp>
      <tp t="s">
        <v>#N/A N/A</v>
        <stp/>
        <stp>BDP|1378321053604537459</stp>
        <tr r="N879" s="2"/>
      </tp>
      <tp t="s">
        <v>#N/A N/A</v>
        <stp/>
        <stp>BDP|7210148934112757077</stp>
        <tr r="G634" s="2"/>
      </tp>
      <tp t="s">
        <v>#N/A N/A</v>
        <stp/>
        <stp>BDP|2318710421804155406</stp>
        <tr r="P900" s="2"/>
      </tp>
      <tp t="s">
        <v>#N/A N/A</v>
        <stp/>
        <stp>BDP|9918355284883352694</stp>
        <tr r="R1172" s="2"/>
      </tp>
      <tp t="s">
        <v>#N/A N/A</v>
        <stp/>
        <stp>BDP|4616350104725621538</stp>
        <tr r="T1058" s="2"/>
      </tp>
      <tp t="s">
        <v>#N/A N/A</v>
        <stp/>
        <stp>BDP|2183606050076123020</stp>
        <tr r="K116" s="2"/>
      </tp>
      <tp t="s">
        <v>#N/A N/A</v>
        <stp/>
        <stp>BDP|2867468157695968122</stp>
        <tr r="T1146" s="2"/>
      </tp>
      <tp t="s">
        <v>#N/A N/A</v>
        <stp/>
        <stp>BDP|8436377521576999894</stp>
        <tr r="D1368" s="2"/>
      </tp>
      <tp t="s">
        <v>#N/A N/A</v>
        <stp/>
        <stp>BDP|7774307536164358408</stp>
        <tr r="P103" s="2"/>
      </tp>
      <tp t="s">
        <v>#N/A N/A</v>
        <stp/>
        <stp>BDP|2295001642497792659</stp>
        <tr r="T135" s="2"/>
      </tp>
      <tp t="s">
        <v>#N/A N/A</v>
        <stp/>
        <stp>BDP|9057258922449122747</stp>
        <tr r="D304" s="2"/>
      </tp>
      <tp t="s">
        <v>#N/A N/A</v>
        <stp/>
        <stp>BDP|1075598160046949324</stp>
        <tr r="N77" s="2"/>
      </tp>
      <tp t="s">
        <v>#N/A N/A</v>
        <stp/>
        <stp>BDP|5399467734227117222</stp>
        <tr r="J250" s="2"/>
      </tp>
      <tp t="s">
        <v>#N/A N/A</v>
        <stp/>
        <stp>BDP|3165242576159181803</stp>
        <tr r="S1073" s="2"/>
      </tp>
      <tp t="s">
        <v>#N/A N/A</v>
        <stp/>
        <stp>BDP|3763671343435452358</stp>
        <tr r="N396" s="2"/>
      </tp>
      <tp t="s">
        <v>#N/A N/A</v>
        <stp/>
        <stp>BDP|4149942246069795761</stp>
        <tr r="O802" s="2"/>
      </tp>
      <tp t="s">
        <v>#N/A N/A</v>
        <stp/>
        <stp>BDP|6566921754725945885</stp>
        <tr r="H1620" s="2"/>
      </tp>
      <tp t="s">
        <v>#N/A N/A</v>
        <stp/>
        <stp>BDP|2213092739605164312</stp>
        <tr r="Q634" s="2"/>
      </tp>
      <tp t="s">
        <v>#N/A N/A</v>
        <stp/>
        <stp>BDP|6441457569176273584</stp>
        <tr r="M1328" s="2"/>
      </tp>
      <tp t="s">
        <v>#N/A N/A</v>
        <stp/>
        <stp>BDP|7746138055820738446</stp>
        <tr r="C1721" s="2"/>
      </tp>
      <tp t="s">
        <v>#N/A N/A</v>
        <stp/>
        <stp>BDP|5532786673460876246</stp>
        <tr r="P603" s="2"/>
      </tp>
      <tp t="s">
        <v>#N/A N/A</v>
        <stp/>
        <stp>BDP|3844681431722631351</stp>
        <tr r="D67" s="2"/>
      </tp>
      <tp t="s">
        <v>#N/A N/A</v>
        <stp/>
        <stp>BDP|3566449651281355418</stp>
        <tr r="D180" s="2"/>
      </tp>
      <tp t="s">
        <v>#N/A N/A</v>
        <stp/>
        <stp>BDS|6764812886313120236</stp>
        <tr r="I119" s="2"/>
      </tp>
      <tp t="s">
        <v>#N/A N/A</v>
        <stp/>
        <stp>BDP|1097858925039145535</stp>
        <tr r="K1465" s="2"/>
      </tp>
      <tp t="s">
        <v>#N/A N/A</v>
        <stp/>
        <stp>BDP|9773660449239201586</stp>
        <tr r="G777" s="2"/>
      </tp>
      <tp t="s">
        <v>#N/A N/A</v>
        <stp/>
        <stp>BDS|2369003840744710563</stp>
        <tr r="I107" s="2"/>
      </tp>
      <tp t="s">
        <v>#N/A N/A</v>
        <stp/>
        <stp>BDP|7150386264753946663</stp>
        <tr r="S1378" s="2"/>
      </tp>
      <tp t="s">
        <v>#N/A N/A</v>
        <stp/>
        <stp>BDP|9000022981523578543</stp>
        <tr r="N1513" s="2"/>
      </tp>
      <tp t="s">
        <v>#N/A N/A</v>
        <stp/>
        <stp>BDP|2510175245696733622</stp>
        <tr r="C974" s="2"/>
      </tp>
      <tp t="s">
        <v>#N/A N/A</v>
        <stp/>
        <stp>BDP|4698561851887303403</stp>
        <tr r="P97" s="2"/>
      </tp>
      <tp t="s">
        <v>#N/A N/A</v>
        <stp/>
        <stp>BDP|1435601518676652783</stp>
        <tr r="E143" s="2"/>
      </tp>
      <tp t="s">
        <v>#N/A N/A</v>
        <stp/>
        <stp>BDP|8297068494932281402</stp>
        <tr r="G610" s="2"/>
      </tp>
      <tp t="s">
        <v>#N/A N/A</v>
        <stp/>
        <stp>BDP|2618477866236777126</stp>
        <tr r="D667" s="2"/>
      </tp>
      <tp t="s">
        <v>#N/A N/A</v>
        <stp/>
        <stp>BDP|7547133554303717770</stp>
        <tr r="P1737" s="2"/>
      </tp>
      <tp t="s">
        <v>#N/A N/A</v>
        <stp/>
        <stp>BDP|8703051400138336736</stp>
        <tr r="R123" s="2"/>
      </tp>
      <tp t="s">
        <v>#N/A N/A</v>
        <stp/>
        <stp>BDP|4797244321927598458</stp>
        <tr r="R845" s="2"/>
      </tp>
      <tp t="s">
        <v>#N/A N/A</v>
        <stp/>
        <stp>BDP|3607847397475418037</stp>
        <tr r="A282" s="2"/>
      </tp>
      <tp t="s">
        <v>#N/A N/A</v>
        <stp/>
        <stp>BDP|3104284083429873703</stp>
        <tr r="M329" s="2"/>
      </tp>
      <tp t="s">
        <v>#N/A N/A</v>
        <stp/>
        <stp>BDP|4074245402309745831</stp>
        <tr r="M1599" s="2"/>
      </tp>
      <tp t="s">
        <v>#N/A N/A</v>
        <stp/>
        <stp>BDP|6095058947511383438</stp>
        <tr r="T402" s="2"/>
      </tp>
      <tp t="s">
        <v>#N/A N/A</v>
        <stp/>
        <stp>BDP|1942200706571507586</stp>
        <tr r="O290" s="2"/>
      </tp>
      <tp t="s">
        <v>#N/A N/A</v>
        <stp/>
        <stp>BDP|4168042707072955196</stp>
        <tr r="C330" s="2"/>
      </tp>
      <tp t="s">
        <v>#N/A N/A</v>
        <stp/>
        <stp>BDS|6911526720883028598</stp>
        <tr r="I922" s="2"/>
      </tp>
      <tp t="s">
        <v>#N/A N/A</v>
        <stp/>
        <stp>BDP|6265081773364323280</stp>
        <tr r="G710" s="2"/>
      </tp>
      <tp t="s">
        <v>#N/A N/A</v>
        <stp/>
        <stp>BDP|7275521518550832426</stp>
        <tr r="D566" s="2"/>
      </tp>
      <tp t="s">
        <v>#N/A N/A</v>
        <stp/>
        <stp>BDP|1282044586939207703</stp>
        <tr r="T496" s="2"/>
      </tp>
      <tp t="s">
        <v>#N/A N/A</v>
        <stp/>
        <stp>BDP|3602786930133876346</stp>
        <tr r="D1715" s="2"/>
      </tp>
      <tp t="s">
        <v>#N/A N/A</v>
        <stp/>
        <stp>BDP|3757732823747073651</stp>
        <tr r="Q1552" s="2"/>
      </tp>
      <tp t="s">
        <v>#N/A N/A</v>
        <stp/>
        <stp>BDP|7743248244930539600</stp>
        <tr r="E1499" s="2"/>
      </tp>
      <tp t="s">
        <v>#N/A N/A</v>
        <stp/>
        <stp>BDP|5803848775209211482</stp>
        <tr r="H461" s="2"/>
      </tp>
      <tp t="s">
        <v>#N/A N/A</v>
        <stp/>
        <stp>BDP|9648680285127198795</stp>
        <tr r="F1446" s="2"/>
      </tp>
      <tp t="s">
        <v>#N/A N/A</v>
        <stp/>
        <stp>BDP|1891276319650775527</stp>
        <tr r="G157" s="2"/>
      </tp>
      <tp t="s">
        <v>#N/A N/A</v>
        <stp/>
        <stp>BDP|4993084531288716847</stp>
        <tr r="S678" s="2"/>
      </tp>
      <tp t="s">
        <v>#N/A N/A</v>
        <stp/>
        <stp>BDP|5854406303160039688</stp>
        <tr r="H997" s="2"/>
      </tp>
      <tp t="s">
        <v>#N/A N/A</v>
        <stp/>
        <stp>BDP|7462665937142287743</stp>
        <tr r="Q1001" s="2"/>
      </tp>
      <tp t="s">
        <v>#N/A N/A</v>
        <stp/>
        <stp>BDP|3177562910956173653</stp>
        <tr r="F620" s="2"/>
      </tp>
      <tp t="s">
        <v>#N/A N/A</v>
        <stp/>
        <stp>BDP|2731340471964537542</stp>
        <tr r="F1577" s="2"/>
      </tp>
      <tp t="s">
        <v>#N/A N/A</v>
        <stp/>
        <stp>BDP|7968164737197990521</stp>
        <tr r="D632" s="2"/>
      </tp>
      <tp t="s">
        <v>#N/A N/A</v>
        <stp/>
        <stp>BDP|8111245196001566559</stp>
        <tr r="O1621" s="2"/>
      </tp>
      <tp t="s">
        <v>#N/A N/A</v>
        <stp/>
        <stp>BDP|5060364510926648634</stp>
        <tr r="R1746" s="2"/>
      </tp>
      <tp t="s">
        <v>#N/A N/A</v>
        <stp/>
        <stp>BDP|1274528525393451222</stp>
        <tr r="G1475" s="2"/>
      </tp>
      <tp t="s">
        <v>#N/A N/A</v>
        <stp/>
        <stp>BDP|3731152770802603073</stp>
        <tr r="E146" s="2"/>
      </tp>
      <tp t="s">
        <v>#N/A N/A</v>
        <stp/>
        <stp>BDP|9139811753950099308</stp>
        <tr r="N1308" s="2"/>
      </tp>
      <tp t="s">
        <v>#N/A N/A</v>
        <stp/>
        <stp>BDP|1864005151586392595</stp>
        <tr r="E931" s="2"/>
      </tp>
      <tp t="s">
        <v>#N/A N/A</v>
        <stp/>
        <stp>BDP|2750548351483311625</stp>
        <tr r="O1150" s="2"/>
      </tp>
      <tp t="s">
        <v>#N/A N/A</v>
        <stp/>
        <stp>BDP|6877487050790298012</stp>
        <tr r="R1621" s="2"/>
      </tp>
      <tp t="s">
        <v>#N/A N/A</v>
        <stp/>
        <stp>BDP|8508401965125744848</stp>
        <tr r="M835" s="2"/>
      </tp>
      <tp t="s">
        <v>#N/A N/A</v>
        <stp/>
        <stp>BDP|7249529352806697670</stp>
        <tr r="D1105" s="2"/>
      </tp>
      <tp t="s">
        <v>#N/A N/A</v>
        <stp/>
        <stp>BDP|8141960960910283069</stp>
        <tr r="O1142" s="2"/>
      </tp>
      <tp t="s">
        <v>#N/A N/A</v>
        <stp/>
        <stp>BDP|3095934497661510525</stp>
        <tr r="D979" s="2"/>
      </tp>
      <tp t="s">
        <v>#N/A N/A</v>
        <stp/>
        <stp>BDP|9290208695314650129</stp>
        <tr r="K1730" s="2"/>
      </tp>
      <tp t="s">
        <v>#N/A N/A</v>
        <stp/>
        <stp>BDP|5643654147635110569</stp>
        <tr r="J935" s="2"/>
      </tp>
      <tp t="s">
        <v>#N/A N/A</v>
        <stp/>
        <stp>BDP|4447883448669287657</stp>
        <tr r="E660" s="2"/>
      </tp>
      <tp t="s">
        <v>#N/A N/A</v>
        <stp/>
        <stp>BDP|7860789947174267766</stp>
        <tr r="E774" s="2"/>
      </tp>
      <tp t="s">
        <v>#N/A N/A</v>
        <stp/>
        <stp>BDP|3596978481712806787</stp>
        <tr r="T1303" s="2"/>
      </tp>
      <tp t="s">
        <v>#N/A N/A</v>
        <stp/>
        <stp>BDP|1173475351727030047</stp>
        <tr r="P722" s="2"/>
      </tp>
      <tp t="s">
        <v>#N/A N/A</v>
        <stp/>
        <stp>BDP|4769236711987484720</stp>
        <tr r="E1011" s="2"/>
      </tp>
      <tp t="s">
        <v>#N/A N/A</v>
        <stp/>
        <stp>BDP|6212237816483119152</stp>
        <tr r="S5" s="2"/>
      </tp>
      <tp t="s">
        <v>#N/A N/A</v>
        <stp/>
        <stp>BDP|7412061171065110211</stp>
        <tr r="R342" s="2"/>
      </tp>
      <tp t="s">
        <v>#N/A N/A</v>
        <stp/>
        <stp>BDP|2128566654825151019</stp>
        <tr r="R493" s="2"/>
      </tp>
      <tp t="s">
        <v>#N/A N/A</v>
        <stp/>
        <stp>BDP|7458200752867286075</stp>
        <tr r="T385" s="2"/>
      </tp>
      <tp t="s">
        <v>#N/A N/A</v>
        <stp/>
        <stp>BDP|5864914429100615951</stp>
        <tr r="A1338" s="2"/>
      </tp>
      <tp t="s">
        <v>#N/A N/A</v>
        <stp/>
        <stp>BDP|2020417761451424670</stp>
        <tr r="S1256" s="2"/>
      </tp>
      <tp t="s">
        <v>#N/A N/A</v>
        <stp/>
        <stp>BDP|1900096170754757547</stp>
        <tr r="A687" s="2"/>
      </tp>
      <tp t="s">
        <v>#N/A N/A</v>
        <stp/>
        <stp>BDP|2105777506077514565</stp>
        <tr r="C1164" s="2"/>
      </tp>
      <tp t="s">
        <v>#N/A N/A</v>
        <stp/>
        <stp>BDP|7812983302590570943</stp>
        <tr r="R1227" s="2"/>
      </tp>
      <tp t="s">
        <v>#N/A N/A</v>
        <stp/>
        <stp>BDS|1510864580106441041</stp>
        <tr r="I1666" s="2"/>
      </tp>
      <tp t="s">
        <v>#N/A N/A</v>
        <stp/>
        <stp>BDP|6614709107972217402</stp>
        <tr r="S1167" s="2"/>
      </tp>
      <tp t="s">
        <v>#N/A N/A</v>
        <stp/>
        <stp>BDS|2109350968389908962</stp>
        <tr r="I1671" s="2"/>
      </tp>
      <tp t="s">
        <v>#N/A N/A</v>
        <stp/>
        <stp>BDP|2521269249255127689</stp>
        <tr r="G1458" s="2"/>
      </tp>
      <tp t="s">
        <v>#N/A N/A</v>
        <stp/>
        <stp>BDP|5244721825367008064</stp>
        <tr r="P364" s="2"/>
      </tp>
      <tp t="s">
        <v>#N/A N/A</v>
        <stp/>
        <stp>BDP|5316316800454445555</stp>
        <tr r="K1647" s="2"/>
      </tp>
      <tp t="s">
        <v>#N/A N/A</v>
        <stp/>
        <stp>BDP|2237890623396877935</stp>
        <tr r="O316" s="2"/>
      </tp>
      <tp t="s">
        <v>#N/A N/A</v>
        <stp/>
        <stp>BDP|6142253441892580535</stp>
        <tr r="A223" s="2"/>
      </tp>
      <tp t="s">
        <v>#N/A N/A</v>
        <stp/>
        <stp>BDP|5172634291378632566</stp>
        <tr r="K1595" s="2"/>
      </tp>
      <tp t="s">
        <v>#N/A N/A</v>
        <stp/>
        <stp>BDP|1326587855891511789</stp>
        <tr r="M85" s="2"/>
      </tp>
      <tp t="s">
        <v>#N/A N/A</v>
        <stp/>
        <stp>BDP|1887198678624372494</stp>
        <tr r="M679" s="2"/>
      </tp>
      <tp t="s">
        <v>#N/A N/A</v>
        <stp/>
        <stp>BDS|5163076484203806994</stp>
        <tr r="I1491" s="2"/>
      </tp>
      <tp t="s">
        <v>#N/A N/A</v>
        <stp/>
        <stp>BDP|3335756605282041106</stp>
        <tr r="S222" s="2"/>
      </tp>
      <tp t="s">
        <v>#N/A N/A</v>
        <stp/>
        <stp>BDS|2537560703197772743</stp>
        <tr r="I586" s="2"/>
      </tp>
      <tp t="s">
        <v>#N/A N/A</v>
        <stp/>
        <stp>BDP|9536857440175221713</stp>
        <tr r="R396" s="2"/>
      </tp>
      <tp t="s">
        <v>#N/A N/A</v>
        <stp/>
        <stp>BDP|5319033774637148264</stp>
        <tr r="D722" s="2"/>
      </tp>
      <tp t="s">
        <v>#N/A N/A</v>
        <stp/>
        <stp>BDP|1630460044145353343</stp>
        <tr r="K1507" s="2"/>
      </tp>
      <tp t="s">
        <v>#N/A N/A</v>
        <stp/>
        <stp>BDP|6754799646364223699</stp>
        <tr r="T1517" s="2"/>
      </tp>
      <tp t="s">
        <v>#N/A N/A</v>
        <stp/>
        <stp>BDP|5034237207710457032</stp>
        <tr r="S298" s="2"/>
      </tp>
      <tp t="s">
        <v>#N/A N/A</v>
        <stp/>
        <stp>BDP|1941663834822197192</stp>
        <tr r="F320" s="2"/>
      </tp>
      <tp t="s">
        <v>#N/A N/A</v>
        <stp/>
        <stp>BDP|9572132587182441564</stp>
        <tr r="C72" s="2"/>
      </tp>
      <tp t="s">
        <v>#N/A N/A</v>
        <stp/>
        <stp>BDP|6816464307282366795</stp>
        <tr r="G99" s="2"/>
      </tp>
      <tp t="s">
        <v>#N/A N/A</v>
        <stp/>
        <stp>BDP|8673777525059528326</stp>
        <tr r="N1755" s="2"/>
      </tp>
      <tp t="s">
        <v>#N/A N/A</v>
        <stp/>
        <stp>BDP|8101260187743776647</stp>
        <tr r="S1573" s="2"/>
      </tp>
      <tp t="s">
        <v>#N/A N/A</v>
        <stp/>
        <stp>BDP|2608447317534013464</stp>
        <tr r="S1029" s="2"/>
      </tp>
      <tp t="s">
        <v>#N/A N/A</v>
        <stp/>
        <stp>BDP|8739537483282257065</stp>
        <tr r="A485" s="2"/>
      </tp>
      <tp t="s">
        <v>#N/A N/A</v>
        <stp/>
        <stp>BDP|9250874004097007127</stp>
        <tr r="F523" s="2"/>
      </tp>
      <tp t="s">
        <v>#N/A N/A</v>
        <stp/>
        <stp>BDP|1221292069935776757</stp>
        <tr r="A1197" s="2"/>
      </tp>
      <tp t="s">
        <v>#N/A N/A</v>
        <stp/>
        <stp>BDP|1513894939494401918</stp>
        <tr r="N167" s="2"/>
      </tp>
      <tp t="s">
        <v>#N/A N/A</v>
        <stp/>
        <stp>BDP|9501961975660162078</stp>
        <tr r="Q641" s="2"/>
      </tp>
      <tp t="s">
        <v>#N/A N/A</v>
        <stp/>
        <stp>BDP|5027824959469296692</stp>
        <tr r="J548" s="2"/>
      </tp>
      <tp t="s">
        <v>#N/A N/A</v>
        <stp/>
        <stp>BDP|2103019031395010312</stp>
        <tr r="Q68" s="2"/>
      </tp>
      <tp t="s">
        <v>#N/A N/A</v>
        <stp/>
        <stp>BDP|1021583571935103180</stp>
        <tr r="E740" s="2"/>
      </tp>
      <tp t="s">
        <v>#N/A N/A</v>
        <stp/>
        <stp>BDP|1860077523841827543</stp>
        <tr r="E326" s="2"/>
      </tp>
      <tp t="s">
        <v>#N/A N/A</v>
        <stp/>
        <stp>BDP|4611744712252675768</stp>
        <tr r="N628" s="2"/>
      </tp>
      <tp t="s">
        <v>#N/A N/A</v>
        <stp/>
        <stp>BDP|1504364173194441649</stp>
        <tr r="S939" s="2"/>
      </tp>
      <tp t="s">
        <v>#N/A N/A</v>
        <stp/>
        <stp>BDP|6719409435365021321</stp>
        <tr r="T413" s="2"/>
      </tp>
      <tp t="s">
        <v>#N/A N/A</v>
        <stp/>
        <stp>BDP|9128069317057504850</stp>
        <tr r="G143" s="2"/>
      </tp>
      <tp t="s">
        <v>#N/A N/A</v>
        <stp/>
        <stp>BDP|1212037184479203778</stp>
        <tr r="P487" s="2"/>
      </tp>
      <tp t="s">
        <v>#N/A N/A</v>
        <stp/>
        <stp>BDP|7277299260967952328</stp>
        <tr r="P1177" s="2"/>
      </tp>
      <tp t="s">
        <v>#N/A N/A</v>
        <stp/>
        <stp>BDS|6010480108216885385</stp>
        <tr r="I597" s="2"/>
      </tp>
      <tp t="s">
        <v>#N/A N/A</v>
        <stp/>
        <stp>BDP|3154471533830372366</stp>
        <tr r="S1334" s="2"/>
      </tp>
      <tp t="s">
        <v>#N/A N/A</v>
        <stp/>
        <stp>BDP|2240412925523773019</stp>
        <tr r="J1595" s="2"/>
      </tp>
      <tp t="s">
        <v>#N/A N/A</v>
        <stp/>
        <stp>BDP|1373949852613743921</stp>
        <tr r="S773" s="2"/>
      </tp>
      <tp t="s">
        <v>#N/A N/A</v>
        <stp/>
        <stp>BDP|5641548334743571730</stp>
        <tr r="E1664" s="2"/>
      </tp>
      <tp t="s">
        <v>#N/A N/A</v>
        <stp/>
        <stp>BDP|6756596741778995861</stp>
        <tr r="G862" s="2"/>
      </tp>
      <tp t="s">
        <v>#N/A N/A</v>
        <stp/>
        <stp>BDP|9481081349169008357</stp>
        <tr r="R1608" s="2"/>
      </tp>
      <tp t="s">
        <v>#N/A N/A</v>
        <stp/>
        <stp>BDP|7815826593983122283</stp>
        <tr r="N890" s="2"/>
      </tp>
      <tp t="s">
        <v>#N/A N/A</v>
        <stp/>
        <stp>BDP|2325753055923313407</stp>
        <tr r="K1645" s="2"/>
      </tp>
      <tp t="s">
        <v>#N/A N/A</v>
        <stp/>
        <stp>BDP|4537639031645146366</stp>
        <tr r="N2" s="2"/>
      </tp>
      <tp t="s">
        <v>#N/A N/A</v>
        <stp/>
        <stp>BDP|6278137331366052508</stp>
        <tr r="J596" s="2"/>
      </tp>
      <tp t="s">
        <v>#N/A N/A</v>
        <stp/>
        <stp>BDP|4421072123645776470</stp>
        <tr r="K103" s="2"/>
      </tp>
      <tp t="s">
        <v>#N/A N/A</v>
        <stp/>
        <stp>BDP|7092258110976307569</stp>
        <tr r="E1453" s="2"/>
      </tp>
      <tp t="s">
        <v>#N/A N/A</v>
        <stp/>
        <stp>BDP|1848535384233724880</stp>
        <tr r="J489" s="2"/>
      </tp>
      <tp t="s">
        <v>#N/A N/A</v>
        <stp/>
        <stp>BDP|8358084736454422896</stp>
        <tr r="F1726" s="2"/>
      </tp>
      <tp t="s">
        <v>#N/A N/A</v>
        <stp/>
        <stp>BDP|5596552250527094507</stp>
        <tr r="C1481" s="2"/>
      </tp>
      <tp t="s">
        <v>#N/A N/A</v>
        <stp/>
        <stp>BDS|7520215266202157630</stp>
        <tr r="I898" s="2"/>
      </tp>
      <tp t="s">
        <v>#N/A N/A</v>
        <stp/>
        <stp>BDP|3461220230431073466</stp>
        <tr r="D1490" s="2"/>
      </tp>
      <tp t="s">
        <v>#N/A N/A</v>
        <stp/>
        <stp>BDP|2904232428543779653</stp>
        <tr r="G292" s="2"/>
      </tp>
      <tp t="s">
        <v>#N/A N/A</v>
        <stp/>
        <stp>BDP|9568670333148662372</stp>
        <tr r="P965" s="2"/>
      </tp>
      <tp t="s">
        <v>#N/A N/A</v>
        <stp/>
        <stp>BDP|2837069118494295044</stp>
        <tr r="A1172" s="2"/>
      </tp>
      <tp t="s">
        <v>#N/A N/A</v>
        <stp/>
        <stp>BDP|4344640733480561615</stp>
        <tr r="R629" s="2"/>
      </tp>
      <tp t="s">
        <v>#N/A N/A</v>
        <stp/>
        <stp>BDP|4842007449791704667</stp>
        <tr r="P1160" s="2"/>
      </tp>
      <tp t="s">
        <v>#N/A N/A</v>
        <stp/>
        <stp>BDP|3128853150868799132</stp>
        <tr r="M371" s="2"/>
      </tp>
      <tp t="s">
        <v>#N/A N/A</v>
        <stp/>
        <stp>BDP|9703213682647171350</stp>
        <tr r="Q508" s="2"/>
      </tp>
      <tp t="s">
        <v>#N/A N/A</v>
        <stp/>
        <stp>BDP|7981668422456962240</stp>
        <tr r="G497" s="2"/>
      </tp>
      <tp t="s">
        <v>#N/A N/A</v>
        <stp/>
        <stp>BDP|3812255702263650591</stp>
        <tr r="P1584" s="2"/>
      </tp>
      <tp t="s">
        <v>#N/A N/A</v>
        <stp/>
        <stp>BDP|7036563690334540835</stp>
        <tr r="D812" s="2"/>
      </tp>
      <tp t="s">
        <v>#N/A N/A</v>
        <stp/>
        <stp>BDP|7673164844267344277</stp>
        <tr r="N1548" s="2"/>
      </tp>
      <tp t="s">
        <v>#N/A N/A</v>
        <stp/>
        <stp>BDP|3469895369763451904</stp>
        <tr r="K735" s="2"/>
      </tp>
      <tp t="s">
        <v>#N/A N/A</v>
        <stp/>
        <stp>BDP|5730714843256303760</stp>
        <tr r="T1595" s="2"/>
      </tp>
      <tp t="s">
        <v>#N/A N/A</v>
        <stp/>
        <stp>BDP|9321959870847705716</stp>
        <tr r="T1443" s="2"/>
      </tp>
      <tp t="s">
        <v>#N/A N/A</v>
        <stp/>
        <stp>BDP|4182152211883403017</stp>
        <tr r="T1046" s="2"/>
      </tp>
      <tp t="s">
        <v>#N/A N/A</v>
        <stp/>
        <stp>BDP|6029136114940497131</stp>
        <tr r="C340" s="2"/>
      </tp>
      <tp t="s">
        <v>#N/A N/A</v>
        <stp/>
        <stp>BDP|5731516569912911369</stp>
        <tr r="C947" s="2"/>
      </tp>
      <tp t="s">
        <v>#N/A N/A</v>
        <stp/>
        <stp>BDP|7132118616872677200</stp>
        <tr r="R202" s="2"/>
      </tp>
      <tp t="s">
        <v>#N/A N/A</v>
        <stp/>
        <stp>BDP|1430223055723244217</stp>
        <tr r="D499" s="2"/>
      </tp>
      <tp t="s">
        <v>#N/A N/A</v>
        <stp/>
        <stp>BDP|9043645385188944880</stp>
        <tr r="N1684" s="2"/>
      </tp>
      <tp t="s">
        <v>#N/A N/A</v>
        <stp/>
        <stp>BDP|5521494276072373396</stp>
        <tr r="N1724" s="2"/>
      </tp>
      <tp t="s">
        <v>#N/A N/A</v>
        <stp/>
        <stp>BDP|3066585199819294135</stp>
        <tr r="G1704" s="2"/>
      </tp>
      <tp t="s">
        <v>#N/A N/A</v>
        <stp/>
        <stp>BDP|9002257158098879157</stp>
        <tr r="R599" s="2"/>
      </tp>
      <tp t="s">
        <v>#N/A N/A</v>
        <stp/>
        <stp>BDP|5028936514502621814</stp>
        <tr r="Q1356" s="2"/>
      </tp>
      <tp t="s">
        <v>#N/A N/A</v>
        <stp/>
        <stp>BDP|2669065089615811813</stp>
        <tr r="S29" s="2"/>
      </tp>
      <tp t="s">
        <v>#N/A N/A</v>
        <stp/>
        <stp>BDP|4240520065359773926</stp>
        <tr r="K1043" s="2"/>
      </tp>
      <tp t="s">
        <v>#N/A N/A</v>
        <stp/>
        <stp>BDP|8280649392135226564</stp>
        <tr r="T261" s="2"/>
      </tp>
      <tp t="s">
        <v>#N/A N/A</v>
        <stp/>
        <stp>BDP|6054531812451929484</stp>
        <tr r="C914" s="2"/>
      </tp>
      <tp t="s">
        <v>#N/A N/A</v>
        <stp/>
        <stp>BDP|2323673222229262843</stp>
        <tr r="H1242" s="2"/>
      </tp>
      <tp t="s">
        <v>#N/A N/A</v>
        <stp/>
        <stp>BDP|6397184233463980017</stp>
        <tr r="H636" s="2"/>
      </tp>
      <tp t="s">
        <v>#N/A N/A</v>
        <stp/>
        <stp>BDP|2008307087108234653</stp>
        <tr r="M1243" s="2"/>
      </tp>
      <tp t="s">
        <v>#N/A N/A</v>
        <stp/>
        <stp>BDP|9347224967843787916</stp>
        <tr r="R802" s="2"/>
      </tp>
      <tp t="s">
        <v>#N/A N/A</v>
        <stp/>
        <stp>BDP|4112878538961638985</stp>
        <tr r="T1582" s="2"/>
      </tp>
      <tp t="s">
        <v>#N/A N/A</v>
        <stp/>
        <stp>BDP|4301223003588250905</stp>
        <tr r="Q1546" s="2"/>
      </tp>
      <tp t="s">
        <v>#N/A N/A</v>
        <stp/>
        <stp>BDP|5946783055311092154</stp>
        <tr r="K195" s="2"/>
      </tp>
      <tp t="s">
        <v>#N/A N/A</v>
        <stp/>
        <stp>BDP|6690713026464100016</stp>
        <tr r="C1696" s="2"/>
      </tp>
      <tp t="s">
        <v>#N/A N/A</v>
        <stp/>
        <stp>BDP|8461240756129286157</stp>
        <tr r="K617" s="2"/>
      </tp>
      <tp t="s">
        <v>#N/A N/A</v>
        <stp/>
        <stp>BDS|7145989280536809703</stp>
        <tr r="I13" s="2"/>
      </tp>
      <tp t="s">
        <v>#N/A N/A</v>
        <stp/>
        <stp>BDP|8320153967311793973</stp>
        <tr r="S1465" s="2"/>
      </tp>
      <tp t="s">
        <v>#N/A N/A</v>
        <stp/>
        <stp>BDP|5939219977040801761</stp>
        <tr r="N363" s="2"/>
      </tp>
      <tp t="s">
        <v>#N/A N/A</v>
        <stp/>
        <stp>BDP|1583136715576476066</stp>
        <tr r="J340" s="2"/>
      </tp>
      <tp t="s">
        <v>#N/A N/A</v>
        <stp/>
        <stp>BDP|6935854051635421989</stp>
        <tr r="K999" s="2"/>
      </tp>
      <tp t="s">
        <v>#N/A N/A</v>
        <stp/>
        <stp>BDP|9384377269358400386</stp>
        <tr r="J1131" s="2"/>
      </tp>
      <tp t="s">
        <v>#N/A N/A</v>
        <stp/>
        <stp>BDP|1055862852099658238</stp>
        <tr r="T435" s="2"/>
      </tp>
      <tp t="s">
        <v>#N/A N/A</v>
        <stp/>
        <stp>BDS|8039488118283037914</stp>
        <tr r="I1069" s="2"/>
      </tp>
      <tp t="s">
        <v>#N/A N/A</v>
        <stp/>
        <stp>BDP|5688653573585674674</stp>
        <tr r="A1188" s="2"/>
      </tp>
      <tp t="s">
        <v>#N/A N/A</v>
        <stp/>
        <stp>BDP|8086995979183186209</stp>
        <tr r="R1738" s="2"/>
      </tp>
      <tp t="s">
        <v>#N/A N/A</v>
        <stp/>
        <stp>BDP|1661392229302530529</stp>
        <tr r="R789" s="2"/>
      </tp>
      <tp t="s">
        <v>#N/A N/A</v>
        <stp/>
        <stp>BDP|2812173536632808509</stp>
        <tr r="A975" s="2"/>
      </tp>
      <tp t="s">
        <v>#N/A N/A</v>
        <stp/>
        <stp>BDP|6362843352069408508</stp>
        <tr r="E441" s="2"/>
      </tp>
      <tp t="s">
        <v>#N/A N/A</v>
        <stp/>
        <stp>BDP|1403826180134181263</stp>
        <tr r="O1205" s="2"/>
      </tp>
      <tp t="s">
        <v>#N/A N/A</v>
        <stp/>
        <stp>BDP|2089234466441514015</stp>
        <tr r="Q516" s="2"/>
      </tp>
      <tp t="s">
        <v>#N/A N/A</v>
        <stp/>
        <stp>BDP|7041458283048243457</stp>
        <tr r="O1475" s="2"/>
      </tp>
      <tp t="s">
        <v>#N/A N/A</v>
        <stp/>
        <stp>BDP|4675556902911050702</stp>
        <tr r="S401" s="2"/>
      </tp>
      <tp t="s">
        <v>#N/A N/A</v>
        <stp/>
        <stp>BDP|6195120107767286778</stp>
        <tr r="H955" s="2"/>
      </tp>
      <tp t="s">
        <v>#N/A N/A</v>
        <stp/>
        <stp>BDP|5481522132507261377</stp>
        <tr r="H62" s="2"/>
      </tp>
      <tp t="s">
        <v>#N/A N/A</v>
        <stp/>
        <stp>BDS|3656695187823877912</stp>
        <tr r="I703" s="2"/>
      </tp>
      <tp t="s">
        <v>#N/A N/A</v>
        <stp/>
        <stp>BDP|8111209163698274317</stp>
        <tr r="S1292" s="2"/>
      </tp>
      <tp t="s">
        <v>#N/A N/A</v>
        <stp/>
        <stp>BDP|5448499333342635793</stp>
        <tr r="R1426" s="2"/>
      </tp>
      <tp t="s">
        <v>#N/A N/A</v>
        <stp/>
        <stp>BDP|5351013478762354785</stp>
        <tr r="R501" s="2"/>
      </tp>
      <tp t="s">
        <v>#N/A N/A</v>
        <stp/>
        <stp>BDP|9201925785759752636</stp>
        <tr r="G1598" s="2"/>
      </tp>
      <tp t="s">
        <v>#N/A N/A</v>
        <stp/>
        <stp>BDP|1570572001567785459</stp>
        <tr r="A465" s="2"/>
      </tp>
      <tp t="s">
        <v>#N/A N/A</v>
        <stp/>
        <stp>BDP|5380074122545089570</stp>
        <tr r="K1230" s="2"/>
      </tp>
      <tp t="s">
        <v>#N/A N/A</v>
        <stp/>
        <stp>BDP|6126003606878319959</stp>
        <tr r="S556" s="2"/>
      </tp>
      <tp t="s">
        <v>#N/A N/A</v>
        <stp/>
        <stp>BDP|3066402770077732067</stp>
        <tr r="K1052" s="2"/>
      </tp>
      <tp t="s">
        <v>#N/A N/A</v>
        <stp/>
        <stp>BDP|3600290267755163581</stp>
        <tr r="C869" s="2"/>
      </tp>
      <tp t="s">
        <v>#N/A N/A</v>
        <stp/>
        <stp>BDP|9259417286886297463</stp>
        <tr r="C1036" s="2"/>
      </tp>
      <tp t="s">
        <v>#N/A N/A</v>
        <stp/>
        <stp>BDP|2192626854256392054</stp>
        <tr r="M447" s="2"/>
      </tp>
      <tp t="s">
        <v>#N/A N/A</v>
        <stp/>
        <stp>BDP|3288581516373425398</stp>
        <tr r="K1011" s="2"/>
      </tp>
      <tp t="s">
        <v>#N/A N/A</v>
        <stp/>
        <stp>BDP|4790487720274799195</stp>
        <tr r="K1091" s="2"/>
      </tp>
      <tp t="s">
        <v>#N/A N/A</v>
        <stp/>
        <stp>BDS|2564865080042302713</stp>
        <tr r="I223" s="2"/>
      </tp>
      <tp t="s">
        <v>#N/A N/A</v>
        <stp/>
        <stp>BDP|3518849515109191443</stp>
        <tr r="P126" s="2"/>
      </tp>
      <tp t="s">
        <v>#N/A N/A</v>
        <stp/>
        <stp>BDP|4531436747313109015</stp>
        <tr r="Q909" s="2"/>
      </tp>
      <tp t="s">
        <v>#N/A N/A</v>
        <stp/>
        <stp>BDP|7225141054296065234</stp>
        <tr r="P966" s="2"/>
      </tp>
      <tp t="s">
        <v>#N/A N/A</v>
        <stp/>
        <stp>BDP|8773288882541915458</stp>
        <tr r="P484" s="2"/>
      </tp>
      <tp t="s">
        <v>#N/A N/A</v>
        <stp/>
        <stp>BDP|7070575133635505306</stp>
        <tr r="S1409" s="2"/>
      </tp>
      <tp t="s">
        <v>#N/A N/A</v>
        <stp/>
        <stp>BDP|3774680731548857975</stp>
        <tr r="H132" s="2"/>
      </tp>
      <tp t="s">
        <v>#N/A N/A</v>
        <stp/>
        <stp>BDP|6582295143910953773</stp>
        <tr r="P1708" s="2"/>
      </tp>
      <tp t="s">
        <v>#N/A N/A</v>
        <stp/>
        <stp>BDP|2448249421400030508</stp>
        <tr r="S734" s="2"/>
      </tp>
      <tp t="s">
        <v>#N/A N/A</v>
        <stp/>
        <stp>BDP|2112635547967069049</stp>
        <tr r="A1109" s="2"/>
      </tp>
      <tp t="s">
        <v>#N/A N/A</v>
        <stp/>
        <stp>BDP|2719035156234763442</stp>
        <tr r="R364" s="2"/>
      </tp>
      <tp t="s">
        <v>#N/A N/A</v>
        <stp/>
        <stp>BDP|7363765375935396526</stp>
        <tr r="P1713" s="2"/>
      </tp>
      <tp t="s">
        <v>#N/A N/A</v>
        <stp/>
        <stp>BDP|3124831407204312875</stp>
        <tr r="R491" s="2"/>
      </tp>
      <tp t="s">
        <v>#N/A N/A</v>
        <stp/>
        <stp>BDP|8677530199255599689</stp>
        <tr r="P1101" s="2"/>
      </tp>
      <tp t="s">
        <v>#N/A N/A</v>
        <stp/>
        <stp>BDP|6870015846413642687</stp>
        <tr r="A962" s="2"/>
      </tp>
      <tp t="s">
        <v>#N/A N/A</v>
        <stp/>
        <stp>BDP|2170525387828275079</stp>
        <tr r="R312" s="2"/>
      </tp>
      <tp t="s">
        <v>#N/A N/A</v>
        <stp/>
        <stp>BDP|5360035460375454151</stp>
        <tr r="H458" s="2"/>
      </tp>
      <tp t="s">
        <v>#N/A N/A</v>
        <stp/>
        <stp>BDP|4327564564748867883</stp>
        <tr r="T1677" s="2"/>
      </tp>
      <tp t="s">
        <v>#N/A N/A</v>
        <stp/>
        <stp>BDP|4467610194424557853</stp>
        <tr r="E118" s="2"/>
      </tp>
      <tp t="s">
        <v>#N/A N/A</v>
        <stp/>
        <stp>BDP|3725480407251958101</stp>
        <tr r="R511" s="2"/>
      </tp>
      <tp t="s">
        <v>#N/A N/A</v>
        <stp/>
        <stp>BDP|1612424920739776921</stp>
        <tr r="R317" s="2"/>
      </tp>
      <tp t="s">
        <v>#N/A N/A</v>
        <stp/>
        <stp>BDP|1011980909397322837</stp>
        <tr r="J1668" s="2"/>
      </tp>
      <tp t="s">
        <v>#N/A N/A</v>
        <stp/>
        <stp>BDP|1623125991416233867</stp>
        <tr r="E1295" s="2"/>
      </tp>
      <tp t="s">
        <v>#N/A N/A</v>
        <stp/>
        <stp>BDP|8513931628194654093</stp>
        <tr r="J183" s="2"/>
      </tp>
      <tp t="s">
        <v>#N/A N/A</v>
        <stp/>
        <stp>BDS|6253017154895462128</stp>
        <tr r="I284" s="2"/>
      </tp>
      <tp t="s">
        <v>#N/A N/A</v>
        <stp/>
        <stp>BDP|6139063005181366001</stp>
        <tr r="D1709" s="2"/>
      </tp>
      <tp t="s">
        <v>#N/A N/A</v>
        <stp/>
        <stp>BDP|2837234459011584316</stp>
        <tr r="T382" s="2"/>
      </tp>
      <tp t="s">
        <v>#N/A N/A</v>
        <stp/>
        <stp>BDP|1491783120340846324</stp>
        <tr r="P1454" s="2"/>
      </tp>
      <tp t="s">
        <v>#N/A N/A</v>
        <stp/>
        <stp>BDP|1792323472232198008</stp>
        <tr r="H1538" s="2"/>
      </tp>
      <tp t="s">
        <v>#N/A N/A</v>
        <stp/>
        <stp>BDP|7222145005783197240</stp>
        <tr r="Q761" s="2"/>
      </tp>
      <tp t="s">
        <v>#N/A N/A</v>
        <stp/>
        <stp>BDP|2287820843878312168</stp>
        <tr r="J1607" s="2"/>
      </tp>
      <tp t="s">
        <v>#N/A N/A</v>
        <stp/>
        <stp>BDP|6701279647060591748</stp>
        <tr r="J327" s="2"/>
      </tp>
      <tp t="s">
        <v>#N/A N/A</v>
        <stp/>
        <stp>BDP|5732114757120475639</stp>
        <tr r="J1381" s="2"/>
      </tp>
      <tp t="s">
        <v>#N/A N/A</v>
        <stp/>
        <stp>BDP|9485622590090945196</stp>
        <tr r="T1276" s="2"/>
      </tp>
      <tp t="s">
        <v>#N/A N/A</v>
        <stp/>
        <stp>BDP|6666797239045008009</stp>
        <tr r="A1483" s="2"/>
      </tp>
      <tp t="s">
        <v>#N/A N/A</v>
        <stp/>
        <stp>BDP|9976415890260891361</stp>
        <tr r="R1024" s="2"/>
      </tp>
      <tp t="s">
        <v>#N/A N/A</v>
        <stp/>
        <stp>BDP|8268659903650424960</stp>
        <tr r="A478" s="2"/>
      </tp>
      <tp t="s">
        <v>#N/A N/A</v>
        <stp/>
        <stp>BDP|3712621543825109313</stp>
        <tr r="S504" s="2"/>
      </tp>
      <tp t="s">
        <v>#N/A N/A</v>
        <stp/>
        <stp>BDP|6433276572114068079</stp>
        <tr r="K919" s="2"/>
      </tp>
      <tp t="s">
        <v>#N/A N/A</v>
        <stp/>
        <stp>BDP|3713608961015541156</stp>
        <tr r="K1462" s="2"/>
      </tp>
      <tp t="s">
        <v>#N/A N/A</v>
        <stp/>
        <stp>BDP|8326137822089488507</stp>
        <tr r="E60" s="2"/>
      </tp>
      <tp t="s">
        <v>#N/A N/A</v>
        <stp/>
        <stp>BDS|9870380022189582617</stp>
        <tr r="I1299" s="2"/>
      </tp>
      <tp t="s">
        <v>#N/A N/A</v>
        <stp/>
        <stp>BDP|5284570230394664057</stp>
        <tr r="O1653" s="2"/>
      </tp>
      <tp t="s">
        <v>#N/A N/A</v>
        <stp/>
        <stp>BDP|7564370418551592397</stp>
        <tr r="R1731" s="2"/>
      </tp>
      <tp t="s">
        <v>#N/A N/A</v>
        <stp/>
        <stp>BDP|1011534419266422488</stp>
        <tr r="F247" s="2"/>
      </tp>
      <tp t="s">
        <v>#N/A N/A</v>
        <stp/>
        <stp>BDP|9307249663233723954</stp>
        <tr r="R849" s="2"/>
      </tp>
      <tp t="s">
        <v>#N/A N/A</v>
        <stp/>
        <stp>BDP|7154138586279164034</stp>
        <tr r="Q345" s="2"/>
      </tp>
      <tp t="s">
        <v>#N/A N/A</v>
        <stp/>
        <stp>BDP|3621235271055235409</stp>
        <tr r="C667" s="2"/>
      </tp>
      <tp t="s">
        <v>#N/A N/A</v>
        <stp/>
        <stp>BDP|7548445456342663379</stp>
        <tr r="C1159" s="2"/>
      </tp>
      <tp t="s">
        <v>#N/A N/A</v>
        <stp/>
        <stp>BDP|7397622842701198349</stp>
        <tr r="R298" s="2"/>
      </tp>
      <tp t="s">
        <v>#N/A N/A</v>
        <stp/>
        <stp>BDP|2585814482456139317</stp>
        <tr r="A1092" s="2"/>
      </tp>
      <tp t="s">
        <v>#N/A N/A</v>
        <stp/>
        <stp>BDP|9722607783387125738</stp>
        <tr r="P1278" s="2"/>
      </tp>
      <tp t="s">
        <v>#N/A N/A</v>
        <stp/>
        <stp>BDP|1104234804144994093</stp>
        <tr r="M362" s="2"/>
      </tp>
      <tp t="s">
        <v>#N/A N/A</v>
        <stp/>
        <stp>BDS|2458672169167583292</stp>
        <tr r="I838" s="2"/>
      </tp>
      <tp t="s">
        <v>#N/A N/A</v>
        <stp/>
        <stp>BDP|4662284840677088282</stp>
        <tr r="E1264" s="2"/>
      </tp>
      <tp t="s">
        <v>#N/A N/A</v>
        <stp/>
        <stp>BDP|5556728204992738729</stp>
        <tr r="M1397" s="2"/>
      </tp>
      <tp t="s">
        <v>#N/A N/A</v>
        <stp/>
        <stp>BDP|2520932453300582965</stp>
        <tr r="D1369" s="2"/>
      </tp>
      <tp t="s">
        <v>#N/A N/A</v>
        <stp/>
        <stp>BDP|8564026410206886894</stp>
        <tr r="S582" s="2"/>
      </tp>
      <tp t="s">
        <v>#N/A N/A</v>
        <stp/>
        <stp>BDP|1513163666454690551</stp>
        <tr r="D308" s="2"/>
      </tp>
      <tp t="s">
        <v>#N/A N/A</v>
        <stp/>
        <stp>BDP|1534366083138026568</stp>
        <tr r="Q1518" s="2"/>
      </tp>
      <tp t="s">
        <v>#N/A N/A</v>
        <stp/>
        <stp>BDP|5653823392816939593</stp>
        <tr r="N1499" s="2"/>
      </tp>
      <tp t="s">
        <v>#N/A N/A</v>
        <stp/>
        <stp>BDP|9171537583192285157</stp>
        <tr r="M215" s="2"/>
      </tp>
      <tp t="s">
        <v>#N/A N/A</v>
        <stp/>
        <stp>BDP|4946498975750541061</stp>
        <tr r="S943" s="2"/>
      </tp>
      <tp t="s">
        <v>#N/A N/A</v>
        <stp/>
        <stp>BDP|2995215718932751411</stp>
        <tr r="K1329" s="2"/>
      </tp>
      <tp t="s">
        <v>#N/A N/A</v>
        <stp/>
        <stp>BDP|1211036753504517712</stp>
        <tr r="F920" s="2"/>
      </tp>
      <tp t="s">
        <v>#N/A N/A</v>
        <stp/>
        <stp>BDP|9222463067134201870</stp>
        <tr r="H1358" s="2"/>
      </tp>
      <tp t="s">
        <v>#N/A N/A</v>
        <stp/>
        <stp>BDP|5997165838854250431</stp>
        <tr r="A1521" s="2"/>
      </tp>
      <tp t="s">
        <v>#N/A N/A</v>
        <stp/>
        <stp>BDP|9485474633230154978</stp>
        <tr r="T1400" s="2"/>
      </tp>
      <tp t="s">
        <v>#N/A N/A</v>
        <stp/>
        <stp>BDP|5991234655911950402</stp>
        <tr r="T1538" s="2"/>
      </tp>
      <tp t="s">
        <v>#N/A N/A</v>
        <stp/>
        <stp>BDP|1562345240067396649</stp>
        <tr r="N1161" s="2"/>
      </tp>
      <tp t="s">
        <v>#N/A N/A</v>
        <stp/>
        <stp>BDP|8514066737238232405</stp>
        <tr r="G1353" s="2"/>
      </tp>
      <tp t="s">
        <v>#N/A N/A</v>
        <stp/>
        <stp>BDP|2250854800759320427</stp>
        <tr r="H582" s="2"/>
      </tp>
      <tp t="s">
        <v>#N/A N/A</v>
        <stp/>
        <stp>BDP|2708711438046006782</stp>
        <tr r="N470" s="2"/>
      </tp>
      <tp t="s">
        <v>#N/A N/A</v>
        <stp/>
        <stp>BDP|5397471372619190815</stp>
        <tr r="O1535" s="2"/>
      </tp>
      <tp t="s">
        <v>#N/A N/A</v>
        <stp/>
        <stp>BDP|1910363661546133596</stp>
        <tr r="J361" s="2"/>
      </tp>
      <tp t="s">
        <v>#N/A N/A</v>
        <stp/>
        <stp>BDP|7069643506711010741</stp>
        <tr r="A30" s="2"/>
      </tp>
      <tp t="s">
        <v>#N/A N/A</v>
        <stp/>
        <stp>BDP|5131433112981380653</stp>
        <tr r="T721" s="2"/>
      </tp>
      <tp t="s">
        <v>#N/A N/A</v>
        <stp/>
        <stp>BDP|5486129706887791412</stp>
        <tr r="O1215" s="2"/>
      </tp>
      <tp t="s">
        <v>#N/A N/A</v>
        <stp/>
        <stp>BDP|3740861216895582847</stp>
        <tr r="T424" s="2"/>
      </tp>
      <tp t="s">
        <v>#N/A N/A</v>
        <stp/>
        <stp>BDP|5490703946459397875</stp>
        <tr r="P1005" s="2"/>
      </tp>
      <tp t="s">
        <v>#N/A N/A</v>
        <stp/>
        <stp>BDS|5039209636625538659</stp>
        <tr r="I112" s="2"/>
      </tp>
      <tp t="s">
        <v>#N/A N/A</v>
        <stp/>
        <stp>BDP|5085698143738950857</stp>
        <tr r="F335" s="2"/>
      </tp>
      <tp t="s">
        <v>#N/A N/A</v>
        <stp/>
        <stp>BDP|1279087039614208173</stp>
        <tr r="H496" s="2"/>
      </tp>
      <tp t="s">
        <v>#N/A N/A</v>
        <stp/>
        <stp>BDP|9211803026530536470</stp>
        <tr r="S1350" s="2"/>
      </tp>
      <tp t="s">
        <v>#N/A N/A</v>
        <stp/>
        <stp>BDP|5854787559368770882</stp>
        <tr r="P1502" s="2"/>
      </tp>
      <tp t="s">
        <v>#N/A N/A</v>
        <stp/>
        <stp>BDP|5197274737951154265</stp>
        <tr r="P343" s="2"/>
      </tp>
      <tp t="s">
        <v>#N/A N/A</v>
        <stp/>
        <stp>BDP|7567423803173179737</stp>
        <tr r="N997" s="2"/>
      </tp>
      <tp t="s">
        <v>#N/A N/A</v>
        <stp/>
        <stp>BDP|3601145141232231370</stp>
        <tr r="O642" s="2"/>
      </tp>
      <tp t="s">
        <v>#N/A N/A</v>
        <stp/>
        <stp>BDP|1678443620555435506</stp>
        <tr r="C989" s="2"/>
      </tp>
      <tp t="s">
        <v>#N/A N/A</v>
        <stp/>
        <stp>BDP|9718416781420215236</stp>
        <tr r="M971" s="2"/>
      </tp>
      <tp t="s">
        <v>#N/A N/A</v>
        <stp/>
        <stp>BDP|2052484450360879461</stp>
        <tr r="T820" s="2"/>
      </tp>
      <tp t="s">
        <v>#N/A N/A</v>
        <stp/>
        <stp>BDP|9566950532391223563</stp>
        <tr r="P1544" s="2"/>
      </tp>
      <tp t="s">
        <v>#N/A N/A</v>
        <stp/>
        <stp>BDP|7007550846470142144</stp>
        <tr r="T754" s="2"/>
      </tp>
      <tp t="s">
        <v>#N/A N/A</v>
        <stp/>
        <stp>BDP|2686165683769152548</stp>
        <tr r="E1063" s="2"/>
      </tp>
      <tp t="s">
        <v>#N/A N/A</v>
        <stp/>
        <stp>BDP|2633978763469093341</stp>
        <tr r="K1533" s="2"/>
      </tp>
      <tp t="s">
        <v>#N/A N/A</v>
        <stp/>
        <stp>BDP|9965824600743555587</stp>
        <tr r="S1105" s="2"/>
      </tp>
      <tp t="s">
        <v>#N/A N/A</v>
        <stp/>
        <stp>BDP|4808067246240762794</stp>
        <tr r="F1443" s="2"/>
      </tp>
      <tp t="s">
        <v>#N/A N/A</v>
        <stp/>
        <stp>BDP|9368543568419076491</stp>
        <tr r="A419" s="2"/>
      </tp>
      <tp t="s">
        <v>#N/A N/A</v>
        <stp/>
        <stp>BDP|2178571522701079320</stp>
        <tr r="R1593" s="2"/>
      </tp>
      <tp t="s">
        <v>#N/A N/A</v>
        <stp/>
        <stp>BDP|3983341211882918436</stp>
        <tr r="S674" s="2"/>
      </tp>
      <tp t="s">
        <v>#N/A N/A</v>
        <stp/>
        <stp>BDP|7102608264114670458</stp>
        <tr r="C977" s="2"/>
      </tp>
      <tp t="s">
        <v>#N/A N/A</v>
        <stp/>
        <stp>BDP|7287644148031975302</stp>
        <tr r="Q806" s="2"/>
      </tp>
      <tp t="s">
        <v>#N/A N/A</v>
        <stp/>
        <stp>BDP|7300436937482393532</stp>
        <tr r="Q368" s="2"/>
      </tp>
      <tp t="s">
        <v>#N/A N/A</v>
        <stp/>
        <stp>BDP|5182401949324775684</stp>
        <tr r="N411" s="2"/>
      </tp>
      <tp t="s">
        <v>#N/A N/A</v>
        <stp/>
        <stp>BDP|1866142849440117338</stp>
        <tr r="H876" s="2"/>
      </tp>
      <tp t="s">
        <v>#N/A N/A</v>
        <stp/>
        <stp>BDP|3735871096990362524</stp>
        <tr r="O1094" s="2"/>
      </tp>
      <tp t="s">
        <v>#N/A N/A</v>
        <stp/>
        <stp>BDP|1508085239821043430</stp>
        <tr r="A1744" s="2"/>
      </tp>
      <tp t="s">
        <v>#N/A N/A</v>
        <stp/>
        <stp>BDP|2270788907556347497</stp>
        <tr r="D1494" s="2"/>
      </tp>
      <tp t="s">
        <v>#N/A N/A</v>
        <stp/>
        <stp>BDP|2553681234852700294</stp>
        <tr r="O1610" s="2"/>
      </tp>
      <tp t="s">
        <v>#N/A N/A</v>
        <stp/>
        <stp>BDP|9788973865568261900</stp>
        <tr r="G1152" s="2"/>
      </tp>
      <tp t="s">
        <v>#N/A N/A</v>
        <stp/>
        <stp>BDP|2326448138304136692</stp>
        <tr r="A1463" s="2"/>
      </tp>
      <tp t="s">
        <v>#N/A N/A</v>
        <stp/>
        <stp>BDP|6741059835212847083</stp>
        <tr r="K348" s="2"/>
      </tp>
      <tp t="s">
        <v>#N/A N/A</v>
        <stp/>
        <stp>BDP|6418402050480479078</stp>
        <tr r="P297" s="2"/>
      </tp>
      <tp t="s">
        <v>#N/A N/A</v>
        <stp/>
        <stp>BDP|2966157800930929421</stp>
        <tr r="C857" s="2"/>
      </tp>
      <tp t="s">
        <v>#N/A N/A</v>
        <stp/>
        <stp>BDP|9175557386572565108</stp>
        <tr r="H133" s="2"/>
      </tp>
      <tp t="s">
        <v>#N/A N/A</v>
        <stp/>
        <stp>BDP|1944829948483705932</stp>
        <tr r="A352" s="2"/>
      </tp>
      <tp t="s">
        <v>#N/A N/A</v>
        <stp/>
        <stp>BDP|7710691654926404592</stp>
        <tr r="J1729" s="2"/>
      </tp>
      <tp t="s">
        <v>#N/A N/A</v>
        <stp/>
        <stp>BDP|6414748045322654044</stp>
        <tr r="S58" s="2"/>
      </tp>
      <tp t="s">
        <v>#N/A N/A</v>
        <stp/>
        <stp>BDP|4769542780829236764</stp>
        <tr r="R1094" s="2"/>
      </tp>
      <tp t="s">
        <v>#N/A N/A</v>
        <stp/>
        <stp>BDP|6338354221924013404</stp>
        <tr r="E580" s="2"/>
      </tp>
      <tp t="s">
        <v>#N/A N/A</v>
        <stp/>
        <stp>BDP|1197150044094301743</stp>
        <tr r="R1193" s="2"/>
      </tp>
      <tp t="s">
        <v>#N/A N/A</v>
        <stp/>
        <stp>BDP|8059968076459337847</stp>
        <tr r="G299" s="2"/>
      </tp>
      <tp t="s">
        <v>#N/A N/A</v>
        <stp/>
        <stp>BDP|3591426169571962700</stp>
        <tr r="T983" s="2"/>
      </tp>
      <tp t="s">
        <v>#N/A N/A</v>
        <stp/>
        <stp>BDP|8690564276405070812</stp>
        <tr r="D1248" s="2"/>
      </tp>
      <tp t="s">
        <v>#N/A N/A</v>
        <stp/>
        <stp>BDP|8842467393474384693</stp>
        <tr r="M39" s="2"/>
      </tp>
      <tp t="s">
        <v>#N/A N/A</v>
        <stp/>
        <stp>BDP|2352004653584492431</stp>
        <tr r="E923" s="2"/>
      </tp>
      <tp t="s">
        <v>#N/A N/A</v>
        <stp/>
        <stp>BDP|9312748485189500804</stp>
        <tr r="G1000" s="2"/>
      </tp>
      <tp t="s">
        <v>#N/A N/A</v>
        <stp/>
        <stp>BDP|6459923893695743458</stp>
        <tr r="S748" s="2"/>
      </tp>
      <tp t="s">
        <v>#N/A N/A</v>
        <stp/>
        <stp>BDP|7319849090249679862</stp>
        <tr r="S186" s="2"/>
      </tp>
      <tp t="s">
        <v>#N/A N/A</v>
        <stp/>
        <stp>BDP|4271738797704013916</stp>
        <tr r="F671" s="2"/>
      </tp>
      <tp t="s">
        <v>#N/A N/A</v>
        <stp/>
        <stp>BDP|9601362394523297711</stp>
        <tr r="F1306" s="2"/>
      </tp>
      <tp t="s">
        <v>#N/A N/A</v>
        <stp/>
        <stp>BDP|2783019016233757708</stp>
        <tr r="E1259" s="2"/>
      </tp>
      <tp t="s">
        <v>#N/A N/A</v>
        <stp/>
        <stp>BDP|4477374440712795633</stp>
        <tr r="M1248" s="2"/>
      </tp>
      <tp t="s">
        <v>#N/A N/A</v>
        <stp/>
        <stp>BDP|2457341257754850788</stp>
        <tr r="A955" s="2"/>
      </tp>
      <tp t="s">
        <v>#N/A N/A</v>
        <stp/>
        <stp>BDP|5705759712637132362</stp>
        <tr r="D844" s="2"/>
      </tp>
      <tp t="s">
        <v>#N/A N/A</v>
        <stp/>
        <stp>BDP|8825857356661970355</stp>
        <tr r="N1047" s="2"/>
      </tp>
      <tp t="s">
        <v>#N/A N/A</v>
        <stp/>
        <stp>BDP|6075545556653547201</stp>
        <tr r="F516" s="2"/>
      </tp>
      <tp t="s">
        <v>#N/A N/A</v>
        <stp/>
        <stp>BDP|7514030820291877395</stp>
        <tr r="P1449" s="2"/>
      </tp>
      <tp t="s">
        <v>#N/A N/A</v>
        <stp/>
        <stp>BDP|5538761514777659361</stp>
        <tr r="S804" s="2"/>
      </tp>
      <tp t="s">
        <v>#N/A N/A</v>
        <stp/>
        <stp>BDP|3140193828427137061</stp>
        <tr r="F348" s="2"/>
      </tp>
      <tp t="s">
        <v>#N/A N/A</v>
        <stp/>
        <stp>BDP|9472765448198951547</stp>
        <tr r="K136" s="2"/>
      </tp>
      <tp t="s">
        <v>#N/A N/A</v>
        <stp/>
        <stp>BDP|2659347917302538573</stp>
        <tr r="D1020" s="2"/>
      </tp>
      <tp t="s">
        <v>#N/A N/A</v>
        <stp/>
        <stp>BDP|9748315845619679021</stp>
        <tr r="M883" s="2"/>
      </tp>
      <tp t="s">
        <v>#N/A N/A</v>
        <stp/>
        <stp>BDP|9118677087462404223</stp>
        <tr r="F798" s="2"/>
      </tp>
      <tp t="s">
        <v>#N/A N/A</v>
        <stp/>
        <stp>BDP|5295213942351002568</stp>
        <tr r="N395" s="2"/>
      </tp>
      <tp t="s">
        <v>#N/A N/A</v>
        <stp/>
        <stp>BDP|2871091756046314637</stp>
        <tr r="H1639" s="2"/>
      </tp>
      <tp t="s">
        <v>#N/A N/A</v>
        <stp/>
        <stp>BDP|6329801087017756646</stp>
        <tr r="R897" s="2"/>
      </tp>
      <tp t="s">
        <v>#N/A N/A</v>
        <stp/>
        <stp>BDP|4829262105257872645</stp>
        <tr r="H835" s="2"/>
      </tp>
      <tp t="s">
        <v>#N/A N/A</v>
        <stp/>
        <stp>BDP|7918346851187227194</stp>
        <tr r="G689" s="2"/>
      </tp>
      <tp t="s">
        <v>#N/A N/A</v>
        <stp/>
        <stp>BDP|9251988869300066148</stp>
        <tr r="F266" s="2"/>
      </tp>
      <tp t="s">
        <v>#N/A N/A</v>
        <stp/>
        <stp>BDP|4289137700782182073</stp>
        <tr r="R1245" s="2"/>
      </tp>
      <tp t="s">
        <v>#N/A N/A</v>
        <stp/>
        <stp>BDP|4737411633755670141</stp>
        <tr r="A592" s="2"/>
      </tp>
      <tp t="s">
        <v>#N/A N/A</v>
        <stp/>
        <stp>BDP|5424276159316573383</stp>
        <tr r="F1213" s="2"/>
      </tp>
      <tp t="s">
        <v>#N/A N/A</v>
        <stp/>
        <stp>BDP|3461831822277472961</stp>
        <tr r="F265" s="2"/>
      </tp>
      <tp t="s">
        <v>#N/A N/A</v>
        <stp/>
        <stp>BDP|3987664824274893444</stp>
        <tr r="O113" s="2"/>
      </tp>
      <tp t="s">
        <v>#N/A N/A</v>
        <stp/>
        <stp>BDP|8536193488051613753</stp>
        <tr r="G1465" s="2"/>
      </tp>
      <tp t="s">
        <v>#N/A N/A</v>
        <stp/>
        <stp>BDP|5728123913132577045</stp>
        <tr r="C1026" s="2"/>
      </tp>
      <tp t="s">
        <v>#N/A N/A</v>
        <stp/>
        <stp>BDS|3584931468732996906</stp>
        <tr r="I940" s="2"/>
      </tp>
      <tp t="s">
        <v>#N/A N/A</v>
        <stp/>
        <stp>BDP|2279265659264269684</stp>
        <tr r="F436" s="2"/>
      </tp>
      <tp t="s">
        <v>#N/A N/A</v>
        <stp/>
        <stp>BDP|4319643413296025230</stp>
        <tr r="E1203" s="2"/>
      </tp>
      <tp t="s">
        <v>#N/A N/A</v>
        <stp/>
        <stp>BDP|3450277239373927641</stp>
        <tr r="K67" s="2"/>
      </tp>
      <tp t="s">
        <v>#N/A N/A</v>
        <stp/>
        <stp>BDP|2178474711281529151</stp>
        <tr r="D26" s="2"/>
      </tp>
      <tp t="s">
        <v>#N/A N/A</v>
        <stp/>
        <stp>BDP|5274578601687232018</stp>
        <tr r="N571" s="2"/>
      </tp>
      <tp t="s">
        <v>#N/A N/A</v>
        <stp/>
        <stp>BDP|5038577426062653703</stp>
        <tr r="R1331" s="2"/>
      </tp>
      <tp t="s">
        <v>#N/A N/A</v>
        <stp/>
        <stp>BDP|4534872024150241931</stp>
        <tr r="J942" s="2"/>
      </tp>
      <tp t="s">
        <v>#N/A N/A</v>
        <stp/>
        <stp>BDP|2113312272659503801</stp>
        <tr r="O101" s="2"/>
      </tp>
      <tp t="s">
        <v>#N/A N/A</v>
        <stp/>
        <stp>BDP|3713212510901197607</stp>
        <tr r="E1475" s="2"/>
      </tp>
      <tp t="s">
        <v>#N/A N/A</v>
        <stp/>
        <stp>BDP|2295611774687182312</stp>
        <tr r="R679" s="2"/>
      </tp>
      <tp t="s">
        <v>#N/A N/A</v>
        <stp/>
        <stp>BDP|2137873583967271209</stp>
        <tr r="G1007" s="2"/>
      </tp>
      <tp t="s">
        <v>#N/A N/A</v>
        <stp/>
        <stp>BDP|5616293569493268537</stp>
        <tr r="Q248" s="2"/>
      </tp>
      <tp t="s">
        <v>#N/A N/A</v>
        <stp/>
        <stp>BDP|9660984401511057685</stp>
        <tr r="J1047" s="2"/>
      </tp>
      <tp t="s">
        <v>#N/A N/A</v>
        <stp/>
        <stp>BDP|6238740549441934313</stp>
        <tr r="J1189" s="2"/>
      </tp>
      <tp t="s">
        <v>#N/A N/A</v>
        <stp/>
        <stp>BDP|4222856875454265871</stp>
        <tr r="M657" s="2"/>
      </tp>
      <tp t="s">
        <v>#N/A N/A</v>
        <stp/>
        <stp>BDP|1265729232955176747</stp>
        <tr r="P1398" s="2"/>
      </tp>
      <tp t="s">
        <v>#N/A N/A</v>
        <stp/>
        <stp>BDP|3126096305356265287</stp>
        <tr r="G1095" s="2"/>
      </tp>
      <tp t="s">
        <v>#N/A N/A</v>
        <stp/>
        <stp>BDP|3073537645544927181</stp>
        <tr r="F1227" s="2"/>
      </tp>
      <tp t="s">
        <v>#N/A N/A</v>
        <stp/>
        <stp>BDP|8958887806126023107</stp>
        <tr r="C364" s="2"/>
      </tp>
      <tp t="s">
        <v>#N/A N/A</v>
        <stp/>
        <stp>BDP|6063005895900755859</stp>
        <tr r="O1175" s="2"/>
      </tp>
      <tp t="s">
        <v>#N/A N/A</v>
        <stp/>
        <stp>BDS|9390804339655488096</stp>
        <tr r="I1494" s="2"/>
      </tp>
      <tp t="s">
        <v>#N/A N/A</v>
        <stp/>
        <stp>BDP|5278670105551653511</stp>
        <tr r="P1484" s="2"/>
      </tp>
      <tp t="s">
        <v>#N/A N/A</v>
        <stp/>
        <stp>BDP|7507246860455130177</stp>
        <tr r="J1463" s="2"/>
      </tp>
      <tp t="s">
        <v>#N/A N/A</v>
        <stp/>
        <stp>BDP|7238884424933849923</stp>
        <tr r="A1445" s="2"/>
      </tp>
      <tp t="s">
        <v>#N/A N/A</v>
        <stp/>
        <stp>BDS|9228690093832437383</stp>
        <tr r="I1294" s="2"/>
      </tp>
      <tp t="s">
        <v>#N/A N/A</v>
        <stp/>
        <stp>BDP|2791830913875000938</stp>
        <tr r="E46" s="2"/>
      </tp>
      <tp t="s">
        <v>#N/A N/A</v>
        <stp/>
        <stp>BDP|3683670464375701163</stp>
        <tr r="K1266" s="2"/>
      </tp>
      <tp t="s">
        <v>#N/A N/A</v>
        <stp/>
        <stp>BDP|4216349752665106016</stp>
        <tr r="T1027" s="2"/>
      </tp>
      <tp t="s">
        <v>#N/A N/A</v>
        <stp/>
        <stp>BDP|3203730749832825542</stp>
        <tr r="A227" s="2"/>
      </tp>
      <tp t="s">
        <v>#N/A N/A</v>
        <stp/>
        <stp>BDP|2957451568992644561</stp>
        <tr r="S1080" s="2"/>
      </tp>
      <tp t="s">
        <v>#N/A N/A</v>
        <stp/>
        <stp>BDP|7687710106227551004</stp>
        <tr r="R1297" s="2"/>
      </tp>
      <tp t="s">
        <v>#N/A N/A</v>
        <stp/>
        <stp>BDP|9271676037253795811</stp>
        <tr r="P1482" s="2"/>
      </tp>
      <tp t="s">
        <v>#N/A N/A</v>
        <stp/>
        <stp>BDP|7915907041498495580</stp>
        <tr r="O1020" s="2"/>
      </tp>
      <tp t="s">
        <v>#N/A N/A</v>
        <stp/>
        <stp>BDP|7558694778845451447</stp>
        <tr r="D623" s="2"/>
      </tp>
      <tp t="s">
        <v>#N/A N/A</v>
        <stp/>
        <stp>BDP|4324518316022720572</stp>
        <tr r="Q521" s="2"/>
      </tp>
      <tp t="s">
        <v>#N/A N/A</v>
        <stp/>
        <stp>BDP|2053905204319787571</stp>
        <tr r="G1680" s="2"/>
      </tp>
      <tp t="s">
        <v>#N/A N/A</v>
        <stp/>
        <stp>BDP|6677626211846426051</stp>
        <tr r="E925" s="2"/>
      </tp>
      <tp t="s">
        <v>#N/A N/A</v>
        <stp/>
        <stp>BDP|2544404385939724036</stp>
        <tr r="Q1250" s="2"/>
      </tp>
      <tp t="s">
        <v>#N/A N/A</v>
        <stp/>
        <stp>BDP|3260238251510130354</stp>
        <tr r="C939" s="2"/>
      </tp>
      <tp t="s">
        <v>#N/A N/A</v>
        <stp/>
        <stp>BDP|7161429768097776587</stp>
        <tr r="M128" s="2"/>
      </tp>
      <tp t="s">
        <v>#N/A N/A</v>
        <stp/>
        <stp>BDP|1650361182328514538</stp>
        <tr r="O1722" s="2"/>
      </tp>
      <tp t="s">
        <v>#N/A N/A</v>
        <stp/>
        <stp>BDP|1521161721034455128</stp>
        <tr r="Q1113" s="2"/>
      </tp>
      <tp t="s">
        <v>#N/A N/A</v>
        <stp/>
        <stp>BDP|9578440784506987484</stp>
        <tr r="T1378" s="2"/>
      </tp>
      <tp t="s">
        <v>#N/A N/A</v>
        <stp/>
        <stp>BDP|2020701955294999386</stp>
        <tr r="E120" s="2"/>
      </tp>
      <tp t="s">
        <v>#N/A N/A</v>
        <stp/>
        <stp>BDP|3781629500885365721</stp>
        <tr r="Q1447" s="2"/>
      </tp>
      <tp t="s">
        <v>#N/A N/A</v>
        <stp/>
        <stp>BDP|2757795548817618147</stp>
        <tr r="G783" s="2"/>
      </tp>
      <tp t="s">
        <v>#N/A N/A</v>
        <stp/>
        <stp>BDP|4837246051751859519</stp>
        <tr r="N164" s="2"/>
      </tp>
      <tp t="s">
        <v>#N/A N/A</v>
        <stp/>
        <stp>BDP|1055303196664066827</stp>
        <tr r="R1556" s="2"/>
      </tp>
      <tp t="s">
        <v>#N/A N/A</v>
        <stp/>
        <stp>BDP|9466777588058931963</stp>
        <tr r="E1627" s="2"/>
      </tp>
      <tp t="s">
        <v>#N/A N/A</v>
        <stp/>
        <stp>BDP|5585658432026240145</stp>
        <tr r="A208" s="2"/>
      </tp>
      <tp t="s">
        <v>#N/A N/A</v>
        <stp/>
        <stp>BDP|6411080462065910231</stp>
        <tr r="M227" s="2"/>
      </tp>
      <tp t="s">
        <v>#N/A N/A</v>
        <stp/>
        <stp>BDP|4351526854764563743</stp>
        <tr r="T1316" s="2"/>
      </tp>
      <tp t="s">
        <v>#N/A N/A</v>
        <stp/>
        <stp>BDP|8463736263147420943</stp>
        <tr r="K854" s="2"/>
      </tp>
      <tp t="s">
        <v>#N/A N/A</v>
        <stp/>
        <stp>BDP|6305223221036562715</stp>
        <tr r="H1483" s="2"/>
      </tp>
      <tp t="s">
        <v>#N/A N/A</v>
        <stp/>
        <stp>BDP|4894375069587211108</stp>
        <tr r="J614" s="2"/>
      </tp>
      <tp t="s">
        <v>#N/A N/A</v>
        <stp/>
        <stp>BDP|4392502176953118203</stp>
        <tr r="J475" s="2"/>
      </tp>
      <tp t="s">
        <v>#N/A N/A</v>
        <stp/>
        <stp>BDP|5023950902263506860</stp>
        <tr r="P539" s="2"/>
      </tp>
      <tp t="s">
        <v>#N/A N/A</v>
        <stp/>
        <stp>BDP|7722952082271770036</stp>
        <tr r="C500" s="2"/>
      </tp>
      <tp t="s">
        <v>#N/A N/A</v>
        <stp/>
        <stp>BDP|8101815873357170762</stp>
        <tr r="C528" s="2"/>
      </tp>
      <tp t="s">
        <v>#N/A N/A</v>
        <stp/>
        <stp>BDP|4561376554194124130</stp>
        <tr r="Q222" s="2"/>
      </tp>
      <tp t="s">
        <v>#N/A N/A</v>
        <stp/>
        <stp>BDP|5715504146043264071</stp>
        <tr r="N906" s="2"/>
      </tp>
      <tp t="s">
        <v>#N/A N/A</v>
        <stp/>
        <stp>BDP|2591594756966615387</stp>
        <tr r="R1506" s="2"/>
      </tp>
      <tp t="s">
        <v>#N/A N/A</v>
        <stp/>
        <stp>BDP|4675135239104822503</stp>
        <tr r="A1224" s="2"/>
      </tp>
      <tp t="s">
        <v>#N/A N/A</v>
        <stp/>
        <stp>BDP|5228834844739953786</stp>
        <tr r="F858" s="2"/>
      </tp>
      <tp t="s">
        <v>#N/A N/A</v>
        <stp/>
        <stp>BDP|9274446797550236375</stp>
        <tr r="A1462" s="2"/>
      </tp>
      <tp t="s">
        <v>#N/A N/A</v>
        <stp/>
        <stp>BDP|2036505305118635876</stp>
        <tr r="F997" s="2"/>
      </tp>
      <tp t="s">
        <v>#N/A N/A</v>
        <stp/>
        <stp>BDP|9317172163549310005</stp>
        <tr r="M977" s="2"/>
      </tp>
      <tp t="s">
        <v>#N/A N/A</v>
        <stp/>
        <stp>BDP|3664499601375989536</stp>
        <tr r="A1641" s="2"/>
      </tp>
      <tp t="s">
        <v>#N/A N/A</v>
        <stp/>
        <stp>BDP|2136576705119068970</stp>
        <tr r="A1192" s="2"/>
      </tp>
      <tp t="s">
        <v>#N/A N/A</v>
        <stp/>
        <stp>BDP|4752797840129231982</stp>
        <tr r="K1368" s="2"/>
      </tp>
      <tp t="s">
        <v>#N/A N/A</v>
        <stp/>
        <stp>BDP|5017977344877287853</stp>
        <tr r="P910" s="2"/>
      </tp>
      <tp t="s">
        <v>#N/A N/A</v>
        <stp/>
        <stp>BDP|2331422482400599929</stp>
        <tr r="P1150" s="2"/>
      </tp>
      <tp t="s">
        <v>#N/A N/A</v>
        <stp/>
        <stp>BDP|2462272605630775751</stp>
        <tr r="H283" s="2"/>
      </tp>
      <tp t="s">
        <v>#N/A N/A</v>
        <stp/>
        <stp>BDP|2416992065822488887</stp>
        <tr r="O728" s="2"/>
      </tp>
      <tp t="s">
        <v>#N/A N/A</v>
        <stp/>
        <stp>BDP|6792702112065898296</stp>
        <tr r="M1342" s="2"/>
      </tp>
      <tp t="s">
        <v>#N/A N/A</v>
        <stp/>
        <stp>BDS|1474103978253125393</stp>
        <tr r="I872" s="2"/>
      </tp>
      <tp t="s">
        <v>#N/A N/A</v>
        <stp/>
        <stp>BDP|8322159785623598520</stp>
        <tr r="T1530" s="2"/>
      </tp>
      <tp t="s">
        <v>#N/A N/A</v>
        <stp/>
        <stp>BDP|6484246974603397735</stp>
        <tr r="C915" s="2"/>
      </tp>
      <tp t="s">
        <v>#N/A N/A</v>
        <stp/>
        <stp>BDS|1765816944133218944</stp>
        <tr r="I928" s="2"/>
      </tp>
      <tp t="s">
        <v>#N/A N/A</v>
        <stp/>
        <stp>BDP|6844749721153836718</stp>
        <tr r="O1057" s="2"/>
      </tp>
      <tp t="s">
        <v>#N/A N/A</v>
        <stp/>
        <stp>BDP|7202997729913715818</stp>
        <tr r="S737" s="2"/>
      </tp>
      <tp t="s">
        <v>#N/A N/A</v>
        <stp/>
        <stp>BDP|7938650808445766376</stp>
        <tr r="A245" s="2"/>
      </tp>
      <tp t="s">
        <v>#N/A N/A</v>
        <stp/>
        <stp>BDP|9882292414629136408</stp>
        <tr r="S1216" s="2"/>
      </tp>
      <tp t="s">
        <v>#N/A N/A</v>
        <stp/>
        <stp>BDP|5484836633819621062</stp>
        <tr r="D584" s="2"/>
      </tp>
      <tp t="s">
        <v>#N/A N/A</v>
        <stp/>
        <stp>BDP|5638705155565016574</stp>
        <tr r="R1263" s="2"/>
      </tp>
      <tp t="s">
        <v>#N/A N/A</v>
        <stp/>
        <stp>BDP|9276949255862086067</stp>
        <tr r="C270" s="2"/>
      </tp>
      <tp t="s">
        <v>#N/A N/A</v>
        <stp/>
        <stp>BDP|6224912117901069816</stp>
        <tr r="M1005" s="2"/>
      </tp>
      <tp t="s">
        <v>#N/A N/A</v>
        <stp/>
        <stp>BDP|8663274201984646936</stp>
        <tr r="G1683" s="2"/>
      </tp>
      <tp t="s">
        <v>#N/A N/A</v>
        <stp/>
        <stp>BDP|8577438692495551747</stp>
        <tr r="K602" s="2"/>
      </tp>
      <tp t="s">
        <v>#N/A N/A</v>
        <stp/>
        <stp>BDP|7187971381065034422</stp>
        <tr r="P1038" s="2"/>
      </tp>
      <tp t="s">
        <v>#N/A N/A</v>
        <stp/>
        <stp>BDP|9686225996660150566</stp>
        <tr r="D1001" s="2"/>
      </tp>
      <tp t="s">
        <v>#N/A N/A</v>
        <stp/>
        <stp>BDP|1745573635939716974</stp>
        <tr r="D516" s="2"/>
      </tp>
      <tp t="s">
        <v>#N/A N/A</v>
        <stp/>
        <stp>BDP|4081177672684148116</stp>
        <tr r="F419" s="2"/>
      </tp>
      <tp t="s">
        <v>#N/A N/A</v>
        <stp/>
        <stp>BDP|3711513260814263317</stp>
        <tr r="C574" s="2"/>
      </tp>
      <tp t="s">
        <v>#N/A N/A</v>
        <stp/>
        <stp>BDP|8424799689135382529</stp>
        <tr r="E1372" s="2"/>
      </tp>
      <tp t="s">
        <v>#N/A N/A</v>
        <stp/>
        <stp>BDP|7787807594545300450</stp>
        <tr r="Q463" s="2"/>
      </tp>
      <tp t="s">
        <v>#N/A N/A</v>
        <stp/>
        <stp>BDP|6548240204290953399</stp>
        <tr r="E1290" s="2"/>
      </tp>
      <tp t="s">
        <v>#N/A N/A</v>
        <stp/>
        <stp>BDP|9719443194440796355</stp>
        <tr r="F157" s="2"/>
      </tp>
      <tp t="s">
        <v>#N/A N/A</v>
        <stp/>
        <stp>BDP|3297111377447251534</stp>
        <tr r="J1044" s="2"/>
      </tp>
      <tp t="s">
        <v>#N/A N/A</v>
        <stp/>
        <stp>BDP|5804852792754995731</stp>
        <tr r="D1509" s="2"/>
      </tp>
      <tp t="s">
        <v>#N/A N/A</v>
        <stp/>
        <stp>BDP|8963253536638668698</stp>
        <tr r="N1163" s="2"/>
      </tp>
      <tp t="s">
        <v>#N/A N/A</v>
        <stp/>
        <stp>BDP|2480350025532258635</stp>
        <tr r="T1394" s="2"/>
      </tp>
      <tp t="s">
        <v>#N/A N/A</v>
        <stp/>
        <stp>BDP|6943155729564599650</stp>
        <tr r="D211" s="2"/>
      </tp>
      <tp t="s">
        <v>#N/A N/A</v>
        <stp/>
        <stp>BDP|9511149017276013837</stp>
        <tr r="N175" s="2"/>
      </tp>
      <tp t="s">
        <v>#N/A N/A</v>
        <stp/>
        <stp>BDS|1404089749045332736</stp>
        <tr r="I1570" s="2"/>
      </tp>
      <tp t="s">
        <v>#N/A N/A</v>
        <stp/>
        <stp>BDP|5488746734592950481</stp>
        <tr r="G555" s="2"/>
      </tp>
      <tp t="s">
        <v>#N/A N/A</v>
        <stp/>
        <stp>BDP|4226134328413945359</stp>
        <tr r="P401" s="2"/>
      </tp>
      <tp t="s">
        <v>#N/A N/A</v>
        <stp/>
        <stp>BDP|9164903730802362674</stp>
        <tr r="N1621" s="2"/>
      </tp>
      <tp t="s">
        <v>#N/A N/A</v>
        <stp/>
        <stp>BDP|2936360555957654490</stp>
        <tr r="C146" s="2"/>
      </tp>
      <tp t="s">
        <v>#N/A N/A</v>
        <stp/>
        <stp>BDP|5073510161990108141</stp>
        <tr r="N655" s="2"/>
      </tp>
      <tp t="s">
        <v>#N/A N/A</v>
        <stp/>
        <stp>BDP|3882604387209258384</stp>
        <tr r="N311" s="2"/>
      </tp>
      <tp t="s">
        <v>#N/A N/A</v>
        <stp/>
        <stp>BDP|4009979302773544955</stp>
        <tr r="R487" s="2"/>
      </tp>
      <tp t="s">
        <v>#N/A N/A</v>
        <stp/>
        <stp>BDP|4417982456906956961</stp>
        <tr r="O204" s="2"/>
      </tp>
      <tp t="s">
        <v>#N/A N/A</v>
        <stp/>
        <stp>BDP|2106535761834462225</stp>
        <tr r="C569" s="2"/>
      </tp>
      <tp t="s">
        <v>#N/A N/A</v>
        <stp/>
        <stp>BDP|2517689492762275886</stp>
        <tr r="J1727" s="2"/>
      </tp>
      <tp t="s">
        <v>#N/A N/A</v>
        <stp/>
        <stp>BDP|2942493143864779116</stp>
        <tr r="O272" s="2"/>
      </tp>
      <tp t="s">
        <v>#N/A N/A</v>
        <stp/>
        <stp>BDP|2211534906953189335</stp>
        <tr r="Q1526" s="2"/>
      </tp>
      <tp t="s">
        <v>#N/A N/A</v>
        <stp/>
        <stp>BDP|6625262672012227653</stp>
        <tr r="S791" s="2"/>
      </tp>
      <tp t="s">
        <v>#N/A N/A</v>
        <stp/>
        <stp>BDP|6519587632385351291</stp>
        <tr r="E1123" s="2"/>
      </tp>
      <tp t="s">
        <v>#N/A N/A</v>
        <stp/>
        <stp>BDP|7743025107823110369</stp>
        <tr r="E653" s="2"/>
      </tp>
      <tp t="s">
        <v>#N/A N/A</v>
        <stp/>
        <stp>BDP|9613418742877842984</stp>
        <tr r="D1163" s="2"/>
      </tp>
      <tp t="s">
        <v>#N/A N/A</v>
        <stp/>
        <stp>BDP|5103371340864392100</stp>
        <tr r="M951" s="2"/>
      </tp>
      <tp t="s">
        <v>#N/A N/A</v>
        <stp/>
        <stp>BDP|9760922222410675547</stp>
        <tr r="A1131" s="2"/>
      </tp>
      <tp t="s">
        <v>#N/A N/A</v>
        <stp/>
        <stp>BDP|2896086616117471379</stp>
        <tr r="R75" s="2"/>
      </tp>
      <tp t="s">
        <v>#N/A N/A</v>
        <stp/>
        <stp>BDP|9924418618548287377</stp>
        <tr r="O98" s="2"/>
      </tp>
      <tp t="s">
        <v>#N/A N/A</v>
        <stp/>
        <stp>BDP|3004923416319552545</stp>
        <tr r="O36" s="2"/>
      </tp>
      <tp t="s">
        <v>#N/A N/A</v>
        <stp/>
        <stp>BDP|4826993833150756905</stp>
        <tr r="M1568" s="2"/>
      </tp>
      <tp t="s">
        <v>#N/A N/A</v>
        <stp/>
        <stp>BDP|4781030827821495029</stp>
        <tr r="G285" s="2"/>
      </tp>
      <tp t="s">
        <v>#N/A N/A</v>
        <stp/>
        <stp>BDP|4667326673967522078</stp>
        <tr r="M1079" s="2"/>
      </tp>
      <tp t="s">
        <v>#N/A N/A</v>
        <stp/>
        <stp>BDP|7572140971700526601</stp>
        <tr r="S879" s="2"/>
      </tp>
      <tp t="s">
        <v>#N/A N/A</v>
        <stp/>
        <stp>BDP|9876899967216583667</stp>
        <tr r="J5" s="2"/>
      </tp>
      <tp t="s">
        <v>#N/A N/A</v>
        <stp/>
        <stp>BDP|6970825578897388950</stp>
        <tr r="Q328" s="2"/>
      </tp>
      <tp t="s">
        <v>#N/A N/A</v>
        <stp/>
        <stp>BDS|5764750018396718285</stp>
        <tr r="I1420" s="2"/>
      </tp>
      <tp t="s">
        <v>#N/A N/A</v>
        <stp/>
        <stp>BDP|9643062435269760470</stp>
        <tr r="O875" s="2"/>
      </tp>
      <tp t="s">
        <v>#N/A N/A</v>
        <stp/>
        <stp>BDS|6529637680446183928</stp>
        <tr r="I626" s="2"/>
      </tp>
      <tp t="s">
        <v>#N/A N/A</v>
        <stp/>
        <stp>BDP|5456913514938249269</stp>
        <tr r="T1449" s="2"/>
      </tp>
      <tp t="s">
        <v>#N/A N/A</v>
        <stp/>
        <stp>BDP|9255226524237324926</stp>
        <tr r="R382" s="2"/>
      </tp>
      <tp t="s">
        <v>#N/A N/A</v>
        <stp/>
        <stp>BDP|1617762516466179624</stp>
        <tr r="O1350" s="2"/>
      </tp>
      <tp t="s">
        <v>#N/A N/A</v>
        <stp/>
        <stp>BDP|6081137761687283155</stp>
        <tr r="R1258" s="2"/>
      </tp>
      <tp t="s">
        <v>#N/A N/A</v>
        <stp/>
        <stp>BDP|9425155896701420766</stp>
        <tr r="C1423" s="2"/>
      </tp>
      <tp t="s">
        <v>#N/A N/A</v>
        <stp/>
        <stp>BDP|9999108454072924817</stp>
        <tr r="G79" s="2"/>
      </tp>
      <tp t="s">
        <v>#N/A N/A</v>
        <stp/>
        <stp>BDP|6454247832341010174</stp>
        <tr r="N1318" s="2"/>
      </tp>
      <tp t="s">
        <v>#N/A N/A</v>
        <stp/>
        <stp>BDP|5622532271034874490</stp>
        <tr r="O933" s="2"/>
      </tp>
      <tp t="s">
        <v>#N/A N/A</v>
        <stp/>
        <stp>BDP|7111631683867482907</stp>
        <tr r="G545" s="2"/>
      </tp>
      <tp t="s">
        <v>#N/A N/A</v>
        <stp/>
        <stp>BDP|7617939942878265501</stp>
        <tr r="C9" s="2"/>
      </tp>
      <tp t="s">
        <v>#N/A N/A</v>
        <stp/>
        <stp>BDP|5004945936071675915</stp>
        <tr r="Q267" s="2"/>
      </tp>
      <tp t="s">
        <v>#N/A N/A</v>
        <stp/>
        <stp>BDP|7469615962101348111</stp>
        <tr r="Q1061" s="2"/>
      </tp>
      <tp t="s">
        <v>#N/A N/A</v>
        <stp/>
        <stp>BDP|8186792479518299761</stp>
        <tr r="G429" s="2"/>
      </tp>
      <tp t="s">
        <v>#N/A N/A</v>
        <stp/>
        <stp>BDP|5054350766404318357</stp>
        <tr r="R1087" s="2"/>
      </tp>
      <tp t="s">
        <v>#N/A N/A</v>
        <stp/>
        <stp>BDP|6394074997540562839</stp>
        <tr r="J172" s="2"/>
      </tp>
      <tp t="s">
        <v>#N/A N/A</v>
        <stp/>
        <stp>BDP|1681778971693736523</stp>
        <tr r="C1680" s="2"/>
      </tp>
      <tp t="s">
        <v>#N/A N/A</v>
        <stp/>
        <stp>BDP|6256009342877125240</stp>
        <tr r="K259" s="2"/>
      </tp>
      <tp t="s">
        <v>#N/A N/A</v>
        <stp/>
        <stp>BDP|5913285182280316851</stp>
        <tr r="K57" s="2"/>
      </tp>
      <tp t="s">
        <v>#N/A N/A</v>
        <stp/>
        <stp>BDP|6483049823417345457</stp>
        <tr r="A591" s="2"/>
      </tp>
      <tp t="s">
        <v>#N/A N/A</v>
        <stp/>
        <stp>BDP|7056093338490044340</stp>
        <tr r="M463" s="2"/>
      </tp>
      <tp t="s">
        <v>#N/A N/A</v>
        <stp/>
        <stp>BDP|8709778284915122505</stp>
        <tr r="P443" s="2"/>
      </tp>
      <tp t="s">
        <v>#N/A N/A</v>
        <stp/>
        <stp>BDP|7274764436187441330</stp>
        <tr r="P475" s="2"/>
      </tp>
      <tp t="s">
        <v>#N/A N/A</v>
        <stp/>
        <stp>BDP|1922241765732292704</stp>
        <tr r="J610" s="2"/>
      </tp>
      <tp t="s">
        <v>#N/A N/A</v>
        <stp/>
        <stp>BDP|7851904793052204538</stp>
        <tr r="A945" s="2"/>
      </tp>
      <tp t="s">
        <v>#N/A N/A</v>
        <stp/>
        <stp>BDP|7277072349534598730</stp>
        <tr r="R1489" s="2"/>
      </tp>
      <tp t="s">
        <v>#N/A N/A</v>
        <stp/>
        <stp>BDP|7909354526735084302</stp>
        <tr r="R1626" s="2"/>
      </tp>
      <tp t="s">
        <v>#N/A N/A</v>
        <stp/>
        <stp>BDP|4820461787078681053</stp>
        <tr r="P454" s="2"/>
      </tp>
      <tp t="s">
        <v>#N/A N/A</v>
        <stp/>
        <stp>BDP|8127628871359110090</stp>
        <tr r="C1441" s="2"/>
      </tp>
      <tp t="s">
        <v>#N/A N/A</v>
        <stp/>
        <stp>BDP|1572130510623530299</stp>
        <tr r="E724" s="2"/>
      </tp>
      <tp t="s">
        <v>#N/A N/A</v>
        <stp/>
        <stp>BDP|3781887891294643622</stp>
        <tr r="O1010" s="2"/>
      </tp>
      <tp t="s">
        <v>#N/A N/A</v>
        <stp/>
        <stp>BDP|2128566478250155048</stp>
        <tr r="D1270" s="2"/>
      </tp>
      <tp t="s">
        <v>#N/A N/A</v>
        <stp/>
        <stp>BDP|7725087694318941688</stp>
        <tr r="M857" s="2"/>
      </tp>
      <tp t="s">
        <v>#N/A N/A</v>
        <stp/>
        <stp>BDP|7868737077920627700</stp>
        <tr r="J723" s="2"/>
      </tp>
      <tp t="s">
        <v>#N/A N/A</v>
        <stp/>
        <stp>BDP|3123943223769849148</stp>
        <tr r="A845" s="2"/>
      </tp>
      <tp t="s">
        <v>#N/A N/A</v>
        <stp/>
        <stp>BDP|9366375538850408921</stp>
        <tr r="J44" s="2"/>
      </tp>
      <tp t="s">
        <v>#N/A N/A</v>
        <stp/>
        <stp>BDP|7290722962536849007</stp>
        <tr r="R249" s="2"/>
      </tp>
      <tp t="s">
        <v>#N/A N/A</v>
        <stp/>
        <stp>BDP|9234249272384940870</stp>
        <tr r="A1027" s="2"/>
      </tp>
      <tp t="s">
        <v>#N/A N/A</v>
        <stp/>
        <stp>BDP|3331438965447824670</stp>
        <tr r="N691" s="2"/>
      </tp>
      <tp t="s">
        <v>#N/A N/A</v>
        <stp/>
        <stp>BDP|2988943283630773337</stp>
        <tr r="K98" s="2"/>
      </tp>
      <tp t="s">
        <v>#N/A N/A</v>
        <stp/>
        <stp>BDP|5327407289510683964</stp>
        <tr r="G1442" s="2"/>
      </tp>
      <tp t="s">
        <v>#N/A N/A</v>
        <stp/>
        <stp>BDP|6698393402481654417</stp>
        <tr r="H409" s="2"/>
      </tp>
      <tp t="s">
        <v>#N/A N/A</v>
        <stp/>
        <stp>BDP|2460764533594393282</stp>
        <tr r="T1164" s="2"/>
      </tp>
      <tp t="s">
        <v>#N/A N/A</v>
        <stp/>
        <stp>BDP|7990912799971952628</stp>
        <tr r="S1062" s="2"/>
      </tp>
      <tp t="s">
        <v>#N/A N/A</v>
        <stp/>
        <stp>BDP|1854844707391350828</stp>
        <tr r="A1535" s="2"/>
      </tp>
      <tp t="s">
        <v>#N/A N/A</v>
        <stp/>
        <stp>BDP|7592918400586695882</stp>
        <tr r="F1689" s="2"/>
      </tp>
      <tp t="s">
        <v>#N/A N/A</v>
        <stp/>
        <stp>BDP|7151124478238352928</stp>
        <tr r="D703" s="2"/>
      </tp>
      <tp t="s">
        <v>#N/A N/A</v>
        <stp/>
        <stp>BDP|5675127782958402487</stp>
        <tr r="S720" s="2"/>
      </tp>
      <tp t="s">
        <v>#N/A N/A</v>
        <stp/>
        <stp>BDP|2815572087158782754</stp>
        <tr r="N1134" s="2"/>
      </tp>
      <tp t="s">
        <v>#N/A N/A</v>
        <stp/>
        <stp>BDP|4411052041463314398</stp>
        <tr r="N934" s="2"/>
      </tp>
      <tp t="s">
        <v>#N/A N/A</v>
        <stp/>
        <stp>BDP|9045215478678608459</stp>
        <tr r="R1607" s="2"/>
      </tp>
      <tp t="s">
        <v>#N/A N/A</v>
        <stp/>
        <stp>BDP|5837926012584386916</stp>
        <tr r="T551" s="2"/>
      </tp>
      <tp t="s">
        <v>#N/A N/A</v>
        <stp/>
        <stp>BDP|2816620641969504949</stp>
        <tr r="E1022" s="2"/>
      </tp>
      <tp t="s">
        <v>#N/A N/A</v>
        <stp/>
        <stp>BDS|3219892640029435652</stp>
        <tr r="I1092" s="2"/>
      </tp>
      <tp t="s">
        <v>#N/A N/A</v>
        <stp/>
        <stp>BDP|2299922631029296193</stp>
        <tr r="P220" s="2"/>
      </tp>
      <tp t="s">
        <v>#N/A N/A</v>
        <stp/>
        <stp>BDP|7102742618180328141</stp>
        <tr r="Q208" s="2"/>
      </tp>
      <tp t="s">
        <v>#N/A N/A</v>
        <stp/>
        <stp>BDS|4895648017671726266</stp>
        <tr r="I249" s="2"/>
      </tp>
      <tp t="s">
        <v>#N/A N/A</v>
        <stp/>
        <stp>BDP|3224794154442760324</stp>
        <tr r="Q913" s="2"/>
      </tp>
      <tp t="s">
        <v>#N/A N/A</v>
        <stp/>
        <stp>BDP|3443334709635648522</stp>
        <tr r="D349" s="2"/>
      </tp>
      <tp t="s">
        <v>#N/A N/A</v>
        <stp/>
        <stp>BDP|5722239561804762586</stp>
        <tr r="A1558" s="2"/>
      </tp>
      <tp t="s">
        <v>#N/A N/A</v>
        <stp/>
        <stp>BDP|3902148536184489552</stp>
        <tr r="A1332" s="2"/>
      </tp>
      <tp t="s">
        <v>#N/A N/A</v>
        <stp/>
        <stp>BDP|4222022255330785188</stp>
        <tr r="M136" s="2"/>
      </tp>
      <tp t="s">
        <v>#N/A N/A</v>
        <stp/>
        <stp>BDP|8005884887071658932</stp>
        <tr r="Q1311" s="2"/>
      </tp>
      <tp t="s">
        <v>#N/A N/A</v>
        <stp/>
        <stp>BDP|6668488231934665532</stp>
        <tr r="H99" s="2"/>
      </tp>
      <tp t="s">
        <v>#N/A N/A</v>
        <stp/>
        <stp>BDP|4317732431183385389</stp>
        <tr r="J530" s="2"/>
      </tp>
      <tp t="s">
        <v>#N/A N/A</v>
        <stp/>
        <stp>BDP|2627283895730866993</stp>
        <tr r="J1141" s="2"/>
      </tp>
      <tp t="s">
        <v>#N/A N/A</v>
        <stp/>
        <stp>BDP|1211602032347827320</stp>
        <tr r="H1097" s="2"/>
      </tp>
      <tp t="s">
        <v>#N/A N/A</v>
        <stp/>
        <stp>BDP|6625565397183533987</stp>
        <tr r="P329" s="2"/>
      </tp>
      <tp t="s">
        <v>#N/A N/A</v>
        <stp/>
        <stp>BDP|3860288845794988163</stp>
        <tr r="M845" s="2"/>
      </tp>
      <tp t="s">
        <v>#N/A N/A</v>
        <stp/>
        <stp>BDP|6932345935482659445</stp>
        <tr r="T1030" s="2"/>
      </tp>
      <tp t="s">
        <v>#N/A N/A</v>
        <stp/>
        <stp>BDP|7822519817895366670</stp>
        <tr r="A252" s="2"/>
      </tp>
      <tp t="s">
        <v>#N/A N/A</v>
        <stp/>
        <stp>BDS|3305281817421008163</stp>
        <tr r="I510" s="2"/>
      </tp>
      <tp t="s">
        <v>#N/A N/A</v>
        <stp/>
        <stp>BDP|2929733094064667822</stp>
        <tr r="N1023" s="2"/>
      </tp>
      <tp t="s">
        <v>#N/A N/A</v>
        <stp/>
        <stp>BDP|4823581350213326794</stp>
        <tr r="F1671" s="2"/>
      </tp>
      <tp t="s">
        <v>#N/A N/A</v>
        <stp/>
        <stp>BDP|7054380850990625149</stp>
        <tr r="J579" s="2"/>
      </tp>
      <tp t="s">
        <v>#N/A N/A</v>
        <stp/>
        <stp>BDS|2611525469221575025</stp>
        <tr r="I716" s="2"/>
      </tp>
      <tp t="s">
        <v>#N/A N/A</v>
        <stp/>
        <stp>BDP|5941715733192711366</stp>
        <tr r="C1447" s="2"/>
      </tp>
      <tp t="s">
        <v>#N/A N/A</v>
        <stp/>
        <stp>BDP|3468585090969785615</stp>
        <tr r="K245" s="2"/>
      </tp>
      <tp t="s">
        <v>#N/A N/A</v>
        <stp/>
        <stp>BDP|5068626262564859126</stp>
        <tr r="F854" s="2"/>
      </tp>
      <tp t="s">
        <v>#N/A N/A</v>
        <stp/>
        <stp>BDP|3211985354517045843</stp>
        <tr r="N451" s="2"/>
      </tp>
      <tp t="s">
        <v>#N/A N/A</v>
        <stp/>
        <stp>BDP|6235288556908747910</stp>
        <tr r="M637" s="2"/>
      </tp>
      <tp t="s">
        <v>#N/A N/A</v>
        <stp/>
        <stp>BDP|6707861369141760950</stp>
        <tr r="K70" s="2"/>
      </tp>
      <tp t="s">
        <v>#N/A N/A</v>
        <stp/>
        <stp>BDP|2150936057946645898</stp>
        <tr r="F1287" s="2"/>
      </tp>
      <tp t="s">
        <v>#N/A N/A</v>
        <stp/>
        <stp>BDP|1758446228223457452</stp>
        <tr r="J754" s="2"/>
      </tp>
      <tp t="s">
        <v>#N/A N/A</v>
        <stp/>
        <stp>BDP|6517572800743933011</stp>
        <tr r="F1642" s="2"/>
      </tp>
      <tp t="s">
        <v>#N/A N/A</v>
        <stp/>
        <stp>BDP|5076217885458700792</stp>
        <tr r="H1034" s="2"/>
      </tp>
      <tp t="s">
        <v>#N/A N/A</v>
        <stp/>
        <stp>BDP|2120952619639761319</stp>
        <tr r="S1717" s="2"/>
      </tp>
      <tp t="s">
        <v>#N/A N/A</v>
        <stp/>
        <stp>BDP|1011838585236837751</stp>
        <tr r="A1230" s="2"/>
      </tp>
      <tp t="s">
        <v>#N/A N/A</v>
        <stp/>
        <stp>BDP|4091384304341505627</stp>
        <tr r="Q924" s="2"/>
      </tp>
      <tp t="s">
        <v>#N/A N/A</v>
        <stp/>
        <stp>BDP|4162579479094124254</stp>
        <tr r="C1151" s="2"/>
      </tp>
      <tp t="s">
        <v>#N/A N/A</v>
        <stp/>
        <stp>BDP|1194404359549596969</stp>
        <tr r="T854" s="2"/>
      </tp>
      <tp t="s">
        <v>#N/A N/A</v>
        <stp/>
        <stp>BDP|3215599172717213606</stp>
        <tr r="T95" s="2"/>
      </tp>
      <tp t="s">
        <v>#N/A N/A</v>
        <stp/>
        <stp>BDP|5693023960593655092</stp>
        <tr r="A865" s="2"/>
      </tp>
      <tp t="s">
        <v>#N/A N/A</v>
        <stp/>
        <stp>BDP|3313787744310147059</stp>
        <tr r="T1646" s="2"/>
      </tp>
      <tp t="s">
        <v>#N/A N/A</v>
        <stp/>
        <stp>BDP|5996680046127479087</stp>
        <tr r="J335" s="2"/>
      </tp>
      <tp t="s">
        <v>#N/A N/A</v>
        <stp/>
        <stp>BDS|3569923729168496016</stp>
        <tr r="I1381" s="2"/>
      </tp>
      <tp t="s">
        <v>#N/A N/A</v>
        <stp/>
        <stp>BDP|9047221689910475340</stp>
        <tr r="J482" s="2"/>
      </tp>
      <tp t="s">
        <v>#N/A N/A</v>
        <stp/>
        <stp>BDP|4981797356436828052</stp>
        <tr r="K692" s="2"/>
      </tp>
      <tp t="s">
        <v>#N/A N/A</v>
        <stp/>
        <stp>BDP|6385844464051933915</stp>
        <tr r="D1435" s="2"/>
      </tp>
      <tp t="s">
        <v>#N/A N/A</v>
        <stp/>
        <stp>BDP|7278818166708938171</stp>
        <tr r="R1155" s="2"/>
      </tp>
      <tp t="s">
        <v>#N/A N/A</v>
        <stp/>
        <stp>BDP|1005718116256553195</stp>
        <tr r="K481" s="2"/>
      </tp>
      <tp t="s">
        <v>#N/A N/A</v>
        <stp/>
        <stp>BDP|2531082966874915092</stp>
        <tr r="D289" s="2"/>
      </tp>
      <tp t="s">
        <v>#N/A N/A</v>
        <stp/>
        <stp>BDP|7660399802030670402</stp>
        <tr r="G1221" s="2"/>
      </tp>
      <tp t="s">
        <v>#N/A N/A</v>
        <stp/>
        <stp>BDP|4556612165924857026</stp>
        <tr r="H1275" s="2"/>
      </tp>
      <tp t="s">
        <v>#N/A N/A</v>
        <stp/>
        <stp>BDP|4316169231352652493</stp>
        <tr r="T1368" s="2"/>
      </tp>
      <tp t="s">
        <v>#N/A N/A</v>
        <stp/>
        <stp>BDP|9935119813191658863</stp>
        <tr r="G1078" s="2"/>
      </tp>
      <tp t="s">
        <v>#N/A N/A</v>
        <stp/>
        <stp>BDP|8184560889966047358</stp>
        <tr r="D518" s="2"/>
      </tp>
      <tp t="s">
        <v>#N/A N/A</v>
        <stp/>
        <stp>BDP|4556764618133398134</stp>
        <tr r="E632" s="2"/>
      </tp>
      <tp t="s">
        <v>#N/A N/A</v>
        <stp/>
        <stp>BDP|3345313343773955739</stp>
        <tr r="S935" s="2"/>
      </tp>
      <tp t="s">
        <v>#N/A N/A</v>
        <stp/>
        <stp>BDP|7495826519256337872</stp>
        <tr r="D1445" s="2"/>
      </tp>
      <tp t="s">
        <v>#N/A N/A</v>
        <stp/>
        <stp>BDS|5804586938800100321</stp>
        <tr r="I1390" s="2"/>
      </tp>
      <tp t="s">
        <v>#N/A N/A</v>
        <stp/>
        <stp>BDP|9173343895217332489</stp>
        <tr r="D1094" s="2"/>
      </tp>
      <tp t="s">
        <v>#N/A N/A</v>
        <stp/>
        <stp>BDP|4721327218786661008</stp>
        <tr r="E1212" s="2"/>
      </tp>
      <tp t="s">
        <v>#N/A N/A</v>
        <stp/>
        <stp>BDP|7239619929737643476</stp>
        <tr r="C1349" s="2"/>
      </tp>
      <tp t="s">
        <v>#N/A N/A</v>
        <stp/>
        <stp>BDP|7484631145311147481</stp>
        <tr r="O1439" s="2"/>
      </tp>
      <tp t="s">
        <v>#N/A N/A</v>
        <stp/>
        <stp>BDP|4704694995582711971</stp>
        <tr r="N545" s="2"/>
      </tp>
      <tp t="s">
        <v>#N/A N/A</v>
        <stp/>
        <stp>BDP|2876933414609464305</stp>
        <tr r="N178" s="2"/>
      </tp>
      <tp t="s">
        <v>#N/A N/A</v>
        <stp/>
        <stp>BDP|6941756556625216134</stp>
        <tr r="A58" s="2"/>
      </tp>
      <tp t="s">
        <v>#N/A N/A</v>
        <stp/>
        <stp>BDP|4148957255061343996</stp>
        <tr r="Q1252" s="2"/>
      </tp>
      <tp t="s">
        <v>#N/A N/A</v>
        <stp/>
        <stp>BDP|7435273901817015298</stp>
        <tr r="C745" s="2"/>
      </tp>
      <tp t="s">
        <v>#N/A N/A</v>
        <stp/>
        <stp>BDP|9401789381214539239</stp>
        <tr r="T622" s="2"/>
      </tp>
      <tp t="s">
        <v>#N/A N/A</v>
        <stp/>
        <stp>BDP|3065092523615704462</stp>
        <tr r="R1490" s="2"/>
      </tp>
      <tp t="s">
        <v>#N/A N/A</v>
        <stp/>
        <stp>BDP|3584322555971147487</stp>
        <tr r="P567" s="2"/>
      </tp>
      <tp t="s">
        <v>#N/A N/A</v>
        <stp/>
        <stp>BDP|4896351548456644588</stp>
        <tr r="E804" s="2"/>
      </tp>
      <tp t="s">
        <v>#N/A N/A</v>
        <stp/>
        <stp>BDP|5834653431866789600</stp>
        <tr r="S1740" s="2"/>
      </tp>
      <tp t="s">
        <v>#N/A N/A</v>
        <stp/>
        <stp>BDP|2981127627893217256</stp>
        <tr r="F4" s="2"/>
      </tp>
      <tp t="s">
        <v>#N/A N/A</v>
        <stp/>
        <stp>BDP|9567360598135358632</stp>
        <tr r="C1548" s="2"/>
      </tp>
      <tp t="s">
        <v>#N/A N/A</v>
        <stp/>
        <stp>BDP|7225777472741429683</stp>
        <tr r="H1069" s="2"/>
      </tp>
      <tp t="s">
        <v>#N/A N/A</v>
        <stp/>
        <stp>BDP|7428237350160823045</stp>
        <tr r="J93" s="2"/>
      </tp>
      <tp t="s">
        <v>#N/A N/A</v>
        <stp/>
        <stp>BDP|1387487360993872082</stp>
        <tr r="E741" s="2"/>
      </tp>
      <tp t="s">
        <v>#N/A N/A</v>
        <stp/>
        <stp>BDP|8865938329442009199</stp>
        <tr r="C912" s="2"/>
      </tp>
      <tp t="s">
        <v>#N/A N/A</v>
        <stp/>
        <stp>BDP|9133440801679727484</stp>
        <tr r="G1600" s="2"/>
      </tp>
      <tp t="s">
        <v>#N/A N/A</v>
        <stp/>
        <stp>BDP|2872739653671633159</stp>
        <tr r="G1560" s="2"/>
      </tp>
      <tp t="s">
        <v>#N/A N/A</v>
        <stp/>
        <stp>BDP|3945790129732196438</stp>
        <tr r="N1383" s="2"/>
      </tp>
      <tp t="s">
        <v>#N/A N/A</v>
        <stp/>
        <stp>BDP|3280398958520865501</stp>
        <tr r="S554" s="2"/>
      </tp>
      <tp t="s">
        <v>#N/A N/A</v>
        <stp/>
        <stp>BDP|2840336359403909704</stp>
        <tr r="R708" s="2"/>
      </tp>
      <tp t="s">
        <v>#N/A N/A</v>
        <stp/>
        <stp>BDP|5836312755037616415</stp>
        <tr r="A724" s="2"/>
      </tp>
      <tp t="s">
        <v>#N/A N/A</v>
        <stp/>
        <stp>BDP|3512838038421586900</stp>
        <tr r="G1384" s="2"/>
      </tp>
      <tp t="s">
        <v>#N/A N/A</v>
        <stp/>
        <stp>BDP|4764580704351095009</stp>
        <tr r="A572" s="2"/>
      </tp>
      <tp t="s">
        <v>#N/A N/A</v>
        <stp/>
        <stp>BDP|7800591664621659587</stp>
        <tr r="F1674" s="2"/>
      </tp>
      <tp t="s">
        <v>#N/A N/A</v>
        <stp/>
        <stp>BDP|2249275579307752002</stp>
        <tr r="G78" s="2"/>
      </tp>
      <tp t="s">
        <v>#N/A N/A</v>
        <stp/>
        <stp>BDP|3474707315756228380</stp>
        <tr r="E449" s="2"/>
      </tp>
      <tp t="s">
        <v>#N/A N/A</v>
        <stp/>
        <stp>BDP|2026986485716575530</stp>
        <tr r="E1410" s="2"/>
      </tp>
      <tp t="s">
        <v>#N/A N/A</v>
        <stp/>
        <stp>BDP|3561686971591420333</stp>
        <tr r="Q705" s="2"/>
      </tp>
      <tp t="s">
        <v>#N/A N/A</v>
        <stp/>
        <stp>BDP|3876222465052609521</stp>
        <tr r="J227" s="2"/>
      </tp>
      <tp t="s">
        <v>#N/A N/A</v>
        <stp/>
        <stp>BDP|9952638030585054919</stp>
        <tr r="Q910" s="2"/>
      </tp>
      <tp t="s">
        <v>#N/A N/A</v>
        <stp/>
        <stp>BDP|7462284363487611423</stp>
        <tr r="N289" s="2"/>
      </tp>
      <tp t="s">
        <v>#N/A N/A</v>
        <stp/>
        <stp>BDP|3108477306492836537</stp>
        <tr r="R625" s="2"/>
      </tp>
      <tp t="s">
        <v>#N/A N/A</v>
        <stp/>
        <stp>BDP|9038025283708863920</stp>
        <tr r="A1396" s="2"/>
      </tp>
      <tp t="s">
        <v>#N/A N/A</v>
        <stp/>
        <stp>BDP|7328009370097198795</stp>
        <tr r="C607" s="2"/>
      </tp>
      <tp t="s">
        <v>#N/A N/A</v>
        <stp/>
        <stp>BDP|5734228525814815134</stp>
        <tr r="O1122" s="2"/>
      </tp>
      <tp t="s">
        <v>#N/A N/A</v>
        <stp/>
        <stp>BDP|3316407468318923991</stp>
        <tr r="M53" s="2"/>
      </tp>
      <tp t="s">
        <v>#N/A N/A</v>
        <stp/>
        <stp>BDP|7147826768851355839</stp>
        <tr r="M518" s="2"/>
      </tp>
      <tp t="s">
        <v>#N/A N/A</v>
        <stp/>
        <stp>BDP|5839597451772366783</stp>
        <tr r="Q1068" s="2"/>
      </tp>
      <tp t="s">
        <v>#N/A N/A</v>
        <stp/>
        <stp>BDP|5511207108491025659</stp>
        <tr r="N1123" s="2"/>
      </tp>
      <tp t="s">
        <v>#N/A N/A</v>
        <stp/>
        <stp>BDS|6717947848073785844</stp>
        <tr r="I1538" s="2"/>
      </tp>
      <tp t="s">
        <v>#N/A N/A</v>
        <stp/>
        <stp>BDP|5106330094817979876</stp>
        <tr r="D939" s="2"/>
      </tp>
      <tp t="s">
        <v>#N/A N/A</v>
        <stp/>
        <stp>BDP|9298864290938950058</stp>
        <tr r="R333" s="2"/>
      </tp>
      <tp t="s">
        <v>#N/A N/A</v>
        <stp/>
        <stp>BDP|9983956265023844592</stp>
        <tr r="F1026" s="2"/>
      </tp>
      <tp t="s">
        <v>#N/A N/A</v>
        <stp/>
        <stp>BDP|1674660117957710187</stp>
        <tr r="J171" s="2"/>
      </tp>
      <tp t="s">
        <v>#N/A N/A</v>
        <stp/>
        <stp>BDP|8376958129947273459</stp>
        <tr r="J1508" s="2"/>
      </tp>
      <tp t="s">
        <v>#N/A N/A</v>
        <stp/>
        <stp>BDP|3287268843390785583</stp>
        <tr r="R187" s="2"/>
      </tp>
      <tp t="s">
        <v>#N/A N/A</v>
        <stp/>
        <stp>BDP|6412060768384233409</stp>
        <tr r="D162" s="2"/>
      </tp>
      <tp t="s">
        <v>#N/A N/A</v>
        <stp/>
        <stp>BDP|9892157627333738956</stp>
        <tr r="J1320" s="2"/>
      </tp>
      <tp t="s">
        <v>#N/A N/A</v>
        <stp/>
        <stp>BDP|7100950033989661497</stp>
        <tr r="E1576" s="2"/>
      </tp>
      <tp t="s">
        <v>#N/A N/A</v>
        <stp/>
        <stp>BDP|8634579349801297820</stp>
        <tr r="N197" s="2"/>
      </tp>
      <tp t="s">
        <v>#N/A N/A</v>
        <stp/>
        <stp>BDP|2315005638578125928</stp>
        <tr r="O1378" s="2"/>
      </tp>
      <tp t="s">
        <v>#N/A N/A</v>
        <stp/>
        <stp>BDP|2179105408711290237</stp>
        <tr r="P1531" s="2"/>
      </tp>
      <tp t="s">
        <v>#N/A N/A</v>
        <stp/>
        <stp>BDP|2039518659417207524</stp>
        <tr r="A1479" s="2"/>
      </tp>
      <tp t="s">
        <v>#N/A N/A</v>
        <stp/>
        <stp>BDS|1696953203070822801</stp>
        <tr r="I362" s="2"/>
      </tp>
      <tp t="s">
        <v>#N/A N/A</v>
        <stp/>
        <stp>BDP|3866857982892547120</stp>
        <tr r="S459" s="2"/>
      </tp>
      <tp t="s">
        <v>#N/A N/A</v>
        <stp/>
        <stp>BDP|2738281773453733438</stp>
        <tr r="S1115" s="2"/>
      </tp>
      <tp t="s">
        <v>#N/A N/A</v>
        <stp/>
        <stp>BDP|7718138802551942774</stp>
        <tr r="G852" s="2"/>
      </tp>
      <tp t="s">
        <v>#N/A N/A</v>
        <stp/>
        <stp>BDP|7103010605900875752</stp>
        <tr r="H1420" s="2"/>
      </tp>
      <tp t="s">
        <v>#N/A N/A</v>
        <stp/>
        <stp>BDP|9759869823482376193</stp>
        <tr r="C483" s="2"/>
      </tp>
      <tp t="s">
        <v>#N/A N/A</v>
        <stp/>
        <stp>BDP|4378236117427798083</stp>
        <tr r="A1015" s="2"/>
      </tp>
      <tp t="s">
        <v>#N/A N/A</v>
        <stp/>
        <stp>BDP|9882250557488071624</stp>
        <tr r="R1254" s="2"/>
      </tp>
      <tp t="s">
        <v>#N/A N/A</v>
        <stp/>
        <stp>BDP|7364891186423698425</stp>
        <tr r="R128" s="2"/>
      </tp>
      <tp t="s">
        <v>#N/A N/A</v>
        <stp/>
        <stp>BDP|7914502917252590137</stp>
        <tr r="C1029" s="2"/>
      </tp>
      <tp t="s">
        <v>#N/A N/A</v>
        <stp/>
        <stp>BDP|8294996766914106348</stp>
        <tr r="S279" s="2"/>
      </tp>
      <tp t="s">
        <v>#N/A N/A</v>
        <stp/>
        <stp>BDP|8872934717501793131</stp>
        <tr r="O591" s="2"/>
      </tp>
      <tp t="s">
        <v>#N/A N/A</v>
        <stp/>
        <stp>BDP|1095443243373627295</stp>
        <tr r="R1352" s="2"/>
      </tp>
      <tp t="s">
        <v>#N/A N/A</v>
        <stp/>
        <stp>BDP|2815175115043622148</stp>
        <tr r="M1742" s="2"/>
      </tp>
      <tp t="s">
        <v>#N/A N/A</v>
        <stp/>
        <stp>BDP|3030596135267573211</stp>
        <tr r="R1177" s="2"/>
      </tp>
      <tp t="s">
        <v>#N/A N/A</v>
        <stp/>
        <stp>BDP|9566444299520660460</stp>
        <tr r="D1546" s="2"/>
      </tp>
      <tp t="s">
        <v>#N/A N/A</v>
        <stp/>
        <stp>BDP|5547536750495764091</stp>
        <tr r="E1624" s="2"/>
      </tp>
      <tp t="s">
        <v>#N/A N/A</v>
        <stp/>
        <stp>BDP|6358571504342824104</stp>
        <tr r="J1059" s="2"/>
      </tp>
      <tp t="s">
        <v>#N/A N/A</v>
        <stp/>
        <stp>BDP|4459202476023217287</stp>
        <tr r="D817" s="2"/>
      </tp>
      <tp t="s">
        <v>#N/A N/A</v>
        <stp/>
        <stp>BDP|4032627750465808221</stp>
        <tr r="P1248" s="2"/>
      </tp>
      <tp t="s">
        <v>#N/A N/A</v>
        <stp/>
        <stp>BDP|7960026334353160765</stp>
        <tr r="M370" s="2"/>
      </tp>
      <tp t="s">
        <v>#N/A N/A</v>
        <stp/>
        <stp>BDP|4348178346313986237</stp>
        <tr r="H1416" s="2"/>
      </tp>
      <tp t="s">
        <v>#N/A N/A</v>
        <stp/>
        <stp>BDP|4810138132867709161</stp>
        <tr r="S1365" s="2"/>
      </tp>
      <tp t="s">
        <v>#N/A N/A</v>
        <stp/>
        <stp>BDP|4659599203328760939</stp>
        <tr r="D755" s="2"/>
      </tp>
      <tp t="s">
        <v>#N/A N/A</v>
        <stp/>
        <stp>BDP|4839643846102704452</stp>
        <tr r="G920" s="2"/>
      </tp>
      <tp t="s">
        <v>#N/A N/A</v>
        <stp/>
        <stp>BDP|7211051124273346685</stp>
        <tr r="E839" s="2"/>
      </tp>
      <tp t="s">
        <v>#N/A N/A</v>
        <stp/>
        <stp>BDP|5638460804343448287</stp>
        <tr r="H1023" s="2"/>
      </tp>
      <tp t="s">
        <v>#N/A N/A</v>
        <stp/>
        <stp>BDP|3942519652722108139</stp>
        <tr r="M138" s="2"/>
      </tp>
      <tp t="s">
        <v>#N/A N/A</v>
        <stp/>
        <stp>BDP|7599257021533993401</stp>
        <tr r="A840" s="2"/>
      </tp>
      <tp t="s">
        <v>#N/A N/A</v>
        <stp/>
        <stp>BDP|3940883804319422295</stp>
        <tr r="P528" s="2"/>
      </tp>
      <tp t="s">
        <v>#N/A N/A</v>
        <stp/>
        <stp>BDP|9012414382550854537</stp>
        <tr r="D385" s="2"/>
      </tp>
      <tp t="s">
        <v>#N/A N/A</v>
        <stp/>
        <stp>BDP|3565392365363202535</stp>
        <tr r="S209" s="2"/>
      </tp>
      <tp t="s">
        <v>#N/A N/A</v>
        <stp/>
        <stp>BDP|5539731789048018271</stp>
        <tr r="S437" s="2"/>
      </tp>
      <tp t="s">
        <v>#N/A N/A</v>
        <stp/>
        <stp>BDP|9444891900763069256</stp>
        <tr r="T638" s="2"/>
      </tp>
      <tp t="s">
        <v>#N/A N/A</v>
        <stp/>
        <stp>BDP|6548847272600396989</stp>
        <tr r="A819" s="2"/>
      </tp>
      <tp t="s">
        <v>#N/A N/A</v>
        <stp/>
        <stp>BDP|2742201300255739581</stp>
        <tr r="S1542" s="2"/>
      </tp>
      <tp t="s">
        <v>#N/A N/A</v>
        <stp/>
        <stp>BDP|6071780501006509742</stp>
        <tr r="S708" s="2"/>
      </tp>
      <tp t="s">
        <v>#N/A N/A</v>
        <stp/>
        <stp>BDP|1200587841920691052</stp>
        <tr r="H668" s="2"/>
      </tp>
      <tp t="s">
        <v>#N/A N/A</v>
        <stp/>
        <stp>BDP|1902168902346284676</stp>
        <tr r="P633" s="2"/>
      </tp>
      <tp t="s">
        <v>#N/A N/A</v>
        <stp/>
        <stp>BDS|9773833076085840326</stp>
        <tr r="I292" s="2"/>
      </tp>
      <tp t="s">
        <v>#N/A N/A</v>
        <stp/>
        <stp>BDP|5675096024417660057</stp>
        <tr r="N491" s="2"/>
      </tp>
      <tp t="s">
        <v>#N/A N/A</v>
        <stp/>
        <stp>BDP|5702430604528143995</stp>
        <tr r="K516" s="2"/>
      </tp>
      <tp t="s">
        <v>#N/A N/A</v>
        <stp/>
        <stp>BDP|8315090785475765507</stp>
        <tr r="H1165" s="2"/>
      </tp>
      <tp t="s">
        <v>#N/A N/A</v>
        <stp/>
        <stp>BDP|9108195991420762163</stp>
        <tr r="D1520" s="2"/>
      </tp>
      <tp t="s">
        <v>#N/A N/A</v>
        <stp/>
        <stp>BDP|7755017479736110660</stp>
        <tr r="C972" s="2"/>
      </tp>
      <tp t="s">
        <v>#N/A N/A</v>
        <stp/>
        <stp>BDS|8854269047429494756</stp>
        <tr r="I198" s="2"/>
      </tp>
      <tp t="s">
        <v>#N/A N/A</v>
        <stp/>
        <stp>BDP|3872281309042029310</stp>
        <tr r="O123" s="2"/>
      </tp>
      <tp t="s">
        <v>#N/A N/A</v>
        <stp/>
        <stp>BDP|3932121550830251718</stp>
        <tr r="E216" s="2"/>
      </tp>
      <tp t="s">
        <v>#N/A N/A</v>
        <stp/>
        <stp>BDP|3951130525631452131</stp>
        <tr r="D391" s="2"/>
      </tp>
      <tp t="s">
        <v>#N/A N/A</v>
        <stp/>
        <stp>BDP|7515188174996767761</stp>
        <tr r="F994" s="2"/>
      </tp>
      <tp t="s">
        <v>#N/A N/A</v>
        <stp/>
        <stp>BDP|7414420705552976125</stp>
        <tr r="C191" s="2"/>
      </tp>
      <tp t="s">
        <v>#N/A N/A</v>
        <stp/>
        <stp>BDP|1242184771082261510</stp>
        <tr r="A1690" s="2"/>
      </tp>
      <tp t="s">
        <v>#N/A N/A</v>
        <stp/>
        <stp>BDP|5999637216727173558</stp>
        <tr r="Q589" s="2"/>
      </tp>
      <tp t="s">
        <v>#N/A N/A</v>
        <stp/>
        <stp>BDP|2780287623016270471</stp>
        <tr r="T132" s="2"/>
      </tp>
      <tp t="s">
        <v>#N/A N/A</v>
        <stp/>
        <stp>BDP|1801508315564459100</stp>
        <tr r="H1412" s="2"/>
      </tp>
      <tp t="s">
        <v>#N/A N/A</v>
        <stp/>
        <stp>BDP|4042297567971769104</stp>
        <tr r="A1094" s="2"/>
      </tp>
      <tp t="s">
        <v>#N/A N/A</v>
        <stp/>
        <stp>BDP|5831519716429706815</stp>
        <tr r="F1636" s="2"/>
      </tp>
      <tp t="s">
        <v>#N/A N/A</v>
        <stp/>
        <stp>BDP|7098489604690681334</stp>
        <tr r="H1578" s="2"/>
      </tp>
      <tp t="s">
        <v>#N/A N/A</v>
        <stp/>
        <stp>BDP|2101608308550477440</stp>
        <tr r="C1361" s="2"/>
      </tp>
      <tp t="s">
        <v>#N/A N/A</v>
        <stp/>
        <stp>BDP|2785497910384746302</stp>
        <tr r="N1587" s="2"/>
      </tp>
      <tp t="s">
        <v>#N/A N/A</v>
        <stp/>
        <stp>BDP|4506138025212924532</stp>
        <tr r="C459" s="2"/>
      </tp>
      <tp t="s">
        <v>#N/A N/A</v>
        <stp/>
        <stp>BDP|9881379596957232421</stp>
        <tr r="O1414" s="2"/>
      </tp>
      <tp t="s">
        <v>#N/A N/A</v>
        <stp/>
        <stp>BDP|3771184655374528368</stp>
        <tr r="Q856" s="2"/>
      </tp>
      <tp t="s">
        <v>#N/A N/A</v>
        <stp/>
        <stp>BDP|4407293713981572627</stp>
        <tr r="O1319" s="2"/>
      </tp>
      <tp t="s">
        <v>#N/A N/A</v>
        <stp/>
        <stp>BDP|4774673353931880628</stp>
        <tr r="N864" s="2"/>
      </tp>
      <tp t="s">
        <v>#N/A N/A</v>
        <stp/>
        <stp>BDP|5681080152205036554</stp>
        <tr r="K785" s="2"/>
      </tp>
      <tp t="s">
        <v>#N/A N/A</v>
        <stp/>
        <stp>BDP|6117919090571057795</stp>
        <tr r="A144" s="2"/>
      </tp>
      <tp t="s">
        <v>#N/A N/A</v>
        <stp/>
        <stp>BDP|7406307145642843208</stp>
        <tr r="F497" s="2"/>
      </tp>
      <tp t="s">
        <v>#N/A N/A</v>
        <stp/>
        <stp>BDP|6365166015375893317</stp>
        <tr r="T49" s="2"/>
      </tp>
      <tp t="s">
        <v>#N/A N/A</v>
        <stp/>
        <stp>BDP|4313274963195881561</stp>
        <tr r="K263" s="2"/>
      </tp>
      <tp t="s">
        <v>#N/A N/A</v>
        <stp/>
        <stp>BDP|6203891732688731579</stp>
        <tr r="A75" s="2"/>
      </tp>
      <tp t="s">
        <v>#N/A N/A</v>
        <stp/>
        <stp>BDP|7690609148954504125</stp>
        <tr r="P1119" s="2"/>
      </tp>
      <tp t="s">
        <v>#N/A N/A</v>
        <stp/>
        <stp>BDP|1857902015958549116</stp>
        <tr r="M1367" s="2"/>
      </tp>
      <tp t="s">
        <v>#N/A N/A</v>
        <stp/>
        <stp>BDP|6555485670167284266</stp>
        <tr r="P963" s="2"/>
      </tp>
      <tp t="s">
        <v>#N/A N/A</v>
        <stp/>
        <stp>BDP|9806215820069024008</stp>
        <tr r="D670" s="2"/>
      </tp>
      <tp t="s">
        <v>#N/A N/A</v>
        <stp/>
        <stp>BDP|6821184663836879726</stp>
        <tr r="E1319" s="2"/>
      </tp>
      <tp t="s">
        <v>#N/A N/A</v>
        <stp/>
        <stp>BDS|9459434850478702098</stp>
        <tr r="I551" s="2"/>
      </tp>
      <tp t="s">
        <v>#N/A N/A</v>
        <stp/>
        <stp>BDP|3838324834834743705</stp>
        <tr r="K905" s="2"/>
      </tp>
      <tp t="s">
        <v>#N/A N/A</v>
        <stp/>
        <stp>BDP|8695829548613600738</stp>
        <tr r="P1612" s="2"/>
      </tp>
      <tp t="s">
        <v>#N/A N/A</v>
        <stp/>
        <stp>BDP|2742860644238514699</stp>
        <tr r="D866" s="2"/>
      </tp>
      <tp t="s">
        <v>#N/A N/A</v>
        <stp/>
        <stp>BDP|7141036343796985513</stp>
        <tr r="C1509" s="2"/>
      </tp>
      <tp t="s">
        <v>#N/A N/A</v>
        <stp/>
        <stp>BDS|2496462623185827105</stp>
        <tr r="I1286" s="2"/>
      </tp>
      <tp t="s">
        <v>#N/A N/A</v>
        <stp/>
        <stp>BDP|5927257327543285609</stp>
        <tr r="P1277" s="2"/>
      </tp>
      <tp t="s">
        <v>#N/A N/A</v>
        <stp/>
        <stp>BDP|4296041020807770186</stp>
        <tr r="O761" s="2"/>
      </tp>
      <tp t="s">
        <v>#N/A N/A</v>
        <stp/>
        <stp>BDP|5825231860836128738</stp>
        <tr r="S1322" s="2"/>
      </tp>
      <tp t="s">
        <v>#N/A N/A</v>
        <stp/>
        <stp>BDP|1686841196851495199</stp>
        <tr r="N1631" s="2"/>
      </tp>
      <tp t="s">
        <v>#N/A N/A</v>
        <stp/>
        <stp>BDP|1453909140144584884</stp>
        <tr r="F1584" s="2"/>
      </tp>
      <tp t="s">
        <v>#N/A N/A</v>
        <stp/>
        <stp>BDP|1909818182166283710</stp>
        <tr r="J1317" s="2"/>
      </tp>
      <tp t="s">
        <v>#N/A N/A</v>
        <stp/>
        <stp>BDP|3673626335195946315</stp>
        <tr r="T1034" s="2"/>
      </tp>
      <tp t="s">
        <v>#N/A N/A</v>
        <stp/>
        <stp>BDP|3077744324385125383</stp>
        <tr r="Q930" s="2"/>
      </tp>
      <tp t="s">
        <v>#N/A N/A</v>
        <stp/>
        <stp>BDP|6901397808660275537</stp>
        <tr r="K866" s="2"/>
      </tp>
      <tp t="s">
        <v>#N/A N/A</v>
        <stp/>
        <stp>BDS|7226049686008804718</stp>
        <tr r="I1261" s="2"/>
      </tp>
      <tp t="s">
        <v>#N/A N/A</v>
        <stp/>
        <stp>BDP|1109757281928979659</stp>
        <tr r="E1382" s="2"/>
      </tp>
      <tp t="s">
        <v>#N/A N/A</v>
        <stp/>
        <stp>BDP|2832164156303132507</stp>
        <tr r="S755" s="2"/>
      </tp>
      <tp t="s">
        <v>#N/A N/A</v>
        <stp/>
        <stp>BDP|6521442711520168383</stp>
        <tr r="E340" s="2"/>
      </tp>
      <tp t="s">
        <v>#N/A N/A</v>
        <stp/>
        <stp>BDP|9847801962367330005</stp>
        <tr r="M1148" s="2"/>
      </tp>
      <tp t="s">
        <v>#N/A N/A</v>
        <stp/>
        <stp>BDP|8328905644747611281</stp>
        <tr r="P588" s="2"/>
      </tp>
      <tp t="s">
        <v>#N/A N/A</v>
        <stp/>
        <stp>BDP|5742219862500539188</stp>
        <tr r="J229" s="2"/>
      </tp>
      <tp t="s">
        <v>#N/A N/A</v>
        <stp/>
        <stp>BDP|7956934197345710230</stp>
        <tr r="J845" s="2"/>
      </tp>
      <tp t="s">
        <v>#N/A N/A</v>
        <stp/>
        <stp>BDP|7296695054815474121</stp>
        <tr r="J624" s="2"/>
      </tp>
      <tp t="s">
        <v>#N/A N/A</v>
        <stp/>
        <stp>BDP|8560064898098615946</stp>
        <tr r="C488" s="2"/>
      </tp>
      <tp t="s">
        <v>#N/A N/A</v>
        <stp/>
        <stp>BDP|3426399000711091140</stp>
        <tr r="J445" s="2"/>
      </tp>
      <tp t="s">
        <v>#N/A N/A</v>
        <stp/>
        <stp>BDP|8038667899591649600</stp>
        <tr r="E895" s="2"/>
      </tp>
      <tp t="s">
        <v>#N/A N/A</v>
        <stp/>
        <stp>BDP|9786539428027561902</stp>
        <tr r="O1346" s="2"/>
      </tp>
      <tp t="s">
        <v>#N/A N/A</v>
        <stp/>
        <stp>BDP|9649991170407244040</stp>
        <tr r="K728" s="2"/>
      </tp>
      <tp t="s">
        <v>#N/A N/A</v>
        <stp/>
        <stp>BDP|6261970549172424911</stp>
        <tr r="S794" s="2"/>
      </tp>
      <tp t="s">
        <v>#N/A N/A</v>
        <stp/>
        <stp>BDP|4441401339576435507</stp>
        <tr r="T107" s="2"/>
      </tp>
      <tp t="s">
        <v>#N/A N/A</v>
        <stp/>
        <stp>BDP|7336332011137971210</stp>
        <tr r="G179" s="2"/>
      </tp>
      <tp t="s">
        <v>#N/A N/A</v>
        <stp/>
        <stp>BDP|2902696112267308283</stp>
        <tr r="S89" s="2"/>
      </tp>
      <tp t="s">
        <v>#N/A N/A</v>
        <stp/>
        <stp>BDP|5748254479754414461</stp>
        <tr r="D374" s="2"/>
      </tp>
      <tp t="s">
        <v>#N/A N/A</v>
        <stp/>
        <stp>BDP|5627962284947964349</stp>
        <tr r="C994" s="2"/>
      </tp>
      <tp t="s">
        <v>#N/A N/A</v>
        <stp/>
        <stp>BDP|8810880499221750870</stp>
        <tr r="J269" s="2"/>
      </tp>
      <tp t="s">
        <v>#N/A N/A</v>
        <stp/>
        <stp>BDP|3839684149369002802</stp>
        <tr r="D505" s="2"/>
      </tp>
      <tp t="s">
        <v>#N/A N/A</v>
        <stp/>
        <stp>BDS|9898938336034015745</stp>
        <tr r="I1705" s="2"/>
      </tp>
      <tp t="s">
        <v>#N/A N/A</v>
        <stp/>
        <stp>BDP|4548553961076008181</stp>
        <tr r="P1018" s="2"/>
      </tp>
      <tp t="s">
        <v>#N/A N/A</v>
        <stp/>
        <stp>BDP|8994566910578450456</stp>
        <tr r="D314" s="2"/>
      </tp>
      <tp t="s">
        <v>#N/A N/A</v>
        <stp/>
        <stp>BDP|9815735346309196326</stp>
        <tr r="E1599" s="2"/>
      </tp>
      <tp t="s">
        <v>#N/A N/A</v>
        <stp/>
        <stp>BDP|1785543667374946634</stp>
        <tr r="O457" s="2"/>
      </tp>
      <tp t="s">
        <v>#N/A N/A</v>
        <stp/>
        <stp>BDP|2151611918784329159</stp>
        <tr r="P888" s="2"/>
      </tp>
      <tp t="s">
        <v>#N/A N/A</v>
        <stp/>
        <stp>BDP|7914851489120818738</stp>
        <tr r="M1060" s="2"/>
      </tp>
      <tp t="s">
        <v>#N/A N/A</v>
        <stp/>
        <stp>BDP|4006204442924403686</stp>
        <tr r="K882" s="2"/>
      </tp>
      <tp t="s">
        <v>#N/A N/A</v>
        <stp/>
        <stp>BDP|1400696998936912825</stp>
        <tr r="F9" s="2"/>
      </tp>
      <tp t="s">
        <v>#N/A N/A</v>
        <stp/>
        <stp>BDP|3985021899268541294</stp>
        <tr r="S106" s="2"/>
      </tp>
      <tp t="s">
        <v>#N/A N/A</v>
        <stp/>
        <stp>BDP|7085727657171221496</stp>
        <tr r="M923" s="2"/>
      </tp>
      <tp t="s">
        <v>#N/A N/A</v>
        <stp/>
        <stp>BDP|4843121657137596767</stp>
        <tr r="C365" s="2"/>
      </tp>
      <tp t="s">
        <v>#N/A N/A</v>
        <stp/>
        <stp>BDP|2777563008451529628</stp>
        <tr r="G854" s="2"/>
      </tp>
      <tp t="s">
        <v>#N/A N/A</v>
        <stp/>
        <stp>BDP|3306296376163496563</stp>
        <tr r="E795" s="2"/>
      </tp>
      <tp t="s">
        <v>#N/A N/A</v>
        <stp/>
        <stp>BDP|5138598755277149220</stp>
        <tr r="R1508" s="2"/>
      </tp>
      <tp t="s">
        <v>#N/A N/A</v>
        <stp/>
        <stp>BDP|2927993749879444630</stp>
        <tr r="A98" s="2"/>
      </tp>
      <tp t="s">
        <v>#N/A N/A</v>
        <stp/>
        <stp>BDP|5882918311899316454</stp>
        <tr r="G1339" s="2"/>
      </tp>
      <tp t="s">
        <v>#N/A N/A</v>
        <stp/>
        <stp>BDS|1086103176200826707</stp>
        <tr r="I366" s="2"/>
      </tp>
      <tp t="s">
        <v>#N/A N/A</v>
        <stp/>
        <stp>BDP|7320326366932022090</stp>
        <tr r="D759" s="2"/>
      </tp>
      <tp t="s">
        <v>#N/A N/A</v>
        <stp/>
        <stp>BDP|4195389075356389614</stp>
        <tr r="P106" s="2"/>
      </tp>
      <tp t="s">
        <v>#N/A N/A</v>
        <stp/>
        <stp>BDP|3001413875053989335</stp>
        <tr r="O1403" s="2"/>
      </tp>
      <tp t="s">
        <v>#N/A N/A</v>
        <stp/>
        <stp>BDP|5085114554135243497</stp>
        <tr r="H1053" s="2"/>
      </tp>
      <tp t="s">
        <v>#N/A N/A</v>
        <stp/>
        <stp>BDS|5333369432641082499</stp>
        <tr r="I1097" s="2"/>
      </tp>
      <tp t="s">
        <v>#N/A N/A</v>
        <stp/>
        <stp>BDP|4906278103190023635</stp>
        <tr r="D868" s="2"/>
      </tp>
      <tp t="s">
        <v>#N/A N/A</v>
        <stp/>
        <stp>BDP|8574819879416035137</stp>
        <tr r="K879" s="2"/>
      </tp>
      <tp t="s">
        <v>#N/A N/A</v>
        <stp/>
        <stp>BDP|5088656481108355394</stp>
        <tr r="H608" s="2"/>
      </tp>
      <tp t="s">
        <v>#N/A N/A</v>
        <stp/>
        <stp>BDS|4198350145041817275</stp>
        <tr r="I237" s="2"/>
      </tp>
      <tp t="s">
        <v>#N/A N/A</v>
        <stp/>
        <stp>BDP|4881534082190403933</stp>
        <tr r="D1513" s="2"/>
      </tp>
      <tp t="s">
        <v>#N/A N/A</v>
        <stp/>
        <stp>BDP|2318057190333065882</stp>
        <tr r="N40" s="2"/>
      </tp>
      <tp t="s">
        <v>#N/A N/A</v>
        <stp/>
        <stp>BDP|8837047791718629950</stp>
        <tr r="E1424" s="2"/>
      </tp>
      <tp t="s">
        <v>#N/A N/A</v>
        <stp/>
        <stp>BDP|3761386683350128830</stp>
        <tr r="M752" s="2"/>
      </tp>
      <tp t="s">
        <v>#N/A N/A</v>
        <stp/>
        <stp>BDP|1947864723973013828</stp>
        <tr r="Q499" s="2"/>
      </tp>
      <tp t="s">
        <v>#N/A N/A</v>
        <stp/>
        <stp>BDP|7382039319707440132</stp>
        <tr r="J1719" s="2"/>
      </tp>
      <tp t="s">
        <v>#N/A N/A</v>
        <stp/>
        <stp>BDP|4166338666440205189</stp>
        <tr r="K1213" s="2"/>
      </tp>
      <tp t="s">
        <v>#N/A N/A</v>
        <stp/>
        <stp>BDP|7892542023791679178</stp>
        <tr r="C1357" s="2"/>
      </tp>
      <tp t="s">
        <v>#N/A N/A</v>
        <stp/>
        <stp>BDP|9534506695703730692</stp>
        <tr r="F1534" s="2"/>
      </tp>
      <tp t="s">
        <v>#N/A N/A</v>
        <stp/>
        <stp>BDP|2988448051021726251</stp>
        <tr r="M385" s="2"/>
      </tp>
      <tp t="s">
        <v>#N/A N/A</v>
        <stp/>
        <stp>BDP|2004443468139734953</stp>
        <tr r="P683" s="2"/>
      </tp>
      <tp t="s">
        <v>#N/A N/A</v>
        <stp/>
        <stp>BDP|4647607258953607468</stp>
        <tr r="A1499" s="2"/>
      </tp>
      <tp t="s">
        <v>#N/A N/A</v>
        <stp/>
        <stp>BDP|9391967414519813878</stp>
        <tr r="P1576" s="2"/>
      </tp>
      <tp t="s">
        <v>#N/A N/A</v>
        <stp/>
        <stp>BDP|3017795533396216164</stp>
        <tr r="R1250" s="2"/>
      </tp>
      <tp t="s">
        <v>#N/A N/A</v>
        <stp/>
        <stp>BDP|4432821806215655987</stp>
        <tr r="F817" s="2"/>
      </tp>
      <tp t="s">
        <v>#N/A N/A</v>
        <stp/>
        <stp>BDS|6870031452695323643</stp>
        <tr r="I298" s="2"/>
      </tp>
      <tp t="s">
        <v>#N/A N/A</v>
        <stp/>
        <stp>BDP|7385356965434510689</stp>
        <tr r="N683" s="2"/>
      </tp>
      <tp t="s">
        <v>#N/A N/A</v>
        <stp/>
        <stp>BDP|2882349419795327586</stp>
        <tr r="C946" s="2"/>
      </tp>
      <tp t="s">
        <v>#N/A N/A</v>
        <stp/>
        <stp>BDP|5390786600295495716</stp>
        <tr r="Q689" s="2"/>
      </tp>
      <tp t="s">
        <v>#N/A N/A</v>
        <stp/>
        <stp>BDS|8935675108329027781</stp>
        <tr r="I173" s="2"/>
      </tp>
      <tp t="s">
        <v>#N/A N/A</v>
        <stp/>
        <stp>BDP|5887243292989715776</stp>
        <tr r="S980" s="2"/>
      </tp>
      <tp t="s">
        <v>#N/A N/A</v>
        <stp/>
        <stp>BDP|2671400985467924944</stp>
        <tr r="Q1456" s="2"/>
      </tp>
      <tp t="s">
        <v>#N/A N/A</v>
        <stp/>
        <stp>BDP|6722337595308931461</stp>
        <tr r="S1357" s="2"/>
      </tp>
      <tp t="s">
        <v>#N/A N/A</v>
        <stp/>
        <stp>BDP|9596191991272669358</stp>
        <tr r="H1573" s="2"/>
      </tp>
      <tp t="s">
        <v>#N/A N/A</v>
        <stp/>
        <stp>BDP|5961100304392024633</stp>
        <tr r="A548" s="2"/>
      </tp>
      <tp t="s">
        <v>#N/A N/A</v>
        <stp/>
        <stp>BDP|7409662403136678793</stp>
        <tr r="D870" s="2"/>
      </tp>
      <tp t="s">
        <v>#N/A N/A</v>
        <stp/>
        <stp>BDP|6828358077347761538</stp>
        <tr r="T178" s="2"/>
      </tp>
      <tp t="s">
        <v>#N/A N/A</v>
        <stp/>
        <stp>BDP|1623031256954953049</stp>
        <tr r="K1415" s="2"/>
      </tp>
      <tp t="s">
        <v>#N/A N/A</v>
        <stp/>
        <stp>BDP|1823727358420594381</stp>
        <tr r="T1174" s="2"/>
      </tp>
      <tp t="s">
        <v>#N/A N/A</v>
        <stp/>
        <stp>BDP|2092466468187559742</stp>
        <tr r="F1501" s="2"/>
      </tp>
      <tp t="s">
        <v>#N/A N/A</v>
        <stp/>
        <stp>BDP|4138217760896604695</stp>
        <tr r="H1285" s="2"/>
      </tp>
      <tp t="s">
        <v>#N/A N/A</v>
        <stp/>
        <stp>BDP|3806120836703681256</stp>
        <tr r="E1479" s="2"/>
      </tp>
      <tp t="s">
        <v>#N/A N/A</v>
        <stp/>
        <stp>BDP|2996212807760750070</stp>
        <tr r="F936" s="2"/>
      </tp>
      <tp t="s">
        <v>#N/A N/A</v>
        <stp/>
        <stp>BDP|9308957610373852218</stp>
        <tr r="F6" s="2"/>
      </tp>
      <tp t="s">
        <v>#N/A N/A</v>
        <stp/>
        <stp>BDP|5429260070150489093</stp>
        <tr r="S777" s="2"/>
      </tp>
      <tp t="s">
        <v>#N/A N/A</v>
        <stp/>
        <stp>BDP|7187743746654470082</stp>
        <tr r="N417" s="2"/>
      </tp>
      <tp t="s">
        <v>#N/A N/A</v>
        <stp/>
        <stp>BDP|6834212720384223248</stp>
        <tr r="S1464" s="2"/>
      </tp>
      <tp t="s">
        <v>#N/A N/A</v>
        <stp/>
        <stp>BDP|7933738547556067223</stp>
        <tr r="D1221" s="2"/>
      </tp>
      <tp t="s">
        <v>#N/A N/A</v>
        <stp/>
        <stp>BDS|5619231088307398812</stp>
        <tr r="I1532" s="2"/>
      </tp>
      <tp t="s">
        <v>#N/A N/A</v>
        <stp/>
        <stp>BDP|4581270792026679994</stp>
        <tr r="N1071" s="2"/>
      </tp>
      <tp t="s">
        <v>#N/A N/A</v>
        <stp/>
        <stp>BDP|5847326431824574117</stp>
        <tr r="P1715" s="2"/>
      </tp>
      <tp t="s">
        <v>#N/A N/A</v>
        <stp/>
        <stp>BDP|7856068720820596546</stp>
        <tr r="R1074" s="2"/>
      </tp>
      <tp t="s">
        <v>#N/A N/A</v>
        <stp/>
        <stp>BDP|7167568676077710295</stp>
        <tr r="P897" s="2"/>
      </tp>
      <tp t="s">
        <v>#N/A N/A</v>
        <stp/>
        <stp>BDP|2650086431928116911</stp>
        <tr r="D633" s="2"/>
      </tp>
      <tp t="s">
        <v>#N/A N/A</v>
        <stp/>
        <stp>BDP|6919509872196638220</stp>
        <tr r="O1083" s="2"/>
      </tp>
      <tp t="s">
        <v>#N/A N/A</v>
        <stp/>
        <stp>BDP|7145598647656667066</stp>
        <tr r="K1622" s="2"/>
      </tp>
      <tp t="s">
        <v>#N/A N/A</v>
        <stp/>
        <stp>BDP|9217918729186251477</stp>
        <tr r="G907" s="2"/>
      </tp>
      <tp t="s">
        <v>#N/A N/A</v>
        <stp/>
        <stp>BDP|4079650020205219589</stp>
        <tr r="M903" s="2"/>
      </tp>
      <tp t="s">
        <v>#N/A N/A</v>
        <stp/>
        <stp>BDP|2449806307618991250</stp>
        <tr r="H313" s="2"/>
      </tp>
      <tp t="s">
        <v>#N/A N/A</v>
        <stp/>
        <stp>BDP|1788987148365014980</stp>
        <tr r="G461" s="2"/>
      </tp>
      <tp t="s">
        <v>#N/A N/A</v>
        <stp/>
        <stp>BDP|7948436918937477590</stp>
        <tr r="K1054" s="2"/>
      </tp>
      <tp t="s">
        <v>#N/A N/A</v>
        <stp/>
        <stp>BDP|5988071980475090818</stp>
        <tr r="S788" s="2"/>
      </tp>
      <tp t="s">
        <v>#N/A N/A</v>
        <stp/>
        <stp>BDP|9528558198507678214</stp>
        <tr r="T1429" s="2"/>
      </tp>
      <tp t="s">
        <v>#N/A N/A</v>
        <stp/>
        <stp>BDP|6252464239119283804</stp>
        <tr r="E1043" s="2"/>
      </tp>
      <tp t="s">
        <v>#N/A N/A</v>
        <stp/>
        <stp>BDP|5368185430464727339</stp>
        <tr r="C304" s="2"/>
      </tp>
      <tp t="s">
        <v>#N/A N/A</v>
        <stp/>
        <stp>BDP|8317698111089278661</stp>
        <tr r="K165" s="2"/>
      </tp>
      <tp t="s">
        <v>#N/A N/A</v>
        <stp/>
        <stp>BDP|6893596036697819707</stp>
        <tr r="T64" s="2"/>
      </tp>
      <tp t="s">
        <v>#N/A N/A</v>
        <stp/>
        <stp>BDP|1005069173185924334</stp>
        <tr r="T1507" s="2"/>
      </tp>
      <tp t="s">
        <v>#N/A N/A</v>
        <stp/>
        <stp>BDP|4508022619214499158</stp>
        <tr r="P517" s="2"/>
      </tp>
      <tp t="s">
        <v>#N/A N/A</v>
        <stp/>
        <stp>BDP|2424411578384669547</stp>
        <tr r="S177" s="2"/>
      </tp>
      <tp t="s">
        <v>#N/A N/A</v>
        <stp/>
        <stp>BDP|8745286627001031970</stp>
        <tr r="E1012" s="2"/>
      </tp>
      <tp t="s">
        <v>#N/A N/A</v>
        <stp/>
        <stp>BDP|5539746143040447690</stp>
        <tr r="F49" s="2"/>
      </tp>
      <tp t="s">
        <v>#N/A N/A</v>
        <stp/>
        <stp>BDP|3493745514846261392</stp>
        <tr r="F846" s="2"/>
      </tp>
      <tp t="s">
        <v>#N/A N/A</v>
        <stp/>
        <stp>BDP|7184797227832266021</stp>
        <tr r="F614" s="2"/>
      </tp>
      <tp t="s">
        <v>#N/A N/A</v>
        <stp/>
        <stp>BDP|2551365818508014844</stp>
        <tr r="N734" s="2"/>
      </tp>
      <tp t="s">
        <v>#N/A N/A</v>
        <stp/>
        <stp>BDP|8651395233721776942</stp>
        <tr r="N198" s="2"/>
      </tp>
      <tp t="s">
        <v>#N/A N/A</v>
        <stp/>
        <stp>BDP|4910378485916315973</stp>
        <tr r="E41" s="2"/>
      </tp>
      <tp t="s">
        <v>#N/A N/A</v>
        <stp/>
        <stp>BDP|7169581763854743029</stp>
        <tr r="Q205" s="2"/>
      </tp>
      <tp t="s">
        <v>#N/A N/A</v>
        <stp/>
        <stp>BDP|3850033852810090665</stp>
        <tr r="O890" s="2"/>
      </tp>
      <tp t="s">
        <v>#N/A N/A</v>
        <stp/>
        <stp>BDP|1104326235343167286</stp>
        <tr r="J75" s="2"/>
      </tp>
      <tp t="s">
        <v>#N/A N/A</v>
        <stp/>
        <stp>BDP|7705257878232151045</stp>
        <tr r="F1491" s="2"/>
      </tp>
      <tp t="s">
        <v>#N/A N/A</v>
        <stp/>
        <stp>BDS|8261442798585747063</stp>
        <tr r="I101" s="2"/>
      </tp>
      <tp t="s">
        <v>#N/A N/A</v>
        <stp/>
        <stp>BDP|9541670138584721827</stp>
        <tr r="A1660" s="2"/>
      </tp>
      <tp t="s">
        <v>#N/A N/A</v>
        <stp/>
        <stp>BDP|6947131726191009433</stp>
        <tr r="N299" s="2"/>
      </tp>
      <tp t="s">
        <v>#N/A N/A</v>
        <stp/>
        <stp>BDP|3013054186299951255</stp>
        <tr r="K1484" s="2"/>
      </tp>
      <tp t="s">
        <v>#N/A N/A</v>
        <stp/>
        <stp>BDP|8378671382297869115</stp>
        <tr r="F1165" s="2"/>
      </tp>
      <tp t="s">
        <v>#N/A N/A</v>
        <stp/>
        <stp>BDP|3886106460377186363</stp>
        <tr r="H643" s="2"/>
      </tp>
      <tp t="s">
        <v>#N/A N/A</v>
        <stp/>
        <stp>BDP|3984314178401400681</stp>
        <tr r="G315" s="2"/>
      </tp>
      <tp t="s">
        <v>#N/A N/A</v>
        <stp/>
        <stp>BDP|1566088143310736557</stp>
        <tr r="M751" s="2"/>
      </tp>
      <tp t="s">
        <v>#N/A N/A</v>
        <stp/>
        <stp>BDP|8656560178603126958</stp>
        <tr r="E1640" s="2"/>
      </tp>
      <tp t="s">
        <v>#N/A N/A</v>
        <stp/>
        <stp>BDP|1528271507217181480</stp>
        <tr r="R1471" s="2"/>
      </tp>
      <tp t="s">
        <v>#N/A N/A</v>
        <stp/>
        <stp>BDP|5976334825534693056</stp>
        <tr r="N685" s="2"/>
      </tp>
      <tp t="s">
        <v>#N/A N/A</v>
        <stp/>
        <stp>BDP|5903911821526580805</stp>
        <tr r="Q1352" s="2"/>
      </tp>
      <tp t="s">
        <v>#N/A N/A</v>
        <stp/>
        <stp>BDP|3759105795828847365</stp>
        <tr r="C48" s="2"/>
      </tp>
      <tp t="s">
        <v>#N/A N/A</v>
        <stp/>
        <stp>BDP|8525558468413744832</stp>
        <tr r="E1754" s="2"/>
      </tp>
      <tp t="s">
        <v>#N/A N/A</v>
        <stp/>
        <stp>BDP|3576510429006684277</stp>
        <tr r="S1023" s="2"/>
      </tp>
      <tp t="s">
        <v>#N/A N/A</v>
        <stp/>
        <stp>BDP|3744228350542875616</stp>
        <tr r="R539" s="2"/>
      </tp>
      <tp t="s">
        <v>#N/A N/A</v>
        <stp/>
        <stp>BDP|5388106955622901330</stp>
        <tr r="O1391" s="2"/>
      </tp>
      <tp t="s">
        <v>#N/A N/A</v>
        <stp/>
        <stp>BDP|2249259676177407094</stp>
        <tr r="R1478" s="2"/>
      </tp>
      <tp t="s">
        <v>#N/A N/A</v>
        <stp/>
        <stp>BDP|4126625224099295996</stp>
        <tr r="G310" s="2"/>
      </tp>
      <tp t="s">
        <v>#N/A N/A</v>
        <stp/>
        <stp>BDP|7505892754039785331</stp>
        <tr r="F90" s="2"/>
      </tp>
      <tp t="s">
        <v>#N/A N/A</v>
        <stp/>
        <stp>BDS|3033731075075823628</stp>
        <tr r="I1181" s="2"/>
      </tp>
      <tp t="s">
        <v>#N/A N/A</v>
        <stp/>
        <stp>BDP|1337738447944308689</stp>
        <tr r="G1543" s="2"/>
      </tp>
      <tp t="s">
        <v>#N/A N/A</v>
        <stp/>
        <stp>BDP|6755440278106168369</stp>
        <tr r="J1284" s="2"/>
      </tp>
      <tp t="s">
        <v>#N/A N/A</v>
        <stp/>
        <stp>BDP|7799329799995412842</stp>
        <tr r="S1714" s="2"/>
      </tp>
      <tp t="s">
        <v>#N/A N/A</v>
        <stp/>
        <stp>BDP|2241656456278524988</stp>
        <tr r="O62" s="2"/>
      </tp>
      <tp t="s">
        <v>#N/A N/A</v>
        <stp/>
        <stp>BDP|2023939460644660991</stp>
        <tr r="H489" s="2"/>
      </tp>
      <tp t="s">
        <v>#N/A N/A</v>
        <stp/>
        <stp>BDP|7029397114623305629</stp>
        <tr r="R114" s="2"/>
      </tp>
      <tp t="s">
        <v>#N/A N/A</v>
        <stp/>
        <stp>BDP|4638658512240838357</stp>
        <tr r="D903" s="2"/>
      </tp>
      <tp t="s">
        <v>#N/A N/A</v>
        <stp/>
        <stp>BDP|8676785080887533074</stp>
        <tr r="G736" s="2"/>
      </tp>
      <tp t="s">
        <v>#N/A N/A</v>
        <stp/>
        <stp>BDP|5031232512186583085</stp>
        <tr r="P714" s="2"/>
      </tp>
      <tp t="s">
        <v>#N/A N/A</v>
        <stp/>
        <stp>BDP|4362062451299026889</stp>
        <tr r="O775" s="2"/>
      </tp>
      <tp t="s">
        <v>#N/A N/A</v>
        <stp/>
        <stp>BDP|6875776116676099653</stp>
        <tr r="R1135" s="2"/>
      </tp>
      <tp t="s">
        <v>#N/A N/A</v>
        <stp/>
        <stp>BDP|8001884337007394401</stp>
        <tr r="G59" s="2"/>
      </tp>
      <tp t="s">
        <v>#N/A N/A</v>
        <stp/>
        <stp>BDP|8313600701617693982</stp>
        <tr r="C314" s="2"/>
      </tp>
      <tp t="s">
        <v>#N/A N/A</v>
        <stp/>
        <stp>BDP|8491014903929213189</stp>
        <tr r="A810" s="2"/>
      </tp>
      <tp t="s">
        <v>#N/A N/A</v>
        <stp/>
        <stp>BDP|5649007664015988674</stp>
        <tr r="H1409" s="2"/>
      </tp>
      <tp t="s">
        <v>#N/A N/A</v>
        <stp/>
        <stp>BDP|1936021060812516524</stp>
        <tr r="E847" s="2"/>
      </tp>
      <tp t="s">
        <v>#N/A N/A</v>
        <stp/>
        <stp>BDP|6313793267502290531</stp>
        <tr r="E899" s="2"/>
      </tp>
      <tp t="s">
        <v>#N/A N/A</v>
        <stp/>
        <stp>BDP|6310527964082802719</stp>
        <tr r="K1080" s="2"/>
      </tp>
      <tp t="s">
        <v>#N/A N/A</v>
        <stp/>
        <stp>BDP|3424884702693386817</stp>
        <tr r="D1472" s="2"/>
      </tp>
      <tp t="s">
        <v>#N/A N/A</v>
        <stp/>
        <stp>BDP|1795986375928689701</stp>
        <tr r="J1648" s="2"/>
      </tp>
      <tp t="s">
        <v>#N/A N/A</v>
        <stp/>
        <stp>BDP|5702597761296681052</stp>
        <tr r="R261" s="2"/>
      </tp>
      <tp t="s">
        <v>#N/A N/A</v>
        <stp/>
        <stp>BDP|2886973886253242072</stp>
        <tr r="T679" s="2"/>
      </tp>
      <tp t="s">
        <v>#N/A N/A</v>
        <stp/>
        <stp>BDP|1087837199169741914</stp>
        <tr r="A1345" s="2"/>
      </tp>
      <tp t="s">
        <v>#N/A N/A</v>
        <stp/>
        <stp>BDP|3237158392198914305</stp>
        <tr r="N633" s="2"/>
      </tp>
      <tp t="s">
        <v>#N/A N/A</v>
        <stp/>
        <stp>BDP|7544185755633162050</stp>
        <tr r="E596" s="2"/>
      </tp>
      <tp t="s">
        <v>#N/A N/A</v>
        <stp/>
        <stp>BDP|5833564807242002254</stp>
        <tr r="O1530" s="2"/>
      </tp>
      <tp t="s">
        <v>#N/A N/A</v>
        <stp/>
        <stp>BDP|2531810322998982033</stp>
        <tr r="P99" s="2"/>
      </tp>
      <tp t="s">
        <v>#N/A N/A</v>
        <stp/>
        <stp>BDP|6868000514527164014</stp>
        <tr r="N1426" s="2"/>
      </tp>
      <tp t="s">
        <v>#N/A N/A</v>
        <stp/>
        <stp>BDP|8885765266568015149</stp>
        <tr r="K850" s="2"/>
      </tp>
      <tp t="s">
        <v>#N/A N/A</v>
        <stp/>
        <stp>BDP|1086765766002441289</stp>
        <tr r="T1277" s="2"/>
      </tp>
      <tp t="s">
        <v>#N/A N/A</v>
        <stp/>
        <stp>BDP|9637658166639957008</stp>
        <tr r="P348" s="2"/>
      </tp>
      <tp t="s">
        <v>#N/A N/A</v>
        <stp/>
        <stp>BDP|1806218851204621228</stp>
        <tr r="N1108" s="2"/>
      </tp>
      <tp t="s">
        <v>#N/A N/A</v>
        <stp/>
        <stp>BDP|8655892272416443154</stp>
        <tr r="A545" s="2"/>
      </tp>
      <tp t="s">
        <v>#N/A N/A</v>
        <stp/>
        <stp>BDP|9385863378864271237</stp>
        <tr r="A287" s="2"/>
      </tp>
      <tp t="s">
        <v>#N/A N/A</v>
        <stp/>
        <stp>BDP|2482732732135809318</stp>
        <tr r="E934" s="2"/>
      </tp>
      <tp t="s">
        <v>#N/A N/A</v>
        <stp/>
        <stp>BDP|5917114245720688079</stp>
        <tr r="P1346" s="2"/>
      </tp>
      <tp t="s">
        <v>#N/A N/A</v>
        <stp/>
        <stp>BDP|4930522451434592039</stp>
        <tr r="A1183" s="2"/>
      </tp>
      <tp t="s">
        <v>#N/A N/A</v>
        <stp/>
        <stp>BDP|1241367079646243334</stp>
        <tr r="T1593" s="2"/>
      </tp>
      <tp t="s">
        <v>#N/A N/A</v>
        <stp/>
        <stp>BDP|3453598400311421759</stp>
        <tr r="K125" s="2"/>
      </tp>
      <tp t="s">
        <v>#N/A N/A</v>
        <stp/>
        <stp>BDP|2126345612272837233</stp>
        <tr r="F190" s="2"/>
      </tp>
      <tp t="s">
        <v>#N/A N/A</v>
        <stp/>
        <stp>BDP|9499335752927042894</stp>
        <tr r="S1554" s="2"/>
      </tp>
      <tp t="s">
        <v>#N/A N/A</v>
        <stp/>
        <stp>BDP|9025491566308505367</stp>
        <tr r="T780" s="2"/>
      </tp>
      <tp t="s">
        <v>#N/A N/A</v>
        <stp/>
        <stp>BDP|8961260693292729171</stp>
        <tr r="C889" s="2"/>
      </tp>
      <tp t="s">
        <v>#N/A N/A</v>
        <stp/>
        <stp>BDP|4165182432716158061</stp>
        <tr r="R733" s="2"/>
      </tp>
      <tp t="s">
        <v>#N/A N/A</v>
        <stp/>
        <stp>BDP|5025605397069248394</stp>
        <tr r="M1171" s="2"/>
      </tp>
      <tp t="s">
        <v>#N/A N/A</v>
        <stp/>
        <stp>BDP|1294916276706972909</stp>
        <tr r="P144" s="2"/>
      </tp>
      <tp t="s">
        <v>#N/A N/A</v>
        <stp/>
        <stp>BDP|1190743728027653379</stp>
        <tr r="H468" s="2"/>
      </tp>
      <tp t="s">
        <v>#N/A N/A</v>
        <stp/>
        <stp>BDP|9308015525368843334</stp>
        <tr r="E214" s="2"/>
      </tp>
      <tp t="s">
        <v>#N/A N/A</v>
        <stp/>
        <stp>BDP|1156603817327345197</stp>
        <tr r="H609" s="2"/>
      </tp>
      <tp t="s">
        <v>#N/A N/A</v>
        <stp/>
        <stp>BDP|6756238067885804773</stp>
        <tr r="F546" s="2"/>
      </tp>
      <tp t="s">
        <v>#N/A N/A</v>
        <stp/>
        <stp>BDP|7748640171476619098</stp>
        <tr r="E974" s="2"/>
      </tp>
      <tp t="s">
        <v>#N/A N/A</v>
        <stp/>
        <stp>BDP|5287793507417601576</stp>
        <tr r="R1236" s="2"/>
      </tp>
      <tp t="s">
        <v>#N/A N/A</v>
        <stp/>
        <stp>BDP|8804700000416698934</stp>
        <tr r="A961" s="2"/>
      </tp>
      <tp t="s">
        <v>#N/A N/A</v>
        <stp/>
        <stp>BDS|6309602022522898045</stp>
        <tr r="I118" s="2"/>
      </tp>
      <tp t="s">
        <v>#N/A N/A</v>
        <stp/>
        <stp>BDP|5990529866260083602</stp>
        <tr r="S539" s="2"/>
      </tp>
      <tp t="s">
        <v>#N/A N/A</v>
        <stp/>
        <stp>BDP|3177795540581381167</stp>
        <tr r="J1138" s="2"/>
      </tp>
      <tp t="s">
        <v>#N/A N/A</v>
        <stp/>
        <stp>BDP|8745935548302695770</stp>
        <tr r="N773" s="2"/>
      </tp>
      <tp t="s">
        <v>#N/A N/A</v>
        <stp/>
        <stp>BDP|4791797250433213510</stp>
        <tr r="Q115" s="2"/>
      </tp>
      <tp t="s">
        <v>#N/A N/A</v>
        <stp/>
        <stp>BDP|4882180858640641031</stp>
        <tr r="P1730" s="2"/>
      </tp>
      <tp t="s">
        <v>#N/A N/A</v>
        <stp/>
        <stp>BDP|9154190197886369711</stp>
        <tr r="A426" s="2"/>
      </tp>
      <tp t="s">
        <v>#N/A N/A</v>
        <stp/>
        <stp>BDP|5311724731673496290</stp>
        <tr r="C104" s="2"/>
      </tp>
      <tp t="s">
        <v>#N/A N/A</v>
        <stp/>
        <stp>BDP|7225251149013582261</stp>
        <tr r="O716" s="2"/>
      </tp>
      <tp t="s">
        <v>#N/A N/A</v>
        <stp/>
        <stp>BDP|2780290563716331031</stp>
        <tr r="J549" s="2"/>
      </tp>
      <tp t="s">
        <v>#N/A N/A</v>
        <stp/>
        <stp>BDP|9634738561039830115</stp>
        <tr r="T879" s="2"/>
      </tp>
      <tp t="s">
        <v>#N/A N/A</v>
        <stp/>
        <stp>BDP|6311660798041091805</stp>
        <tr r="R878" s="2"/>
      </tp>
      <tp t="s">
        <v>#N/A N/A</v>
        <stp/>
        <stp>BDP|6736501887528832359</stp>
        <tr r="G320" s="2"/>
      </tp>
      <tp t="s">
        <v>#N/A N/A</v>
        <stp/>
        <stp>BDP|2635718563136863513</stp>
        <tr r="F1393" s="2"/>
      </tp>
      <tp t="s">
        <v>#N/A N/A</v>
        <stp/>
        <stp>BDP|8288483513138646521</stp>
        <tr r="O1627" s="2"/>
      </tp>
      <tp t="s">
        <v>#N/A N/A</v>
        <stp/>
        <stp>BDP|3745187361857458371</stp>
        <tr r="R1431" s="2"/>
      </tp>
      <tp t="s">
        <v>#N/A N/A</v>
        <stp/>
        <stp>BDP|2742058943795953350</stp>
        <tr r="K950" s="2"/>
      </tp>
      <tp t="s">
        <v>#N/A N/A</v>
        <stp/>
        <stp>BDP|7795288567024788727</stp>
        <tr r="S1071" s="2"/>
      </tp>
      <tp t="s">
        <v>#N/A N/A</v>
        <stp/>
        <stp>BDS|8802901547510210507</stp>
        <tr r="I1022" s="2"/>
      </tp>
      <tp t="s">
        <v>#N/A N/A</v>
        <stp/>
        <stp>BDP|7638843581963696481</stp>
        <tr r="O64" s="2"/>
      </tp>
      <tp t="s">
        <v>#N/A N/A</v>
        <stp/>
        <stp>BDP|5298674452332369498</stp>
        <tr r="M583" s="2"/>
      </tp>
      <tp t="s">
        <v>#N/A N/A</v>
        <stp/>
        <stp>BDP|4713224719684713362</stp>
        <tr r="K10" s="2"/>
      </tp>
      <tp t="s">
        <v>#N/A N/A</v>
        <stp/>
        <stp>BDP|7814730361293586528</stp>
        <tr r="C422" s="2"/>
      </tp>
      <tp t="s">
        <v>#N/A N/A</v>
        <stp/>
        <stp>BDP|7476888664950135947</stp>
        <tr r="T968" s="2"/>
      </tp>
      <tp t="s">
        <v>#N/A N/A</v>
        <stp/>
        <stp>BDP|4553610721083871300</stp>
        <tr r="G1684" s="2"/>
      </tp>
      <tp t="s">
        <v>#N/A N/A</v>
        <stp/>
        <stp>BDP|1704793351235510675</stp>
        <tr r="P1561" s="2"/>
      </tp>
      <tp t="s">
        <v>#N/A N/A</v>
        <stp/>
        <stp>BDP|6013665783148114091</stp>
        <tr r="H234" s="2"/>
      </tp>
      <tp t="s">
        <v>#N/A N/A</v>
        <stp/>
        <stp>BDP|7767480765802422739</stp>
        <tr r="E4" s="2"/>
      </tp>
      <tp t="s">
        <v>#N/A N/A</v>
        <stp/>
        <stp>BDP|5979275047076200567</stp>
        <tr r="J872" s="2"/>
      </tp>
      <tp t="s">
        <v>#N/A N/A</v>
        <stp/>
        <stp>BDS|9308448264869625284</stp>
        <tr r="I863" s="2"/>
      </tp>
      <tp t="s">
        <v>#N/A N/A</v>
        <stp/>
        <stp>BDP|1933325534883434268</stp>
        <tr r="C596" s="2"/>
      </tp>
      <tp t="s">
        <v>#N/A N/A</v>
        <stp/>
        <stp>BDP|1427704673702841321</stp>
        <tr r="S1012" s="2"/>
      </tp>
      <tp t="s">
        <v>#N/A N/A</v>
        <stp/>
        <stp>BDP|8823626510736178960</stp>
        <tr r="H852" s="2"/>
      </tp>
      <tp t="s">
        <v>#N/A N/A</v>
        <stp/>
        <stp>BDP|7991831940959433236</stp>
        <tr r="H1382" s="2"/>
      </tp>
      <tp t="s">
        <v>#N/A N/A</v>
        <stp/>
        <stp>BDS|7867311366035359715</stp>
        <tr r="I1336" s="2"/>
      </tp>
      <tp t="s">
        <v>#N/A N/A</v>
        <stp/>
        <stp>BDP|1942227137826585644</stp>
        <tr r="K100" s="2"/>
      </tp>
      <tp t="s">
        <v>#N/A N/A</v>
        <stp/>
        <stp>BDP|9903964053037327221</stp>
        <tr r="O1462" s="2"/>
      </tp>
      <tp t="s">
        <v>#N/A N/A</v>
        <stp/>
        <stp>BDP|1202414668567630405</stp>
        <tr r="G361" s="2"/>
      </tp>
      <tp t="s">
        <v>#N/A N/A</v>
        <stp/>
        <stp>BDP|5029697923582575320</stp>
        <tr r="K798" s="2"/>
      </tp>
      <tp t="s">
        <v>#N/A N/A</v>
        <stp/>
        <stp>BDP|6506386886075133872</stp>
        <tr r="M301" s="2"/>
      </tp>
      <tp t="s">
        <v>#N/A N/A</v>
        <stp/>
        <stp>BDP|5245787094119541260</stp>
        <tr r="O351" s="2"/>
      </tp>
      <tp t="s">
        <v>#N/A N/A</v>
        <stp/>
        <stp>BDP|7885246025314433308</stp>
        <tr r="N1080" s="2"/>
      </tp>
      <tp t="s">
        <v>#N/A N/A</v>
        <stp/>
        <stp>BDP|1127674253570900215</stp>
        <tr r="E929" s="2"/>
      </tp>
      <tp t="s">
        <v>#N/A N/A</v>
        <stp/>
        <stp>BDP|2123378568476182120</stp>
        <tr r="P1318" s="2"/>
      </tp>
      <tp t="s">
        <v>#N/A N/A</v>
        <stp/>
        <stp>BDP|9310761435665441894</stp>
        <tr r="D923" s="2"/>
      </tp>
      <tp t="s">
        <v>#N/A N/A</v>
        <stp/>
        <stp>BDP|9632388616543319869</stp>
        <tr r="A1581" s="2"/>
      </tp>
      <tp t="s">
        <v>#N/A N/A</v>
        <stp/>
        <stp>BDP|2000944380775023668</stp>
        <tr r="R521" s="2"/>
      </tp>
      <tp t="s">
        <v>#N/A N/A</v>
        <stp/>
        <stp>BDP|7611053143103681042</stp>
        <tr r="N59" s="2"/>
      </tp>
      <tp t="s">
        <v>#N/A N/A</v>
        <stp/>
        <stp>BDP|5778118444081257123</stp>
        <tr r="Q1584" s="2"/>
      </tp>
      <tp t="s">
        <v>#N/A N/A</v>
        <stp/>
        <stp>BDP|3456496339995740117</stp>
        <tr r="J292" s="2"/>
      </tp>
      <tp t="s">
        <v>#N/A N/A</v>
        <stp/>
        <stp>BDP|5345137110296790351</stp>
        <tr r="C1719" s="2"/>
      </tp>
      <tp t="s">
        <v>#N/A N/A</v>
        <stp/>
        <stp>BDP|6369362266000055318</stp>
        <tr r="E566" s="2"/>
      </tp>
      <tp t="s">
        <v>#N/A N/A</v>
        <stp/>
        <stp>BDP|1949453533802405496</stp>
        <tr r="S705" s="2"/>
      </tp>
      <tp t="s">
        <v>#N/A N/A</v>
        <stp/>
        <stp>BDP|9245562432237244868</stp>
        <tr r="E590" s="2"/>
      </tp>
      <tp t="s">
        <v>#N/A N/A</v>
        <stp/>
        <stp>BDP|8860641767249149189</stp>
        <tr r="C1380" s="2"/>
      </tp>
      <tp t="s">
        <v>#N/A N/A</v>
        <stp/>
        <stp>BDP|7944786933304489742</stp>
        <tr r="E1512" s="2"/>
      </tp>
      <tp t="s">
        <v>#N/A N/A</v>
        <stp/>
        <stp>BDP|9841582459099899034</stp>
        <tr r="H1200" s="2"/>
      </tp>
      <tp t="s">
        <v>#N/A N/A</v>
        <stp/>
        <stp>BDP|1100617146154542719</stp>
        <tr r="N1736" s="2"/>
      </tp>
      <tp t="s">
        <v>#N/A N/A</v>
        <stp/>
        <stp>BDP|6017597508270792346</stp>
        <tr r="M1235" s="2"/>
      </tp>
      <tp t="s">
        <v>#N/A N/A</v>
        <stp/>
        <stp>BDP|1532137537867514467</stp>
        <tr r="J301" s="2"/>
      </tp>
      <tp t="s">
        <v>#N/A N/A</v>
        <stp/>
        <stp>BDP|8281663986925409348</stp>
        <tr r="M1322" s="2"/>
      </tp>
      <tp t="s">
        <v>#N/A N/A</v>
        <stp/>
        <stp>BDP|5892429263596988120</stp>
        <tr r="P1139" s="2"/>
      </tp>
      <tp t="s">
        <v>#N/A N/A</v>
        <stp/>
        <stp>BDP|3946429869781745073</stp>
        <tr r="F1200" s="2"/>
      </tp>
      <tp t="s">
        <v>#N/A N/A</v>
        <stp/>
        <stp>BDP|4194459408022894265</stp>
        <tr r="T1740" s="2"/>
      </tp>
      <tp t="s">
        <v>#N/A N/A</v>
        <stp/>
        <stp>BDP|6282144699299935741</stp>
        <tr r="M1378" s="2"/>
      </tp>
      <tp t="s">
        <v>#N/A N/A</v>
        <stp/>
        <stp>BDP|4164513978291293781</stp>
        <tr r="S1700" s="2"/>
      </tp>
      <tp t="s">
        <v>#N/A N/A</v>
        <stp/>
        <stp>BDP|8173730690130401649</stp>
        <tr r="R369" s="2"/>
      </tp>
      <tp t="s">
        <v>#N/A N/A</v>
        <stp/>
        <stp>BDP|4138980788031640458</stp>
        <tr r="D1553" s="2"/>
      </tp>
      <tp t="s">
        <v>#N/A N/A</v>
        <stp/>
        <stp>BDP|4799008578925929644</stp>
        <tr r="N964" s="2"/>
      </tp>
      <tp t="s">
        <v>#N/A N/A</v>
        <stp/>
        <stp>BDP|8086084128758315214</stp>
        <tr r="M1464" s="2"/>
      </tp>
      <tp t="s">
        <v>#N/A N/A</v>
        <stp/>
        <stp>BDS|9759524796905320027</stp>
        <tr r="I467" s="2"/>
      </tp>
      <tp t="s">
        <v>#N/A N/A</v>
        <stp/>
        <stp>BDP|3118270002368519932</stp>
        <tr r="S1603" s="2"/>
      </tp>
      <tp t="s">
        <v>#N/A N/A</v>
        <stp/>
        <stp>BDP|3115361958496967343</stp>
        <tr r="F312" s="2"/>
      </tp>
      <tp t="s">
        <v>#N/A N/A</v>
        <stp/>
        <stp>BDP|7570592641022757481</stp>
        <tr r="C1727" s="2"/>
      </tp>
      <tp t="s">
        <v>#N/A N/A</v>
        <stp/>
        <stp>BDP|4746743031096235625</stp>
        <tr r="E1045" s="2"/>
      </tp>
      <tp t="s">
        <v>#N/A N/A</v>
        <stp/>
        <stp>BDP|4621611743204203241</stp>
        <tr r="K887" s="2"/>
      </tp>
      <tp t="s">
        <v>#N/A N/A</v>
        <stp/>
        <stp>BDP|7629474977037026344</stp>
        <tr r="F77" s="2"/>
      </tp>
      <tp t="s">
        <v>#N/A N/A</v>
        <stp/>
        <stp>BDP|2460308665876747142</stp>
        <tr r="G1420" s="2"/>
      </tp>
      <tp t="s">
        <v>#N/A N/A</v>
        <stp/>
        <stp>BDP|4661184499708506405</stp>
        <tr r="A1406" s="2"/>
      </tp>
      <tp t="s">
        <v>#N/A N/A</v>
        <stp/>
        <stp>BDP|7558552332479241827</stp>
        <tr r="P1306" s="2"/>
      </tp>
      <tp t="s">
        <v>#N/A N/A</v>
        <stp/>
        <stp>BDP|3946033862592919733</stp>
        <tr r="N184" s="2"/>
      </tp>
      <tp t="s">
        <v>#N/A N/A</v>
        <stp/>
        <stp>BDP|6449600621175737706</stp>
        <tr r="N426" s="2"/>
      </tp>
      <tp t="s">
        <v>#N/A N/A</v>
        <stp/>
        <stp>BDP|6320766613382625225</stp>
        <tr r="C455" s="2"/>
      </tp>
      <tp t="s">
        <v>#N/A N/A</v>
        <stp/>
        <stp>BDP|6009439552843168424</stp>
        <tr r="D71" s="2"/>
      </tp>
      <tp t="s">
        <v>#N/A N/A</v>
        <stp/>
        <stp>BDP|4970780122330231134</stp>
        <tr r="O353" s="2"/>
      </tp>
      <tp t="s">
        <v>#N/A N/A</v>
        <stp/>
        <stp>BDP|4321138841944270517</stp>
        <tr r="F1572" s="2"/>
      </tp>
      <tp t="s">
        <v>#N/A N/A</v>
        <stp/>
        <stp>BDP|4621307548692990159</stp>
        <tr r="N35" s="2"/>
      </tp>
      <tp t="s">
        <v>#N/A N/A</v>
        <stp/>
        <stp>BDP|2102516907702751527</stp>
        <tr r="G1338" s="2"/>
      </tp>
      <tp t="s">
        <v>#N/A N/A</v>
        <stp/>
        <stp>BDP|4343806694893398661</stp>
        <tr r="A1501" s="2"/>
      </tp>
      <tp t="s">
        <v>#N/A N/A</v>
        <stp/>
        <stp>BDP|4500304066094646575</stp>
        <tr r="F1341" s="2"/>
      </tp>
      <tp t="s">
        <v>#N/A N/A</v>
        <stp/>
        <stp>BDP|5333508710821639075</stp>
        <tr r="H410" s="2"/>
      </tp>
      <tp t="s">
        <v>#N/A N/A</v>
        <stp/>
        <stp>BDP|1837191024370139267</stp>
        <tr r="G1690" s="2"/>
      </tp>
      <tp t="s">
        <v>#N/A N/A</v>
        <stp/>
        <stp>BDP|5569159105705392144</stp>
        <tr r="N1138" s="2"/>
      </tp>
      <tp t="s">
        <v>#N/A N/A</v>
        <stp/>
        <stp>BDP|1388144933410342358</stp>
        <tr r="D567" s="2"/>
      </tp>
      <tp t="s">
        <v>#N/A N/A</v>
        <stp/>
        <stp>BDP|2276577380166521927</stp>
        <tr r="K612" s="2"/>
      </tp>
      <tp t="s">
        <v>#N/A N/A</v>
        <stp/>
        <stp>BDP|7021436041740977790</stp>
        <tr r="F1059" s="2"/>
      </tp>
      <tp t="s">
        <v>#N/A N/A</v>
        <stp/>
        <stp>BDP|4261751990828324269</stp>
        <tr r="D75" s="2"/>
      </tp>
      <tp t="s">
        <v>#N/A N/A</v>
        <stp/>
        <stp>BDP|7032894126424428995</stp>
        <tr r="F1574" s="2"/>
      </tp>
      <tp t="s">
        <v>#N/A N/A</v>
        <stp/>
        <stp>BDP|7391492977807853372</stp>
        <tr r="J1645" s="2"/>
      </tp>
      <tp t="s">
        <v>#N/A N/A</v>
        <stp/>
        <stp>BDP|7618415632632418234</stp>
        <tr r="C516" s="2"/>
      </tp>
      <tp t="s">
        <v>#N/A N/A</v>
        <stp/>
        <stp>BDP|5516162946094340440</stp>
        <tr r="F1166" s="2"/>
      </tp>
      <tp t="s">
        <v>#N/A N/A</v>
        <stp/>
        <stp>BDP|9644513083514722017</stp>
        <tr r="P1613" s="2"/>
      </tp>
      <tp t="s">
        <v>#N/A N/A</v>
        <stp/>
        <stp>BDP|5604412238060542281</stp>
        <tr r="S668" s="2"/>
      </tp>
      <tp t="s">
        <v>#N/A N/A</v>
        <stp/>
        <stp>BDP|3149102510633412076</stp>
        <tr r="H205" s="2"/>
      </tp>
      <tp t="s">
        <v>#N/A N/A</v>
        <stp/>
        <stp>BDP|7978718689531780945</stp>
        <tr r="N94" s="2"/>
      </tp>
      <tp t="s">
        <v>#N/A N/A</v>
        <stp/>
        <stp>BDP|7394786508422656278</stp>
        <tr r="Q1632" s="2"/>
      </tp>
      <tp t="s">
        <v>#N/A N/A</v>
        <stp/>
        <stp>BDP|4345470177232276537</stp>
        <tr r="Q204" s="2"/>
      </tp>
      <tp t="s">
        <v>#N/A N/A</v>
        <stp/>
        <stp>BDP|6157969374818809092</stp>
        <tr r="O627" s="2"/>
      </tp>
      <tp t="s">
        <v>#N/A N/A</v>
        <stp/>
        <stp>BDP|8694522511428232445</stp>
        <tr r="A436" s="2"/>
      </tp>
      <tp t="s">
        <v>#N/A N/A</v>
        <stp/>
        <stp>BDP|8116444787914859090</stp>
        <tr r="K475" s="2"/>
      </tp>
      <tp t="s">
        <v>#N/A N/A</v>
        <stp/>
        <stp>BDP|8174101981921568061</stp>
        <tr r="C1135" s="2"/>
      </tp>
      <tp t="s">
        <v>#N/A N/A</v>
        <stp/>
        <stp>BDS|1797313163550652401</stp>
        <tr r="I878" s="2"/>
      </tp>
      <tp t="s">
        <v>#N/A N/A</v>
        <stp/>
        <stp>BDP|8976585682692287724</stp>
        <tr r="A289" s="2"/>
      </tp>
      <tp t="s">
        <v>#N/A N/A</v>
        <stp/>
        <stp>BDP|3423509966960699070</stp>
        <tr r="S42" s="2"/>
      </tp>
      <tp t="s">
        <v>#N/A N/A</v>
        <stp/>
        <stp>BDP|5398053167667568471</stp>
        <tr r="P1179" s="2"/>
      </tp>
      <tp t="s">
        <v>#N/A N/A</v>
        <stp/>
        <stp>BDP|5448568507846575638</stp>
        <tr r="D1426" s="2"/>
      </tp>
      <tp t="s">
        <v>#N/A N/A</v>
        <stp/>
        <stp>BDP|8333992488879478055</stp>
        <tr r="P191" s="2"/>
      </tp>
      <tp t="s">
        <v>#N/A N/A</v>
        <stp/>
        <stp>BDP|9087773330859086441</stp>
        <tr r="E1222" s="2"/>
      </tp>
      <tp t="s">
        <v>#N/A N/A</v>
        <stp/>
        <stp>BDS|6621539556754416244</stp>
        <tr r="I579" s="2"/>
      </tp>
      <tp t="s">
        <v>#N/A N/A</v>
        <stp/>
        <stp>BDP|3948122002715935738</stp>
        <tr r="C1742" s="2"/>
      </tp>
      <tp t="s">
        <v>#N/A N/A</v>
        <stp/>
        <stp>BDP|5900294775461429128</stp>
        <tr r="P1188" s="2"/>
      </tp>
      <tp t="s">
        <v>#N/A N/A</v>
        <stp/>
        <stp>BDP|2332829735760519926</stp>
        <tr r="K1053" s="2"/>
      </tp>
      <tp t="s">
        <v>#N/A N/A</v>
        <stp/>
        <stp>BDP|3893245458536612215</stp>
        <tr r="C1149" s="2"/>
      </tp>
      <tp t="s">
        <v>#N/A N/A</v>
        <stp/>
        <stp>BDP|1353065969312877579</stp>
        <tr r="D1110" s="2"/>
      </tp>
      <tp t="s">
        <v>#N/A N/A</v>
        <stp/>
        <stp>BDP|6880694894839395050</stp>
        <tr r="P1726" s="2"/>
      </tp>
      <tp t="s">
        <v>#N/A N/A</v>
        <stp/>
        <stp>BDP|7471142212161391621</stp>
        <tr r="N1350" s="2"/>
      </tp>
      <tp t="s">
        <v>#N/A N/A</v>
        <stp/>
        <stp>BDP|4624751924837459602</stp>
        <tr r="F98" s="2"/>
      </tp>
      <tp t="s">
        <v>#N/A N/A</v>
        <stp/>
        <stp>BDP|5442831285914013111</stp>
        <tr r="G1076" s="2"/>
      </tp>
      <tp t="s">
        <v>#N/A N/A</v>
        <stp/>
        <stp>BDP|5815366736901361484</stp>
        <tr r="A1237" s="2"/>
      </tp>
      <tp t="s">
        <v>#N/A N/A</v>
        <stp/>
        <stp>BDP|5705185652884804561</stp>
        <tr r="T1216" s="2"/>
      </tp>
      <tp t="s">
        <v>#N/A N/A</v>
        <stp/>
        <stp>BDP|4197214620476762240</stp>
        <tr r="J561" s="2"/>
      </tp>
      <tp t="s">
        <v>#N/A N/A</v>
        <stp/>
        <stp>BDP|1433778528655103192</stp>
        <tr r="H463" s="2"/>
      </tp>
      <tp t="s">
        <v>#N/A N/A</v>
        <stp/>
        <stp>BDP|6587956617358478605</stp>
        <tr r="T311" s="2"/>
      </tp>
      <tp t="s">
        <v>#N/A N/A</v>
        <stp/>
        <stp>BDP|1686722669907649788</stp>
        <tr r="S457" s="2"/>
      </tp>
      <tp t="s">
        <v>#N/A N/A</v>
        <stp/>
        <stp>BDS|2235599872460368095</stp>
        <tr r="I407" s="2"/>
      </tp>
      <tp t="s">
        <v>#N/A N/A</v>
        <stp/>
        <stp>BDP|8343449645380343824</stp>
        <tr r="P402" s="2"/>
      </tp>
      <tp t="s">
        <v>#N/A N/A</v>
        <stp/>
        <stp>BDP|8400099169956072876</stp>
        <tr r="F1313" s="2"/>
      </tp>
      <tp t="s">
        <v>#N/A N/A</v>
        <stp/>
        <stp>BDP|2775111484299918284</stp>
        <tr r="O868" s="2"/>
      </tp>
      <tp t="s">
        <v>#N/A N/A</v>
        <stp/>
        <stp>BDP|7190798129513471162</stp>
        <tr r="P736" s="2"/>
      </tp>
      <tp t="s">
        <v>#N/A N/A</v>
        <stp/>
        <stp>BDP|3700063220884496563</stp>
        <tr r="C1471" s="2"/>
      </tp>
      <tp t="s">
        <v>#N/A N/A</v>
        <stp/>
        <stp>BDP|5189100741569586964</stp>
        <tr r="K802" s="2"/>
      </tp>
      <tp t="s">
        <v>#N/A N/A</v>
        <stp/>
        <stp>BDP|7583109114222010522</stp>
        <tr r="P1249" s="2"/>
      </tp>
      <tp t="s">
        <v>#N/A N/A</v>
        <stp/>
        <stp>BDP|1400930396272115333</stp>
        <tr r="O1486" s="2"/>
      </tp>
      <tp t="s">
        <v>#N/A N/A</v>
        <stp/>
        <stp>BDS|2560757075622020066</stp>
        <tr r="I338" s="2"/>
      </tp>
      <tp t="s">
        <v>#N/A N/A</v>
        <stp/>
        <stp>BDP|8226821512677149601</stp>
        <tr r="H1545" s="2"/>
      </tp>
      <tp t="s">
        <v>#N/A N/A</v>
        <stp/>
        <stp>BDS|6825467963456970275</stp>
        <tr r="I6" s="2"/>
      </tp>
      <tp t="s">
        <v>#N/A N/A</v>
        <stp/>
        <stp>BDP|6716832304116602851</stp>
        <tr r="S852" s="2"/>
      </tp>
      <tp t="s">
        <v>#N/A N/A</v>
        <stp/>
        <stp>BDP|3371733701456002223</stp>
        <tr r="C706" s="2"/>
      </tp>
      <tp t="s">
        <v>#N/A N/A</v>
        <stp/>
        <stp>BDP|1303547515864592145</stp>
        <tr r="Q1411" s="2"/>
      </tp>
      <tp t="s">
        <v>#N/A N/A</v>
        <stp/>
        <stp>BDP|5796301780508772639</stp>
        <tr r="R1502" s="2"/>
      </tp>
      <tp t="s">
        <v>#N/A N/A</v>
        <stp/>
        <stp>BDP|7704742463854496270</stp>
        <tr r="D152" s="2"/>
      </tp>
      <tp t="s">
        <v>#N/A N/A</v>
        <stp/>
        <stp>BDP|2733756240693537243</stp>
        <tr r="D550" s="2"/>
      </tp>
      <tp t="s">
        <v>#N/A N/A</v>
        <stp/>
        <stp>BDP|9173884568840389710</stp>
        <tr r="G1661" s="2"/>
      </tp>
      <tp t="s">
        <v>#N/A N/A</v>
        <stp/>
        <stp>BDP|2475920114763324920</stp>
        <tr r="Q76" s="2"/>
      </tp>
      <tp t="s">
        <v>#N/A N/A</v>
        <stp/>
        <stp>BDP|6427143156987188542</stp>
        <tr r="O654" s="2"/>
      </tp>
      <tp t="s">
        <v>#N/A N/A</v>
        <stp/>
        <stp>BDP|3833122129604120417</stp>
        <tr r="K987" s="2"/>
      </tp>
      <tp t="s">
        <v>#N/A N/A</v>
        <stp/>
        <stp>BDP|9658439054678692041</stp>
        <tr r="J838" s="2"/>
      </tp>
      <tp t="s">
        <v>#N/A N/A</v>
        <stp/>
        <stp>BDP|3452046595093274946</stp>
        <tr r="C1515" s="2"/>
      </tp>
      <tp t="s">
        <v>#N/A N/A</v>
        <stp/>
        <stp>BDP|3084036531916964684</stp>
        <tr r="P721" s="2"/>
      </tp>
      <tp t="s">
        <v>#N/A N/A</v>
        <stp/>
        <stp>BDP|9701300272514323952</stp>
        <tr r="C751" s="2"/>
      </tp>
      <tp t="s">
        <v>#N/A N/A</v>
        <stp/>
        <stp>BDP|4420107422617377061</stp>
        <tr r="J742" s="2"/>
      </tp>
      <tp t="s">
        <v>#N/A N/A</v>
        <stp/>
        <stp>BDS|8184143594983504374</stp>
        <tr r="I226" s="2"/>
      </tp>
      <tp t="s">
        <v>#N/A N/A</v>
        <stp/>
        <stp>BDP|8416438902984378852</stp>
        <tr r="E1016" s="2"/>
      </tp>
      <tp t="s">
        <v>#N/A N/A</v>
        <stp/>
        <stp>BDP|1432652854380670201</stp>
        <tr r="D1391" s="2"/>
      </tp>
      <tp t="s">
        <v>#N/A N/A</v>
        <stp/>
        <stp>BDP|2784766920097198033</stp>
        <tr r="H959" s="2"/>
      </tp>
      <tp t="s">
        <v>#N/A N/A</v>
        <stp/>
        <stp>BDP|2751855697876599535</stp>
        <tr r="P933" s="2"/>
      </tp>
      <tp t="s">
        <v>#N/A N/A</v>
        <stp/>
        <stp>BDP|9266887556521811572</stp>
        <tr r="G1608" s="2"/>
      </tp>
      <tp t="s">
        <v>#N/A N/A</v>
        <stp/>
        <stp>BDP|7123755536590076312</stp>
        <tr r="H1385" s="2"/>
      </tp>
      <tp t="s">
        <v>#N/A N/A</v>
        <stp/>
        <stp>BDP|4278009805664380076</stp>
        <tr r="K1025" s="2"/>
      </tp>
      <tp t="s">
        <v>#N/A N/A</v>
        <stp/>
        <stp>BDP|1077696159253110124</stp>
        <tr r="A263" s="2"/>
      </tp>
      <tp t="s">
        <v>#N/A N/A</v>
        <stp/>
        <stp>BDP|3498039181583768825</stp>
        <tr r="P412" s="2"/>
      </tp>
      <tp t="s">
        <v>#N/A N/A</v>
        <stp/>
        <stp>BDP|3068770645071123102</stp>
        <tr r="K1046" s="2"/>
      </tp>
      <tp t="s">
        <v>#N/A N/A</v>
        <stp/>
        <stp>BDP|6365549434758676856</stp>
        <tr r="T1036" s="2"/>
      </tp>
      <tp t="s">
        <v>#N/A N/A</v>
        <stp/>
        <stp>BDP|5259030333556390010</stp>
        <tr r="H805" s="2"/>
      </tp>
      <tp t="s">
        <v>#N/A N/A</v>
        <stp/>
        <stp>BDP|3647343035236686515</stp>
        <tr r="S1622" s="2"/>
      </tp>
      <tp t="s">
        <v>#N/A N/A</v>
        <stp/>
        <stp>BDP|3259080128758484962</stp>
        <tr r="R1442" s="2"/>
      </tp>
      <tp t="s">
        <v>#N/A N/A</v>
        <stp/>
        <stp>BDP|7445469735373007375</stp>
        <tr r="Q1179" s="2"/>
      </tp>
      <tp t="s">
        <v>#N/A N/A</v>
        <stp/>
        <stp>BDP|3820214244962517785</stp>
        <tr r="K1749" s="2"/>
      </tp>
      <tp t="s">
        <v>#N/A N/A</v>
        <stp/>
        <stp>BDP|8173984232392324089</stp>
        <tr r="T287" s="2"/>
      </tp>
      <tp t="s">
        <v>#N/A N/A</v>
        <stp/>
        <stp>BDP|2955929189480763355</stp>
        <tr r="N578" s="2"/>
      </tp>
      <tp t="s">
        <v>#N/A N/A</v>
        <stp/>
        <stp>BDP|4017399861743049281</stp>
        <tr r="A1327" s="2"/>
      </tp>
      <tp t="s">
        <v>#N/A N/A</v>
        <stp/>
        <stp>BDP|5081077442650043157</stp>
        <tr r="F831" s="2"/>
      </tp>
      <tp t="s">
        <v>#N/A N/A</v>
        <stp/>
        <stp>BDP|5919877559000443838</stp>
        <tr r="N718" s="2"/>
      </tp>
      <tp t="s">
        <v>#N/A N/A</v>
        <stp/>
        <stp>BDP|7721633827331685250</stp>
        <tr r="Q944" s="2"/>
      </tp>
      <tp t="s">
        <v>#N/A N/A</v>
        <stp/>
        <stp>BDP|9577459486783543637</stp>
        <tr r="R1662" s="2"/>
      </tp>
      <tp t="s">
        <v>#N/A N/A</v>
        <stp/>
        <stp>BDP|3095014000980319328</stp>
        <tr r="N1160" s="2"/>
      </tp>
      <tp t="s">
        <v>#N/A N/A</v>
        <stp/>
        <stp>BDP|1442724630140095565</stp>
        <tr r="H431" s="2"/>
      </tp>
      <tp t="s">
        <v>#N/A N/A</v>
        <stp/>
        <stp>BDP|4931853463542707888</stp>
        <tr r="F1120" s="2"/>
      </tp>
      <tp t="s">
        <v>#N/A N/A</v>
        <stp/>
        <stp>BDP|4452223603932072454</stp>
        <tr r="P681" s="2"/>
      </tp>
      <tp t="s">
        <v>#N/A N/A</v>
        <stp/>
        <stp>BDP|6472111003955600203</stp>
        <tr r="A1669" s="2"/>
      </tp>
      <tp t="s">
        <v>#N/A N/A</v>
        <stp/>
        <stp>BDP|3551209367463106434</stp>
        <tr r="M1207" s="2"/>
      </tp>
      <tp t="s">
        <v>#N/A N/A</v>
        <stp/>
        <stp>BDP|4050101460537485445</stp>
        <tr r="C390" s="2"/>
      </tp>
      <tp t="s">
        <v>#N/A N/A</v>
        <stp/>
        <stp>BDP|4615579510251967180</stp>
        <tr r="J1564" s="2"/>
      </tp>
      <tp t="s">
        <v>#N/A N/A</v>
        <stp/>
        <stp>BDP|7681117070594025574</stp>
        <tr r="A560" s="2"/>
      </tp>
      <tp t="s">
        <v>#N/A N/A</v>
        <stp/>
        <stp>BDP|4574410059683897654</stp>
        <tr r="G139" s="2"/>
      </tp>
      <tp t="s">
        <v>#N/A N/A</v>
        <stp/>
        <stp>BDP|2997014578001126410</stp>
        <tr r="C1740" s="2"/>
      </tp>
      <tp t="s">
        <v>#N/A N/A</v>
        <stp/>
        <stp>BDP|1316874793736345649</stp>
        <tr r="Q608" s="2"/>
      </tp>
      <tp t="s">
        <v>#N/A N/A</v>
        <stp/>
        <stp>BDP|2030368489450986968</stp>
        <tr r="M127" s="2"/>
      </tp>
      <tp t="s">
        <v>#N/A N/A</v>
        <stp/>
        <stp>BDP|6563721257815482148</stp>
        <tr r="P290" s="2"/>
      </tp>
      <tp t="s">
        <v>#N/A N/A</v>
        <stp/>
        <stp>BDP|2876481161926988688</stp>
        <tr r="P606" s="2"/>
      </tp>
      <tp t="s">
        <v>#N/A N/A</v>
        <stp/>
        <stp>BDP|1936461101905819065</stp>
        <tr r="Q1659" s="2"/>
      </tp>
      <tp t="s">
        <v>#N/A N/A</v>
        <stp/>
        <stp>BDS|1029126170163600449</stp>
        <tr r="I532" s="2"/>
      </tp>
      <tp t="s">
        <v>#N/A N/A</v>
        <stp/>
        <stp>BDP|7295331707593130771</stp>
        <tr r="P745" s="2"/>
      </tp>
      <tp t="s">
        <v>#N/A N/A</v>
        <stp/>
        <stp>BDP|6581415127786521666</stp>
        <tr r="D1149" s="2"/>
      </tp>
      <tp t="s">
        <v>#N/A N/A</v>
        <stp/>
        <stp>BDP|8380575598480534494</stp>
        <tr r="R980" s="2"/>
      </tp>
      <tp t="s">
        <v>#N/A N/A</v>
        <stp/>
        <stp>BDS|8970882031654091708</stp>
        <tr r="I1456" s="2"/>
      </tp>
      <tp t="s">
        <v>#N/A N/A</v>
        <stp/>
        <stp>BDS|7273317120114476274</stp>
        <tr r="I753" s="2"/>
      </tp>
      <tp t="s">
        <v>#N/A N/A</v>
        <stp/>
        <stp>BDP|4262048426586939099</stp>
        <tr r="F235" s="2"/>
      </tp>
      <tp t="s">
        <v>#N/A N/A</v>
        <stp/>
        <stp>BDP|3153454774229546956</stp>
        <tr r="G797" s="2"/>
      </tp>
      <tp t="s">
        <v>#N/A N/A</v>
        <stp/>
        <stp>BDP|5774358004842542432</stp>
        <tr r="M586" s="2"/>
      </tp>
      <tp t="s">
        <v>#N/A N/A</v>
        <stp/>
        <stp>BDP|6968540633589765994</stp>
        <tr r="D1267" s="2"/>
      </tp>
      <tp t="s">
        <v>#N/A N/A</v>
        <stp/>
        <stp>BDP|8724510815075218912</stp>
        <tr r="F1258" s="2"/>
      </tp>
      <tp t="s">
        <v>#N/A N/A</v>
        <stp/>
        <stp>BDS|9319489308135181823</stp>
        <tr r="I230" s="2"/>
      </tp>
      <tp t="s">
        <v>#N/A N/A</v>
        <stp/>
        <stp>BDP|2182079902643309177</stp>
        <tr r="J777" s="2"/>
      </tp>
      <tp t="s">
        <v>#N/A N/A</v>
        <stp/>
        <stp>BDP|5716175037523255454</stp>
        <tr r="J485" s="2"/>
      </tp>
      <tp t="s">
        <v>#N/A N/A</v>
        <stp/>
        <stp>BDP|8740776686217276047</stp>
        <tr r="O855" s="2"/>
      </tp>
      <tp t="s">
        <v>#N/A N/A</v>
        <stp/>
        <stp>BDP|3035240332903625108</stp>
        <tr r="G1383" s="2"/>
      </tp>
      <tp t="s">
        <v>#N/A N/A</v>
        <stp/>
        <stp>BDP|3918635510893998735</stp>
        <tr r="R1614" s="2"/>
      </tp>
      <tp t="s">
        <v>#N/A N/A</v>
        <stp/>
        <stp>BDP|5811104153752256394</stp>
        <tr r="O961" s="2"/>
      </tp>
      <tp t="s">
        <v>#N/A N/A</v>
        <stp/>
        <stp>BDP|9268883689478304102</stp>
        <tr r="A1117" s="2"/>
      </tp>
      <tp t="s">
        <v>#N/A N/A</v>
        <stp/>
        <stp>BDP|2545242102883457378</stp>
        <tr r="D430" s="2"/>
      </tp>
      <tp t="s">
        <v>#N/A N/A</v>
        <stp/>
        <stp>BDP|1552574015365561026</stp>
        <tr r="N1051" s="2"/>
      </tp>
      <tp t="s">
        <v>#N/A N/A</v>
        <stp/>
        <stp>BDP|6505574305095578621</stp>
        <tr r="C522" s="2"/>
      </tp>
      <tp t="s">
        <v>#N/A N/A</v>
        <stp/>
        <stp>BDP|3811507143450287298</stp>
        <tr r="F1452" s="2"/>
      </tp>
      <tp t="s">
        <v>#N/A N/A</v>
        <stp/>
        <stp>BDP|4713200820791320546</stp>
        <tr r="P85" s="2"/>
      </tp>
      <tp t="s">
        <v>#N/A N/A</v>
        <stp/>
        <stp>BDP|9267452713494075845</stp>
        <tr r="G1114" s="2"/>
      </tp>
      <tp t="s">
        <v>#N/A N/A</v>
        <stp/>
        <stp>BDP|5626197828562206452</stp>
        <tr r="T860" s="2"/>
      </tp>
      <tp t="s">
        <v>#N/A N/A</v>
        <stp/>
        <stp>BDP|5519165720511727741</stp>
        <tr r="Q82" s="2"/>
      </tp>
      <tp t="s">
        <v>#N/A N/A</v>
        <stp/>
        <stp>BDP|3195319199559838014</stp>
        <tr r="D531" s="2"/>
      </tp>
      <tp t="s">
        <v>#N/A N/A</v>
        <stp/>
        <stp>BDP|3596928377844438948</stp>
        <tr r="R23" s="2"/>
      </tp>
      <tp t="s">
        <v>#N/A N/A</v>
        <stp/>
        <stp>BDP|8435534182707501205</stp>
        <tr r="F1660" s="2"/>
      </tp>
      <tp t="s">
        <v>#N/A N/A</v>
        <stp/>
        <stp>BDP|2074868832931279864</stp>
        <tr r="E496" s="2"/>
      </tp>
      <tp t="s">
        <v>#N/A N/A</v>
        <stp/>
        <stp>BDP|1007043468924490386</stp>
        <tr r="F1419" s="2"/>
      </tp>
      <tp t="s">
        <v>#N/A N/A</v>
        <stp/>
        <stp>BDP|2067920553377154905</stp>
        <tr r="C853" s="2"/>
      </tp>
      <tp t="s">
        <v>#N/A N/A</v>
        <stp/>
        <stp>BDP|7534563672781448456</stp>
        <tr r="P729" s="2"/>
      </tp>
      <tp t="s">
        <v>#N/A N/A</v>
        <stp/>
        <stp>BDP|8836117987645726495</stp>
        <tr r="M337" s="2"/>
      </tp>
      <tp t="s">
        <v>#N/A N/A</v>
        <stp/>
        <stp>BDP|6389679451775724021</stp>
        <tr r="R1242" s="2"/>
      </tp>
      <tp t="s">
        <v>#N/A N/A</v>
        <stp/>
        <stp>BDP|6238546125016497779</stp>
        <tr r="E797" s="2"/>
      </tp>
      <tp t="s">
        <v>#N/A N/A</v>
        <stp/>
        <stp>BDP|2144409796858292758</stp>
        <tr r="M27" s="2"/>
      </tp>
      <tp t="s">
        <v>#N/A N/A</v>
        <stp/>
        <stp>BDP|9590142191674192510</stp>
        <tr r="T958" s="2"/>
      </tp>
      <tp t="s">
        <v>#N/A N/A</v>
        <stp/>
        <stp>BDP|4256524156954384054</stp>
        <tr r="J256" s="2"/>
      </tp>
      <tp t="s">
        <v>#N/A N/A</v>
        <stp/>
        <stp>BDP|1778431446638448960</stp>
        <tr r="S1127" s="2"/>
      </tp>
      <tp t="s">
        <v>#N/A N/A</v>
        <stp/>
        <stp>BDP|1876418853581996137</stp>
        <tr r="M1093" s="2"/>
      </tp>
      <tp t="s">
        <v>#N/A N/A</v>
        <stp/>
        <stp>BDP|1327448953839163950</stp>
        <tr r="K1693" s="2"/>
      </tp>
      <tp t="s">
        <v>#N/A N/A</v>
        <stp/>
        <stp>BDP|5157591505012919241</stp>
        <tr r="K1444" s="2"/>
      </tp>
      <tp t="s">
        <v>#N/A N/A</v>
        <stp/>
        <stp>BDP|5792541786360657839</stp>
        <tr r="J244" s="2"/>
      </tp>
      <tp t="s">
        <v>#N/A N/A</v>
        <stp/>
        <stp>BDP|4429027422131378774</stp>
        <tr r="T899" s="2"/>
      </tp>
      <tp t="s">
        <v>#N/A N/A</v>
        <stp/>
        <stp>BDP|2223207600736671642</stp>
        <tr r="O100" s="2"/>
      </tp>
      <tp t="s">
        <v>#N/A N/A</v>
        <stp/>
        <stp>BDP|6093062568976828667</stp>
        <tr r="K1690" s="2"/>
      </tp>
      <tp t="s">
        <v>#N/A N/A</v>
        <stp/>
        <stp>BDP|5118521208166937625</stp>
        <tr r="G41" s="2"/>
      </tp>
      <tp t="s">
        <v>#N/A N/A</v>
        <stp/>
        <stp>BDP|9460416631449225760</stp>
        <tr r="O286" s="2"/>
      </tp>
      <tp t="s">
        <v>#N/A N/A</v>
        <stp/>
        <stp>BDP|8706339970279655528</stp>
        <tr r="J844" s="2"/>
      </tp>
      <tp t="s">
        <v>#N/A N/A</v>
        <stp/>
        <stp>BDP|4338957111414426834</stp>
        <tr r="T545" s="2"/>
      </tp>
      <tp t="s">
        <v>#N/A N/A</v>
        <stp/>
        <stp>BDP|7475616511661668127</stp>
        <tr r="J1143" s="2"/>
      </tp>
      <tp t="s">
        <v>#N/A N/A</v>
        <stp/>
        <stp>BDP|8112667683024749234</stp>
        <tr r="O726" s="2"/>
      </tp>
      <tp t="s">
        <v>#N/A N/A</v>
        <stp/>
        <stp>BDP|9787756272990577956</stp>
        <tr r="A1594" s="2"/>
      </tp>
      <tp t="s">
        <v>#N/A N/A</v>
        <stp/>
        <stp>BDP|4403542500650951188</stp>
        <tr r="H760" s="2"/>
      </tp>
      <tp t="s">
        <v>#N/A N/A</v>
        <stp/>
        <stp>BDP|3095442761571766031</stp>
        <tr r="A994" s="2"/>
      </tp>
      <tp t="s">
        <v>#N/A N/A</v>
        <stp/>
        <stp>BDP|3997393361510056603</stp>
        <tr r="T1627" s="2"/>
      </tp>
      <tp t="s">
        <v>#N/A N/A</v>
        <stp/>
        <stp>BDP|2599631805243542776</stp>
        <tr r="R1185" s="2"/>
      </tp>
      <tp t="s">
        <v>#N/A N/A</v>
        <stp/>
        <stp>BDP|1966127243822047695</stp>
        <tr r="P1356" s="2"/>
      </tp>
      <tp t="s">
        <v>#N/A N/A</v>
        <stp/>
        <stp>BDP|6627143871130685040</stp>
        <tr r="N988" s="2"/>
      </tp>
      <tp t="s">
        <v>#N/A N/A</v>
        <stp/>
        <stp>BDP|4002008475966084542</stp>
        <tr r="R773" s="2"/>
      </tp>
      <tp t="s">
        <v>#N/A N/A</v>
        <stp/>
        <stp>BDS|9313801231026510469</stp>
        <tr r="I1230" s="2"/>
      </tp>
      <tp t="s">
        <v>#N/A N/A</v>
        <stp/>
        <stp>BDP|3169402591446985883</stp>
        <tr r="Q717" s="2"/>
      </tp>
      <tp t="s">
        <v>#N/A N/A</v>
        <stp/>
        <stp>BDP|6824886826608402439</stp>
        <tr r="O1241" s="2"/>
      </tp>
      <tp t="s">
        <v>#N/A N/A</v>
        <stp/>
        <stp>BDP|3608569170160027111</stp>
        <tr r="C1540" s="2"/>
      </tp>
      <tp t="s">
        <v>#N/A N/A</v>
        <stp/>
        <stp>BDP|7164574411137217448</stp>
        <tr r="J1378" s="2"/>
      </tp>
      <tp t="s">
        <v>#N/A N/A</v>
        <stp/>
        <stp>BDP|8334382482664146799</stp>
        <tr r="O666" s="2"/>
      </tp>
      <tp t="s">
        <v>#N/A N/A</v>
        <stp/>
        <stp>BDP|4099658203805148767</stp>
        <tr r="R416" s="2"/>
      </tp>
      <tp t="s">
        <v>#N/A N/A</v>
        <stp/>
        <stp>BDP|4360038655265523414</stp>
        <tr r="F433" s="2"/>
      </tp>
      <tp t="s">
        <v>#N/A N/A</v>
        <stp/>
        <stp>BDP|5246384434866928360</stp>
        <tr r="Q1230" s="2"/>
      </tp>
      <tp t="s">
        <v>#N/A N/A</v>
        <stp/>
        <stp>BDP|2558449269456841616</stp>
        <tr r="A922" s="2"/>
      </tp>
      <tp t="s">
        <v>#N/A N/A</v>
        <stp/>
        <stp>BDP|7457560743622387436</stp>
        <tr r="R1512" s="2"/>
      </tp>
      <tp t="s">
        <v>#N/A N/A</v>
        <stp/>
        <stp>BDP|4926787062415291005</stp>
        <tr r="T1585" s="2"/>
      </tp>
      <tp t="s">
        <v>#N/A N/A</v>
        <stp/>
        <stp>BDP|5189434075271439720</stp>
        <tr r="R121" s="2"/>
      </tp>
      <tp t="s">
        <v>#N/A N/A</v>
        <stp/>
        <stp>BDP|5316153701963047762</stp>
        <tr r="O1345" s="2"/>
      </tp>
      <tp t="s">
        <v>#N/A N/A</v>
        <stp/>
        <stp>BDP|1391054185268358117</stp>
        <tr r="C773" s="2"/>
      </tp>
      <tp t="s">
        <v>#N/A N/A</v>
        <stp/>
        <stp>BDP|2641112310995245746</stp>
        <tr r="D189" s="2"/>
      </tp>
      <tp t="s">
        <v>#N/A N/A</v>
        <stp/>
        <stp>BDP|2750349814939412929</stp>
        <tr r="K151" s="2"/>
      </tp>
      <tp t="s">
        <v>#N/A N/A</v>
        <stp/>
        <stp>BDP|1834739707061821754</stp>
        <tr r="M715" s="2"/>
      </tp>
      <tp t="s">
        <v>#N/A N/A</v>
        <stp/>
        <stp>BDP|4740435722405194760</stp>
        <tr r="Q494" s="2"/>
      </tp>
      <tp t="s">
        <v>#N/A N/A</v>
        <stp/>
        <stp>BDP|9447274632868028006</stp>
        <tr r="O148" s="2"/>
      </tp>
      <tp t="s">
        <v>#N/A N/A</v>
        <stp/>
        <stp>BDP|2119352395959836185</stp>
        <tr r="J616" s="2"/>
      </tp>
      <tp t="s">
        <v>#N/A N/A</v>
        <stp/>
        <stp>BDP|5297150064691567375</stp>
        <tr r="N785" s="2"/>
      </tp>
      <tp t="s">
        <v>#N/A N/A</v>
        <stp/>
        <stp>BDP|3092144943660508634</stp>
        <tr r="H1093" s="2"/>
      </tp>
      <tp t="s">
        <v>#N/A N/A</v>
        <stp/>
        <stp>BDP|6701016763873462307</stp>
        <tr r="P1403" s="2"/>
      </tp>
      <tp t="s">
        <v>#N/A N/A</v>
        <stp/>
        <stp>BDP|2647253071934680358</stp>
        <tr r="A1656" s="2"/>
      </tp>
      <tp t="s">
        <v>#N/A N/A</v>
        <stp/>
        <stp>BDP|4105406478511140699</stp>
        <tr r="H818" s="2"/>
      </tp>
      <tp t="s">
        <v>#N/A N/A</v>
        <stp/>
        <stp>BDS|2396160740043114455</stp>
        <tr r="I253" s="2"/>
      </tp>
      <tp t="s">
        <v>#N/A N/A</v>
        <stp/>
        <stp>BDP|2688745626251618630</stp>
        <tr r="H957" s="2"/>
      </tp>
      <tp t="s">
        <v>#N/A N/A</v>
        <stp/>
        <stp>BDP|6369933222955567864</stp>
        <tr r="D843" s="2"/>
      </tp>
      <tp t="s">
        <v>#N/A N/A</v>
        <stp/>
        <stp>BDP|1202889161096801927</stp>
        <tr r="N1329" s="2"/>
      </tp>
      <tp t="s">
        <v>#N/A N/A</v>
        <stp/>
        <stp>BDP|5477913585503966786</stp>
        <tr r="H258" s="2"/>
      </tp>
      <tp t="s">
        <v>#N/A N/A</v>
        <stp/>
        <stp>BDP|6164712432461583369</stp>
        <tr r="N333" s="2"/>
      </tp>
      <tp t="s">
        <v>#N/A N/A</v>
        <stp/>
        <stp>BDP|4381204864676688603</stp>
        <tr r="J1610" s="2"/>
      </tp>
      <tp t="s">
        <v>#N/A N/A</v>
        <stp/>
        <stp>BDP|9243083479036267800</stp>
        <tr r="C322" s="2"/>
      </tp>
      <tp t="s">
        <v>#N/A N/A</v>
        <stp/>
        <stp>BDP|3313853810668601215</stp>
        <tr r="C615" s="2"/>
      </tp>
      <tp t="s">
        <v>#N/A N/A</v>
        <stp/>
        <stp>BDP|6510951373858688041</stp>
        <tr r="T1691" s="2"/>
      </tp>
      <tp t="s">
        <v>#N/A N/A</v>
        <stp/>
        <stp>BDP|6741094061372768294</stp>
        <tr r="G1244" s="2"/>
      </tp>
      <tp t="s">
        <v>#N/A N/A</v>
        <stp/>
        <stp>BDP|1552019510918333866</stp>
        <tr r="J513" s="2"/>
      </tp>
      <tp t="s">
        <v>#N/A N/A</v>
        <stp/>
        <stp>BDP|1696278424150282168</stp>
        <tr r="R1511" s="2"/>
      </tp>
      <tp t="s">
        <v>#N/A N/A</v>
        <stp/>
        <stp>BDP|1897284628219186887</stp>
        <tr r="P92" s="2"/>
      </tp>
      <tp t="s">
        <v>#N/A N/A</v>
        <stp/>
        <stp>BDP|9141416193314720053</stp>
        <tr r="R14" s="2"/>
      </tp>
      <tp t="s">
        <v>#N/A N/A</v>
        <stp/>
        <stp>BDS|1339544542603713333</stp>
        <tr r="I896" s="2"/>
      </tp>
      <tp t="s">
        <v>#N/A N/A</v>
        <stp/>
        <stp>BDP|7095823602818964787</stp>
        <tr r="S1178" s="2"/>
      </tp>
      <tp t="s">
        <v>#N/A N/A</v>
        <stp/>
        <stp>BDP|3413070639957887733</stp>
        <tr r="S1437" s="2"/>
      </tp>
      <tp t="s">
        <v>#N/A N/A</v>
        <stp/>
        <stp>BDP|1324326562676256204</stp>
        <tr r="R671" s="2"/>
      </tp>
      <tp t="s">
        <v>#N/A N/A</v>
        <stp/>
        <stp>BDP|4218606596789774224</stp>
        <tr r="F1656" s="2"/>
      </tp>
      <tp t="s">
        <v>#N/A N/A</v>
        <stp/>
        <stp>BDP|3261496374089940977</stp>
        <tr r="C824" s="2"/>
      </tp>
      <tp t="s">
        <v>#N/A N/A</v>
        <stp/>
        <stp>BDP|1053335346140560615</stp>
        <tr r="N1091" s="2"/>
      </tp>
      <tp t="s">
        <v>#N/A N/A</v>
        <stp/>
        <stp>BDP|2342169561705781020</stp>
        <tr r="K320" s="2"/>
      </tp>
      <tp t="s">
        <v>#N/A N/A</v>
        <stp/>
        <stp>BDP|6759689497679098091</stp>
        <tr r="P247" s="2"/>
      </tp>
      <tp t="s">
        <v>#N/A N/A</v>
        <stp/>
        <stp>BDP|3443242731024602663</stp>
        <tr r="P110" s="2"/>
      </tp>
      <tp t="s">
        <v>#N/A N/A</v>
        <stp/>
        <stp>BDP|6163412886053128963</stp>
        <tr r="O1115" s="2"/>
      </tp>
      <tp t="s">
        <v>#N/A N/A</v>
        <stp/>
        <stp>BDP|8535889369810526605</stp>
        <tr r="F678" s="2"/>
      </tp>
      <tp t="s">
        <v>#N/A N/A</v>
        <stp/>
        <stp>BDP|8643651598014804320</stp>
        <tr r="K966" s="2"/>
      </tp>
      <tp t="s">
        <v>#N/A N/A</v>
        <stp/>
        <stp>BDP|1318379731715693423</stp>
        <tr r="E1440" s="2"/>
      </tp>
      <tp t="s">
        <v>#N/A N/A</v>
        <stp/>
        <stp>BDP|3071263573392700432</stp>
        <tr r="C320" s="2"/>
      </tp>
      <tp t="s">
        <v>#N/A N/A</v>
        <stp/>
        <stp>BDP|4074674055382633556</stp>
        <tr r="S327" s="2"/>
      </tp>
      <tp t="s">
        <v>#N/A N/A</v>
        <stp/>
        <stp>BDS|3556619015177739378</stp>
        <tr r="I897" s="2"/>
      </tp>
      <tp t="s">
        <v>#N/A N/A</v>
        <stp/>
        <stp>BDS|6163193638102472654</stp>
        <tr r="I1221" s="2"/>
      </tp>
      <tp t="s">
        <v>#N/A N/A</v>
        <stp/>
        <stp>BDP|1108141607471609151</stp>
        <tr r="F1451" s="2"/>
      </tp>
      <tp t="s">
        <v>#N/A N/A</v>
        <stp/>
        <stp>BDP|6953909462060801928</stp>
        <tr r="O706" s="2"/>
      </tp>
      <tp t="s">
        <v>#N/A N/A</v>
        <stp/>
        <stp>BDP|5793183347016992607</stp>
        <tr r="M361" s="2"/>
      </tp>
      <tp t="s">
        <v>#N/A N/A</v>
        <stp/>
        <stp>BDP|6278303832076924082</stp>
        <tr r="M1330" s="2"/>
      </tp>
      <tp t="s">
        <v>#N/A N/A</v>
        <stp/>
        <stp>BDP|2425799377906339485</stp>
        <tr r="O402" s="2"/>
      </tp>
      <tp t="s">
        <v>#N/A N/A</v>
        <stp/>
        <stp>BDP|3452927130630508920</stp>
        <tr r="C352" s="2"/>
      </tp>
      <tp t="s">
        <v>#N/A N/A</v>
        <stp/>
        <stp>BDP|7722862480742016501</stp>
        <tr r="P524" s="2"/>
      </tp>
      <tp t="s">
        <v>#N/A N/A</v>
        <stp/>
        <stp>BDP|2093948563708163577</stp>
        <tr r="C1697" s="2"/>
      </tp>
      <tp t="s">
        <v>#N/A N/A</v>
        <stp/>
        <stp>BDP|7192684467035689292</stp>
        <tr r="P597" s="2"/>
      </tp>
      <tp t="s">
        <v>#N/A N/A</v>
        <stp/>
        <stp>BDP|4353746765094740140</stp>
        <tr r="P473" s="2"/>
      </tp>
      <tp t="s">
        <v>#N/A N/A</v>
        <stp/>
        <stp>BDP|1096288745691877647</stp>
        <tr r="T1668" s="2"/>
      </tp>
      <tp t="s">
        <v>#N/A N/A</v>
        <stp/>
        <stp>BDP|4720344372028648865</stp>
        <tr r="F871" s="2"/>
      </tp>
      <tp t="s">
        <v>#N/A N/A</v>
        <stp/>
        <stp>BDP|1852380638266128782</stp>
        <tr r="N364" s="2"/>
      </tp>
      <tp t="s">
        <v>#N/A N/A</v>
        <stp/>
        <stp>BDP|4751072150529766862</stp>
        <tr r="R1332" s="2"/>
      </tp>
      <tp t="s">
        <v>#N/A N/A</v>
        <stp/>
        <stp>BDP|4166803284665057140</stp>
        <tr r="A1562" s="2"/>
      </tp>
      <tp t="s">
        <v>#N/A N/A</v>
        <stp/>
        <stp>BDP|3594891959536782833</stp>
        <tr r="A1671" s="2"/>
      </tp>
      <tp t="s">
        <v>#N/A N/A</v>
        <stp/>
        <stp>BDP|2031539841126050538</stp>
        <tr r="C1111" s="2"/>
      </tp>
      <tp t="s">
        <v>#N/A N/A</v>
        <stp/>
        <stp>BDP|6687630462606472050</stp>
        <tr r="P852" s="2"/>
      </tp>
      <tp t="s">
        <v>#N/A N/A</v>
        <stp/>
        <stp>BDP|7674246160863382078</stp>
        <tr r="D1471" s="2"/>
      </tp>
      <tp t="s">
        <v>#N/A N/A</v>
        <stp/>
        <stp>BDP|4072146979261285392</stp>
        <tr r="O90" s="2"/>
      </tp>
      <tp t="s">
        <v>#N/A N/A</v>
        <stp/>
        <stp>BDP|1302120254232338708</stp>
        <tr r="H392" s="2"/>
      </tp>
      <tp t="s">
        <v>#N/A N/A</v>
        <stp/>
        <stp>BDP|9319858337684546623</stp>
        <tr r="R316" s="2"/>
      </tp>
      <tp t="s">
        <v>#N/A N/A</v>
        <stp/>
        <stp>BDP|7989438398102784831</stp>
        <tr r="C866" s="2"/>
      </tp>
      <tp t="s">
        <v>#N/A N/A</v>
        <stp/>
        <stp>BDP|1194834200398436105</stp>
        <tr r="N1452" s="2"/>
      </tp>
      <tp t="s">
        <v>#N/A N/A</v>
        <stp/>
        <stp>BDP|5095748533799183806</stp>
        <tr r="C1560" s="2"/>
      </tp>
      <tp t="s">
        <v>#N/A N/A</v>
        <stp/>
        <stp>BDP|4854408899730438932</stp>
        <tr r="F254" s="2"/>
      </tp>
      <tp t="s">
        <v>#N/A N/A</v>
        <stp/>
        <stp>BDP|5767022671913771151</stp>
        <tr r="A978" s="2"/>
      </tp>
      <tp t="s">
        <v>#N/A N/A</v>
        <stp/>
        <stp>BDP|9390285845247911814</stp>
        <tr r="A1697" s="2"/>
      </tp>
      <tp t="s">
        <v>#N/A N/A</v>
        <stp/>
        <stp>BDP|6480912380243709443</stp>
        <tr r="E28" s="2"/>
      </tp>
      <tp t="s">
        <v>#N/A N/A</v>
        <stp/>
        <stp>BDP|4738630710191412269</stp>
        <tr r="M728" s="2"/>
      </tp>
      <tp t="s">
        <v>#N/A N/A</v>
        <stp/>
        <stp>BDP|3783861254849139728</stp>
        <tr r="O484" s="2"/>
      </tp>
      <tp t="s">
        <v>#N/A N/A</v>
        <stp/>
        <stp>BDP|3445603821141283614</stp>
        <tr r="H1111" s="2"/>
      </tp>
      <tp t="s">
        <v>#N/A N/A</v>
        <stp/>
        <stp>BDP|7870708359344083179</stp>
        <tr r="P217" s="2"/>
      </tp>
      <tp t="s">
        <v>#N/A N/A</v>
        <stp/>
        <stp>BDS|3530048496209904387</stp>
        <tr r="I1281" s="2"/>
      </tp>
      <tp t="s">
        <v>#N/A N/A</v>
        <stp/>
        <stp>BDP|3488494200003356484</stp>
        <tr r="T328" s="2"/>
      </tp>
      <tp t="s">
        <v>#N/A N/A</v>
        <stp/>
        <stp>BDP|5043017506425539049</stp>
        <tr r="F1278" s="2"/>
      </tp>
      <tp t="s">
        <v>#N/A N/A</v>
        <stp/>
        <stp>BDP|9490700017557078856</stp>
        <tr r="Q1207" s="2"/>
      </tp>
      <tp t="s">
        <v>#N/A N/A</v>
        <stp/>
        <stp>BDP|3547548358094814770</stp>
        <tr r="N496" s="2"/>
      </tp>
      <tp t="s">
        <v>#N/A N/A</v>
        <stp/>
        <stp>BDP|3804433038856654232</stp>
        <tr r="F417" s="2"/>
      </tp>
      <tp t="s">
        <v>#N/A N/A</v>
        <stp/>
        <stp>BDP|4825305544243812028</stp>
        <tr r="G809" s="2"/>
      </tp>
      <tp t="s">
        <v>#N/A N/A</v>
        <stp/>
        <stp>BDP|6626553874766539249</stp>
        <tr r="K734" s="2"/>
      </tp>
      <tp t="s">
        <v>#N/A N/A</v>
        <stp/>
        <stp>BDP|1743043198688458098</stp>
        <tr r="E1167" s="2"/>
      </tp>
      <tp t="s">
        <v>#N/A N/A</v>
        <stp/>
        <stp>BDP|6390142672164579461</stp>
        <tr r="N1405" s="2"/>
      </tp>
      <tp t="s">
        <v>#N/A N/A</v>
        <stp/>
        <stp>BDP|2011307237926416451</stp>
        <tr r="O89" s="2"/>
      </tp>
      <tp t="s">
        <v>#N/A N/A</v>
        <stp/>
        <stp>BDP|5795603320771021010</stp>
        <tr r="N1481" s="2"/>
      </tp>
      <tp t="s">
        <v>#N/A N/A</v>
        <stp/>
        <stp>BDP|1250639541190210343</stp>
        <tr r="A1218" s="2"/>
      </tp>
      <tp t="s">
        <v>#N/A N/A</v>
        <stp/>
        <stp>BDS|7247192547517864528</stp>
        <tr r="I758" s="2"/>
      </tp>
      <tp t="s">
        <v>#N/A N/A</v>
        <stp/>
        <stp>BDP|7146421201047130458</stp>
        <tr r="H1395" s="2"/>
      </tp>
      <tp t="s">
        <v>#N/A N/A</v>
        <stp/>
        <stp>BDP|9746407319919993512</stp>
        <tr r="T702" s="2"/>
      </tp>
      <tp t="s">
        <v>#N/A N/A</v>
        <stp/>
        <stp>BDP|9535406959169928137</stp>
        <tr r="P491" s="2"/>
      </tp>
      <tp t="s">
        <v>#N/A N/A</v>
        <stp/>
        <stp>BDP|6513052346482614067</stp>
        <tr r="G966" s="2"/>
      </tp>
      <tp t="s">
        <v>#N/A N/A</v>
        <stp/>
        <stp>BDP|5920707936827884614</stp>
        <tr r="M129" s="2"/>
      </tp>
      <tp t="s">
        <v>#N/A N/A</v>
        <stp/>
        <stp>BDP|3133367874054767323</stp>
        <tr r="K311" s="2"/>
      </tp>
      <tp t="s">
        <v>#N/A N/A</v>
        <stp/>
        <stp>BDP|9543439147661320849</stp>
        <tr r="T614" s="2"/>
      </tp>
      <tp t="s">
        <v>#N/A N/A</v>
        <stp/>
        <stp>BDP|1903387466595479155</stp>
        <tr r="D1193" s="2"/>
      </tp>
      <tp t="s">
        <v>#N/A N/A</v>
        <stp/>
        <stp>BDP|8978605958642122966</stp>
        <tr r="N1168" s="2"/>
      </tp>
      <tp t="s">
        <v>#N/A N/A</v>
        <stp/>
        <stp>BDP|7041065754912297061</stp>
        <tr r="F1409" s="2"/>
      </tp>
      <tp t="s">
        <v>#N/A N/A</v>
        <stp/>
        <stp>BDP|9569594955239673097</stp>
        <tr r="K452" s="2"/>
      </tp>
      <tp t="s">
        <v>#N/A N/A</v>
        <stp/>
        <stp>BDP|9605913777447335054</stp>
        <tr r="N357" s="2"/>
      </tp>
      <tp t="s">
        <v>#N/A N/A</v>
        <stp/>
        <stp>BDP|8261522235468241617</stp>
        <tr r="O504" s="2"/>
      </tp>
      <tp t="s">
        <v>#N/A N/A</v>
        <stp/>
        <stp>BDP|1148495809122027771</stp>
        <tr r="N69" s="2"/>
      </tp>
      <tp t="s">
        <v>#N/A N/A</v>
        <stp/>
        <stp>BDP|1925790109400618694</stp>
        <tr r="M152" s="2"/>
      </tp>
      <tp t="s">
        <v>#N/A N/A</v>
        <stp/>
        <stp>BDP|7278327382079131550</stp>
        <tr r="A1602" s="2"/>
      </tp>
      <tp t="s">
        <v>#N/A N/A</v>
        <stp/>
        <stp>BDP|5073914592262519703</stp>
        <tr r="S1687" s="2"/>
      </tp>
      <tp t="s">
        <v>#N/A N/A</v>
        <stp/>
        <stp>BDP|9405730220495465951</stp>
        <tr r="Q255" s="2"/>
      </tp>
      <tp t="s">
        <v>#N/A N/A</v>
        <stp/>
        <stp>BDP|4322090606565253180</stp>
        <tr r="P381" s="2"/>
      </tp>
      <tp t="s">
        <v>#N/A N/A</v>
        <stp/>
        <stp>BDP|8568312326681082848</stp>
        <tr r="M1675" s="2"/>
      </tp>
      <tp t="s">
        <v>#N/A N/A</v>
        <stp/>
        <stp>BDP|9500333267239579524</stp>
        <tr r="E959" s="2"/>
      </tp>
      <tp t="s">
        <v>#N/A N/A</v>
        <stp/>
        <stp>BDP|3885015122804571587</stp>
        <tr r="N1551" s="2"/>
      </tp>
      <tp t="s">
        <v>#N/A N/A</v>
        <stp/>
        <stp>BDP|8636080780208064882</stp>
        <tr r="C571" s="2"/>
      </tp>
      <tp t="s">
        <v>#N/A N/A</v>
        <stp/>
        <stp>BDP|3041468202854400361</stp>
        <tr r="R6" s="2"/>
      </tp>
      <tp t="s">
        <v>#N/A N/A</v>
        <stp/>
        <stp>BDP|2525766140122287378</stp>
        <tr r="D2" s="2"/>
      </tp>
      <tp t="s">
        <v>#N/A N/A</v>
        <stp/>
        <stp>BDP|7929793061285400336</stp>
        <tr r="K1029" s="2"/>
      </tp>
      <tp t="s">
        <v>#N/A N/A</v>
        <stp/>
        <stp>BDP|1902473407434827170</stp>
        <tr r="E1321" s="2"/>
      </tp>
      <tp t="s">
        <v>#N/A N/A</v>
        <stp/>
        <stp>BDP|1639774565488328814</stp>
        <tr r="A450" s="2"/>
      </tp>
      <tp t="s">
        <v>#N/A N/A</v>
        <stp/>
        <stp>BDP|4318743120467023611</stp>
        <tr r="Q785" s="2"/>
      </tp>
      <tp t="s">
        <v>#N/A N/A</v>
        <stp/>
        <stp>BDP|7801693509181743093</stp>
        <tr r="S1635" s="2"/>
      </tp>
      <tp t="s">
        <v>#N/A N/A</v>
        <stp/>
        <stp>BDP|8340737877519540147</stp>
        <tr r="E668" s="2"/>
      </tp>
      <tp t="s">
        <v>#N/A N/A</v>
        <stp/>
        <stp>BDP|2147032647355761347</stp>
        <tr r="A741" s="2"/>
      </tp>
      <tp t="s">
        <v>#N/A N/A</v>
        <stp/>
        <stp>BDP|1093975072966294918</stp>
        <tr r="R1459" s="2"/>
      </tp>
      <tp t="s">
        <v>#N/A N/A</v>
        <stp/>
        <stp>BDP|6164023746927603558</stp>
        <tr r="Q1371" s="2"/>
      </tp>
      <tp t="s">
        <v>#N/A N/A</v>
        <stp/>
        <stp>BDP|2849981196665503757</stp>
        <tr r="D425" s="2"/>
      </tp>
      <tp t="s">
        <v>#N/A N/A</v>
        <stp/>
        <stp>BDP|3456383268061306711</stp>
        <tr r="R270" s="2"/>
      </tp>
      <tp t="s">
        <v>#N/A N/A</v>
        <stp/>
        <stp>BDP|8178292270944838968</stp>
        <tr r="S860" s="2"/>
      </tp>
      <tp t="s">
        <v>#N/A N/A</v>
        <stp/>
        <stp>BDP|4775017503716120222</stp>
        <tr r="D315" s="2"/>
      </tp>
      <tp t="s">
        <v>#N/A N/A</v>
        <stp/>
        <stp>BDP|7406263696655027920</stp>
        <tr r="O1745" s="2"/>
      </tp>
      <tp t="s">
        <v>#N/A N/A</v>
        <stp/>
        <stp>BDP|7782448934571760164</stp>
        <tr r="E112" s="2"/>
      </tp>
      <tp t="s">
        <v>#N/A N/A</v>
        <stp/>
        <stp>BDP|9602745364391164917</stp>
        <tr r="N298" s="2"/>
      </tp>
      <tp t="s">
        <v>#N/A N/A</v>
        <stp/>
        <stp>BDP|6430100911462080438</stp>
        <tr r="P1292" s="2"/>
      </tp>
      <tp t="s">
        <v>#N/A N/A</v>
        <stp/>
        <stp>BDP|1159002123226113553</stp>
        <tr r="H807" s="2"/>
      </tp>
      <tp t="s">
        <v>#N/A N/A</v>
        <stp/>
        <stp>BDP|2058522132475072162</stp>
        <tr r="E1225" s="2"/>
      </tp>
      <tp t="s">
        <v>#N/A N/A</v>
        <stp/>
        <stp>BDP|6045364911132870690</stp>
        <tr r="K566" s="2"/>
      </tp>
      <tp t="s">
        <v>#N/A N/A</v>
        <stp/>
        <stp>BDP|5639637756553742523</stp>
        <tr r="A950" s="2"/>
      </tp>
      <tp t="s">
        <v>#N/A N/A</v>
        <stp/>
        <stp>BDP|4792686162202236687</stp>
        <tr r="T1067" s="2"/>
      </tp>
      <tp t="s">
        <v>#N/A N/A</v>
        <stp/>
        <stp>BDP|9023519110179212442</stp>
        <tr r="H384" s="2"/>
      </tp>
      <tp t="s">
        <v>#N/A N/A</v>
        <stp/>
        <stp>BDP|1122357523341470148</stp>
        <tr r="T284" s="2"/>
      </tp>
      <tp t="s">
        <v>#N/A N/A</v>
        <stp/>
        <stp>BDP|4070313447722537148</stp>
        <tr r="M1092" s="2"/>
      </tp>
      <tp t="s">
        <v>#N/A N/A</v>
        <stp/>
        <stp>BDP|6282540005457674423</stp>
        <tr r="G1390" s="2"/>
      </tp>
      <tp t="s">
        <v>#N/A N/A</v>
        <stp/>
        <stp>BDP|1819795286807841980</stp>
        <tr r="H30" s="2"/>
      </tp>
      <tp t="s">
        <v>#N/A N/A</v>
        <stp/>
        <stp>BDP|2739347528804409787</stp>
        <tr r="E699" s="2"/>
      </tp>
      <tp t="s">
        <v>#N/A N/A</v>
        <stp/>
        <stp>BDP|8136991656571897515</stp>
        <tr r="C646" s="2"/>
      </tp>
      <tp t="s">
        <v>#N/A N/A</v>
        <stp/>
        <stp>BDP|7758356992755486837</stp>
        <tr r="N842" s="2"/>
      </tp>
      <tp t="s">
        <v>#N/A N/A</v>
        <stp/>
        <stp>BDP|5417292798087280900</stp>
        <tr r="Q1290" s="2"/>
      </tp>
      <tp t="s">
        <v>#N/A N/A</v>
        <stp/>
        <stp>BDP|6358467902801009301</stp>
        <tr r="F185" s="2"/>
      </tp>
      <tp t="s">
        <v>#N/A N/A</v>
        <stp/>
        <stp>BDP|2060053331560330109</stp>
        <tr r="F1044" s="2"/>
      </tp>
      <tp t="s">
        <v>#N/A N/A</v>
        <stp/>
        <stp>BDP|5213105445468181812</stp>
        <tr r="A577" s="2"/>
      </tp>
      <tp t="s">
        <v>#N/A N/A</v>
        <stp/>
        <stp>BDS|7016885701766736999</stp>
        <tr r="I140" s="2"/>
      </tp>
      <tp t="s">
        <v>#N/A N/A</v>
        <stp/>
        <stp>BDP|6106379427670266743</stp>
        <tr r="E162" s="2"/>
      </tp>
      <tp t="s">
        <v>#N/A N/A</v>
        <stp/>
        <stp>BDP|3107084374937858322</stp>
        <tr r="G620" s="2"/>
      </tp>
      <tp t="s">
        <v>#N/A N/A</v>
        <stp/>
        <stp>BDS|8657769498594663296</stp>
        <tr r="I89" s="2"/>
      </tp>
      <tp t="s">
        <v>#N/A N/A</v>
        <stp/>
        <stp>BDP|7059645312916711662</stp>
        <tr r="R972" s="2"/>
      </tp>
      <tp t="s">
        <v>#N/A N/A</v>
        <stp/>
        <stp>BDP|6781814087664113276</stp>
        <tr r="H176" s="2"/>
      </tp>
      <tp t="s">
        <v>#N/A N/A</v>
        <stp/>
        <stp>BDP|2014005664073482771</stp>
        <tr r="D766" s="2"/>
      </tp>
      <tp t="s">
        <v>#N/A N/A</v>
        <stp/>
        <stp>BDP|2280987843419839665</stp>
        <tr r="J1048" s="2"/>
      </tp>
      <tp t="s">
        <v>#N/A N/A</v>
        <stp/>
        <stp>BDP|3693542963307516734</stp>
        <tr r="O180" s="2"/>
      </tp>
      <tp t="s">
        <v>#N/A N/A</v>
        <stp/>
        <stp>BDP|1703228962337521254</stp>
        <tr r="D686" s="2"/>
      </tp>
      <tp t="s">
        <v>#N/A N/A</v>
        <stp/>
        <stp>BDP|4982096357081110012</stp>
        <tr r="J1416" s="2"/>
      </tp>
      <tp t="s">
        <v>#N/A N/A</v>
        <stp/>
        <stp>BDS|4091537121052006151</stp>
        <tr r="I1108" s="2"/>
      </tp>
      <tp t="s">
        <v>#N/A N/A</v>
        <stp/>
        <stp>BDP|3034259430594575674</stp>
        <tr r="Q621" s="2"/>
      </tp>
      <tp t="s">
        <v>#N/A N/A</v>
        <stp/>
        <stp>BDP|6985528943907720087</stp>
        <tr r="C1737" s="2"/>
      </tp>
      <tp t="s">
        <v>#N/A N/A</v>
        <stp/>
        <stp>BDP|7284286690684930847</stp>
        <tr r="T1002" s="2"/>
      </tp>
      <tp t="s">
        <v>#N/A N/A</v>
        <stp/>
        <stp>BDP|3134861390832520057</stp>
        <tr r="M268" s="2"/>
      </tp>
      <tp t="s">
        <v>#N/A N/A</v>
        <stp/>
        <stp>BDP|4425788109660177334</stp>
        <tr r="D264" s="2"/>
      </tp>
      <tp t="s">
        <v>#N/A N/A</v>
        <stp/>
        <stp>BDP|6986855939594175930</stp>
        <tr r="O561" s="2"/>
      </tp>
      <tp t="s">
        <v>#N/A N/A</v>
        <stp/>
        <stp>BDP|4772382529097697273</stp>
        <tr r="D447" s="2"/>
      </tp>
      <tp t="s">
        <v>#N/A N/A</v>
        <stp/>
        <stp>BDP|3234062506830567301</stp>
        <tr r="M1627" s="2"/>
      </tp>
      <tp t="s">
        <v>#N/A N/A</v>
        <stp/>
        <stp>BDP|6276331687208186502</stp>
        <tr r="M1651" s="2"/>
      </tp>
      <tp t="s">
        <v>#N/A N/A</v>
        <stp/>
        <stp>BDP|7729735870217487073</stp>
        <tr r="Q827" s="2"/>
      </tp>
      <tp t="s">
        <v>#N/A N/A</v>
        <stp/>
        <stp>BDP|1077884089528153972</stp>
        <tr r="F1324" s="2"/>
      </tp>
      <tp t="s">
        <v>#N/A N/A</v>
        <stp/>
        <stp>BDP|7529741238461910277</stp>
        <tr r="Q1603" s="2"/>
      </tp>
      <tp t="s">
        <v>#N/A N/A</v>
        <stp/>
        <stp>BDP|2002552642582523154</stp>
        <tr r="A1504" s="2"/>
      </tp>
      <tp t="s">
        <v>#N/A N/A</v>
        <stp/>
        <stp>BDP|4178276351735457642</stp>
        <tr r="R983" s="2"/>
      </tp>
      <tp t="s">
        <v>#N/A N/A</v>
        <stp/>
        <stp>BDP|1790145505448819898</stp>
        <tr r="Q609" s="2"/>
      </tp>
      <tp t="s">
        <v>#N/A N/A</v>
        <stp/>
        <stp>BDP|1789468020111791619</stp>
        <tr r="K1154" s="2"/>
      </tp>
      <tp t="s">
        <v>#N/A N/A</v>
        <stp/>
        <stp>BDP|4413374935883058719</stp>
        <tr r="A214" s="2"/>
      </tp>
      <tp t="s">
        <v>#N/A N/A</v>
        <stp/>
        <stp>BDP|2838773692678309496</stp>
        <tr r="A846" s="2"/>
      </tp>
      <tp t="s">
        <v>#N/A N/A</v>
        <stp/>
        <stp>BDP|6862152736134817044</stp>
        <tr r="O857" s="2"/>
      </tp>
      <tp t="s">
        <v>#N/A N/A</v>
        <stp/>
        <stp>BDP|7055696369477203057</stp>
        <tr r="A79" s="2"/>
      </tp>
      <tp t="s">
        <v>#N/A N/A</v>
        <stp/>
        <stp>BDP|6129331862326129562</stp>
        <tr r="M94" s="2"/>
      </tp>
      <tp t="s">
        <v>#N/A N/A</v>
        <stp/>
        <stp>BDP|2220325861113156470</stp>
        <tr r="T1170" s="2"/>
      </tp>
      <tp t="s">
        <v>#N/A N/A</v>
        <stp/>
        <stp>BDP|4482413648837333392</stp>
        <tr r="C280" s="2"/>
      </tp>
      <tp t="s">
        <v>#N/A N/A</v>
        <stp/>
        <stp>BDP|7414422462411756440</stp>
        <tr r="P660" s="2"/>
      </tp>
      <tp t="s">
        <v>#N/A N/A</v>
        <stp/>
        <stp>BDP|3873704290138732583</stp>
        <tr r="J426" s="2"/>
      </tp>
      <tp t="s">
        <v>#N/A N/A</v>
        <stp/>
        <stp>BDP|7486654764393499464</stp>
        <tr r="H520" s="2"/>
      </tp>
      <tp t="s">
        <v>#N/A N/A</v>
        <stp/>
        <stp>BDP|7053093885218926724</stp>
        <tr r="P1290" s="2"/>
      </tp>
      <tp t="s">
        <v>#N/A N/A</v>
        <stp/>
        <stp>BDP|8119120792734233447</stp>
        <tr r="O339" s="2"/>
      </tp>
      <tp t="s">
        <v>#N/A N/A</v>
        <stp/>
        <stp>BDP|3555543872461452005</stp>
        <tr r="G1602" s="2"/>
      </tp>
      <tp t="s">
        <v>#N/A N/A</v>
        <stp/>
        <stp>BDP|3085740462554580640</stp>
        <tr r="K1219" s="2"/>
      </tp>
      <tp t="s">
        <v>#N/A N/A</v>
        <stp/>
        <stp>BDP|4124143174010471223</stp>
        <tr r="J794" s="2"/>
      </tp>
      <tp t="s">
        <v>#N/A N/A</v>
        <stp/>
        <stp>BDP|3313265021072253114</stp>
        <tr r="R908" s="2"/>
      </tp>
      <tp t="s">
        <v>#N/A N/A</v>
        <stp/>
        <stp>BDP|7146503717217451455</stp>
        <tr r="H683" s="2"/>
      </tp>
      <tp t="s">
        <v>#N/A N/A</v>
        <stp/>
        <stp>BDP|5448061326175363207</stp>
        <tr r="E1495" s="2"/>
      </tp>
      <tp t="s">
        <v>#N/A N/A</v>
        <stp/>
        <stp>BDP|4252759205781190247</stp>
        <tr r="F653" s="2"/>
      </tp>
      <tp t="s">
        <v>#N/A N/A</v>
        <stp/>
        <stp>BDP|5424604515160343257</stp>
        <tr r="J961" s="2"/>
      </tp>
      <tp t="s">
        <v>#N/A N/A</v>
        <stp/>
        <stp>BDP|8933830009520735031</stp>
        <tr r="H260" s="2"/>
      </tp>
      <tp t="s">
        <v>#N/A N/A</v>
        <stp/>
        <stp>BDP|2738283363743979524</stp>
        <tr r="G336" s="2"/>
      </tp>
      <tp t="s">
        <v>#N/A N/A</v>
        <stp/>
        <stp>BDP|4330698348027483117</stp>
        <tr r="F1530" s="2"/>
      </tp>
      <tp t="s">
        <v>#N/A N/A</v>
        <stp/>
        <stp>BDP|5588812140199393006</stp>
        <tr r="F1167" s="2"/>
      </tp>
      <tp t="s">
        <v>#N/A N/A</v>
        <stp/>
        <stp>BDP|4258603601627620526</stp>
        <tr r="F138" s="2"/>
      </tp>
      <tp t="s">
        <v>#N/A N/A</v>
        <stp/>
        <stp>BDP|5730368173850779120</stp>
        <tr r="Q1274" s="2"/>
      </tp>
      <tp t="s">
        <v>#N/A N/A</v>
        <stp/>
        <stp>BDP|8700831742772939681</stp>
        <tr r="E705" s="2"/>
      </tp>
      <tp t="s">
        <v>#N/A N/A</v>
        <stp/>
        <stp>BDP|3678236944465053067</stp>
        <tr r="M1558" s="2"/>
      </tp>
      <tp t="s">
        <v>#N/A N/A</v>
        <stp/>
        <stp>BDP|5660428422991199209</stp>
        <tr r="T603" s="2"/>
      </tp>
      <tp t="s">
        <v>#N/A N/A</v>
        <stp/>
        <stp>BDP|3636370079117942061</stp>
        <tr r="T313" s="2"/>
      </tp>
      <tp t="s">
        <v>#N/A N/A</v>
        <stp/>
        <stp>BDP|2549337262697055037</stp>
        <tr r="Q243" s="2"/>
      </tp>
      <tp t="s">
        <v>#N/A N/A</v>
        <stp/>
        <stp>BDP|7415253420885599234</stp>
        <tr r="G1609" s="2"/>
      </tp>
      <tp t="s">
        <v>#N/A N/A</v>
        <stp/>
        <stp>BDP|5089771367386480235</stp>
        <tr r="D738" s="2"/>
      </tp>
      <tp t="s">
        <v>#N/A N/A</v>
        <stp/>
        <stp>BDP|7954076052431809330</stp>
        <tr r="M316" s="2"/>
      </tp>
      <tp t="s">
        <v>#N/A N/A</v>
        <stp/>
        <stp>BDS|6149447484102204846</stp>
        <tr r="I1603" s="2"/>
      </tp>
      <tp t="s">
        <v>#N/A N/A</v>
        <stp/>
        <stp>BDP|2199629538631805641</stp>
        <tr r="C1671" s="2"/>
      </tp>
      <tp t="s">
        <v>#N/A N/A</v>
        <stp/>
        <stp>BDP|3973500508264427221</stp>
        <tr r="E52" s="2"/>
      </tp>
      <tp t="s">
        <v>#N/A N/A</v>
        <stp/>
        <stp>BDP|2371614187265356912</stp>
        <tr r="Q622" s="2"/>
      </tp>
      <tp t="s">
        <v>#N/A N/A</v>
        <stp/>
        <stp>BDP|9192822525627125409</stp>
        <tr r="H1058" s="2"/>
      </tp>
      <tp t="s">
        <v>#N/A N/A</v>
        <stp/>
        <stp>BDP|9332584887080801431</stp>
        <tr r="T1392" s="2"/>
      </tp>
      <tp t="s">
        <v>#N/A N/A</v>
        <stp/>
        <stp>BDP|5531366143950698213</stp>
        <tr r="S514" s="2"/>
      </tp>
      <tp t="s">
        <v>#N/A N/A</v>
        <stp/>
        <stp>BDP|3840796956705366435</stp>
        <tr r="T1101" s="2"/>
      </tp>
      <tp t="s">
        <v>#N/A N/A</v>
        <stp/>
        <stp>BDP|4477465703589501931</stp>
        <tr r="C995" s="2"/>
      </tp>
      <tp t="s">
        <v>#N/A N/A</v>
        <stp/>
        <stp>BDP|3228169946392149475</stp>
        <tr r="E1725" s="2"/>
      </tp>
      <tp t="s">
        <v>#N/A N/A</v>
        <stp/>
        <stp>BDP|8910689987496571072</stp>
        <tr r="K214" s="2"/>
      </tp>
      <tp t="s">
        <v>#N/A N/A</v>
        <stp/>
        <stp>BDP|5242693822351982045</stp>
        <tr r="T1074" s="2"/>
      </tp>
      <tp t="s">
        <v>#N/A N/A</v>
        <stp/>
        <stp>BDP|3209671046133013278</stp>
        <tr r="O486" s="2"/>
      </tp>
      <tp t="s">
        <v>#N/A N/A</v>
        <stp/>
        <stp>BDP|4419487206955967570</stp>
        <tr r="R529" s="2"/>
      </tp>
      <tp t="s">
        <v>#N/A N/A</v>
        <stp/>
        <stp>BDP|2210458555390438321</stp>
        <tr r="N46" s="2"/>
      </tp>
      <tp t="s">
        <v>#N/A N/A</v>
        <stp/>
        <stp>BDP|6001085804937136197</stp>
        <tr r="R1336" s="2"/>
      </tp>
      <tp t="s">
        <v>#N/A N/A</v>
        <stp/>
        <stp>BDP|6880964578008730054</stp>
        <tr r="T1639" s="2"/>
      </tp>
      <tp t="s">
        <v>#N/A N/A</v>
        <stp/>
        <stp>BDP|4676406910707643649</stp>
        <tr r="N1419" s="2"/>
      </tp>
      <tp t="s">
        <v>#N/A N/A</v>
        <stp/>
        <stp>BDP|4369219163350013056</stp>
        <tr r="O1023" s="2"/>
      </tp>
      <tp t="s">
        <v>#N/A N/A</v>
        <stp/>
        <stp>BDP|1265351550432018539</stp>
        <tr r="D931" s="2"/>
      </tp>
      <tp t="s">
        <v>#N/A N/A</v>
        <stp/>
        <stp>BDP|9432090259595154919</stp>
        <tr r="H864" s="2"/>
      </tp>
      <tp t="s">
        <v>#N/A N/A</v>
        <stp/>
        <stp>BDP|2299042898129947233</stp>
        <tr r="F901" s="2"/>
      </tp>
      <tp t="s">
        <v>#N/A N/A</v>
        <stp/>
        <stp>BDP|6821297573375033668</stp>
        <tr r="G784" s="2"/>
      </tp>
      <tp t="s">
        <v>#N/A N/A</v>
        <stp/>
        <stp>BDP|1584676466666664763</stp>
        <tr r="P1545" s="2"/>
      </tp>
      <tp t="s">
        <v>#N/A N/A</v>
        <stp/>
        <stp>BDP|1279251363234606169</stp>
        <tr r="T274" s="2"/>
      </tp>
      <tp t="s">
        <v>#N/A N/A</v>
        <stp/>
        <stp>BDP|2182307915501632164</stp>
        <tr r="R571" s="2"/>
      </tp>
      <tp t="s">
        <v>#N/A N/A</v>
        <stp/>
        <stp>BDP|2705413899437238898</stp>
        <tr r="T26" s="2"/>
      </tp>
      <tp t="s">
        <v>#N/A N/A</v>
        <stp/>
        <stp>BDP|4765301730717344308</stp>
        <tr r="H359" s="2"/>
      </tp>
      <tp t="s">
        <v>#N/A N/A</v>
        <stp/>
        <stp>BDP|5751259501712365541</stp>
        <tr r="E319" s="2"/>
      </tp>
      <tp t="s">
        <v>#N/A N/A</v>
        <stp/>
        <stp>BDP|5036166524880225643</stp>
        <tr r="R310" s="2"/>
      </tp>
      <tp t="s">
        <v>#N/A N/A</v>
        <stp/>
        <stp>BDP|2557669432420434714</stp>
        <tr r="T1576" s="2"/>
      </tp>
      <tp t="s">
        <v>#N/A N/A</v>
        <stp/>
        <stp>BDP|6118409938230927147</stp>
        <tr r="T133" s="2"/>
      </tp>
      <tp t="s">
        <v>#N/A N/A</v>
        <stp/>
        <stp>BDP|6472611762467585165</stp>
        <tr r="K427" s="2"/>
      </tp>
      <tp t="s">
        <v>#N/A N/A</v>
        <stp/>
        <stp>BDP|9844820920285613688</stp>
        <tr r="E1643" s="2"/>
      </tp>
      <tp t="s">
        <v>#N/A N/A</v>
        <stp/>
        <stp>BDP|8897546282074900130</stp>
        <tr r="J253" s="2"/>
      </tp>
      <tp t="s">
        <v>#N/A N/A</v>
        <stp/>
        <stp>BDP|1573016602185561479</stp>
        <tr r="N262" s="2"/>
      </tp>
      <tp t="s">
        <v>#N/A N/A</v>
        <stp/>
        <stp>BDP|8283921641011029454</stp>
        <tr r="A3" s="2"/>
      </tp>
      <tp t="s">
        <v>#N/A N/A</v>
        <stp/>
        <stp>BDP|8671338588087055495</stp>
        <tr r="T108" s="2"/>
      </tp>
      <tp t="s">
        <v>#N/A N/A</v>
        <stp/>
        <stp>BDP|8995093291819190845</stp>
        <tr r="P289" s="2"/>
      </tp>
      <tp t="s">
        <v>#N/A N/A</v>
        <stp/>
        <stp>BDP|4671160012283498722</stp>
        <tr r="E138" s="2"/>
      </tp>
      <tp t="s">
        <v>#N/A N/A</v>
        <stp/>
        <stp>BDP|7330036801874552306</stp>
        <tr r="Q616" s="2"/>
      </tp>
      <tp t="s">
        <v>#N/A N/A</v>
        <stp/>
        <stp>BDP|7434650862204261359</stp>
        <tr r="A723" s="2"/>
      </tp>
      <tp t="s">
        <v>#N/A N/A</v>
        <stp/>
        <stp>BDP|2650025876724384151</stp>
        <tr r="Q314" s="2"/>
      </tp>
      <tp t="s">
        <v>#N/A N/A</v>
        <stp/>
        <stp>BDP|1442874048215666895</stp>
        <tr r="G1433" s="2"/>
      </tp>
      <tp t="s">
        <v>#N/A N/A</v>
        <stp/>
        <stp>BDP|4820905056279960132</stp>
        <tr r="R1628" s="2"/>
      </tp>
      <tp t="s">
        <v>#N/A N/A</v>
        <stp/>
        <stp>BDP|6048624703592677233</stp>
        <tr r="S1026" s="2"/>
      </tp>
      <tp t="s">
        <v>#N/A N/A</v>
        <stp/>
        <stp>BDP|6748647301711069163</stp>
        <tr r="R413" s="2"/>
      </tp>
      <tp t="s">
        <v>#N/A N/A</v>
        <stp/>
        <stp>BDP|7836888983060285752</stp>
        <tr r="F53" s="2"/>
      </tp>
      <tp t="s">
        <v>#N/A N/A</v>
        <stp/>
        <stp>BDP|9532543183072509631</stp>
        <tr r="C1602" s="2"/>
      </tp>
      <tp t="s">
        <v>#N/A N/A</v>
        <stp/>
        <stp>BDP|3929749729110530658</stp>
        <tr r="D216" s="2"/>
      </tp>
      <tp t="s">
        <v>#N/A N/A</v>
        <stp/>
        <stp>BDP|5813301542263748197</stp>
        <tr r="N1278" s="2"/>
      </tp>
      <tp t="s">
        <v>#N/A N/A</v>
        <stp/>
        <stp>BDP|6753291722094847201</stp>
        <tr r="M1494" s="2"/>
      </tp>
      <tp t="s">
        <v>#N/A N/A</v>
        <stp/>
        <stp>BDP|2621647031014200355</stp>
        <tr r="G196" s="2"/>
      </tp>
      <tp t="s">
        <v>#N/A N/A</v>
        <stp/>
        <stp>BDP|1251230454264351222</stp>
        <tr r="O1727" s="2"/>
      </tp>
      <tp t="s">
        <v>#N/A N/A</v>
        <stp/>
        <stp>BDP|4630125357289639917</stp>
        <tr r="H611" s="2"/>
      </tp>
      <tp t="s">
        <v>#N/A N/A</v>
        <stp/>
        <stp>BDP|1034127002640733031</stp>
        <tr r="K280" s="2"/>
      </tp>
      <tp t="s">
        <v>#N/A N/A</v>
        <stp/>
        <stp>BDP|9263693385190850721</stp>
        <tr r="K1608" s="2"/>
      </tp>
      <tp t="s">
        <v>#N/A N/A</v>
        <stp/>
        <stp>BDS|7519177711650742707</stp>
        <tr r="I1361" s="2"/>
      </tp>
      <tp t="s">
        <v>#N/A N/A</v>
        <stp/>
        <stp>BDP|1947268507821932254</stp>
        <tr r="O1469" s="2"/>
      </tp>
      <tp t="s">
        <v>#N/A N/A</v>
        <stp/>
        <stp>BDP|7280902887822669477</stp>
        <tr r="O921" s="2"/>
      </tp>
      <tp t="s">
        <v>#N/A N/A</v>
        <stp/>
        <stp>BDP|9639250980150456334</stp>
        <tr r="T600" s="2"/>
      </tp>
      <tp t="s">
        <v>#N/A N/A</v>
        <stp/>
        <stp>BDP|4784017065707599522</stp>
        <tr r="M455" s="2"/>
      </tp>
      <tp t="s">
        <v>#N/A N/A</v>
        <stp/>
        <stp>BDP|5419773262173701720</stp>
        <tr r="J1145" s="2"/>
      </tp>
      <tp t="s">
        <v>#N/A N/A</v>
        <stp/>
        <stp>BDP|6708410548822890422</stp>
        <tr r="Q1031" s="2"/>
      </tp>
      <tp t="s">
        <v>#N/A N/A</v>
        <stp/>
        <stp>BDP|7029747685411514903</stp>
        <tr r="N292" s="2"/>
      </tp>
      <tp t="s">
        <v>#N/A N/A</v>
        <stp/>
        <stp>BDP|7682425130814007407</stp>
        <tr r="E140" s="2"/>
      </tp>
      <tp t="s">
        <v>#N/A N/A</v>
        <stp/>
        <stp>BDP|2079861464935798914</stp>
        <tr r="E267" s="2"/>
      </tp>
      <tp t="s">
        <v>#N/A N/A</v>
        <stp/>
        <stp>BDP|7619012907327165054</stp>
        <tr r="D388" s="2"/>
      </tp>
      <tp t="s">
        <v>#N/A N/A</v>
        <stp/>
        <stp>BDP|1100987790541422092</stp>
        <tr r="M498" s="2"/>
      </tp>
      <tp t="s">
        <v>#N/A N/A</v>
        <stp/>
        <stp>BDP|9430778456333535849</stp>
        <tr r="G304" s="2"/>
      </tp>
      <tp t="s">
        <v>#N/A N/A</v>
        <stp/>
        <stp>BDP|7026402764202602760</stp>
        <tr r="F1230" s="2"/>
      </tp>
      <tp t="s">
        <v>#N/A N/A</v>
        <stp/>
        <stp>BDP|1343375402342259005</stp>
        <tr r="T1187" s="2"/>
      </tp>
      <tp t="s">
        <v>#N/A N/A</v>
        <stp/>
        <stp>BDP|3999550844792992055</stp>
        <tr r="N639" s="2"/>
      </tp>
      <tp t="s">
        <v>#N/A N/A</v>
        <stp/>
        <stp>BDP|6924552568793563653</stp>
        <tr r="H395" s="2"/>
      </tp>
      <tp t="s">
        <v>#N/A N/A</v>
        <stp/>
        <stp>BDP|4665307181899749648</stp>
        <tr r="N1073" s="2"/>
      </tp>
      <tp t="s">
        <v>#N/A N/A</v>
        <stp/>
        <stp>BDP|9802165273436156981</stp>
        <tr r="E898" s="2"/>
      </tp>
      <tp t="s">
        <v>#N/A N/A</v>
        <stp/>
        <stp>BDP|6138770662462819583</stp>
        <tr r="M144" s="2"/>
      </tp>
      <tp t="s">
        <v>#N/A N/A</v>
        <stp/>
        <stp>BDP|5633544913697130647</stp>
        <tr r="Q434" s="2"/>
      </tp>
      <tp t="s">
        <v>#N/A N/A</v>
        <stp/>
        <stp>BDP|7448297082765396888</stp>
        <tr r="F949" s="2"/>
      </tp>
      <tp t="s">
        <v>#N/A N/A</v>
        <stp/>
        <stp>BDP|8320489936977835814</stp>
        <tr r="Q1138" s="2"/>
      </tp>
      <tp t="s">
        <v>#N/A N/A</v>
        <stp/>
        <stp>BDP|9073872755565729117</stp>
        <tr r="J586" s="2"/>
      </tp>
      <tp t="s">
        <v>#N/A N/A</v>
        <stp/>
        <stp>BDP|6631762274212272420</stp>
        <tr r="F881" s="2"/>
      </tp>
      <tp t="s">
        <v>#N/A N/A</v>
        <stp/>
        <stp>BDP|8604165354785760970</stp>
        <tr r="G619" s="2"/>
      </tp>
      <tp t="s">
        <v>#N/A N/A</v>
        <stp/>
        <stp>BDP|4456471326145469757</stp>
        <tr r="Q71" s="2"/>
      </tp>
      <tp t="s">
        <v>#N/A N/A</v>
        <stp/>
        <stp>BDP|6890889173380079973</stp>
        <tr r="O83" s="2"/>
      </tp>
      <tp t="s">
        <v>#N/A N/A</v>
        <stp/>
        <stp>BDP|7348573415116073556</stp>
        <tr r="G1020" s="2"/>
      </tp>
      <tp t="s">
        <v>#N/A N/A</v>
        <stp/>
        <stp>BDP|5776865991255332174</stp>
        <tr r="R694" s="2"/>
      </tp>
      <tp t="s">
        <v>#N/A N/A</v>
        <stp/>
        <stp>BDP|9900570361908862239</stp>
        <tr r="J430" s="2"/>
      </tp>
      <tp t="s">
        <v>#N/A N/A</v>
        <stp/>
        <stp>BDP|8090129985127701647</stp>
        <tr r="R1314" s="2"/>
      </tp>
      <tp t="s">
        <v>#N/A N/A</v>
        <stp/>
        <stp>BDP|2760079434189078810</stp>
        <tr r="Q662" s="2"/>
      </tp>
      <tp t="s">
        <v>#N/A N/A</v>
        <stp/>
        <stp>BDP|1692095418152072223</stp>
        <tr r="E315" s="2"/>
      </tp>
      <tp t="s">
        <v>#N/A N/A</v>
        <stp/>
        <stp>BDP|4152393744676993500</stp>
        <tr r="G291" s="2"/>
      </tp>
      <tp t="s">
        <v>#N/A N/A</v>
        <stp/>
        <stp>BDP|9542146361228702629</stp>
        <tr r="A1144" s="2"/>
      </tp>
      <tp t="s">
        <v>#N/A N/A</v>
        <stp/>
        <stp>BDS|9897896746563624642</stp>
        <tr r="I449" s="2"/>
      </tp>
      <tp t="s">
        <v>#N/A N/A</v>
        <stp/>
        <stp>BDP|6838799755204812090</stp>
        <tr r="D68" s="2"/>
      </tp>
      <tp t="s">
        <v>#N/A N/A</v>
        <stp/>
        <stp>BDP|4197373932553602776</stp>
        <tr r="P205" s="2"/>
      </tp>
      <tp t="s">
        <v>#N/A N/A</v>
        <stp/>
        <stp>BDP|8613050304429659149</stp>
        <tr r="F427" s="2"/>
      </tp>
      <tp t="s">
        <v>#N/A N/A</v>
        <stp/>
        <stp>BDP|6489694928313007107</stp>
        <tr r="O1666" s="2"/>
      </tp>
      <tp t="s">
        <v>#N/A N/A</v>
        <stp/>
        <stp>BDP|9059775882752582457</stp>
        <tr r="T78" s="2"/>
      </tp>
      <tp t="s">
        <v>#N/A N/A</v>
        <stp/>
        <stp>BDP|5269158641499657954</stp>
        <tr r="Q149" s="2"/>
      </tp>
      <tp t="s">
        <v>#N/A N/A</v>
        <stp/>
        <stp>BDP|2958386438855820742</stp>
        <tr r="R490" s="2"/>
      </tp>
      <tp t="s">
        <v>#N/A N/A</v>
        <stp/>
        <stp>BDP|7273749991528571177</stp>
        <tr r="K796" s="2"/>
      </tp>
      <tp t="s">
        <v>#N/A N/A</v>
        <stp/>
        <stp>BDP|4414602270883459654</stp>
        <tr r="D4" s="2"/>
      </tp>
      <tp t="s">
        <v>#N/A N/A</v>
        <stp/>
        <stp>BDP|1450041445700794570</stp>
        <tr r="J28" s="2"/>
      </tp>
      <tp t="s">
        <v>#N/A N/A</v>
        <stp/>
        <stp>BDP|4355104293894355866</stp>
        <tr r="F156" s="2"/>
      </tp>
      <tp t="s">
        <v>#N/A N/A</v>
        <stp/>
        <stp>BDP|4099243666143769300</stp>
        <tr r="J459" s="2"/>
      </tp>
      <tp t="s">
        <v>#N/A N/A</v>
        <stp/>
        <stp>BDP|1845047042821243493</stp>
        <tr r="N295" s="2"/>
      </tp>
      <tp t="s">
        <v>#N/A N/A</v>
        <stp/>
        <stp>BDP|7401965626974494859</stp>
        <tr r="C695" s="2"/>
      </tp>
      <tp t="s">
        <v>#N/A N/A</v>
        <stp/>
        <stp>BDP|8541790188147013018</stp>
        <tr r="F1648" s="2"/>
      </tp>
      <tp t="s">
        <v>#N/A N/A</v>
        <stp/>
        <stp>BDS|5890100075656177597</stp>
        <tr r="I1163" s="2"/>
      </tp>
      <tp t="s">
        <v>#N/A N/A</v>
        <stp/>
        <stp>BDP|6507158839041537597</stp>
        <tr r="H342" s="2"/>
      </tp>
      <tp t="s">
        <v>#N/A N/A</v>
        <stp/>
        <stp>BDP|2339563570979141911</stp>
        <tr r="J721" s="2"/>
      </tp>
      <tp t="s">
        <v>#N/A N/A</v>
        <stp/>
        <stp>BDP|2494584921056949316</stp>
        <tr r="Q1444" s="2"/>
      </tp>
      <tp t="s">
        <v>#N/A N/A</v>
        <stp/>
        <stp>BDP|1864072368816655146</stp>
        <tr r="N590" s="2"/>
      </tp>
      <tp t="s">
        <v>#N/A N/A</v>
        <stp/>
        <stp>BDP|1092666919714966231</stp>
        <tr r="E354" s="2"/>
      </tp>
      <tp t="s">
        <v>#N/A N/A</v>
        <stp/>
        <stp>BDP|6051129861749015865</stp>
        <tr r="R401" s="2"/>
      </tp>
      <tp t="s">
        <v>#N/A N/A</v>
        <stp/>
        <stp>BDP|6185235635581431664</stp>
        <tr r="C1166" s="2"/>
      </tp>
      <tp t="s">
        <v>#N/A N/A</v>
        <stp/>
        <stp>BDP|1385567613145765046</stp>
        <tr r="J1232" s="2"/>
      </tp>
      <tp t="s">
        <v>#N/A N/A</v>
        <stp/>
        <stp>BDP|9308785692185584292</stp>
        <tr r="J980" s="2"/>
      </tp>
      <tp t="s">
        <v>#N/A N/A</v>
        <stp/>
        <stp>BDP|6965291939097516098</stp>
        <tr r="Q42" s="2"/>
      </tp>
      <tp t="s">
        <v>#N/A N/A</v>
        <stp/>
        <stp>BDP|7858542764821901541</stp>
        <tr r="J1579" s="2"/>
      </tp>
      <tp t="s">
        <v>#N/A N/A</v>
        <stp/>
        <stp>BDP|7325786801876634691</stp>
        <tr r="R1095" s="2"/>
      </tp>
      <tp t="s">
        <v>#N/A N/A</v>
        <stp/>
        <stp>BDP|9554147682342599236</stp>
        <tr r="R704" s="2"/>
      </tp>
      <tp t="s">
        <v>#N/A N/A</v>
        <stp/>
        <stp>BDP|1987580605284802094</stp>
        <tr r="S1666" s="2"/>
      </tp>
      <tp t="s">
        <v>#N/A N/A</v>
        <stp/>
        <stp>BDP|5526733300305711742</stp>
        <tr r="Q367" s="2"/>
      </tp>
      <tp t="s">
        <v>#N/A N/A</v>
        <stp/>
        <stp>BDP|7364666416560502034</stp>
        <tr r="N596" s="2"/>
      </tp>
      <tp t="s">
        <v>#N/A N/A</v>
        <stp/>
        <stp>BDP|2465118755735416319</stp>
        <tr r="F1387" s="2"/>
      </tp>
      <tp t="s">
        <v>#N/A N/A</v>
        <stp/>
        <stp>BDP|4033301497816326819</stp>
        <tr r="K128" s="2"/>
      </tp>
      <tp t="s">
        <v>#N/A N/A</v>
        <stp/>
        <stp>BDP|9734433780640859592</stp>
        <tr r="K175" s="2"/>
      </tp>
      <tp t="s">
        <v>#N/A N/A</v>
        <stp/>
        <stp>BDP|2411824511568379316</stp>
        <tr r="Q1014" s="2"/>
      </tp>
      <tp t="s">
        <v>#N/A N/A</v>
        <stp/>
        <stp>BDP|5744734554254712323</stp>
        <tr r="T1183" s="2"/>
      </tp>
      <tp t="s">
        <v>#N/A N/A</v>
        <stp/>
        <stp>BDP|9003060091562613244</stp>
        <tr r="M511" s="2"/>
      </tp>
      <tp t="s">
        <v>#N/A N/A</v>
        <stp/>
        <stp>BDP|5578971685107463361</stp>
        <tr r="C214" s="2"/>
      </tp>
      <tp t="s">
        <v>#N/A N/A</v>
        <stp/>
        <stp>BDP|1210771942943612148</stp>
        <tr r="Q821" s="2"/>
      </tp>
      <tp t="s">
        <v>#N/A N/A</v>
        <stp/>
        <stp>BDP|8148123654689289509</stp>
        <tr r="N1087" s="2"/>
      </tp>
      <tp t="s">
        <v>#N/A N/A</v>
        <stp/>
        <stp>BDP|3918324317742949305</stp>
        <tr r="Q1589" s="2"/>
      </tp>
      <tp t="s">
        <v>#N/A N/A</v>
        <stp/>
        <stp>BDP|9838131388253269345</stp>
        <tr r="P975" s="2"/>
      </tp>
      <tp t="s">
        <v>#N/A N/A</v>
        <stp/>
        <stp>BDP|3139554536632672715</stp>
        <tr r="P206" s="2"/>
      </tp>
      <tp t="s">
        <v>#N/A N/A</v>
        <stp/>
        <stp>BDP|9471046539653564993</stp>
        <tr r="T242" s="2"/>
      </tp>
      <tp t="s">
        <v>#N/A N/A</v>
        <stp/>
        <stp>BDP|8552814117338157975</stp>
        <tr r="H984" s="2"/>
      </tp>
      <tp t="s">
        <v>#N/A N/A</v>
        <stp/>
        <stp>BDP|4654251376703386239</stp>
        <tr r="H255" s="2"/>
      </tp>
      <tp t="s">
        <v>#N/A N/A</v>
        <stp/>
        <stp>BDP|6245523874380769460</stp>
        <tr r="G1455" s="2"/>
      </tp>
      <tp t="s">
        <v>#N/A N/A</v>
        <stp/>
        <stp>BDP|8125703829424421995</stp>
        <tr r="M1137" s="2"/>
      </tp>
      <tp t="s">
        <v>#N/A N/A</v>
        <stp/>
        <stp>BDP|1898599374844836789</stp>
        <tr r="G1584" s="2"/>
      </tp>
      <tp t="s">
        <v>#N/A N/A</v>
        <stp/>
        <stp>BDP|1355638740160187341</stp>
        <tr r="D455" s="2"/>
      </tp>
      <tp t="s">
        <v>#N/A N/A</v>
        <stp/>
        <stp>BDP|5705553018387812674</stp>
        <tr r="J1572" s="2"/>
      </tp>
      <tp t="s">
        <v>#N/A N/A</v>
        <stp/>
        <stp>BDP|2678034742362773452</stp>
        <tr r="E972" s="2"/>
      </tp>
      <tp t="s">
        <v>#N/A N/A</v>
        <stp/>
        <stp>BDP|1261353657035118240</stp>
        <tr r="J864" s="2"/>
      </tp>
      <tp t="s">
        <v>#N/A N/A</v>
        <stp/>
        <stp>BDP|5927722503697416593</stp>
        <tr r="Q281" s="2"/>
      </tp>
      <tp t="s">
        <v>#N/A N/A</v>
        <stp/>
        <stp>BDP|5408215726174767116</stp>
        <tr r="M1272" s="2"/>
      </tp>
      <tp t="s">
        <v>#N/A N/A</v>
        <stp/>
        <stp>BDP|4217504822161273277</stp>
        <tr r="R1468" s="2"/>
      </tp>
      <tp t="s">
        <v>#N/A N/A</v>
        <stp/>
        <stp>BDP|3156467713103265532</stp>
        <tr r="A1126" s="2"/>
      </tp>
      <tp t="s">
        <v>#N/A N/A</v>
        <stp/>
        <stp>BDP|6347331843073251247</stp>
        <tr r="H1603" s="2"/>
      </tp>
      <tp t="s">
        <v>#N/A N/A</v>
        <stp/>
        <stp>BDP|3504027511040203211</stp>
        <tr r="D952" s="2"/>
      </tp>
      <tp t="s">
        <v>#N/A N/A</v>
        <stp/>
        <stp>BDP|4333868669938020296</stp>
        <tr r="C328" s="2"/>
      </tp>
      <tp t="s">
        <v>#N/A N/A</v>
        <stp/>
        <stp>BDP|5434546392918490133</stp>
        <tr r="J199" s="2"/>
      </tp>
      <tp t="s">
        <v>#N/A N/A</v>
        <stp/>
        <stp>BDP|3365792387044845806</stp>
        <tr r="F1081" s="2"/>
      </tp>
      <tp t="s">
        <v>#N/A N/A</v>
        <stp/>
        <stp>BDP|9117690142078936364</stp>
        <tr r="T1108" s="2"/>
      </tp>
      <tp t="s">
        <v>#N/A N/A</v>
        <stp/>
        <stp>BDP|4375866790013653662</stp>
        <tr r="J369" s="2"/>
      </tp>
      <tp t="s">
        <v>#N/A N/A</v>
        <stp/>
        <stp>BDP|1302505756515812578</stp>
        <tr r="G89" s="2"/>
      </tp>
      <tp t="s">
        <v>#N/A N/A</v>
        <stp/>
        <stp>BDP|9570494465113297912</stp>
        <tr r="S1536" s="2"/>
      </tp>
      <tp t="s">
        <v>#N/A N/A</v>
        <stp/>
        <stp>BDP|6729179889929330708</stp>
        <tr r="P179" s="2"/>
      </tp>
      <tp t="s">
        <v>#N/A N/A</v>
        <stp/>
        <stp>BDS|6182964199813781436</stp>
        <tr r="I775" s="2"/>
      </tp>
      <tp t="s">
        <v>#N/A N/A</v>
        <stp/>
        <stp>BDP|6744889691517689129</stp>
        <tr r="K698" s="2"/>
      </tp>
      <tp t="s">
        <v>#N/A N/A</v>
        <stp/>
        <stp>BDP|4153309633024849100</stp>
        <tr r="G608" s="2"/>
      </tp>
      <tp t="s">
        <v>#N/A N/A</v>
        <stp/>
        <stp>BDP|5580692980678000264</stp>
        <tr r="M153" s="2"/>
      </tp>
      <tp t="s">
        <v>#N/A N/A</v>
        <stp/>
        <stp>BDP|4070503566665429388</stp>
        <tr r="Q831" s="2"/>
      </tp>
      <tp t="s">
        <v>#N/A N/A</v>
        <stp/>
        <stp>BDP|8619614275648119099</stp>
        <tr r="H1371" s="2"/>
      </tp>
      <tp t="s">
        <v>#N/A N/A</v>
        <stp/>
        <stp>BDP|4893304472651465046</stp>
        <tr r="Q1667" s="2"/>
      </tp>
      <tp t="s">
        <v>#N/A N/A</v>
        <stp/>
        <stp>BDP|5514884522207656939</stp>
        <tr r="M917" s="2"/>
      </tp>
      <tp t="s">
        <v>#N/A N/A</v>
        <stp/>
        <stp>BDP|2336831698835748755</stp>
        <tr r="O825" s="2"/>
      </tp>
      <tp t="s">
        <v>#N/A N/A</v>
        <stp/>
        <stp>BDP|3769307919623087345</stp>
        <tr r="R1062" s="2"/>
      </tp>
      <tp t="s">
        <v>#N/A N/A</v>
        <stp/>
        <stp>BDP|5280589127917205452</stp>
        <tr r="K595" s="2"/>
      </tp>
      <tp t="s">
        <v>#N/A N/A</v>
        <stp/>
        <stp>BDP|5018538002308840934</stp>
        <tr r="T1478" s="2"/>
      </tp>
      <tp t="s">
        <v>#N/A N/A</v>
        <stp/>
        <stp>BDP|1428444839536309109</stp>
        <tr r="F24" s="2"/>
      </tp>
      <tp t="s">
        <v>#N/A N/A</v>
        <stp/>
        <stp>BDP|3306450137830931526</stp>
        <tr r="P909" s="2"/>
      </tp>
      <tp t="s">
        <v>#N/A N/A</v>
        <stp/>
        <stp>BDP|7804762289989408096</stp>
        <tr r="R229" s="2"/>
      </tp>
      <tp t="s">
        <v>#N/A N/A</v>
        <stp/>
        <stp>BDP|8011854765923374496</stp>
        <tr r="K536" s="2"/>
      </tp>
      <tp t="s">
        <v>#N/A N/A</v>
        <stp/>
        <stp>BDP|6972130348411079389</stp>
        <tr r="A996" s="2"/>
      </tp>
      <tp t="s">
        <v>#N/A N/A</v>
        <stp/>
        <stp>BDP|2192300661047844121</stp>
        <tr r="S1725" s="2"/>
      </tp>
      <tp t="s">
        <v>#N/A N/A</v>
        <stp/>
        <stp>BDP|7616276767342480083</stp>
        <tr r="Q1289" s="2"/>
      </tp>
      <tp t="s">
        <v>#N/A N/A</v>
        <stp/>
        <stp>BDP|3109259298159319056</stp>
        <tr r="D526" s="2"/>
      </tp>
      <tp t="s">
        <v>#N/A N/A</v>
        <stp/>
        <stp>BDP|7854178183066702912</stp>
        <tr r="G1004" s="2"/>
      </tp>
      <tp t="s">
        <v>#N/A N/A</v>
        <stp/>
        <stp>BDP|6072291843849750874</stp>
        <tr r="S513" s="2"/>
      </tp>
      <tp t="s">
        <v>#N/A N/A</v>
        <stp/>
        <stp>BDP|6833550987173883985</stp>
        <tr r="K1330" s="2"/>
      </tp>
      <tp t="s">
        <v>#N/A N/A</v>
        <stp/>
        <stp>BDP|7643099967152610242</stp>
        <tr r="O1422" s="2"/>
      </tp>
      <tp t="s">
        <v>#N/A N/A</v>
        <stp/>
        <stp>BDP|9092753709687614802</stp>
        <tr r="D543" s="2"/>
      </tp>
      <tp t="s">
        <v>#N/A N/A</v>
        <stp/>
        <stp>BDP|1497036589620563811</stp>
        <tr r="P1577" s="2"/>
      </tp>
      <tp t="s">
        <v>#N/A N/A</v>
        <stp/>
        <stp>BDP|9051260179424115941</stp>
        <tr r="P425" s="2"/>
      </tp>
      <tp t="s">
        <v>#N/A N/A</v>
        <stp/>
        <stp>BDP|5800990435129629782</stp>
        <tr r="R118" s="2"/>
      </tp>
      <tp t="s">
        <v>#N/A N/A</v>
        <stp/>
        <stp>BDP|8266003640315969811</stp>
        <tr r="C1312" s="2"/>
      </tp>
      <tp t="s">
        <v>#N/A N/A</v>
        <stp/>
        <stp>BDP|5726104005754083189</stp>
        <tr r="T553" s="2"/>
      </tp>
      <tp t="s">
        <v>#N/A N/A</v>
        <stp/>
        <stp>BDP|4418155458412730343</stp>
        <tr r="T118" s="2"/>
      </tp>
      <tp t="s">
        <v>#N/A N/A</v>
        <stp/>
        <stp>BDP|4330866285111829426</stp>
        <tr r="N1190" s="2"/>
      </tp>
      <tp t="s">
        <v>#N/A N/A</v>
        <stp/>
        <stp>BDP|4580145068325489776</stp>
        <tr r="G1615" s="2"/>
      </tp>
      <tp t="s">
        <v>#N/A N/A</v>
        <stp/>
        <stp>BDP|7546146239185248104</stp>
        <tr r="T1483" s="2"/>
      </tp>
      <tp t="s">
        <v>#N/A N/A</v>
        <stp/>
        <stp>BDP|7843325400613322636</stp>
        <tr r="R1203" s="2"/>
      </tp>
      <tp t="s">
        <v>#N/A N/A</v>
        <stp/>
        <stp>BDP|3176084183472656861</stp>
        <tr r="D469" s="2"/>
      </tp>
      <tp t="s">
        <v>#N/A N/A</v>
        <stp/>
        <stp>BDP|4967272726706456365</stp>
        <tr r="C271" s="2"/>
      </tp>
      <tp t="s">
        <v>#N/A N/A</v>
        <stp/>
        <stp>BDP|9260421089571666557</stp>
        <tr r="H1433" s="2"/>
      </tp>
      <tp t="s">
        <v>#N/A N/A</v>
        <stp/>
        <stp>BDP|7939392869494275711</stp>
        <tr r="D1646" s="2"/>
      </tp>
      <tp t="s">
        <v>#N/A N/A</v>
        <stp/>
        <stp>BDP|7758617349225772124</stp>
        <tr r="A923" s="2"/>
      </tp>
      <tp t="s">
        <v>#N/A N/A</v>
        <stp/>
        <stp>BDP|1805412687764172850</stp>
        <tr r="K44" s="2"/>
      </tp>
      <tp t="s">
        <v>#N/A N/A</v>
        <stp/>
        <stp>BDP|9001363778539212565</stp>
        <tr r="O1532" s="2"/>
      </tp>
      <tp t="s">
        <v>#N/A N/A</v>
        <stp/>
        <stp>BDP|4847951575572326910</stp>
        <tr r="O1178" s="2"/>
      </tp>
      <tp t="s">
        <v>#N/A N/A</v>
        <stp/>
        <stp>BDP|9114641231589720495</stp>
        <tr r="N1742" s="2"/>
      </tp>
      <tp t="s">
        <v>#N/A N/A</v>
        <stp/>
        <stp>BDP|1015960187454218596</stp>
        <tr r="E1101" s="2"/>
      </tp>
      <tp t="s">
        <v>#N/A N/A</v>
        <stp/>
        <stp>BDP|4338849477933204981</stp>
        <tr r="K553" s="2"/>
      </tp>
      <tp t="s">
        <v>#N/A N/A</v>
        <stp/>
        <stp>BDP|8398642688503345468</stp>
        <tr r="E166" s="2"/>
      </tp>
      <tp t="s">
        <v>#N/A N/A</v>
        <stp/>
        <stp>BDP|5679176711671929530</stp>
        <tr r="C800" s="2"/>
      </tp>
      <tp t="s">
        <v>#N/A N/A</v>
        <stp/>
        <stp>BDP|7536321460247517484</stp>
        <tr r="K971" s="2"/>
      </tp>
      <tp t="s">
        <v>#N/A N/A</v>
        <stp/>
        <stp>BDP|5836524327222545124</stp>
        <tr r="F591" s="2"/>
      </tp>
      <tp t="s">
        <v>#N/A N/A</v>
        <stp/>
        <stp>BDP|6277049845656996504</stp>
        <tr r="R1050" s="2"/>
      </tp>
      <tp t="s">
        <v>#N/A N/A</v>
        <stp/>
        <stp>BDS|4511387057156919590</stp>
        <tr r="I303" s="2"/>
      </tp>
      <tp t="s">
        <v>#N/A N/A</v>
        <stp/>
        <stp>BDP|7044650840006818271</stp>
        <tr r="C1191" s="2"/>
      </tp>
      <tp t="s">
        <v>#N/A N/A</v>
        <stp/>
        <stp>BDP|2639466613154149284</stp>
        <tr r="J902" s="2"/>
      </tp>
      <tp t="s">
        <v>#N/A N/A</v>
        <stp/>
        <stp>BDP|6919568533027182675</stp>
        <tr r="O703" s="2"/>
      </tp>
      <tp t="s">
        <v>#N/A N/A</v>
        <stp/>
        <stp>BDP|1713188946033294614</stp>
        <tr r="G1460" s="2"/>
      </tp>
      <tp t="s">
        <v>#N/A N/A</v>
        <stp/>
        <stp>BDP|5900233540597321530</stp>
        <tr r="J225" s="2"/>
      </tp>
      <tp t="s">
        <v>#N/A N/A</v>
        <stp/>
        <stp>BDP|1133214953332886518</stp>
        <tr r="P680" s="2"/>
      </tp>
      <tp t="s">
        <v>#N/A N/A</v>
        <stp/>
        <stp>BDP|3797314311995445594</stp>
        <tr r="D1713" s="2"/>
      </tp>
      <tp t="s">
        <v>#N/A N/A</v>
        <stp/>
        <stp>BDP|1844517531422403460</stp>
        <tr r="M1078" s="2"/>
      </tp>
      <tp t="s">
        <v>#N/A N/A</v>
        <stp/>
        <stp>BDP|4535490725647406472</stp>
        <tr r="J538" s="2"/>
      </tp>
      <tp t="s">
        <v>#N/A N/A</v>
        <stp/>
        <stp>BDP|7673460631468823936</stp>
        <tr r="N1545" s="2"/>
      </tp>
      <tp t="s">
        <v>#N/A N/A</v>
        <stp/>
        <stp>BDP|2430765525183930543</stp>
        <tr r="S638" s="2"/>
      </tp>
      <tp t="s">
        <v>#N/A N/A</v>
        <stp/>
        <stp>BDP|2360384667407609101</stp>
        <tr r="M686" s="2"/>
      </tp>
      <tp t="s">
        <v>#N/A N/A</v>
        <stp/>
        <stp>BDP|9151142045699371491</stp>
        <tr r="T1678" s="2"/>
      </tp>
      <tp t="s">
        <v>#N/A N/A</v>
        <stp/>
        <stp>BDP|5702043839442938592</stp>
        <tr r="C176" s="2"/>
      </tp>
      <tp t="s">
        <v>#N/A N/A</v>
        <stp/>
        <stp>BDP|3807427661814580441</stp>
        <tr r="G1148" s="2"/>
      </tp>
      <tp t="s">
        <v>#N/A N/A</v>
        <stp/>
        <stp>BDP|2109205348014165125</stp>
        <tr r="G1329" s="2"/>
      </tp>
      <tp t="s">
        <v>#N/A N/A</v>
        <stp/>
        <stp>BDP|8501003398359109966</stp>
        <tr r="C1078" s="2"/>
      </tp>
      <tp t="s">
        <v>#N/A N/A</v>
        <stp/>
        <stp>BDS|6659793604231786169</stp>
        <tr r="I791" s="2"/>
      </tp>
      <tp t="s">
        <v>#N/A N/A</v>
        <stp/>
        <stp>BDP|5110497976221750637</stp>
        <tr r="A1374" s="2"/>
      </tp>
      <tp t="s">
        <v>#N/A N/A</v>
        <stp/>
        <stp>BDS|4822477046535690043</stp>
        <tr r="I348" s="2"/>
      </tp>
      <tp t="s">
        <v>#N/A N/A</v>
        <stp/>
        <stp>BDP|5890101506777561200</stp>
        <tr r="H1655" s="2"/>
      </tp>
      <tp t="s">
        <v>#N/A N/A</v>
        <stp/>
        <stp>BDP|6022987165178347059</stp>
        <tr r="S1677" s="2"/>
      </tp>
      <tp t="s">
        <v>#N/A N/A</v>
        <stp/>
        <stp>BDP|7296039880297924938</stp>
        <tr r="Q1085" s="2"/>
      </tp>
      <tp t="s">
        <v>#N/A N/A</v>
        <stp/>
        <stp>BDP|6842967437885026821</stp>
        <tr r="M571" s="2"/>
      </tp>
      <tp t="s">
        <v>#N/A N/A</v>
        <stp/>
        <stp>BDP|3952559651872389054</stp>
        <tr r="O441" s="2"/>
      </tp>
      <tp t="s">
        <v>#N/A N/A</v>
        <stp/>
        <stp>BDP|8596759608249180721</stp>
        <tr r="S1620" s="2"/>
      </tp>
      <tp t="s">
        <v>#N/A N/A</v>
        <stp/>
        <stp>BDP|3339244315872970303</stp>
        <tr r="T766" s="2"/>
      </tp>
      <tp t="s">
        <v>#N/A N/A</v>
        <stp/>
        <stp>BDP|5782563069217226011</stp>
        <tr r="E322" s="2"/>
      </tp>
      <tp t="s">
        <v>#N/A N/A</v>
        <stp/>
        <stp>BDP|9199626299693744467</stp>
        <tr r="A66" s="2"/>
      </tp>
      <tp t="s">
        <v>#N/A N/A</v>
        <stp/>
        <stp>BDP|4751399743103796119</stp>
        <tr r="C101" s="2"/>
      </tp>
      <tp t="s">
        <v>#N/A N/A</v>
        <stp/>
        <stp>BDP|8418281694382197026</stp>
        <tr r="G1448" s="2"/>
      </tp>
      <tp t="s">
        <v>#N/A N/A</v>
        <stp/>
        <stp>BDP|3439373646877746290</stp>
        <tr r="D329" s="2"/>
      </tp>
      <tp t="s">
        <v>#N/A N/A</v>
        <stp/>
        <stp>BDP|6039895087140682733</stp>
        <tr r="O1723" s="2"/>
      </tp>
      <tp t="s">
        <v>#N/A N/A</v>
        <stp/>
        <stp>BDP|7306513018976879491</stp>
        <tr r="D1365" s="2"/>
      </tp>
      <tp t="s">
        <v>#N/A N/A</v>
        <stp/>
        <stp>BDP|7103411780472999820</stp>
        <tr r="E459" s="2"/>
      </tp>
      <tp t="s">
        <v>#N/A N/A</v>
        <stp/>
        <stp>BDP|9340470508145096973</stp>
        <tr r="G385" s="2"/>
      </tp>
      <tp t="s">
        <v>#N/A N/A</v>
        <stp/>
        <stp>BDP|2108414857400460289</stp>
        <tr r="R533" s="2"/>
      </tp>
      <tp t="s">
        <v>#N/A N/A</v>
        <stp/>
        <stp>BDP|5267468219324055567</stp>
        <tr r="F602" s="2"/>
      </tp>
      <tp t="s">
        <v>#N/A N/A</v>
        <stp/>
        <stp>BDP|1847485844632903268</stp>
        <tr r="O1484" s="2"/>
      </tp>
      <tp t="s">
        <v>#N/A N/A</v>
        <stp/>
        <stp>BDP|2849116313854059711</stp>
        <tr r="D774" s="2"/>
      </tp>
      <tp t="s">
        <v>#N/A N/A</v>
        <stp/>
        <stp>BDP|7492692554596258305</stp>
        <tr r="G205" s="2"/>
      </tp>
      <tp t="s">
        <v>#N/A N/A</v>
        <stp/>
        <stp>BDP|2617099924995860486</stp>
        <tr r="J72" s="2"/>
      </tp>
      <tp t="s">
        <v>#N/A N/A</v>
        <stp/>
        <stp>BDP|6463287160415371643</stp>
        <tr r="O1457" s="2"/>
      </tp>
      <tp t="s">
        <v>#N/A N/A</v>
        <stp/>
        <stp>BDP|5320950868768700324</stp>
        <tr r="E298" s="2"/>
      </tp>
      <tp t="s">
        <v>#N/A N/A</v>
        <stp/>
        <stp>BDP|2556193195159268200</stp>
        <tr r="E1487" s="2"/>
      </tp>
      <tp t="s">
        <v>#N/A N/A</v>
        <stp/>
        <stp>BDP|5610094265572040014</stp>
        <tr r="K101" s="2"/>
      </tp>
      <tp t="s">
        <v>#N/A N/A</v>
        <stp/>
        <stp>BDP|1768825998787166672</stp>
        <tr r="G531" s="2"/>
      </tp>
      <tp t="s">
        <v>#N/A N/A</v>
        <stp/>
        <stp>BDP|2695544037295665089</stp>
        <tr r="J1401" s="2"/>
      </tp>
      <tp t="s">
        <v>#N/A N/A</v>
        <stp/>
        <stp>BDP|6435141927311956554</stp>
        <tr r="D973" s="2"/>
      </tp>
      <tp t="s">
        <v>#N/A N/A</v>
        <stp/>
        <stp>BDP|5139092311136476364</stp>
        <tr r="E1553" s="2"/>
      </tp>
      <tp t="s">
        <v>#N/A N/A</v>
        <stp/>
        <stp>BDP|3348903748418914791</stp>
        <tr r="A413" s="2"/>
      </tp>
      <tp t="s">
        <v>#N/A N/A</v>
        <stp/>
        <stp>BDS|3592168608475929697</stp>
        <tr r="I884" s="2"/>
      </tp>
      <tp t="s">
        <v>#N/A N/A</v>
        <stp/>
        <stp>BDP|3171138516867916564</stp>
        <tr r="R95" s="2"/>
      </tp>
      <tp t="s">
        <v>#N/A N/A</v>
        <stp/>
        <stp>BDP|2962854357027495949</stp>
        <tr r="A625" s="2"/>
      </tp>
      <tp t="s">
        <v>#N/A N/A</v>
        <stp/>
        <stp>BDP|4277384537451760413</stp>
        <tr r="M1609" s="2"/>
      </tp>
      <tp t="s">
        <v>#N/A N/A</v>
        <stp/>
        <stp>BDP|5585265679316692775</stp>
        <tr r="R149" s="2"/>
      </tp>
      <tp t="s">
        <v>#N/A N/A</v>
        <stp/>
        <stp>BDP|1865648536532200739</stp>
        <tr r="E37" s="2"/>
      </tp>
      <tp t="s">
        <v>#N/A N/A</v>
        <stp/>
        <stp>BDP|4246552611698505982</stp>
        <tr r="T1651" s="2"/>
      </tp>
      <tp t="s">
        <v>#N/A N/A</v>
        <stp/>
        <stp>BDP|9916877993109111074</stp>
        <tr r="G1011" s="2"/>
      </tp>
      <tp t="s">
        <v>#N/A N/A</v>
        <stp/>
        <stp>BDP|5849294793529174680</stp>
        <tr r="A156" s="2"/>
      </tp>
      <tp t="s">
        <v>#N/A N/A</v>
        <stp/>
        <stp>BDP|1788193771324486202</stp>
        <tr r="A791" s="2"/>
      </tp>
      <tp t="s">
        <v>#N/A N/A</v>
        <stp/>
        <stp>BDP|2951469323323126668</stp>
        <tr r="N871" s="2"/>
      </tp>
      <tp t="s">
        <v>#N/A N/A</v>
        <stp/>
        <stp>BDP|6945950598673951462</stp>
        <tr r="C13" s="2"/>
      </tp>
      <tp t="s">
        <v>#N/A N/A</v>
        <stp/>
        <stp>BDP|1081269227254871421</stp>
        <tr r="T1610" s="2"/>
      </tp>
      <tp t="s">
        <v>#N/A N/A</v>
        <stp/>
        <stp>BDP|5929935234299623732</stp>
        <tr r="N325" s="2"/>
      </tp>
      <tp t="s">
        <v>#N/A N/A</v>
        <stp/>
        <stp>BDP|5207096541399279937</stp>
        <tr r="G324" s="2"/>
      </tp>
      <tp t="s">
        <v>#N/A N/A</v>
        <stp/>
        <stp>BDP|1658283033974384552</stp>
        <tr r="M1091" s="2"/>
      </tp>
      <tp t="s">
        <v>#N/A N/A</v>
        <stp/>
        <stp>BDP|7312202435860464799</stp>
        <tr r="H1373" s="2"/>
      </tp>
      <tp t="s">
        <v>#N/A N/A</v>
        <stp/>
        <stp>BDP|6525586143014239273</stp>
        <tr r="Q23" s="2"/>
      </tp>
      <tp t="s">
        <v>#N/A N/A</v>
        <stp/>
        <stp>BDP|3329916466544704986</stp>
        <tr r="P1094" s="2"/>
      </tp>
      <tp t="s">
        <v>#N/A N/A</v>
        <stp/>
        <stp>BDP|2703275371724307294</stp>
        <tr r="E263" s="2"/>
      </tp>
      <tp t="s">
        <v>#N/A N/A</v>
        <stp/>
        <stp>BDP|4928414961897583070</stp>
        <tr r="M539" s="2"/>
      </tp>
      <tp t="s">
        <v>#N/A N/A</v>
        <stp/>
        <stp>BDP|5305439814051465086</stp>
        <tr r="H43" s="2"/>
      </tp>
      <tp t="s">
        <v>#N/A N/A</v>
        <stp/>
        <stp>BDP|8739897681961667813</stp>
        <tr r="O860" s="2"/>
      </tp>
      <tp t="s">
        <v>#N/A N/A</v>
        <stp/>
        <stp>BDP|1619871408810795869</stp>
        <tr r="S703" s="2"/>
      </tp>
      <tp t="s">
        <v>#N/A N/A</v>
        <stp/>
        <stp>BDP|5162954358819048145</stp>
        <tr r="F1038" s="2"/>
      </tp>
      <tp t="s">
        <v>#N/A N/A</v>
        <stp/>
        <stp>BDP|4109291256362617008</stp>
        <tr r="S1739" s="2"/>
      </tp>
      <tp t="s">
        <v>#N/A N/A</v>
        <stp/>
        <stp>BDP|2582884974624434853</stp>
        <tr r="C92" s="2"/>
      </tp>
      <tp t="s">
        <v>#N/A N/A</v>
        <stp/>
        <stp>BDP|5180749723032853369</stp>
        <tr r="G1626" s="2"/>
      </tp>
      <tp t="s">
        <v>#N/A N/A</v>
        <stp/>
        <stp>BDP|6143396957357358649</stp>
        <tr r="O1030" s="2"/>
      </tp>
      <tp t="s">
        <v>#N/A N/A</v>
        <stp/>
        <stp>BDP|7011995561140001909</stp>
        <tr r="Q911" s="2"/>
      </tp>
      <tp t="s">
        <v>#N/A N/A</v>
        <stp/>
        <stp>BDP|2495535991447805864</stp>
        <tr r="M1729" s="2"/>
      </tp>
      <tp t="s">
        <v>#N/A N/A</v>
        <stp/>
        <stp>BDP|9124609695685411280</stp>
        <tr r="K775" s="2"/>
      </tp>
      <tp t="s">
        <v>#N/A N/A</v>
        <stp/>
        <stp>BDP|7719698562092433405</stp>
        <tr r="E134" s="2"/>
      </tp>
      <tp t="s">
        <v>#N/A N/A</v>
        <stp/>
        <stp>BDP|8001286020121184810</stp>
        <tr r="S337" s="2"/>
      </tp>
      <tp t="s">
        <v>#N/A N/A</v>
        <stp/>
        <stp>BDP|8494542695325502087</stp>
        <tr r="R652" s="2"/>
      </tp>
      <tp t="s">
        <v>#N/A N/A</v>
        <stp/>
        <stp>BDS|5894222139403807633</stp>
        <tr r="I1318" s="2"/>
      </tp>
      <tp t="s">
        <v>#N/A N/A</v>
        <stp/>
        <stp>BDP|9735962322387886435</stp>
        <tr r="S832" s="2"/>
      </tp>
      <tp t="s">
        <v>#N/A N/A</v>
        <stp/>
        <stp>BDP|8983623693246035004</stp>
        <tr r="R309" s="2"/>
      </tp>
      <tp t="s">
        <v>#N/A N/A</v>
        <stp/>
        <stp>BDP|5950430644401577538</stp>
        <tr r="G1270" s="2"/>
      </tp>
      <tp t="s">
        <v>#N/A N/A</v>
        <stp/>
        <stp>BDP|6476746217802945363</stp>
        <tr r="D634" s="2"/>
      </tp>
      <tp t="s">
        <v>#N/A N/A</v>
        <stp/>
        <stp>BDP|3075825005363999966</stp>
        <tr r="G511" s="2"/>
      </tp>
      <tp t="s">
        <v>#N/A N/A</v>
        <stp/>
        <stp>BDP|7164379264666395591</stp>
        <tr r="J1354" s="2"/>
      </tp>
      <tp t="s">
        <v>#N/A N/A</v>
        <stp/>
        <stp>BDP|9525172297713971341</stp>
        <tr r="O1026" s="2"/>
      </tp>
      <tp t="s">
        <v>#N/A N/A</v>
        <stp/>
        <stp>BDP|9259896641294546074</stp>
        <tr r="K1189" s="2"/>
      </tp>
      <tp t="s">
        <v>#N/A N/A</v>
        <stp/>
        <stp>BDS|7034217158305075412</stp>
        <tr r="I391" s="2"/>
      </tp>
      <tp t="s">
        <v>#N/A N/A</v>
        <stp/>
        <stp>BDP|4361147848590771002</stp>
        <tr r="K23" s="2"/>
      </tp>
      <tp t="s">
        <v>#N/A N/A</v>
        <stp/>
        <stp>BDP|3353392616325124557</stp>
        <tr r="R1237" s="2"/>
      </tp>
      <tp t="s">
        <v>#N/A N/A</v>
        <stp/>
        <stp>BDP|1121585437806684007</stp>
        <tr r="A1680" s="2"/>
      </tp>
      <tp t="s">
        <v>#N/A N/A</v>
        <stp/>
        <stp>BDP|2943637534731066762</stp>
        <tr r="D1733" s="2"/>
      </tp>
      <tp t="s">
        <v>#N/A N/A</v>
        <stp/>
        <stp>BDP|9238086405318670011</stp>
        <tr r="O786" s="2"/>
      </tp>
      <tp t="s">
        <v>#N/A N/A</v>
        <stp/>
        <stp>BDP|5249199407964154151</stp>
        <tr r="H351" s="2"/>
      </tp>
      <tp t="s">
        <v>#N/A N/A</v>
        <stp/>
        <stp>BDS|3749317158106727213</stp>
        <tr r="I1640" s="2"/>
      </tp>
      <tp t="s">
        <v>#N/A N/A</v>
        <stp/>
        <stp>BDP|6803964297314016315</stp>
        <tr r="A1481" s="2"/>
      </tp>
      <tp t="s">
        <v>#N/A N/A</v>
        <stp/>
        <stp>BDP|7039646740285556191</stp>
        <tr r="E1393" s="2"/>
      </tp>
      <tp t="s">
        <v>#N/A N/A</v>
        <stp/>
        <stp>BDS|6441773759991566478</stp>
        <tr r="I632" s="2"/>
      </tp>
      <tp t="s">
        <v>#N/A N/A</v>
        <stp/>
        <stp>BDP|2257784040207360717</stp>
        <tr r="N1524" s="2"/>
      </tp>
      <tp t="s">
        <v>#N/A N/A</v>
        <stp/>
        <stp>BDP|1241752102154438396</stp>
        <tr r="G470" s="2"/>
      </tp>
      <tp t="s">
        <v>#N/A N/A</v>
        <stp/>
        <stp>BDP|7815865803756581809</stp>
        <tr r="K1438" s="2"/>
      </tp>
      <tp t="s">
        <v>#N/A N/A</v>
        <stp/>
        <stp>BDP|1507141745723827641</stp>
        <tr r="K570" s="2"/>
      </tp>
      <tp t="s">
        <v>#N/A N/A</v>
        <stp/>
        <stp>BDP|5836798100030991307</stp>
        <tr r="J1462" s="2"/>
      </tp>
      <tp t="s">
        <v>#N/A N/A</v>
        <stp/>
        <stp>BDP|2481302077851803637</stp>
        <tr r="D1526" s="2"/>
      </tp>
      <tp t="s">
        <v>#N/A N/A</v>
        <stp/>
        <stp>BDP|1851221476316274365</stp>
        <tr r="M838" s="2"/>
      </tp>
      <tp t="s">
        <v>#N/A N/A</v>
        <stp/>
        <stp>BDP|4827255416533750542</stp>
        <tr r="G46" s="2"/>
      </tp>
      <tp t="s">
        <v>#N/A N/A</v>
        <stp/>
        <stp>BDP|1613581503026755320</stp>
        <tr r="A1322" s="2"/>
      </tp>
      <tp t="s">
        <v>#N/A N/A</v>
        <stp/>
        <stp>BDP|3639633967234941633</stp>
        <tr r="T1644" s="2"/>
      </tp>
      <tp t="s">
        <v>#N/A N/A</v>
        <stp/>
        <stp>BDP|7204956272168522080</stp>
        <tr r="F1321" s="2"/>
      </tp>
      <tp t="s">
        <v>#N/A N/A</v>
        <stp/>
        <stp>BDP|5002564162325452287</stp>
        <tr r="P276" s="2"/>
      </tp>
      <tp t="s">
        <v>#N/A N/A</v>
        <stp/>
        <stp>BDS|5813830877729076247</stp>
        <tr r="I215" s="2"/>
      </tp>
      <tp t="s">
        <v>#N/A N/A</v>
        <stp/>
        <stp>BDP|6655322199548529505</stp>
        <tr r="R813" s="2"/>
      </tp>
      <tp t="s">
        <v>#N/A N/A</v>
        <stp/>
        <stp>BDP|5655260703416839037</stp>
        <tr r="E581" s="2"/>
      </tp>
      <tp t="s">
        <v>#N/A N/A</v>
        <stp/>
        <stp>BDP|1361557179053711104</stp>
        <tr r="J1395" s="2"/>
      </tp>
      <tp t="s">
        <v>#N/A N/A</v>
        <stp/>
        <stp>BDP|1610875534179986249</stp>
        <tr r="A627" s="2"/>
      </tp>
      <tp t="s">
        <v>#N/A N/A</v>
        <stp/>
        <stp>BDS|3645727075694059697</stp>
        <tr r="I1033" s="2"/>
      </tp>
      <tp t="s">
        <v>#N/A N/A</v>
        <stp/>
        <stp>BDP|2330972467015916924</stp>
        <tr r="C1232" s="2"/>
      </tp>
      <tp t="s">
        <v>#N/A N/A</v>
        <stp/>
        <stp>BDP|1057523402354998118</stp>
        <tr r="O260" s="2"/>
      </tp>
      <tp t="s">
        <v>#N/A N/A</v>
        <stp/>
        <stp>BDP|8112346471308928552</stp>
        <tr r="J432" s="2"/>
      </tp>
      <tp t="s">
        <v>#N/A N/A</v>
        <stp/>
        <stp>BDP|1379461857143843224</stp>
        <tr r="C1429" s="2"/>
      </tp>
      <tp t="s">
        <v>#N/A N/A</v>
        <stp/>
        <stp>BDP|2323565985999101799</stp>
        <tr r="C1565" s="2"/>
      </tp>
      <tp t="s">
        <v>#N/A N/A</v>
        <stp/>
        <stp>BDP|9723854955202729781</stp>
        <tr r="P1209" s="2"/>
      </tp>
      <tp t="s">
        <v>#N/A N/A</v>
        <stp/>
        <stp>BDP|7212383242883555258</stp>
        <tr r="C617" s="2"/>
      </tp>
      <tp t="s">
        <v>#N/A N/A</v>
        <stp/>
        <stp>BDP|5208186027175120242</stp>
        <tr r="H1368" s="2"/>
      </tp>
      <tp t="s">
        <v>#N/A N/A</v>
        <stp/>
        <stp>BDP|9263108502839152095</stp>
        <tr r="A1485" s="2"/>
      </tp>
      <tp t="s">
        <v>#N/A N/A</v>
        <stp/>
        <stp>BDP|2965303101461272120</stp>
        <tr r="A1277" s="2"/>
      </tp>
      <tp t="s">
        <v>#N/A N/A</v>
        <stp/>
        <stp>BDP|7096991031325156918</stp>
        <tr r="G1632" s="2"/>
      </tp>
      <tp t="s">
        <v>#N/A N/A</v>
        <stp/>
        <stp>BDS|3779428175199882803</stp>
        <tr r="I926" s="2"/>
      </tp>
      <tp t="s">
        <v>#N/A N/A</v>
        <stp/>
        <stp>BDP|7754703958156622213</stp>
        <tr r="R355" s="2"/>
      </tp>
      <tp t="s">
        <v>#N/A N/A</v>
        <stp/>
        <stp>BDP|3613751399324449861</stp>
        <tr r="F1654" s="2"/>
      </tp>
      <tp t="s">
        <v>#N/A N/A</v>
        <stp/>
        <stp>BDP|9957712654502491812</stp>
        <tr r="O1101" s="2"/>
      </tp>
      <tp t="s">
        <v>#N/A N/A</v>
        <stp/>
        <stp>BDP|7243129273327209786</stp>
        <tr r="F1546" s="2"/>
      </tp>
      <tp t="s">
        <v>#N/A N/A</v>
        <stp/>
        <stp>BDP|7068458832486633781</stp>
        <tr r="D437" s="2"/>
      </tp>
      <tp t="s">
        <v>#N/A N/A</v>
        <stp/>
        <stp>BDP|2383919382275902708</stp>
        <tr r="H1151" s="2"/>
      </tp>
      <tp t="s">
        <v>#N/A N/A</v>
        <stp/>
        <stp>BDP|9596883607371600152</stp>
        <tr r="Q571" s="2"/>
      </tp>
      <tp t="s">
        <v>#N/A N/A</v>
        <stp/>
        <stp>BDP|1615342913896917411</stp>
        <tr r="E1139" s="2"/>
      </tp>
      <tp t="s">
        <v>#N/A N/A</v>
        <stp/>
        <stp>BDP|3165213851916852302</stp>
        <tr r="E1091" s="2"/>
      </tp>
      <tp t="s">
        <v>#N/A N/A</v>
        <stp/>
        <stp>BDP|5111508225340939342</stp>
        <tr r="N1733" s="2"/>
      </tp>
      <tp t="s">
        <v>#N/A N/A</v>
        <stp/>
        <stp>BDP|3583008355841122680</stp>
        <tr r="D1150" s="2"/>
      </tp>
      <tp t="s">
        <v>#N/A N/A</v>
        <stp/>
        <stp>BDP|2999613925003577417</stp>
        <tr r="A1503" s="2"/>
      </tp>
      <tp t="s">
        <v>#N/A N/A</v>
        <stp/>
        <stp>BDP|6049891595853260571</stp>
        <tr r="N1359" s="2"/>
      </tp>
      <tp t="s">
        <v>#N/A N/A</v>
        <stp/>
        <stp>BDP|5310800768799529379</stp>
        <tr r="S135" s="2"/>
      </tp>
      <tp t="s">
        <v>#N/A N/A</v>
        <stp/>
        <stp>BDP|3635088756447458057</stp>
        <tr r="A1411" s="2"/>
      </tp>
      <tp t="s">
        <v>#N/A N/A</v>
        <stp/>
        <stp>BDP|7895137523397890299</stp>
        <tr r="A1643" s="2"/>
      </tp>
      <tp t="s">
        <v>#N/A N/A</v>
        <stp/>
        <stp>BDP|9797923976337224186</stp>
        <tr r="S732" s="2"/>
      </tp>
      <tp t="s">
        <v>#N/A N/A</v>
        <stp/>
        <stp>BDP|3626519548171470221</stp>
        <tr r="R739" s="2"/>
      </tp>
      <tp t="s">
        <v>#N/A N/A</v>
        <stp/>
        <stp>BDP|7873069366347640775</stp>
        <tr r="F1216" s="2"/>
      </tp>
      <tp t="s">
        <v>#N/A N/A</v>
        <stp/>
        <stp>BDP|3530684102974703012</stp>
        <tr r="F1517" s="2"/>
      </tp>
      <tp t="s">
        <v>#N/A N/A</v>
        <stp/>
        <stp>BDP|5283386502135550246</stp>
        <tr r="H1134" s="2"/>
      </tp>
      <tp t="s">
        <v>#N/A N/A</v>
        <stp/>
        <stp>BDP|1823401015910134555</stp>
        <tr r="R65" s="2"/>
      </tp>
      <tp t="s">
        <v>#N/A N/A</v>
        <stp/>
        <stp>BDP|1361730579459986996</stp>
        <tr r="H1540" s="2"/>
      </tp>
      <tp t="s">
        <v>#N/A N/A</v>
        <stp/>
        <stp>BDP|2991004181042103901</stp>
        <tr r="S1590" s="2"/>
      </tp>
      <tp t="s">
        <v>#N/A N/A</v>
        <stp/>
        <stp>BDP|1098188455955429106</stp>
        <tr r="N354" s="2"/>
      </tp>
      <tp t="s">
        <v>#N/A N/A</v>
        <stp/>
        <stp>BDP|4522759823546812623</stp>
        <tr r="K1540" s="2"/>
      </tp>
      <tp t="s">
        <v>#N/A N/A</v>
        <stp/>
        <stp>BDP|3960377916064387425</stp>
        <tr r="K907" s="2"/>
      </tp>
      <tp t="s">
        <v>#N/A N/A</v>
        <stp/>
        <stp>BDP|6161200548861831082</stp>
        <tr r="R430" s="2"/>
      </tp>
      <tp t="s">
        <v>#N/A N/A</v>
        <stp/>
        <stp>BDP|8772492293336315279</stp>
        <tr r="R569" s="2"/>
      </tp>
      <tp t="s">
        <v>#N/A N/A</v>
        <stp/>
        <stp>BDP|2164128804937913578</stp>
        <tr r="D851" s="2"/>
      </tp>
      <tp t="s">
        <v>#N/A N/A</v>
        <stp/>
        <stp>BDP|2710150429382055229</stp>
        <tr r="S224" s="2"/>
      </tp>
      <tp t="s">
        <v>#N/A N/A</v>
        <stp/>
        <stp>BDP|2905362927870440250</stp>
        <tr r="T994" s="2"/>
      </tp>
      <tp t="s">
        <v>#N/A N/A</v>
        <stp/>
        <stp>BDP|5852893299530122500</stp>
        <tr r="A878" s="2"/>
      </tp>
      <tp t="s">
        <v>#N/A N/A</v>
        <stp/>
        <stp>BDP|5703742608231545275</stp>
        <tr r="M576" s="2"/>
      </tp>
      <tp t="s">
        <v>#N/A N/A</v>
        <stp/>
        <stp>BDP|6872031404380123776</stp>
        <tr r="G843" s="2"/>
      </tp>
      <tp t="s">
        <v>#N/A N/A</v>
        <stp/>
        <stp>BDP|2288448658854685611</stp>
        <tr r="D918" s="2"/>
      </tp>
      <tp t="s">
        <v>#N/A N/A</v>
        <stp/>
        <stp>BDP|9690598397515714165</stp>
        <tr r="M1392" s="2"/>
      </tp>
      <tp t="s">
        <v>#N/A N/A</v>
        <stp/>
        <stp>BDP|1582066031135860639</stp>
        <tr r="M1155" s="2"/>
      </tp>
      <tp t="s">
        <v>#N/A N/A</v>
        <stp/>
        <stp>BDP|1655543802157924205</stp>
        <tr r="D1728" s="2"/>
      </tp>
      <tp t="s">
        <v>#N/A N/A</v>
        <stp/>
        <stp>BDS|1826008946300197463</stp>
        <tr r="I1733" s="2"/>
      </tp>
      <tp t="s">
        <v>#N/A N/A</v>
        <stp/>
        <stp>BDP|9495194671858012657</stp>
        <tr r="H256" s="2"/>
      </tp>
      <tp t="s">
        <v>#N/A N/A</v>
        <stp/>
        <stp>BDP|8456511913198627594</stp>
        <tr r="H35" s="2"/>
      </tp>
      <tp t="s">
        <v>#N/A N/A</v>
        <stp/>
        <stp>BDP|1525886150785750835</stp>
        <tr r="R150" s="2"/>
      </tp>
      <tp t="s">
        <v>#N/A N/A</v>
        <stp/>
        <stp>BDP|2691769291755851800</stp>
        <tr r="P130" s="2"/>
      </tp>
      <tp t="s">
        <v>#N/A N/A</v>
        <stp/>
        <stp>BDP|3214887607948594214</stp>
        <tr r="M575" s="2"/>
      </tp>
      <tp t="s">
        <v>#N/A N/A</v>
        <stp/>
        <stp>BDP|7603973046633600880</stp>
        <tr r="C1711" s="2"/>
      </tp>
      <tp t="s">
        <v>#N/A N/A</v>
        <stp/>
        <stp>BDP|4327599031466592573</stp>
        <tr r="O1238" s="2"/>
      </tp>
      <tp t="s">
        <v>#N/A N/A</v>
        <stp/>
        <stp>BDP|7859919984893711430</stp>
        <tr r="G760" s="2"/>
      </tp>
      <tp t="s">
        <v>#N/A N/A</v>
        <stp/>
        <stp>BDP|2516372059477145237</stp>
        <tr r="J1617" s="2"/>
      </tp>
      <tp t="s">
        <v>#N/A N/A</v>
        <stp/>
        <stp>BDP|8381916741933811722</stp>
        <tr r="P213" s="2"/>
      </tp>
      <tp t="s">
        <v>#N/A N/A</v>
        <stp/>
        <stp>BDP|6924234579676807424</stp>
        <tr r="P36" s="2"/>
      </tp>
      <tp t="s">
        <v>#N/A N/A</v>
        <stp/>
        <stp>BDP|2798061159806217035</stp>
        <tr r="O1229" s="2"/>
      </tp>
      <tp t="s">
        <v>#N/A N/A</v>
        <stp/>
        <stp>BDP|2094551515883070493</stp>
        <tr r="P1434" s="2"/>
      </tp>
      <tp t="s">
        <v>#N/A N/A</v>
        <stp/>
        <stp>BDP|8831937011228137922</stp>
        <tr r="A792" s="2"/>
      </tp>
      <tp t="s">
        <v>#N/A N/A</v>
        <stp/>
        <stp>BDP|3410121505206310594</stp>
        <tr r="F485" s="2"/>
      </tp>
      <tp t="s">
        <v>#N/A N/A</v>
        <stp/>
        <stp>BDP|8798245462338888500</stp>
        <tr r="E837" s="2"/>
      </tp>
      <tp t="s">
        <v>#N/A N/A</v>
        <stp/>
        <stp>BDP|9144583387735044073</stp>
        <tr r="S774" s="2"/>
      </tp>
      <tp t="s">
        <v>#N/A N/A</v>
        <stp/>
        <stp>BDP|8037991448556044284</stp>
        <tr r="M158" s="2"/>
      </tp>
      <tp t="s">
        <v>#N/A N/A</v>
        <stp/>
        <stp>BDP|1961405841660930081</stp>
        <tr r="A454" s="2"/>
      </tp>
      <tp t="s">
        <v>#N/A N/A</v>
        <stp/>
        <stp>BDP|7884878745592055837</stp>
        <tr r="S188" s="2"/>
      </tp>
      <tp t="s">
        <v>#N/A N/A</v>
        <stp/>
        <stp>BDP|8598494681174193152</stp>
        <tr r="C1645" s="2"/>
      </tp>
      <tp t="s">
        <v>#N/A N/A</v>
        <stp/>
        <stp>BDP|8785961367104660298</stp>
        <tr r="P182" s="2"/>
      </tp>
      <tp t="s">
        <v>#N/A N/A</v>
        <stp/>
        <stp>BDP|8971804803300668150</stp>
        <tr r="O1730" s="2"/>
      </tp>
      <tp t="s">
        <v>#N/A N/A</v>
        <stp/>
        <stp>BDP|6547044559791299338</stp>
        <tr r="E488" s="2"/>
      </tp>
      <tp t="s">
        <v>#N/A N/A</v>
        <stp/>
        <stp>BDP|3179101738121386139</stp>
        <tr r="S967" s="2"/>
      </tp>
      <tp t="s">
        <v>#N/A N/A</v>
        <stp/>
        <stp>BDP|2844633968206898555</stp>
        <tr r="R821" s="2"/>
      </tp>
      <tp t="s">
        <v>#N/A N/A</v>
        <stp/>
        <stp>BDS|9983843436613059052</stp>
        <tr r="I916" s="2"/>
      </tp>
      <tp t="s">
        <v>#N/A N/A</v>
        <stp/>
        <stp>BDP|2249485850790260269</stp>
        <tr r="O745" s="2"/>
      </tp>
      <tp t="s">
        <v>#N/A N/A</v>
        <stp/>
        <stp>BDP|1619048328020402200</stp>
        <tr r="M199" s="2"/>
      </tp>
      <tp t="s">
        <v>#N/A N/A</v>
        <stp/>
        <stp>BDP|3091532026037268294</stp>
        <tr r="J621" s="2"/>
      </tp>
      <tp t="s">
        <v>#N/A N/A</v>
        <stp/>
        <stp>BDP|4793680835708460801</stp>
        <tr r="E1299" s="2"/>
      </tp>
      <tp t="s">
        <v>#N/A N/A</v>
        <stp/>
        <stp>BDP|7753659004961053188</stp>
        <tr r="T772" s="2"/>
      </tp>
      <tp t="s">
        <v>#N/A N/A</v>
        <stp/>
        <stp>BDP|5443439767756770095</stp>
        <tr r="D416" s="2"/>
      </tp>
      <tp t="s">
        <v>#N/A N/A</v>
        <stp/>
        <stp>BDP|4299492864370715761</stp>
        <tr r="R634" s="2"/>
      </tp>
      <tp t="s">
        <v>#N/A N/A</v>
        <stp/>
        <stp>BDP|5833569972712564473</stp>
        <tr r="C294" s="2"/>
      </tp>
      <tp t="s">
        <v>#N/A N/A</v>
        <stp/>
        <stp>BDP|7712558613686976460</stp>
        <tr r="N670" s="2"/>
      </tp>
      <tp t="s">
        <v>#N/A N/A</v>
        <stp/>
        <stp>BDP|9058318090445961764</stp>
        <tr r="K1668" s="2"/>
      </tp>
      <tp t="s">
        <v>#N/A N/A</v>
        <stp/>
        <stp>BDP|6471982259799884231</stp>
        <tr r="T548" s="2"/>
      </tp>
      <tp t="s">
        <v>#N/A N/A</v>
        <stp/>
        <stp>BDP|7204478542594137284</stp>
        <tr r="G1707" s="2"/>
      </tp>
      <tp t="s">
        <v>#N/A N/A</v>
        <stp/>
        <stp>BDP|5331279715012914566</stp>
        <tr r="G1514" s="2"/>
      </tp>
      <tp t="s">
        <v>#N/A N/A</v>
        <stp/>
        <stp>BDP|8815825933747795507</stp>
        <tr r="J288" s="2"/>
      </tp>
      <tp t="s">
        <v>#N/A N/A</v>
        <stp/>
        <stp>BDP|6269637979691627708</stp>
        <tr r="R1003" s="2"/>
      </tp>
      <tp t="s">
        <v>#N/A N/A</v>
        <stp/>
        <stp>BDP|8688580931686570944</stp>
        <tr r="P767" s="2"/>
      </tp>
      <tp t="s">
        <v>#N/A N/A</v>
        <stp/>
        <stp>BDP|1991345705454707714</stp>
        <tr r="C1549" s="2"/>
      </tp>
      <tp t="s">
        <v>#N/A N/A</v>
        <stp/>
        <stp>BDP|7652755624983029097</stp>
        <tr r="Q315" s="2"/>
      </tp>
      <tp t="s">
        <v>#N/A N/A</v>
        <stp/>
        <stp>BDP|7971961607897149876</stp>
        <tr r="K480" s="2"/>
      </tp>
      <tp t="s">
        <v>#N/A N/A</v>
        <stp/>
        <stp>BDP|9933480993480492582</stp>
        <tr r="F389" s="2"/>
      </tp>
      <tp t="s">
        <v>#N/A N/A</v>
        <stp/>
        <stp>BDP|4257621370194894060</stp>
        <tr r="A435" s="2"/>
      </tp>
      <tp t="s">
        <v>#N/A N/A</v>
        <stp/>
        <stp>BDP|1885769017834577221</stp>
        <tr r="M73" s="2"/>
      </tp>
      <tp t="s">
        <v>#N/A N/A</v>
        <stp/>
        <stp>BDP|3316686350877611631</stp>
        <tr r="P1082" s="2"/>
      </tp>
      <tp t="s">
        <v>#N/A N/A</v>
        <stp/>
        <stp>BDP|8688984705472664231</stp>
        <tr r="A1019" s="2"/>
      </tp>
      <tp t="s">
        <v>#N/A N/A</v>
        <stp/>
        <stp>BDP|9817047998013901239</stp>
        <tr r="M1652" s="2"/>
      </tp>
      <tp t="s">
        <v>#N/A N/A</v>
        <stp/>
        <stp>BDP|2062188740352376454</stp>
        <tr r="C1065" s="2"/>
      </tp>
      <tp t="s">
        <v>#N/A N/A</v>
        <stp/>
        <stp>BDP|3286568655665604798</stp>
        <tr r="P237" s="2"/>
      </tp>
      <tp t="s">
        <v>#N/A N/A</v>
        <stp/>
        <stp>BDP|6425833186986945162</stp>
        <tr r="G874" s="2"/>
      </tp>
      <tp t="s">
        <v>#N/A N/A</v>
        <stp/>
        <stp>BDP|7364608822023907160</stp>
        <tr r="C631" s="2"/>
      </tp>
      <tp t="s">
        <v>#N/A N/A</v>
        <stp/>
        <stp>BDP|2573519938422042720</stp>
        <tr r="J1082" s="2"/>
      </tp>
      <tp t="s">
        <v>#N/A N/A</v>
        <stp/>
        <stp>BDP|7700699431951973286</stp>
        <tr r="O1095" s="2"/>
      </tp>
      <tp t="s">
        <v>#N/A N/A</v>
        <stp/>
        <stp>BDS|8365155388619912997</stp>
        <tr r="I1382" s="2"/>
      </tp>
      <tp t="s">
        <v>#N/A N/A</v>
        <stp/>
        <stp>BDP|4153817209075056877</stp>
        <tr r="D834" s="2"/>
      </tp>
      <tp t="s">
        <v>#N/A N/A</v>
        <stp/>
        <stp>BDP|7309623870151814673</stp>
        <tr r="K649" s="2"/>
      </tp>
      <tp t="s">
        <v>#N/A N/A</v>
        <stp/>
        <stp>BDP|6363681264171705666</stp>
        <tr r="C1162" s="2"/>
      </tp>
      <tp t="s">
        <v>#N/A N/A</v>
        <stp/>
        <stp>BDP|4422806988173621647</stp>
        <tr r="R852" s="2"/>
      </tp>
      <tp t="s">
        <v>#N/A N/A</v>
        <stp/>
        <stp>BDP|3124392825346771544</stp>
        <tr r="Q437" s="2"/>
      </tp>
      <tp t="s">
        <v>#N/A N/A</v>
        <stp/>
        <stp>BDP|2024093352144176244</stp>
        <tr r="P1044" s="2"/>
      </tp>
      <tp t="s">
        <v>#N/A N/A</v>
        <stp/>
        <stp>BDP|7644827486205852347</stp>
        <tr r="H1257" s="2"/>
      </tp>
      <tp t="s">
        <v>#N/A N/A</v>
        <stp/>
        <stp>BDP|7519104519296778053</stp>
        <tr r="T1353" s="2"/>
      </tp>
      <tp t="s">
        <v>#N/A N/A</v>
        <stp/>
        <stp>BDP|4164666073116366295</stp>
        <tr r="J1006" s="2"/>
      </tp>
      <tp t="s">
        <v>#N/A N/A</v>
        <stp/>
        <stp>BDP|3167386133314711637</stp>
        <tr r="Q583" s="2"/>
      </tp>
      <tp t="s">
        <v>#N/A N/A</v>
        <stp/>
        <stp>BDP|3533442965388252882</stp>
        <tr r="F963" s="2"/>
      </tp>
      <tp t="s">
        <v>#N/A N/A</v>
        <stp/>
        <stp>BDP|5260987449308501186</stp>
        <tr r="E873" s="2"/>
      </tp>
      <tp t="s">
        <v>#N/A N/A</v>
        <stp/>
        <stp>BDP|6190052180838217786</stp>
        <tr r="R1574" s="2"/>
      </tp>
      <tp t="s">
        <v>#N/A N/A</v>
        <stp/>
        <stp>BDP|6101373201636056294</stp>
        <tr r="M1165" s="2"/>
      </tp>
      <tp t="s">
        <v>#N/A N/A</v>
        <stp/>
        <stp>BDP|7521386653892989290</stp>
        <tr r="M1467" s="2"/>
      </tp>
      <tp t="s">
        <v>#N/A N/A</v>
        <stp/>
        <stp>BDP|9367842174434807354</stp>
        <tr r="S522" s="2"/>
      </tp>
      <tp t="s">
        <v>#N/A N/A</v>
        <stp/>
        <stp>BDP|7760146963985982475</stp>
        <tr r="T83" s="2"/>
      </tp>
      <tp t="s">
        <v>#N/A N/A</v>
        <stp/>
        <stp>BDP|6437074551707459581</stp>
        <tr r="A469" s="2"/>
      </tp>
      <tp t="s">
        <v>#N/A N/A</v>
        <stp/>
        <stp>BDP|2538623040666198788</stp>
        <tr r="H485" s="2"/>
      </tp>
      <tp t="s">
        <v>#N/A N/A</v>
        <stp/>
        <stp>BDP|7601152441621840247</stp>
        <tr r="T1290" s="2"/>
      </tp>
      <tp t="s">
        <v>#N/A N/A</v>
        <stp/>
        <stp>BDS|9986811127671680373</stp>
        <tr r="I1675" s="2"/>
      </tp>
      <tp t="s">
        <v>#N/A N/A</v>
        <stp/>
        <stp>BDP|3097630368443081152</stp>
        <tr r="H1045" s="2"/>
      </tp>
      <tp t="s">
        <v>#N/A N/A</v>
        <stp/>
        <stp>BDP|9742946471573810541</stp>
        <tr r="P295" s="2"/>
      </tp>
      <tp t="s">
        <v>#N/A N/A</v>
        <stp/>
        <stp>BDP|7869502569635700085</stp>
        <tr r="N1546" s="2"/>
      </tp>
      <tp t="s">
        <v>#N/A N/A</v>
        <stp/>
        <stp>BDP|6382402178977320367</stp>
        <tr r="P677" s="2"/>
      </tp>
      <tp t="s">
        <v>#N/A N/A</v>
        <stp/>
        <stp>BDP|7008073951576954515</stp>
        <tr r="K721" s="2"/>
      </tp>
      <tp t="s">
        <v>#N/A N/A</v>
        <stp/>
        <stp>BDP|8675005287897951669</stp>
        <tr r="F261" s="2"/>
      </tp>
      <tp t="s">
        <v>#N/A N/A</v>
        <stp/>
        <stp>BDP|8769100385678924854</stp>
        <tr r="S1503" s="2"/>
      </tp>
      <tp t="s">
        <v>#N/A N/A</v>
        <stp/>
        <stp>BDP|6680719698441280824</stp>
        <tr r="P771" s="2"/>
      </tp>
      <tp t="s">
        <v>#N/A N/A</v>
        <stp/>
        <stp>BDP|1492148868840782708</stp>
        <tr r="N887" s="2"/>
      </tp>
      <tp t="s">
        <v>#N/A N/A</v>
        <stp/>
        <stp>BDP|1115590297088797471</stp>
        <tr r="K1001" s="2"/>
      </tp>
      <tp t="s">
        <v>#N/A N/A</v>
        <stp/>
        <stp>BDP|1079345953963037580</stp>
        <tr r="M1616" s="2"/>
      </tp>
      <tp t="s">
        <v>#N/A N/A</v>
        <stp/>
        <stp>BDP|7424049608074758206</stp>
        <tr r="H442" s="2"/>
      </tp>
      <tp t="s">
        <v>#N/A N/A</v>
        <stp/>
        <stp>BDP|3777900911822819815</stp>
        <tr r="H440" s="2"/>
      </tp>
      <tp t="s">
        <v>#N/A N/A</v>
        <stp/>
        <stp>BDP|6687717378435311231</stp>
        <tr r="O44" s="2"/>
      </tp>
      <tp t="s">
        <v>#N/A N/A</v>
        <stp/>
        <stp>BDP|1265402632820606797</stp>
        <tr r="S1579" s="2"/>
      </tp>
      <tp t="s">
        <v>#N/A N/A</v>
        <stp/>
        <stp>BDS|3534292645623779718</stp>
        <tr r="I126" s="2"/>
      </tp>
      <tp t="s">
        <v>#N/A N/A</v>
        <stp/>
        <stp>BDP|2104631131614584292</stp>
        <tr r="Q1312" s="2"/>
      </tp>
      <tp t="s">
        <v>#N/A N/A</v>
        <stp/>
        <stp>BDP|6358062748023197033</stp>
        <tr r="J1001" s="2"/>
      </tp>
      <tp t="s">
        <v>#N/A N/A</v>
        <stp/>
        <stp>BDP|5865626495528287321</stp>
        <tr r="C632" s="2"/>
      </tp>
      <tp t="s">
        <v>#N/A N/A</v>
        <stp/>
        <stp>BDP|1131603729126742209</stp>
        <tr r="T1533" s="2"/>
      </tp>
      <tp t="s">
        <v>#N/A N/A</v>
        <stp/>
        <stp>BDP|1808740329802378793</stp>
        <tr r="Q444" s="2"/>
      </tp>
      <tp t="s">
        <v>#N/A N/A</v>
        <stp/>
        <stp>BDP|8294722069899762119</stp>
        <tr r="Q1105" s="2"/>
      </tp>
      <tp t="s">
        <v>#N/A N/A</v>
        <stp/>
        <stp>BDP|5236111826261351699</stp>
        <tr r="E352" s="2"/>
      </tp>
      <tp t="s">
        <v>#N/A N/A</v>
        <stp/>
        <stp>BDP|3880063750713962485</stp>
        <tr r="M1545" s="2"/>
      </tp>
      <tp t="s">
        <v>#N/A N/A</v>
        <stp/>
        <stp>BDP|8361978206844800459</stp>
        <tr r="Q1350" s="2"/>
      </tp>
      <tp t="s">
        <v>#N/A N/A</v>
        <stp/>
        <stp>BDP|5699098374227099445</stp>
        <tr r="O853" s="2"/>
      </tp>
      <tp t="s">
        <v>#N/A N/A</v>
        <stp/>
        <stp>BDP|3482201225264605684</stp>
        <tr r="S1296" s="2"/>
      </tp>
      <tp t="s">
        <v>#N/A N/A</v>
        <stp/>
        <stp>BDP|8180889206161597056</stp>
        <tr r="C215" s="2"/>
      </tp>
      <tp t="s">
        <v>#N/A N/A</v>
        <stp/>
        <stp>BDP|1632525933654974218</stp>
        <tr r="K1628" s="2"/>
      </tp>
      <tp t="s">
        <v>#N/A N/A</v>
        <stp/>
        <stp>BDP|8514083333823562942</stp>
        <tr r="A621" s="2"/>
      </tp>
      <tp t="s">
        <v>#N/A N/A</v>
        <stp/>
        <stp>BDP|4527980545860054871</stp>
        <tr r="K841" s="2"/>
      </tp>
      <tp t="s">
        <v>#N/A N/A</v>
        <stp/>
        <stp>BDP|7697725791799344191</stp>
        <tr r="R1124" s="2"/>
      </tp>
      <tp t="s">
        <v>#N/A N/A</v>
        <stp/>
        <stp>BDP|3019564328324980180</stp>
        <tr r="H1246" s="2"/>
      </tp>
      <tp t="s">
        <v>#N/A N/A</v>
        <stp/>
        <stp>BDP|7193339348826669730</stp>
        <tr r="E922" s="2"/>
      </tp>
      <tp t="s">
        <v>#N/A N/A</v>
        <stp/>
        <stp>BDP|1450867323933635989</stp>
        <tr r="R979" s="2"/>
      </tp>
      <tp t="s">
        <v>#N/A N/A</v>
        <stp/>
        <stp>BDP|5399777000450899332</stp>
        <tr r="A781" s="2"/>
      </tp>
      <tp t="s">
        <v>#N/A N/A</v>
        <stp/>
        <stp>BDP|1026294128320922076</stp>
        <tr r="C402" s="2"/>
      </tp>
      <tp t="s">
        <v>#N/A N/A</v>
        <stp/>
        <stp>BDP|6925303939472609594</stp>
        <tr r="C723" s="2"/>
      </tp>
      <tp t="s">
        <v>#N/A N/A</v>
        <stp/>
        <stp>BDP|9113196094781797148</stp>
        <tr r="H1067" s="2"/>
      </tp>
      <tp t="s">
        <v>#N/A N/A</v>
        <stp/>
        <stp>BDP|6780378809356732211</stp>
        <tr r="P851" s="2"/>
      </tp>
      <tp t="s">
        <v>#N/A N/A</v>
        <stp/>
        <stp>BDP|2904786145720880039</stp>
        <tr r="M1059" s="2"/>
      </tp>
      <tp t="s">
        <v>#N/A N/A</v>
        <stp/>
        <stp>BDP|1868820791793697228</stp>
        <tr r="S268" s="2"/>
      </tp>
      <tp t="s">
        <v>#N/A N/A</v>
        <stp/>
        <stp>BDP|8424304948987067939</stp>
        <tr r="C232" s="2"/>
      </tp>
      <tp t="s">
        <v>#N/A N/A</v>
        <stp/>
        <stp>BDP|4577972082633648797</stp>
        <tr r="Q595" s="2"/>
      </tp>
      <tp t="s">
        <v>#N/A N/A</v>
        <stp/>
        <stp>BDP|3067724159501578110</stp>
        <tr r="D883" s="2"/>
      </tp>
      <tp t="s">
        <v>#N/A N/A</v>
        <stp/>
        <stp>BDP|4511758857550152799</stp>
        <tr r="D325" s="2"/>
      </tp>
      <tp t="s">
        <v>#N/A N/A</v>
        <stp/>
        <stp>BDP|7092665157995914074</stp>
        <tr r="M805" s="2"/>
      </tp>
      <tp t="s">
        <v>#N/A N/A</v>
        <stp/>
        <stp>BDP|5490331599696995887</stp>
        <tr r="P37" s="2"/>
      </tp>
      <tp t="s">
        <v>#N/A N/A</v>
        <stp/>
        <stp>BDP|1625008789578990095</stp>
        <tr r="A279" s="2"/>
      </tp>
      <tp t="s">
        <v>#N/A N/A</v>
        <stp/>
        <stp>BDS|3408353919000356046</stp>
        <tr r="I1577" s="2"/>
      </tp>
      <tp t="s">
        <v>#N/A N/A</v>
        <stp/>
        <stp>BDP|6632103859336818581</stp>
        <tr r="F67" s="2"/>
      </tp>
      <tp t="s">
        <v>#N/A N/A</v>
        <stp/>
        <stp>BDP|3005755843063167280</stp>
        <tr r="J1022" s="2"/>
      </tp>
      <tp t="s">
        <v>#N/A N/A</v>
        <stp/>
        <stp>BDP|6548342959763052276</stp>
        <tr r="A1537" s="2"/>
      </tp>
      <tp t="s">
        <v>#N/A N/A</v>
        <stp/>
        <stp>BDP|8684890173347516168</stp>
        <tr r="R122" s="2"/>
      </tp>
      <tp t="s">
        <v>#N/A N/A</v>
        <stp/>
        <stp>BDP|2852754974214024763</stp>
        <tr r="D296" s="2"/>
      </tp>
      <tp t="s">
        <v>#N/A N/A</v>
        <stp/>
        <stp>BDP|6384054967523697282</stp>
        <tr r="E1734" s="2"/>
      </tp>
      <tp t="s">
        <v>#N/A N/A</v>
        <stp/>
        <stp>BDP|8100114204121828935</stp>
        <tr r="R1197" s="2"/>
      </tp>
      <tp t="s">
        <v>#N/A N/A</v>
        <stp/>
        <stp>BDP|3431161935697838705</stp>
        <tr r="E1405" s="2"/>
      </tp>
      <tp t="s">
        <v>#N/A N/A</v>
        <stp/>
        <stp>BDP|1857526744707765667</stp>
        <tr r="H1171" s="2"/>
      </tp>
      <tp t="s">
        <v>#N/A N/A</v>
        <stp/>
        <stp>BDP|2865400424610620557</stp>
        <tr r="E1530" s="2"/>
      </tp>
      <tp t="s">
        <v>#N/A N/A</v>
        <stp/>
        <stp>BDP|5553265207632302483</stp>
        <tr r="C187" s="2"/>
      </tp>
      <tp t="s">
        <v>#N/A N/A</v>
        <stp/>
        <stp>BDP|5188880637287884897</stp>
        <tr r="A921" s="2"/>
      </tp>
      <tp t="s">
        <v>#N/A N/A</v>
        <stp/>
        <stp>BDP|2320387277220228710</stp>
        <tr r="P408" s="2"/>
      </tp>
      <tp t="s">
        <v>#N/A N/A</v>
        <stp/>
        <stp>BDP|3736391670187242132</stp>
        <tr r="D261" s="2"/>
      </tp>
      <tp t="s">
        <v>#N/A N/A</v>
        <stp/>
        <stp>BDP|8366049798595369538</stp>
        <tr r="T1365" s="2"/>
      </tp>
      <tp t="s">
        <v>#N/A N/A</v>
        <stp/>
        <stp>BDP|8341400588294704132</stp>
        <tr r="D129" s="2"/>
      </tp>
      <tp t="s">
        <v>#N/A N/A</v>
        <stp/>
        <stp>BDS|1137541332294057282</stp>
        <tr r="I1384" s="2"/>
      </tp>
      <tp t="s">
        <v>#N/A N/A</v>
        <stp/>
        <stp>BDS|2354780806035435161</stp>
        <tr r="I901" s="2"/>
      </tp>
      <tp t="s">
        <v>#N/A N/A</v>
        <stp/>
        <stp>BDP|4800391001370931666</stp>
        <tr r="T1490" s="2"/>
      </tp>
      <tp t="s">
        <v>#N/A N/A</v>
        <stp/>
        <stp>BDP|6003290772822366079</stp>
        <tr r="G1272" s="2"/>
      </tp>
      <tp t="s">
        <v>#N/A N/A</v>
        <stp/>
        <stp>BDP|3936604364565551770</stp>
        <tr r="Q936" s="2"/>
      </tp>
      <tp t="s">
        <v>#N/A N/A</v>
        <stp/>
        <stp>BDP|4233003731667438182</stp>
        <tr r="R910" s="2"/>
      </tp>
      <tp t="s">
        <v>#N/A N/A</v>
        <stp/>
        <stp>BDP|3478484994139444630</stp>
        <tr r="F720" s="2"/>
      </tp>
      <tp t="s">
        <v>#N/A N/A</v>
        <stp/>
        <stp>BDP|8826439747230782947</stp>
        <tr r="P950" s="2"/>
      </tp>
      <tp t="s">
        <v>#N/A N/A</v>
        <stp/>
        <stp>BDS|9308323823669667089</stp>
        <tr r="I333" s="2"/>
      </tp>
      <tp t="s">
        <v>#N/A N/A</v>
        <stp/>
        <stp>BDP|2661420763810322184</stp>
        <tr r="H103" s="2"/>
      </tp>
      <tp t="s">
        <v>#N/A N/A</v>
        <stp/>
        <stp>BDP|7500646446952932624</stp>
        <tr r="T764" s="2"/>
      </tp>
      <tp t="s">
        <v>#N/A N/A</v>
        <stp/>
        <stp>BDP|3151043029950448043</stp>
        <tr r="E1573" s="2"/>
      </tp>
      <tp t="s">
        <v>#N/A N/A</v>
        <stp/>
        <stp>BDP|5141308262430954166</stp>
        <tr r="C738" s="2"/>
      </tp>
      <tp t="s">
        <v>#N/A N/A</v>
        <stp/>
        <stp>BDP|3001877880807338587</stp>
        <tr r="T943" s="2"/>
      </tp>
      <tp t="s">
        <v>#N/A N/A</v>
        <stp/>
        <stp>BDP|7535585144630496712</stp>
        <tr r="D1060" s="2"/>
      </tp>
      <tp t="s">
        <v>#N/A N/A</v>
        <stp/>
        <stp>BDP|5425063313337596280</stp>
        <tr r="G1286" s="2"/>
      </tp>
      <tp t="s">
        <v>#N/A N/A</v>
        <stp/>
        <stp>BDS|3115026360681892570</stp>
        <tr r="I1632" s="2"/>
      </tp>
      <tp t="s">
        <v>#N/A N/A</v>
        <stp/>
        <stp>BDP|2294678758067126709</stp>
        <tr r="E1591" s="2"/>
      </tp>
      <tp t="s">
        <v>#N/A N/A</v>
        <stp/>
        <stp>BDP|2921759613814019138</stp>
        <tr r="N138" s="2"/>
      </tp>
      <tp t="s">
        <v>#N/A N/A</v>
        <stp/>
        <stp>BDP|6345329989809001548</stp>
        <tr r="O1338" s="2"/>
      </tp>
      <tp t="s">
        <v>#N/A N/A</v>
        <stp/>
        <stp>BDP|1985824990164374546</stp>
        <tr r="E63" s="2"/>
      </tp>
      <tp t="s">
        <v>#N/A N/A</v>
        <stp/>
        <stp>BDP|2148189053285728211</stp>
        <tr r="G1197" s="2"/>
      </tp>
      <tp t="s">
        <v>#N/A N/A</v>
        <stp/>
        <stp>BDP|6297676678910288632</stp>
        <tr r="J91" s="2"/>
      </tp>
      <tp t="s">
        <v>#N/A N/A</v>
        <stp/>
        <stp>BDP|9090139788260388146</stp>
        <tr r="N1008" s="2"/>
      </tp>
      <tp t="s">
        <v>#N/A N/A</v>
        <stp/>
        <stp>BDP|7189501753201905777</stp>
        <tr r="Q605" s="2"/>
      </tp>
      <tp t="s">
        <v>#N/A N/A</v>
        <stp/>
        <stp>BDP|1238561179896555440</stp>
        <tr r="J1681" s="2"/>
      </tp>
      <tp t="s">
        <v>#N/A N/A</v>
        <stp/>
        <stp>BDP|7150604651464986152</stp>
        <tr r="T1238" s="2"/>
      </tp>
      <tp t="s">
        <v>#N/A N/A</v>
        <stp/>
        <stp>BDP|7071082877082481372</stp>
        <tr r="S266" s="2"/>
      </tp>
      <tp t="s">
        <v>#N/A N/A</v>
        <stp/>
        <stp>BDP|6148284925421080603</stp>
        <tr r="P1033" s="2"/>
      </tp>
      <tp t="s">
        <v>#N/A N/A</v>
        <stp/>
        <stp>BDP|7417652612955937466</stp>
        <tr r="R1494" s="2"/>
      </tp>
      <tp t="s">
        <v>#N/A N/A</v>
        <stp/>
        <stp>BDP|1404230911434324799</stp>
        <tr r="R909" s="2"/>
      </tp>
      <tp t="s">
        <v>#N/A N/A</v>
        <stp/>
        <stp>BDP|1561490593845017831</stp>
        <tr r="M1134" s="2"/>
      </tp>
      <tp t="s">
        <v>#N/A N/A</v>
        <stp/>
        <stp>BDP|3058532592889852754</stp>
        <tr r="H185" s="2"/>
      </tp>
      <tp t="s">
        <v>#N/A N/A</v>
        <stp/>
        <stp>BDP|4038568488389473161</stp>
        <tr r="G1472" s="2"/>
      </tp>
      <tp t="s">
        <v>#N/A N/A</v>
        <stp/>
        <stp>BDP|2626110049183152538</stp>
        <tr r="D1307" s="2"/>
      </tp>
      <tp t="s">
        <v>#N/A N/A</v>
        <stp/>
        <stp>BDP|4185952486382815666</stp>
        <tr r="O1694" s="2"/>
      </tp>
      <tp t="s">
        <v>#N/A N/A</v>
        <stp/>
        <stp>BDS|5231473606575888570</stp>
        <tr r="I830" s="2"/>
      </tp>
      <tp t="s">
        <v>#N/A N/A</v>
        <stp/>
        <stp>BDP|5719413770624226388</stp>
        <tr r="J1095" s="2"/>
      </tp>
      <tp t="s">
        <v>#N/A N/A</v>
        <stp/>
        <stp>BDP|7120621599969227049</stp>
        <tr r="M411" s="2"/>
      </tp>
      <tp t="s">
        <v>#N/A N/A</v>
        <stp/>
        <stp>BDP|3936777754145437527</stp>
        <tr r="K1161" s="2"/>
      </tp>
      <tp t="s">
        <v>#N/A N/A</v>
        <stp/>
        <stp>BDP|5503713213393834132</stp>
        <tr r="O1477" s="2"/>
      </tp>
      <tp t="s">
        <v>#N/A N/A</v>
        <stp/>
        <stp>BDP|4005994870279624235</stp>
        <tr r="D409" s="2"/>
      </tp>
      <tp t="s">
        <v>#N/A N/A</v>
        <stp/>
        <stp>BDP|4962316315697627075</stp>
        <tr r="F1631" s="2"/>
      </tp>
      <tp t="s">
        <v>#N/A N/A</v>
        <stp/>
        <stp>BDP|3830450340565712767</stp>
        <tr r="O1441" s="2"/>
      </tp>
      <tp t="s">
        <v>#N/A N/A</v>
        <stp/>
        <stp>BDP|3019282879356944144</stp>
        <tr r="G607" s="2"/>
      </tp>
      <tp t="s">
        <v>#N/A N/A</v>
        <stp/>
        <stp>BDP|5039742455050498698</stp>
        <tr r="P1432" s="2"/>
      </tp>
      <tp t="s">
        <v>#N/A N/A</v>
        <stp/>
        <stp>BDP|3908667227454220261</stp>
        <tr r="C282" s="2"/>
      </tp>
      <tp t="s">
        <v>#N/A N/A</v>
        <stp/>
        <stp>BDP|1090381362142731719</stp>
        <tr r="T19" s="2"/>
      </tp>
      <tp t="s">
        <v>#N/A N/A</v>
        <stp/>
        <stp>BDP|5012612592589979262</stp>
        <tr r="R1737" s="2"/>
      </tp>
      <tp t="s">
        <v>#N/A N/A</v>
        <stp/>
        <stp>BDP|3097348738205240724</stp>
        <tr r="E1457" s="2"/>
      </tp>
      <tp t="s">
        <v>#N/A N/A</v>
        <stp/>
        <stp>BDP|5063085985435464952</stp>
        <tr r="C821" s="2"/>
      </tp>
      <tp t="s">
        <v>#N/A N/A</v>
        <stp/>
        <stp>BDP|3467196736288227853</stp>
        <tr r="F1183" s="2"/>
      </tp>
      <tp t="s">
        <v>#N/A N/A</v>
        <stp/>
        <stp>BDP|2110591501481339765</stp>
        <tr r="S395" s="2"/>
      </tp>
      <tp t="s">
        <v>#N/A N/A</v>
        <stp/>
        <stp>BDP|1517683424774735024</stp>
        <tr r="S876" s="2"/>
      </tp>
      <tp t="s">
        <v>#N/A N/A</v>
        <stp/>
        <stp>BDP|3966718605662385722</stp>
        <tr r="J1736" s="2"/>
      </tp>
      <tp t="s">
        <v>#N/A N/A</v>
        <stp/>
        <stp>BDP|8223613981233624483</stp>
        <tr r="R1375" s="2"/>
      </tp>
      <tp t="s">
        <v>#N/A N/A</v>
        <stp/>
        <stp>BDP|1906915884743525252</stp>
        <tr r="A349" s="2"/>
      </tp>
      <tp t="s">
        <v>#N/A N/A</v>
        <stp/>
        <stp>BDP|9358897655203335601</stp>
        <tr r="F1728" s="2"/>
      </tp>
      <tp t="s">
        <v>#N/A N/A</v>
        <stp/>
        <stp>BDP|2525867253278551697</stp>
        <tr r="T488" s="2"/>
      </tp>
      <tp t="s">
        <v>#N/A N/A</v>
        <stp/>
        <stp>BDP|4273654632222956201</stp>
        <tr r="A647" s="2"/>
      </tp>
      <tp t="s">
        <v>#N/A N/A</v>
        <stp/>
        <stp>BDP|6376235576471810323</stp>
        <tr r="P319" s="2"/>
      </tp>
      <tp t="s">
        <v>#N/A N/A</v>
        <stp/>
        <stp>BDP|2675465246081309296</stp>
        <tr r="H810" s="2"/>
      </tp>
      <tp t="s">
        <v>#N/A N/A</v>
        <stp/>
        <stp>BDP|9364752588510427767</stp>
        <tr r="O1729" s="2"/>
      </tp>
      <tp t="s">
        <v>#N/A N/A</v>
        <stp/>
        <stp>BDP|4855660246944582310</stp>
        <tr r="M1177" s="2"/>
      </tp>
      <tp t="s">
        <v>#N/A N/A</v>
        <stp/>
        <stp>BDP|8230485316068314433</stp>
        <tr r="M1727" s="2"/>
      </tp>
      <tp t="s">
        <v>#N/A N/A</v>
        <stp/>
        <stp>BDP|5275446648212016625</stp>
        <tr r="C518" s="2"/>
      </tp>
      <tp t="s">
        <v>#N/A N/A</v>
        <stp/>
        <stp>BDP|1889101752503139778</stp>
        <tr r="H1411" s="2"/>
      </tp>
      <tp t="s">
        <v>#N/A N/A</v>
        <stp/>
        <stp>BDP|3050122479504204055</stp>
        <tr r="T462" s="2"/>
      </tp>
      <tp t="s">
        <v>#N/A N/A</v>
        <stp/>
        <stp>BDP|3411135714223976166</stp>
        <tr r="F1749" s="2"/>
      </tp>
      <tp t="s">
        <v>#N/A N/A</v>
        <stp/>
        <stp>BDP|8468333218513626855</stp>
        <tr r="G436" s="2"/>
      </tp>
      <tp t="s">
        <v>#N/A N/A</v>
        <stp/>
        <stp>BDP|5830642869874984006</stp>
        <tr r="H897" s="2"/>
      </tp>
      <tp t="s">
        <v>#N/A N/A</v>
        <stp/>
        <stp>BDP|3594738962456821501</stp>
        <tr r="P1245" s="2"/>
      </tp>
      <tp t="s">
        <v>#N/A N/A</v>
        <stp/>
        <stp>BDP|6448889391360616679</stp>
        <tr r="E1590" s="2"/>
      </tp>
      <tp t="s">
        <v>#N/A N/A</v>
        <stp/>
        <stp>BDP|1373029361152953443</stp>
        <tr r="E755" s="2"/>
      </tp>
      <tp t="s">
        <v>#N/A N/A</v>
        <stp/>
        <stp>BDP|7298211982314550897</stp>
        <tr r="S952" s="2"/>
      </tp>
      <tp t="s">
        <v>#N/A N/A</v>
        <stp/>
        <stp>BDP|9077850226362882064</stp>
        <tr r="F176" s="2"/>
      </tp>
      <tp t="s">
        <v>#N/A N/A</v>
        <stp/>
        <stp>BDP|6785341737644016395</stp>
        <tr r="J235" s="2"/>
      </tp>
      <tp t="s">
        <v>#N/A N/A</v>
        <stp/>
        <stp>BDP|7232767635377983554</stp>
        <tr r="O331" s="2"/>
      </tp>
      <tp t="s">
        <v>#N/A N/A</v>
        <stp/>
        <stp>BDP|7306429238148120951</stp>
        <tr r="P1280" s="2"/>
      </tp>
      <tp t="s">
        <v>#N/A N/A</v>
        <stp/>
        <stp>BDP|4035847488167469258</stp>
        <tr r="S977" s="2"/>
      </tp>
      <tp t="s">
        <v>#N/A N/A</v>
        <stp/>
        <stp>BDP|9588940440040970554</stp>
        <tr r="E389" s="2"/>
      </tp>
      <tp t="s">
        <v>#N/A N/A</v>
        <stp/>
        <stp>BDP|9905113495904438442</stp>
        <tr r="N1397" s="2"/>
      </tp>
      <tp t="s">
        <v>#N/A N/A</v>
        <stp/>
        <stp>BDP|3699454613495822251</stp>
        <tr r="T735" s="2"/>
      </tp>
      <tp t="s">
        <v>#N/A N/A</v>
        <stp/>
        <stp>BDP|9142066562046994811</stp>
        <tr r="G1038" s="2"/>
      </tp>
      <tp t="s">
        <v>#N/A N/A</v>
        <stp/>
        <stp>BDP|4992222481176541924</stp>
        <tr r="M305" s="2"/>
      </tp>
      <tp t="s">
        <v>#N/A N/A</v>
        <stp/>
        <stp>BDP|6478002748852967181</stp>
        <tr r="O683" s="2"/>
      </tp>
      <tp t="s">
        <v>#N/A N/A</v>
        <stp/>
        <stp>BDP|6944474753264481247</stp>
        <tr r="R1072" s="2"/>
      </tp>
      <tp t="s">
        <v>#N/A N/A</v>
        <stp/>
        <stp>BDS|2330236437882828021</stp>
        <tr r="I1405" s="2"/>
      </tp>
      <tp t="s">
        <v>#N/A N/A</v>
        <stp/>
        <stp>BDP|2393132047630835622</stp>
        <tr r="D1125" s="2"/>
      </tp>
      <tp t="s">
        <v>#N/A N/A</v>
        <stp/>
        <stp>BDP|5277127829763326479</stp>
        <tr r="T1728" s="2"/>
      </tp>
      <tp t="s">
        <v>#N/A N/A</v>
        <stp/>
        <stp>BDP|7951466707946518407</stp>
        <tr r="G319" s="2"/>
      </tp>
      <tp t="s">
        <v>#N/A N/A</v>
        <stp/>
        <stp>BDP|6442534938337383617</stp>
        <tr r="J993" s="2"/>
      </tp>
      <tp t="s">
        <v>#N/A N/A</v>
        <stp/>
        <stp>BDP|7776442398629452229</stp>
        <tr r="J197" s="2"/>
      </tp>
      <tp t="s">
        <v>#N/A N/A</v>
        <stp/>
        <stp>BDP|2841501603801271745</stp>
        <tr r="P582" s="2"/>
      </tp>
      <tp t="s">
        <v>#N/A N/A</v>
        <stp/>
        <stp>BDP|5838371244842458120</stp>
        <tr r="A1457" s="2"/>
      </tp>
      <tp t="s">
        <v>#N/A N/A</v>
        <stp/>
        <stp>BDP|9684921545111936454</stp>
        <tr r="D658" s="2"/>
      </tp>
      <tp t="s">
        <v>#N/A N/A</v>
        <stp/>
        <stp>BDP|2014226263323533498</stp>
        <tr r="K1051" s="2"/>
      </tp>
      <tp t="s">
        <v>#N/A N/A</v>
        <stp/>
        <stp>BDS|7497162883647989859</stp>
        <tr r="I453" s="2"/>
      </tp>
      <tp t="s">
        <v>#N/A N/A</v>
        <stp/>
        <stp>BDP|9467799487110041775</stp>
        <tr r="H1506" s="2"/>
      </tp>
      <tp t="s">
        <v>#N/A N/A</v>
        <stp/>
        <stp>BDP|1286544003632030787</stp>
        <tr r="T1541" s="2"/>
      </tp>
      <tp t="s">
        <v>#N/A N/A</v>
        <stp/>
        <stp>BDP|7404719162450306793</stp>
        <tr r="S844" s="2"/>
      </tp>
      <tp t="s">
        <v>#N/A N/A</v>
        <stp/>
        <stp>BDP|8094093600759631020</stp>
        <tr r="F351" s="2"/>
      </tp>
      <tp t="s">
        <v>#N/A N/A</v>
        <stp/>
        <stp>BDP|4527243224437127299</stp>
        <tr r="D1287" s="2"/>
      </tp>
      <tp t="s">
        <v>#N/A N/A</v>
        <stp/>
        <stp>BDP|8526989775676009153</stp>
        <tr r="M681" s="2"/>
      </tp>
      <tp t="s">
        <v>#N/A N/A</v>
        <stp/>
        <stp>BDP|5072614831674929546</stp>
        <tr r="S414" s="2"/>
      </tp>
      <tp t="s">
        <v>#N/A N/A</v>
        <stp/>
        <stp>BDP|8467300295681539292</stp>
        <tr r="C494" s="2"/>
      </tp>
      <tp t="s">
        <v>#N/A N/A</v>
        <stp/>
        <stp>BDP|8695259224560307995</stp>
        <tr r="G53" s="2"/>
      </tp>
      <tp t="s">
        <v>#N/A N/A</v>
        <stp/>
        <stp>BDP|5047380758425412791</stp>
        <tr r="E1355" s="2"/>
      </tp>
      <tp t="s">
        <v>#N/A N/A</v>
        <stp/>
        <stp>BDP|6217649435803862166</stp>
        <tr r="N703" s="2"/>
      </tp>
      <tp t="s">
        <v>#N/A N/A</v>
        <stp/>
        <stp>BDP|2339773879422170113</stp>
        <tr r="D1458" s="2"/>
      </tp>
      <tp t="s">
        <v>#N/A N/A</v>
        <stp/>
        <stp>BDP|6144285909147441294</stp>
        <tr r="A938" s="2"/>
      </tp>
      <tp t="s">
        <v>#N/A N/A</v>
        <stp/>
        <stp>BDP|2231044447634543396</stp>
        <tr r="F88" s="2"/>
      </tp>
      <tp t="s">
        <v>#N/A N/A</v>
        <stp/>
        <stp>BDP|9667023039538566355</stp>
        <tr r="G1180" s="2"/>
      </tp>
      <tp t="s">
        <v>#N/A N/A</v>
        <stp/>
        <stp>BDP|6813534085689153325</stp>
        <tr r="M1129" s="2"/>
      </tp>
      <tp t="s">
        <v>#N/A N/A</v>
        <stp/>
        <stp>BDP|3493306228026149508</stp>
        <tr r="F1709" s="2"/>
      </tp>
      <tp t="s">
        <v>#N/A N/A</v>
        <stp/>
        <stp>BDP|4388624251224892254</stp>
        <tr r="E1197" s="2"/>
      </tp>
      <tp t="s">
        <v>#N/A N/A</v>
        <stp/>
        <stp>BDS|4934534494939479079</stp>
        <tr r="I1689" s="2"/>
      </tp>
      <tp t="s">
        <v>#N/A N/A</v>
        <stp/>
        <stp>BDP|6177715140267540386</stp>
        <tr r="P1124" s="2"/>
      </tp>
      <tp t="s">
        <v>#N/A N/A</v>
        <stp/>
        <stp>BDP|2587458668000343166</stp>
        <tr r="M132" s="2"/>
      </tp>
      <tp t="s">
        <v>#N/A N/A</v>
        <stp/>
        <stp>BDP|6370678718716435659</stp>
        <tr r="P1295" s="2"/>
      </tp>
      <tp t="s">
        <v>#N/A N/A</v>
        <stp/>
        <stp>BDP|2280117067885864113</stp>
        <tr r="S1587" s="2"/>
      </tp>
      <tp t="s">
        <v>#N/A N/A</v>
        <stp/>
        <stp>BDP|7552036464315919563</stp>
        <tr r="R557" s="2"/>
      </tp>
      <tp t="s">
        <v>#N/A N/A</v>
        <stp/>
        <stp>BDP|9142773607548468786</stp>
        <tr r="S1391" s="2"/>
      </tp>
      <tp t="s">
        <v>#N/A N/A</v>
        <stp/>
        <stp>BDP|5918331610460051673</stp>
        <tr r="O1162" s="2"/>
      </tp>
      <tp t="s">
        <v>#N/A N/A</v>
        <stp/>
        <stp>BDP|5545254027574257085</stp>
        <tr r="K1448" s="2"/>
      </tp>
      <tp t="s">
        <v>#N/A N/A</v>
        <stp/>
        <stp>BDP|4491078831260949662</stp>
        <tr r="J207" s="2"/>
      </tp>
      <tp t="s">
        <v>#N/A N/A</v>
        <stp/>
        <stp>BDP|3876093042951710799</stp>
        <tr r="E519" s="2"/>
      </tp>
      <tp t="s">
        <v>#N/A N/A</v>
        <stp/>
        <stp>BDP|5350090735575323217</stp>
        <tr r="H1727" s="2"/>
      </tp>
      <tp t="s">
        <v>#N/A N/A</v>
        <stp/>
        <stp>BDP|4010604809045398678</stp>
        <tr r="F995" s="2"/>
      </tp>
      <tp t="s">
        <v>#N/A N/A</v>
        <stp/>
        <stp>BDP|9568294987860285246</stp>
        <tr r="D865" s="2"/>
      </tp>
      <tp t="s">
        <v>#N/A N/A</v>
        <stp/>
        <stp>BDP|7153760107741950041</stp>
        <tr r="K1293" s="2"/>
      </tp>
      <tp t="s">
        <v>#N/A N/A</v>
        <stp/>
        <stp>BDP|8942263431209466175</stp>
        <tr r="S110" s="2"/>
      </tp>
      <tp t="s">
        <v>#N/A N/A</v>
        <stp/>
        <stp>BDP|1661967352348894482</stp>
        <tr r="D721" s="2"/>
      </tp>
      <tp t="s">
        <v>#N/A N/A</v>
        <stp/>
        <stp>BDP|1402469130177099008</stp>
        <tr r="C153" s="2"/>
      </tp>
      <tp t="s">
        <v>#N/A N/A</v>
        <stp/>
        <stp>BDP|7582060215185097249</stp>
        <tr r="K900" s="2"/>
      </tp>
      <tp t="s">
        <v>#N/A N/A</v>
        <stp/>
        <stp>BDP|6464358507685451104</stp>
        <tr r="M1639" s="2"/>
      </tp>
      <tp t="s">
        <v>#N/A N/A</v>
        <stp/>
        <stp>BDP|4146845920937716800</stp>
        <tr r="Q771" s="2"/>
      </tp>
      <tp t="s">
        <v>#N/A N/A</v>
        <stp/>
        <stp>BDP|9716010497822523363</stp>
        <tr r="D618" s="2"/>
      </tp>
      <tp t="s">
        <v>#N/A N/A</v>
        <stp/>
        <stp>BDP|4049123142566521678</stp>
        <tr r="A318" s="2"/>
      </tp>
      <tp t="s">
        <v>#N/A N/A</v>
        <stp/>
        <stp>BDP|8615202885970945386</stp>
        <tr r="R1736" s="2"/>
      </tp>
      <tp t="s">
        <v>#N/A N/A</v>
        <stp/>
        <stp>BDS|2584352258136909333</stp>
        <tr r="I1373" s="2"/>
      </tp>
      <tp t="s">
        <v>#N/A N/A</v>
        <stp/>
        <stp>BDP|1879491638767997023</stp>
        <tr r="R705" s="2"/>
      </tp>
      <tp t="s">
        <v>#N/A N/A</v>
        <stp/>
        <stp>BDP|9595109441894619903</stp>
        <tr r="S12" s="2"/>
      </tp>
      <tp t="s">
        <v>#N/A N/A</v>
        <stp/>
        <stp>BDS|8077321767419420539</stp>
        <tr r="I142" s="2"/>
      </tp>
      <tp t="s">
        <v>#N/A N/A</v>
        <stp/>
        <stp>BDS|8707708290446433116</stp>
        <tr r="I377" s="2"/>
      </tp>
      <tp t="s">
        <v>#N/A N/A</v>
        <stp/>
        <stp>BDP|1484571460394193709</stp>
        <tr r="F677" s="2"/>
      </tp>
      <tp t="s">
        <v>#N/A N/A</v>
        <stp/>
        <stp>BDP|4319629417604578614</stp>
        <tr r="O930" s="2"/>
      </tp>
      <tp t="s">
        <v>#N/A N/A</v>
        <stp/>
        <stp>BDP|8061518891404714156</stp>
        <tr r="P1385" s="2"/>
      </tp>
      <tp t="s">
        <v>#N/A N/A</v>
        <stp/>
        <stp>BDP|6757881228248423518</stp>
        <tr r="P1600" s="2"/>
      </tp>
      <tp t="s">
        <v>#N/A N/A</v>
        <stp/>
        <stp>BDP|9011968768943850449</stp>
        <tr r="S1280" s="2"/>
      </tp>
      <tp t="s">
        <v>#N/A N/A</v>
        <stp/>
        <stp>BDS|9510273687652790002</stp>
        <tr r="I364" s="2"/>
      </tp>
      <tp t="s">
        <v>#N/A N/A</v>
        <stp/>
        <stp>BDP|9811952674185281396</stp>
        <tr r="P1167" s="2"/>
      </tp>
      <tp t="s">
        <v>#N/A N/A</v>
        <stp/>
        <stp>BDP|5315178796658862486</stp>
        <tr r="E1519" s="2"/>
      </tp>
      <tp t="s">
        <v>#N/A N/A</v>
        <stp/>
        <stp>BDP|6768778203341803192</stp>
        <tr r="C952" s="2"/>
      </tp>
      <tp t="s">
        <v>#N/A N/A</v>
        <stp/>
        <stp>BDP|7419210575000265308</stp>
        <tr r="G1275" s="2"/>
      </tp>
      <tp t="s">
        <v>#N/A N/A</v>
        <stp/>
        <stp>BDP|5652428934996789553</stp>
        <tr r="S1106" s="2"/>
      </tp>
      <tp t="s">
        <v>#N/A N/A</v>
        <stp/>
        <stp>BDS|2075254728176990566</stp>
        <tr r="I1686" s="2"/>
      </tp>
      <tp t="s">
        <v>#N/A N/A</v>
        <stp/>
        <stp>BDP|1380632240642726050</stp>
        <tr r="T1543" s="2"/>
      </tp>
      <tp t="s">
        <v>#N/A N/A</v>
        <stp/>
        <stp>BDP|5182154180125150876</stp>
        <tr r="C1083" s="2"/>
      </tp>
      <tp t="s">
        <v>#N/A N/A</v>
        <stp/>
        <stp>BDP|7812293179857905434</stp>
        <tr r="F113" s="2"/>
      </tp>
      <tp t="s">
        <v>#N/A N/A</v>
        <stp/>
        <stp>BDP|6894998310097062839</stp>
        <tr r="G233" s="2"/>
      </tp>
      <tp t="s">
        <v>#N/A N/A</v>
        <stp/>
        <stp>BDP|6141111814721396655</stp>
        <tr r="N96" s="2"/>
      </tp>
      <tp t="s">
        <v>#N/A N/A</v>
        <stp/>
        <stp>BDP|5061501582359420047</stp>
        <tr r="C1213" s="2"/>
      </tp>
      <tp t="s">
        <v>#N/A N/A</v>
        <stp/>
        <stp>BDP|6445838776808230016</stp>
        <tr r="K1724" s="2"/>
      </tp>
      <tp t="s">
        <v>#N/A N/A</v>
        <stp/>
        <stp>BDP|6309187458593357026</stp>
        <tr r="F15" s="2"/>
      </tp>
      <tp t="s">
        <v>#N/A N/A</v>
        <stp/>
        <stp>BDP|5896168458299746936</stp>
        <tr r="F931" s="2"/>
      </tp>
      <tp t="s">
        <v>#N/A N/A</v>
        <stp/>
        <stp>BDS|8041221834318432007</stp>
        <tr r="I1648" s="2"/>
      </tp>
      <tp t="s">
        <v>#N/A N/A</v>
        <stp/>
        <stp>BDP|8432144430009762251</stp>
        <tr r="N1169" s="2"/>
      </tp>
      <tp t="s">
        <v>#N/A N/A</v>
        <stp/>
        <stp>BDP|8304721273358742176</stp>
        <tr r="E623" s="2"/>
      </tp>
      <tp t="s">
        <v>#N/A N/A</v>
        <stp/>
        <stp>BDP|6936722344394516083</stp>
        <tr r="F758" s="2"/>
      </tp>
      <tp t="s">
        <v>#N/A N/A</v>
        <stp/>
        <stp>BDP|3406118869682998774</stp>
        <tr r="O24" s="2"/>
      </tp>
      <tp t="s">
        <v>#N/A N/A</v>
        <stp/>
        <stp>BDP|9180121596929109963</stp>
        <tr r="J983" s="2"/>
      </tp>
      <tp t="s">
        <v>#N/A N/A</v>
        <stp/>
        <stp>BDP|3597262111765775479</stp>
        <tr r="P640" s="2"/>
      </tp>
      <tp t="s">
        <v>#N/A N/A</v>
        <stp/>
        <stp>BDP|5542161067570670305</stp>
        <tr r="K1141" s="2"/>
      </tp>
      <tp t="s">
        <v>#N/A N/A</v>
        <stp/>
        <stp>BDP|6359145075136677764</stp>
        <tr r="Q216" s="2"/>
      </tp>
      <tp t="s">
        <v>#N/A N/A</v>
        <stp/>
        <stp>BDP|8759272679904252899</stp>
        <tr r="K1282" s="2"/>
      </tp>
      <tp t="s">
        <v>#N/A N/A</v>
        <stp/>
        <stp>BDP|2312872198325659787</stp>
        <tr r="C703" s="2"/>
      </tp>
      <tp t="s">
        <v>#N/A N/A</v>
        <stp/>
        <stp>BDP|8005596679738639340</stp>
        <tr r="E533" s="2"/>
      </tp>
      <tp t="s">
        <v>#N/A N/A</v>
        <stp/>
        <stp>BDP|1482498718010624517</stp>
        <tr r="N918" s="2"/>
      </tp>
      <tp t="s">
        <v>#N/A N/A</v>
        <stp/>
        <stp>BDP|4110138246840226046</stp>
        <tr r="J1537" s="2"/>
      </tp>
      <tp t="s">
        <v>#N/A N/A</v>
        <stp/>
        <stp>BDP|5945426003727897729</stp>
        <tr r="H150" s="2"/>
      </tp>
      <tp t="s">
        <v>#N/A N/A</v>
        <stp/>
        <stp>BDP|6350036172603782378</stp>
        <tr r="F1284" s="2"/>
      </tp>
      <tp t="s">
        <v>#N/A N/A</v>
        <stp/>
        <stp>BDP|6408657524172525121</stp>
        <tr r="E1505" s="2"/>
      </tp>
      <tp t="s">
        <v>#N/A N/A</v>
        <stp/>
        <stp>BDP|1550403294735619855</stp>
        <tr r="T1528" s="2"/>
      </tp>
      <tp t="s">
        <v>#N/A N/A</v>
        <stp/>
        <stp>BDP|1080756890317490931</stp>
        <tr r="M872" s="2"/>
      </tp>
      <tp t="s">
        <v>#N/A N/A</v>
        <stp/>
        <stp>BDP|5535695149380156665</stp>
        <tr r="D1583" s="2"/>
      </tp>
      <tp t="s">
        <v>#N/A N/A</v>
        <stp/>
        <stp>BDP|4025304471225205410</stp>
        <tr r="T369" s="2"/>
      </tp>
      <tp t="s">
        <v>#N/A N/A</v>
        <stp/>
        <stp>BDP|3258377477026979091</stp>
        <tr r="K1652" s="2"/>
      </tp>
      <tp t="s">
        <v>#N/A N/A</v>
        <stp/>
        <stp>BDP|5062693146177559185</stp>
        <tr r="R1635" s="2"/>
      </tp>
      <tp t="s">
        <v>#N/A N/A</v>
        <stp/>
        <stp>BDP|3247487373788835933</stp>
        <tr r="D588" s="2"/>
      </tp>
      <tp t="s">
        <v>#N/A N/A</v>
        <stp/>
        <stp>BDP|2719677333681143703</stp>
        <tr r="F1551" s="2"/>
      </tp>
      <tp t="s">
        <v>#N/A N/A</v>
        <stp/>
        <stp>BDP|3199166302414351749</stp>
        <tr r="N1563" s="2"/>
      </tp>
      <tp t="s">
        <v>#N/A N/A</v>
        <stp/>
        <stp>BDP|5474478644720690437</stp>
        <tr r="Q756" s="2"/>
      </tp>
      <tp t="s">
        <v>#N/A N/A</v>
        <stp/>
        <stp>BDP|4291672958946911065</stp>
        <tr r="F797" s="2"/>
      </tp>
      <tp t="s">
        <v>#N/A N/A</v>
        <stp/>
        <stp>BDP|4093404202106039709</stp>
        <tr r="C1563" s="2"/>
      </tp>
      <tp t="s">
        <v>#N/A N/A</v>
        <stp/>
        <stp>BDP|2694774902501087516</stp>
        <tr r="R453" s="2"/>
      </tp>
      <tp t="s">
        <v>#N/A N/A</v>
        <stp/>
        <stp>BDP|9400325586973612054</stp>
        <tr r="D93" s="2"/>
      </tp>
      <tp t="s">
        <v>#N/A N/A</v>
        <stp/>
        <stp>BDP|9894723086856823179</stp>
        <tr r="E90" s="2"/>
      </tp>
      <tp t="s">
        <v>#N/A N/A</v>
        <stp/>
        <stp>BDP|7353368862620477305</stp>
        <tr r="A492" s="2"/>
      </tp>
      <tp t="s">
        <v>#N/A N/A</v>
        <stp/>
        <stp>BDP|6354225362507698465</stp>
        <tr r="J25" s="2"/>
      </tp>
      <tp t="s">
        <v>#N/A N/A</v>
        <stp/>
        <stp>BDP|5242015014323438608</stp>
        <tr r="K770" s="2"/>
      </tp>
      <tp t="s">
        <v>#N/A N/A</v>
        <stp/>
        <stp>BDP|7998583520713006224</stp>
        <tr r="Q627" s="2"/>
      </tp>
      <tp t="s">
        <v>#N/A N/A</v>
        <stp/>
        <stp>BDP|9223152086323486263</stp>
        <tr r="H822" s="2"/>
      </tp>
      <tp t="s">
        <v>#N/A N/A</v>
        <stp/>
        <stp>BDP|7196446387799211331</stp>
        <tr r="P1163" s="2"/>
      </tp>
      <tp t="s">
        <v>#N/A N/A</v>
        <stp/>
        <stp>BDP|1555529957340267011</stp>
        <tr r="T259" s="2"/>
      </tp>
      <tp t="s">
        <v>#N/A N/A</v>
        <stp/>
        <stp>BDP|8442652790441199733</stp>
        <tr r="J385" s="2"/>
      </tp>
      <tp t="s">
        <v>#N/A N/A</v>
        <stp/>
        <stp>BDP|6722205360653490003</stp>
        <tr r="N1506" s="2"/>
      </tp>
      <tp t="s">
        <v>#N/A N/A</v>
        <stp/>
        <stp>BDP|8014685443123870809</stp>
        <tr r="O829" s="2"/>
      </tp>
      <tp t="s">
        <v>#N/A N/A</v>
        <stp/>
        <stp>BDP|6480322343633279340</stp>
        <tr r="T512" s="2"/>
      </tp>
      <tp t="s">
        <v>#N/A N/A</v>
        <stp/>
        <stp>BDP|2650359727217513525</stp>
        <tr r="P1540" s="2"/>
      </tp>
      <tp t="s">
        <v>#N/A N/A</v>
        <stp/>
        <stp>BDP|1296722293696551852</stp>
        <tr r="N1155" s="2"/>
      </tp>
      <tp t="s">
        <v>#N/A N/A</v>
        <stp/>
        <stp>BDP|3879976083203917068</stp>
        <tr r="T441" s="2"/>
      </tp>
      <tp t="s">
        <v>#N/A N/A</v>
        <stp/>
        <stp>BDP|2657105845574472248</stp>
        <tr r="M983" s="2"/>
      </tp>
      <tp t="s">
        <v>#N/A N/A</v>
        <stp/>
        <stp>BDP|5568037762391081377</stp>
        <tr r="A431" s="2"/>
      </tp>
      <tp t="s">
        <v>#N/A N/A</v>
        <stp/>
        <stp>BDP|4207337702245184310</stp>
        <tr r="D665" s="2"/>
      </tp>
      <tp t="s">
        <v>#N/A N/A</v>
        <stp/>
        <stp>BDP|4264229390799621757</stp>
        <tr r="E1454" s="2"/>
      </tp>
      <tp t="s">
        <v>#N/A N/A</v>
        <stp/>
        <stp>BDP|4356109275083493018</stp>
        <tr r="J576" s="2"/>
      </tp>
      <tp t="s">
        <v>#N/A N/A</v>
        <stp/>
        <stp>BDP|4082625571580446441</stp>
        <tr r="E621" s="2"/>
      </tp>
      <tp t="s">
        <v>#N/A N/A</v>
        <stp/>
        <stp>BDP|3922235509189585953</stp>
        <tr r="G476" s="2"/>
      </tp>
      <tp t="s">
        <v>#N/A N/A</v>
        <stp/>
        <stp>BDP|2986244204447874623</stp>
        <tr r="P368" s="2"/>
      </tp>
      <tp t="s">
        <v>#N/A N/A</v>
        <stp/>
        <stp>BDP|1207729525762131771</stp>
        <tr r="P1669" s="2"/>
      </tp>
      <tp t="s">
        <v>#N/A N/A</v>
        <stp/>
        <stp>BDP|1773032915994322512</stp>
        <tr r="C640" s="2"/>
      </tp>
      <tp t="s">
        <v>#N/A N/A</v>
        <stp/>
        <stp>BDP|1493834881566621636</stp>
        <tr r="N372" s="2"/>
      </tp>
      <tp t="s">
        <v>#N/A N/A</v>
        <stp/>
        <stp>BDP|4144325189787093993</stp>
        <tr r="O1432" s="2"/>
      </tp>
      <tp t="s">
        <v>#N/A N/A</v>
        <stp/>
        <stp>BDP|5315167891174534828</stp>
        <tr r="P43" s="2"/>
      </tp>
      <tp t="s">
        <v>#N/A N/A</v>
        <stp/>
        <stp>BDP|7471511913932322061</stp>
        <tr r="G499" s="2"/>
      </tp>
      <tp t="s">
        <v>#N/A N/A</v>
        <stp/>
        <stp>BDS|2050558838746909376</stp>
        <tr r="I23" s="2"/>
      </tp>
      <tp t="s">
        <v>#N/A N/A</v>
        <stp/>
        <stp>BDP|3247421026716690234</stp>
        <tr r="K1543" s="2"/>
      </tp>
      <tp t="s">
        <v>#N/A N/A</v>
        <stp/>
        <stp>BDP|5003004633531176619</stp>
        <tr r="M1437" s="2"/>
      </tp>
      <tp t="s">
        <v>#N/A N/A</v>
        <stp/>
        <stp>BDP|4086861062913798806</stp>
        <tr r="F982" s="2"/>
      </tp>
      <tp t="s">
        <v>#N/A N/A</v>
        <stp/>
        <stp>BDP|1112318805475416623</stp>
        <tr r="K35" s="2"/>
      </tp>
      <tp t="s">
        <v>#N/A N/A</v>
        <stp/>
        <stp>BDP|1744139260962024578</stp>
        <tr r="J834" s="2"/>
      </tp>
      <tp t="s">
        <v>#N/A N/A</v>
        <stp/>
        <stp>BDS|3428721900265041058</stp>
        <tr r="I1079" s="2"/>
      </tp>
      <tp t="s">
        <v>#N/A N/A</v>
        <stp/>
        <stp>BDP|9102812017231724033</stp>
        <tr r="S1730" s="2"/>
      </tp>
      <tp t="s">
        <v>#N/A N/A</v>
        <stp/>
        <stp>BDS|7232354066246663541</stp>
        <tr r="I233" s="2"/>
      </tp>
      <tp t="s">
        <v>#N/A N/A</v>
        <stp/>
        <stp>BDP|1154808351839113425</stp>
        <tr r="P1504" s="2"/>
      </tp>
      <tp t="s">
        <v>#N/A N/A</v>
        <stp/>
        <stp>BDP|6015180404085955365</stp>
        <tr r="E1483" s="2"/>
      </tp>
      <tp t="s">
        <v>#N/A N/A</v>
        <stp/>
        <stp>BDP|7746751004783675234</stp>
        <tr r="N440" s="2"/>
      </tp>
      <tp t="s">
        <v>#N/A N/A</v>
        <stp/>
        <stp>BDP|6644696164542937514</stp>
        <tr r="S713" s="2"/>
      </tp>
      <tp t="s">
        <v>#N/A N/A</v>
        <stp/>
        <stp>BDP|2141247619403946363</stp>
        <tr r="Q1098" s="2"/>
      </tp>
      <tp t="s">
        <v>#N/A N/A</v>
        <stp/>
        <stp>BDP|9619024811469564037</stp>
        <tr r="C1695" s="2"/>
      </tp>
      <tp t="s">
        <v>#N/A N/A</v>
        <stp/>
        <stp>BDP|2063780302647058395</stp>
        <tr r="F1051" s="2"/>
      </tp>
      <tp t="s">
        <v>#N/A N/A</v>
        <stp/>
        <stp>BDP|1465078361117869199</stp>
        <tr r="E669" s="2"/>
      </tp>
      <tp t="s">
        <v>#N/A N/A</v>
        <stp/>
        <stp>BDP|3798168260834600149</stp>
        <tr r="S336" s="2"/>
      </tp>
      <tp t="s">
        <v>#N/A N/A</v>
        <stp/>
        <stp>BDP|7403114607000243733</stp>
        <tr r="D207" s="2"/>
      </tp>
      <tp t="s">
        <v>#N/A N/A</v>
        <stp/>
        <stp>BDP|3447254447173601733</stp>
        <tr r="A1653" s="2"/>
      </tp>
      <tp t="s">
        <v>#N/A N/A</v>
        <stp/>
        <stp>BDP|6204104932460048536</stp>
        <tr r="K980" s="2"/>
      </tp>
      <tp t="s">
        <v>#N/A N/A</v>
        <stp/>
        <stp>BDP|3710171248491243692</stp>
        <tr r="P572" s="2"/>
      </tp>
      <tp t="s">
        <v>#N/A N/A</v>
        <stp/>
        <stp>BDP|5672526212091703123</stp>
        <tr r="T282" s="2"/>
      </tp>
      <tp t="s">
        <v>#N/A N/A</v>
        <stp/>
        <stp>BDP|3476705726355251231</stp>
        <tr r="R210" s="2"/>
      </tp>
      <tp t="s">
        <v>#N/A N/A</v>
        <stp/>
        <stp>BDP|2866760039383630423</stp>
        <tr r="H470" s="2"/>
      </tp>
      <tp t="s">
        <v>#N/A N/A</v>
        <stp/>
        <stp>BDP|7908283296385438806</stp>
        <tr r="A755" s="2"/>
      </tp>
      <tp t="s">
        <v>#N/A N/A</v>
        <stp/>
        <stp>BDP|3513382910334772492</stp>
        <tr r="A1279" s="2"/>
      </tp>
      <tp t="s">
        <v>#N/A N/A</v>
        <stp/>
        <stp>BDP|7501153234436714202</stp>
        <tr r="E1006" s="2"/>
      </tp>
      <tp t="s">
        <v>#N/A N/A</v>
        <stp/>
        <stp>BDP|8736265461184632950</stp>
        <tr r="F295" s="2"/>
      </tp>
      <tp t="s">
        <v>#N/A N/A</v>
        <stp/>
        <stp>BDP|2203000044946497117</stp>
        <tr r="S1627" s="2"/>
      </tp>
      <tp t="s">
        <v>#N/A N/A</v>
        <stp/>
        <stp>BDP|2531238279957834146</stp>
        <tr r="N1185" s="2"/>
      </tp>
      <tp t="s">
        <v>#N/A N/A</v>
        <stp/>
        <stp>BDP|7184539826439340846</stp>
        <tr r="N1229" s="2"/>
      </tp>
      <tp t="s">
        <v>#N/A N/A</v>
        <stp/>
        <stp>BDP|4645272467780562100</stp>
        <tr r="O601" s="2"/>
      </tp>
      <tp t="s">
        <v>#N/A N/A</v>
        <stp/>
        <stp>BDP|5191140201963330645</stp>
        <tr r="D1092" s="2"/>
      </tp>
      <tp t="s">
        <v>#N/A N/A</v>
        <stp/>
        <stp>BDP|3367503076509515937</stp>
        <tr r="C329" s="2"/>
      </tp>
      <tp t="s">
        <v>#N/A N/A</v>
        <stp/>
        <stp>BDP|3180256906390128009</stp>
        <tr r="J1241" s="2"/>
      </tp>
      <tp t="s">
        <v>#N/A N/A</v>
        <stp/>
        <stp>BDP|2489238504312344331</stp>
        <tr r="D714" s="2"/>
      </tp>
      <tp t="s">
        <v>#N/A N/A</v>
        <stp/>
        <stp>BDP|4885188733301669663</stp>
        <tr r="E93" s="2"/>
      </tp>
      <tp t="s">
        <v>#N/A N/A</v>
        <stp/>
        <stp>BDP|2618188968620757413</stp>
        <tr r="Q393" s="2"/>
      </tp>
      <tp t="s">
        <v>#N/A N/A</v>
        <stp/>
        <stp>BDP|9000041586035212509</stp>
        <tr r="N1396" s="2"/>
      </tp>
      <tp t="s">
        <v>#N/A N/A</v>
        <stp/>
        <stp>BDS|1335840191812242345</stp>
        <tr r="I423" s="2"/>
      </tp>
      <tp t="s">
        <v>#N/A N/A</v>
        <stp/>
        <stp>BDP|2472697437216237088</stp>
        <tr r="R726" s="2"/>
      </tp>
      <tp t="s">
        <v>#N/A N/A</v>
        <stp/>
        <stp>BDP|7034511757175634309</stp>
        <tr r="H522" s="2"/>
      </tp>
      <tp t="s">
        <v>#N/A N/A</v>
        <stp/>
        <stp>BDP|3774770206981141473</stp>
        <tr r="F218" s="2"/>
      </tp>
      <tp t="s">
        <v>#N/A N/A</v>
        <stp/>
        <stp>BDP|1547102683000284946</stp>
        <tr r="C1088" s="2"/>
      </tp>
      <tp t="s">
        <v>#N/A N/A</v>
        <stp/>
        <stp>BDS|3053476763527251768</stp>
        <tr r="I307" s="2"/>
      </tp>
      <tp t="s">
        <v>#N/A N/A</v>
        <stp/>
        <stp>BDP|1830174559973732715</stp>
        <tr r="H1529" s="2"/>
      </tp>
      <tp t="s">
        <v>#N/A N/A</v>
        <stp/>
        <stp>BDS|5832025715446808379</stp>
        <tr r="I1561" s="2"/>
      </tp>
      <tp t="s">
        <v>#N/A N/A</v>
        <stp/>
        <stp>BDP|3894860098501740213</stp>
        <tr r="R859" s="2"/>
      </tp>
      <tp t="s">
        <v>#N/A N/A</v>
        <stp/>
        <stp>BDP|4605440450720441468</stp>
        <tr r="D318" s="2"/>
      </tp>
      <tp t="s">
        <v>#N/A N/A</v>
        <stp/>
        <stp>BDP|4950537129033517169</stp>
        <tr r="D274" s="2"/>
      </tp>
      <tp t="s">
        <v>#N/A N/A</v>
        <stp/>
        <stp>BDP|2024989080101069386</stp>
        <tr r="F1098" s="2"/>
      </tp>
      <tp t="s">
        <v>#N/A N/A</v>
        <stp/>
        <stp>BDP|4506158436211524635</stp>
        <tr r="J1319" s="2"/>
      </tp>
      <tp t="s">
        <v>#N/A N/A</v>
        <stp/>
        <stp>BDS|4122625006966395569</stp>
        <tr r="I464" s="2"/>
      </tp>
      <tp t="s">
        <v>#N/A N/A</v>
        <stp/>
        <stp>BDP|9556606980643117549</stp>
        <tr r="G888" s="2"/>
      </tp>
      <tp t="s">
        <v>#N/A N/A</v>
        <stp/>
        <stp>BDP|6111416956722295444</stp>
        <tr r="O477" s="2"/>
      </tp>
      <tp t="s">
        <v>#N/A N/A</v>
        <stp/>
        <stp>BDP|1047517826017297057</stp>
        <tr r="J1089" s="2"/>
      </tp>
      <tp t="s">
        <v>#N/A N/A</v>
        <stp/>
        <stp>BDP|9019078696523336222</stp>
        <tr r="T546" s="2"/>
      </tp>
      <tp t="s">
        <v>#N/A N/A</v>
        <stp/>
        <stp>BDP|2314045556545280335</stp>
        <tr r="D1025" s="2"/>
      </tp>
      <tp t="s">
        <v>#N/A N/A</v>
        <stp/>
        <stp>BDP|8219830968554100388</stp>
        <tr r="K1121" s="2"/>
      </tp>
      <tp t="s">
        <v>#N/A N/A</v>
        <stp/>
        <stp>BDP|5536323562455216479</stp>
        <tr r="O1367" s="2"/>
      </tp>
      <tp t="s">
        <v>#N/A N/A</v>
        <stp/>
        <stp>BDP|2686476776154705403</stp>
        <tr r="A564" s="2"/>
      </tp>
      <tp t="s">
        <v>#N/A N/A</v>
        <stp/>
        <stp>BDP|5283675902871197360</stp>
        <tr r="S719" s="2"/>
      </tp>
      <tp t="s">
        <v>#N/A N/A</v>
        <stp/>
        <stp>BDP|6296822329614822910</stp>
        <tr r="D1048" s="2"/>
      </tp>
      <tp t="s">
        <v>#N/A N/A</v>
        <stp/>
        <stp>BDP|9770043085932343256</stp>
        <tr r="Q316" s="2"/>
      </tp>
      <tp t="s">
        <v>#N/A N/A</v>
        <stp/>
        <stp>BDP|1516147004360481112</stp>
        <tr r="T671" s="2"/>
      </tp>
      <tp t="s">
        <v>#N/A N/A</v>
        <stp/>
        <stp>BDP|1199663488078906665</stp>
        <tr r="F209" s="2"/>
      </tp>
      <tp t="s">
        <v>#N/A N/A</v>
        <stp/>
        <stp>BDP|9728752373158792067</stp>
        <tr r="R688" s="2"/>
      </tp>
      <tp t="s">
        <v>#N/A N/A</v>
        <stp/>
        <stp>BDP|3985622316403929643</stp>
        <tr r="C1485" s="2"/>
      </tp>
      <tp t="s">
        <v>#N/A N/A</v>
        <stp/>
        <stp>BDP|8052779686302104401</stp>
        <tr r="D787" s="2"/>
      </tp>
      <tp t="s">
        <v>#N/A N/A</v>
        <stp/>
        <stp>BDP|4353766985968062202</stp>
        <tr r="R1724" s="2"/>
      </tp>
      <tp t="s">
        <v>#N/A N/A</v>
        <stp/>
        <stp>BDP|1718721248964414796</stp>
        <tr r="E1140" s="2"/>
      </tp>
      <tp t="s">
        <v>#N/A N/A</v>
        <stp/>
        <stp>BDP|8728191640888690483</stp>
        <tr r="M243" s="2"/>
      </tp>
      <tp t="s">
        <v>#N/A N/A</v>
        <stp/>
        <stp>BDP|7185266116672794760</stp>
        <tr r="D326" s="2"/>
      </tp>
      <tp t="s">
        <v>#N/A N/A</v>
        <stp/>
        <stp>BDP|9159530834426343854</stp>
        <tr r="R1602" s="2"/>
      </tp>
      <tp t="s">
        <v>#N/A N/A</v>
        <stp/>
        <stp>BDP|9290598176143995948</stp>
        <tr r="Q1195" s="2"/>
      </tp>
      <tp t="s">
        <v>#N/A N/A</v>
        <stp/>
        <stp>BDP|6479385494089177494</stp>
        <tr r="D116" s="2"/>
      </tp>
      <tp t="s">
        <v>#N/A N/A</v>
        <stp/>
        <stp>BDP|2032434018373348581</stp>
        <tr r="K1579" s="2"/>
      </tp>
      <tp t="s">
        <v>#N/A N/A</v>
        <stp/>
        <stp>BDP|4429309661023132349</stp>
        <tr r="O1577" s="2"/>
      </tp>
      <tp t="s">
        <v>#N/A N/A</v>
        <stp/>
        <stp>BDP|5688074147102692205</stp>
        <tr r="M119" s="2"/>
      </tp>
      <tp t="s">
        <v>#N/A N/A</v>
        <stp/>
        <stp>BDP|5387136302906331314</stp>
        <tr r="O935" s="2"/>
      </tp>
      <tp t="s">
        <v>#N/A N/A</v>
        <stp/>
        <stp>BDP|1502930069607742882</stp>
        <tr r="K1315" s="2"/>
      </tp>
      <tp t="s">
        <v>#N/A N/A</v>
        <stp/>
        <stp>BDP|5071736321674525575</stp>
        <tr r="S1547" s="2"/>
      </tp>
      <tp t="s">
        <v>#N/A N/A</v>
        <stp/>
        <stp>BDP|2676366525184679637</stp>
        <tr r="R32" s="2"/>
      </tp>
      <tp t="s">
        <v>#N/A N/A</v>
        <stp/>
        <stp>BDP|3077699376974670790</stp>
        <tr r="D937" s="2"/>
      </tp>
      <tp t="s">
        <v>#N/A N/A</v>
        <stp/>
        <stp>BDP|5484408135294950787</stp>
        <tr r="E1727" s="2"/>
      </tp>
      <tp t="s">
        <v>#N/A N/A</v>
        <stp/>
        <stp>BDP|2646651216043238776</stp>
        <tr r="Q977" s="2"/>
      </tp>
      <tp t="s">
        <v>#N/A N/A</v>
        <stp/>
        <stp>BDP|1878794021416263321</stp>
        <tr r="E327" s="2"/>
      </tp>
      <tp t="s">
        <v>#N/A N/A</v>
        <stp/>
        <stp>BDP|5804640514272970116</stp>
        <tr r="D458" s="2"/>
      </tp>
      <tp t="s">
        <v>#N/A N/A</v>
        <stp/>
        <stp>BDP|9390409694451164461</stp>
        <tr r="F65" s="2"/>
      </tp>
      <tp t="s">
        <v>#N/A N/A</v>
        <stp/>
        <stp>BDP|8756200792636732423</stp>
        <tr r="F679" s="2"/>
      </tp>
      <tp t="s">
        <v>#N/A N/A</v>
        <stp/>
        <stp>BDS|6391033230027291323</stp>
        <tr r="I1611" s="2"/>
      </tp>
      <tp t="s">
        <v>#N/A N/A</v>
        <stp/>
        <stp>BDS|2128910110542131914</stp>
        <tr r="I5" s="2"/>
      </tp>
      <tp t="s">
        <v>#N/A N/A</v>
        <stp/>
        <stp>BDS|5393153942127284663</stp>
        <tr r="I278" s="2"/>
      </tp>
      <tp t="s">
        <v>#N/A N/A</v>
        <stp/>
        <stp>BDP|7025445956105165233</stp>
        <tr r="N1515" s="2"/>
      </tp>
      <tp t="s">
        <v>#N/A N/A</v>
        <stp/>
        <stp>BDP|8088608525309087458</stp>
        <tr r="D229" s="2"/>
      </tp>
      <tp t="s">
        <v>#N/A N/A</v>
        <stp/>
        <stp>BDP|1165272576731458445</stp>
        <tr r="E948" s="2"/>
      </tp>
      <tp t="s">
        <v>#N/A N/A</v>
        <stp/>
        <stp>BDP|1157095340667156391</stp>
        <tr r="P388" s="2"/>
      </tp>
      <tp t="s">
        <v>#N/A N/A</v>
        <stp/>
        <stp>BDP|2633009287862972987</stp>
        <tr r="J1140" s="2"/>
      </tp>
      <tp t="s">
        <v>#N/A N/A</v>
        <stp/>
        <stp>BDP|6741773005239145943</stp>
        <tr r="K1160" s="2"/>
      </tp>
      <tp t="s">
        <v>#N/A N/A</v>
        <stp/>
        <stp>BDP|5264900536048674623</stp>
        <tr r="G683" s="2"/>
      </tp>
      <tp t="s">
        <v>#N/A N/A</v>
        <stp/>
        <stp>BDP|6351152212443016440</stp>
        <tr r="T129" s="2"/>
      </tp>
      <tp t="s">
        <v>#N/A N/A</v>
        <stp/>
        <stp>BDP|1694555851693386310</stp>
        <tr r="D150" s="2"/>
      </tp>
      <tp t="s">
        <v>#N/A N/A</v>
        <stp/>
        <stp>BDP|5013815362889585361</stp>
        <tr r="D1129" s="2"/>
      </tp>
      <tp t="s">
        <v>#N/A N/A</v>
        <stp/>
        <stp>BDP|3720471831646713360</stp>
        <tr r="R365" s="2"/>
      </tp>
      <tp t="s">
        <v>#N/A N/A</v>
        <stp/>
        <stp>BDP|3096415593317339818</stp>
        <tr r="S885" s="2"/>
      </tp>
      <tp t="s">
        <v>#N/A N/A</v>
        <stp/>
        <stp>BDP|5519360386558134743</stp>
        <tr r="A334" s="2"/>
      </tp>
      <tp t="s">
        <v>#N/A N/A</v>
        <stp/>
        <stp>BDP|6613341050216147731</stp>
        <tr r="Q1409" s="2"/>
      </tp>
      <tp t="s">
        <v>#N/A N/A</v>
        <stp/>
        <stp>BDP|1640250103953782172</stp>
        <tr r="Q139" s="2"/>
      </tp>
      <tp t="s">
        <v>#N/A N/A</v>
        <stp/>
        <stp>BDP|7746440375620050560</stp>
        <tr r="Q1346" s="2"/>
      </tp>
      <tp t="s">
        <v>#N/A N/A</v>
        <stp/>
        <stp>BDP|1022815837663247842</stp>
        <tr r="A201" s="2"/>
      </tp>
      <tp t="s">
        <v>#N/A N/A</v>
        <stp/>
        <stp>BDP|6173226172707379526</stp>
        <tr r="A726" s="2"/>
      </tp>
      <tp t="s">
        <v>#N/A N/A</v>
        <stp/>
        <stp>BDS|5101623203956671468</stp>
        <tr r="I1677" s="2"/>
      </tp>
      <tp t="s">
        <v>#N/A N/A</v>
        <stp/>
        <stp>BDP|5904628708223056126</stp>
        <tr r="R227" s="2"/>
      </tp>
      <tp t="s">
        <v>#N/A N/A</v>
        <stp/>
        <stp>BDP|4295310313453633477</stp>
        <tr r="S91" s="2"/>
      </tp>
      <tp t="s">
        <v>#N/A N/A</v>
        <stp/>
        <stp>BDP|2915500165984981449</stp>
        <tr r="A275" s="2"/>
      </tp>
      <tp t="s">
        <v>#N/A N/A</v>
        <stp/>
        <stp>BDP|7059433470434583173</stp>
        <tr r="F1527" s="2"/>
      </tp>
      <tp t="s">
        <v>#N/A N/A</v>
        <stp/>
        <stp>BDS|8329947102921557113</stp>
        <tr r="I1407" s="2"/>
      </tp>
      <tp t="s">
        <v>#N/A N/A</v>
        <stp/>
        <stp>BDS|8549035284971759046</stp>
        <tr r="I1700" s="2"/>
      </tp>
      <tp t="s">
        <v>#N/A N/A</v>
        <stp/>
        <stp>BDS|1262202444353053579</stp>
        <tr r="I929" s="2"/>
      </tp>
      <tp t="s">
        <v>#N/A N/A</v>
        <stp/>
        <stp>BDP|9755852009810365091</stp>
        <tr r="T1417" s="2"/>
      </tp>
      <tp t="s">
        <v>#N/A N/A</v>
        <stp/>
        <stp>BDP|1359263850876245162</stp>
        <tr r="O1188" s="2"/>
      </tp>
      <tp t="s">
        <v>#N/A N/A</v>
        <stp/>
        <stp>BDP|9300831574747592007</stp>
        <tr r="H1628" s="2"/>
      </tp>
      <tp t="s">
        <v>#N/A N/A</v>
        <stp/>
        <stp>BDP|3142689886404761897</stp>
        <tr r="G132" s="2"/>
      </tp>
      <tp t="s">
        <v>#N/A N/A</v>
        <stp/>
        <stp>BDP|5692511898158721090</stp>
        <tr r="A1644" s="2"/>
      </tp>
      <tp t="s">
        <v>#N/A N/A</v>
        <stp/>
        <stp>BDP|2402028207744510754</stp>
        <tr r="T346" s="2"/>
      </tp>
      <tp t="s">
        <v>#N/A N/A</v>
        <stp/>
        <stp>BDP|4525238911674708216</stp>
        <tr r="R899" s="2"/>
      </tp>
      <tp t="s">
        <v>#N/A N/A</v>
        <stp/>
        <stp>BDP|2260513836374147158</stp>
        <tr r="C386" s="2"/>
      </tp>
      <tp t="s">
        <v>#N/A N/A</v>
        <stp/>
        <stp>BDP|9423605346892373802</stp>
        <tr r="N155" s="2"/>
      </tp>
      <tp t="s">
        <v>#N/A N/A</v>
        <stp/>
        <stp>BDP|5202850763028252278</stp>
        <tr r="D1492" s="2"/>
      </tp>
      <tp t="s">
        <v>#N/A N/A</v>
        <stp/>
        <stp>BDP|4996731777632551796</stp>
        <tr r="A459" s="2"/>
      </tp>
      <tp t="s">
        <v>#N/A N/A</v>
        <stp/>
        <stp>BDP|3748719347132317330</stp>
        <tr r="A353" s="2"/>
      </tp>
      <tp t="s">
        <v>#N/A N/A</v>
        <stp/>
        <stp>BDP|7906672757394840108</stp>
        <tr r="J14" s="2"/>
      </tp>
      <tp t="s">
        <v>#N/A N/A</v>
        <stp/>
        <stp>BDP|1502321432185398575</stp>
        <tr r="E530" s="2"/>
      </tp>
      <tp t="s">
        <v>#N/A N/A</v>
        <stp/>
        <stp>BDP|2564823973358189442</stp>
        <tr r="O800" s="2"/>
      </tp>
      <tp t="s">
        <v>#N/A N/A</v>
        <stp/>
        <stp>BDP|2498603132682793409</stp>
        <tr r="Q1333" s="2"/>
      </tp>
      <tp t="s">
        <v>#N/A N/A</v>
        <stp/>
        <stp>BDP|3875822045138784690</stp>
        <tr r="D696" s="2"/>
      </tp>
      <tp t="s">
        <v>#N/A N/A</v>
        <stp/>
        <stp>BDP|9743973846902105762</stp>
        <tr r="A1359" s="2"/>
      </tp>
      <tp t="s">
        <v>#N/A N/A</v>
        <stp/>
        <stp>BDP|3548418478466962742</stp>
        <tr r="D217" s="2"/>
      </tp>
      <tp t="s">
        <v>#N/A N/A</v>
        <stp/>
        <stp>BDP|3564680536093820428</stp>
        <tr r="G495" s="2"/>
      </tp>
      <tp t="s">
        <v>#N/A N/A</v>
        <stp/>
        <stp>BDP|8691847160985182223</stp>
        <tr r="H1563" s="2"/>
      </tp>
      <tp t="s">
        <v>#N/A N/A</v>
        <stp/>
        <stp>BDS|1420299338986541719</stp>
        <tr r="I127" s="2"/>
      </tp>
      <tp t="s">
        <v>#N/A N/A</v>
        <stp/>
        <stp>BDP|3389410813021303637</stp>
        <tr r="Q1258" s="2"/>
      </tp>
      <tp t="s">
        <v>#N/A N/A</v>
        <stp/>
        <stp>BDP|9048314383986013537</stp>
        <tr r="P549" s="2"/>
      </tp>
      <tp t="s">
        <v>#N/A N/A</v>
        <stp/>
        <stp>BDP|2781543803524267237</stp>
        <tr r="E963" s="2"/>
      </tp>
      <tp t="s">
        <v>#N/A N/A</v>
        <stp/>
        <stp>BDP|4221906147589587116</stp>
        <tr r="M441" s="2"/>
      </tp>
      <tp t="s">
        <v>#N/A N/A</v>
        <stp/>
        <stp>BDP|9601673984410196651</stp>
        <tr r="H545" s="2"/>
      </tp>
      <tp t="s">
        <v>#N/A N/A</v>
        <stp/>
        <stp>BDP|4170137192928658573</stp>
        <tr r="A1125" s="2"/>
      </tp>
      <tp t="s">
        <v>#N/A N/A</v>
        <stp/>
        <stp>BDP|4543745237971601016</stp>
        <tr r="E1684" s="2"/>
      </tp>
      <tp t="s">
        <v>#N/A N/A</v>
        <stp/>
        <stp>BDP|4792746653507053011</stp>
        <tr r="Q1380" s="2"/>
      </tp>
      <tp t="s">
        <v>#N/A N/A</v>
        <stp/>
        <stp>BDP|9391957753935006149</stp>
        <tr r="A1337" s="2"/>
      </tp>
      <tp t="s">
        <v>#N/A N/A</v>
        <stp/>
        <stp>BDP|5041247124174413052</stp>
        <tr r="N1387" s="2"/>
      </tp>
      <tp t="s">
        <v>#N/A N/A</v>
        <stp/>
        <stp>BDP|4478506813426775713</stp>
        <tr r="S258" s="2"/>
      </tp>
      <tp t="s">
        <v>#N/A N/A</v>
        <stp/>
        <stp>BDP|4793997105065393996</stp>
        <tr r="C90" s="2"/>
      </tp>
      <tp t="s">
        <v>#N/A N/A</v>
        <stp/>
        <stp>BDP|5026660616116536541</stp>
        <tr r="C1095" s="2"/>
      </tp>
      <tp t="s">
        <v>#N/A N/A</v>
        <stp/>
        <stp>BDP|3335098860123837738</stp>
        <tr r="N1398" s="2"/>
      </tp>
      <tp t="s">
        <v>#N/A N/A</v>
        <stp/>
        <stp>BDP|4196001457047582720</stp>
        <tr r="D351" s="2"/>
      </tp>
      <tp t="s">
        <v>#N/A N/A</v>
        <stp/>
        <stp>BDP|2187921882925713771</stp>
        <tr r="K1493" s="2"/>
      </tp>
      <tp t="s">
        <v>#N/A N/A</v>
        <stp/>
        <stp>BDP|4776769320779698960</stp>
        <tr r="R328" s="2"/>
      </tp>
      <tp t="s">
        <v>#N/A N/A</v>
        <stp/>
        <stp>BDP|7857470908252131074</stp>
        <tr r="T466" s="2"/>
      </tp>
      <tp t="s">
        <v>#N/A N/A</v>
        <stp/>
        <stp>BDP|4597057370790831299</stp>
        <tr r="A1488" s="2"/>
      </tp>
      <tp t="s">
        <v>#N/A N/A</v>
        <stp/>
        <stp>BDP|9884264672394947948</stp>
        <tr r="F643" s="2"/>
      </tp>
      <tp t="s">
        <v>#N/A N/A</v>
        <stp/>
        <stp>BDP|4712104447096657673</stp>
        <tr r="H833" s="2"/>
      </tp>
      <tp t="s">
        <v>#N/A N/A</v>
        <stp/>
        <stp>BDP|5919832581975991130</stp>
        <tr r="H1120" s="2"/>
      </tp>
      <tp t="s">
        <v>#N/A N/A</v>
        <stp/>
        <stp>BDP|8116049591114539409</stp>
        <tr r="F610" s="2"/>
      </tp>
      <tp t="s">
        <v>#N/A N/A</v>
        <stp/>
        <stp>BDP|8373065948364477985</stp>
        <tr r="Q1185" s="2"/>
      </tp>
      <tp t="s">
        <v>#N/A N/A</v>
        <stp/>
        <stp>BDP|3608960464828792523</stp>
        <tr r="F921" s="2"/>
      </tp>
      <tp t="s">
        <v>#N/A N/A</v>
        <stp/>
        <stp>BDP|8928986644377166353</stp>
        <tr r="J529" s="2"/>
      </tp>
      <tp t="s">
        <v>#N/A N/A</v>
        <stp/>
        <stp>BDP|4495017740316368779</stp>
        <tr r="M496" s="2"/>
      </tp>
      <tp t="s">
        <v>#N/A N/A</v>
        <stp/>
        <stp>BDP|9061994111420867015</stp>
        <tr r="K338" s="2"/>
      </tp>
      <tp t="s">
        <v>#N/A N/A</v>
        <stp/>
        <stp>BDP|4413174950089624842</stp>
        <tr r="S1311" s="2"/>
      </tp>
      <tp t="s">
        <v>#N/A N/A</v>
        <stp/>
        <stp>BDP|4013721867294622025</stp>
        <tr r="S1053" s="2"/>
      </tp>
      <tp t="s">
        <v>#N/A N/A</v>
        <stp/>
        <stp>BDP|4861951211249406490</stp>
        <tr r="A1354" s="2"/>
      </tp>
      <tp t="s">
        <v>#N/A N/A</v>
        <stp/>
        <stp>BDP|3107647656985281403</stp>
        <tr r="T130" s="2"/>
      </tp>
      <tp t="s">
        <v>#N/A N/A</v>
        <stp/>
        <stp>BDS|9283896178291383612</stp>
        <tr r="I1397" s="2"/>
      </tp>
      <tp t="s">
        <v>#N/A N/A</v>
        <stp/>
        <stp>BDP|7192459462345768100</stp>
        <tr r="O529" s="2"/>
      </tp>
      <tp t="s">
        <v>#N/A N/A</v>
        <stp/>
        <stp>BDP|8015360765704377815</stp>
        <tr r="M641" s="2"/>
      </tp>
      <tp t="s">
        <v>#N/A N/A</v>
        <stp/>
        <stp>BDP|9758654970490275916</stp>
        <tr r="C1081" s="2"/>
      </tp>
      <tp t="s">
        <v>#N/A N/A</v>
        <stp/>
        <stp>BDP|8859538595482966768</stp>
        <tr r="G1037" s="2"/>
      </tp>
      <tp t="s">
        <v>#N/A N/A</v>
        <stp/>
        <stp>BDP|7992510249734608369</stp>
        <tr r="E1373" s="2"/>
      </tp>
      <tp t="s">
        <v>#N/A N/A</v>
        <stp/>
        <stp>BDP|4770300311385108262</stp>
        <tr r="N658" s="2"/>
      </tp>
      <tp t="s">
        <v>#N/A N/A</v>
        <stp/>
        <stp>BDP|9304520521246638977</stp>
        <tr r="O235" s="2"/>
      </tp>
      <tp t="s">
        <v>#N/A N/A</v>
        <stp/>
        <stp>BDP|1250823764678409616</stp>
        <tr r="M1747" s="2"/>
      </tp>
      <tp t="s">
        <v>#N/A N/A</v>
        <stp/>
        <stp>BDP|4728660360907055277</stp>
        <tr r="P136" s="2"/>
      </tp>
      <tp t="s">
        <v>#N/A N/A</v>
        <stp/>
        <stp>BDP|2695030330758134825</stp>
        <tr r="O471" s="2"/>
      </tp>
      <tp t="s">
        <v>#N/A N/A</v>
        <stp/>
        <stp>BDP|1352421169354765699</stp>
        <tr r="O228" s="2"/>
      </tp>
      <tp t="s">
        <v>#N/A N/A</v>
        <stp/>
        <stp>BDP|5087505454667256306</stp>
        <tr r="G412" s="2"/>
      </tp>
      <tp t="s">
        <v>#N/A N/A</v>
        <stp/>
        <stp>BDP|9523778823928596522</stp>
        <tr r="E495" s="2"/>
      </tp>
      <tp t="s">
        <v>#N/A N/A</v>
        <stp/>
        <stp>BDP|7362966983582389535</stp>
        <tr r="P944" s="2"/>
      </tp>
      <tp t="s">
        <v>#N/A N/A</v>
        <stp/>
        <stp>BDP|1517720901575498246</stp>
        <tr r="K952" s="2"/>
      </tp>
      <tp t="s">
        <v>#N/A N/A</v>
        <stp/>
        <stp>BDP|3164275382941171936</stp>
        <tr r="P482" s="2"/>
      </tp>
      <tp t="s">
        <v>#N/A N/A</v>
        <stp/>
        <stp>BDP|4149968430677723863</stp>
        <tr r="E130" s="2"/>
      </tp>
      <tp t="s">
        <v>#N/A N/A</v>
        <stp/>
        <stp>BDP|1852721306812810527</stp>
        <tr r="E1631" s="2"/>
      </tp>
      <tp t="s">
        <v>#N/A N/A</v>
        <stp/>
        <stp>BDP|5552076832292582533</stp>
        <tr r="C1564" s="2"/>
      </tp>
      <tp t="s">
        <v>#N/A N/A</v>
        <stp/>
        <stp>BDP|2154230503758497931</stp>
        <tr r="T371" s="2"/>
      </tp>
      <tp t="s">
        <v>#N/A N/A</v>
        <stp/>
        <stp>BDP|9811288412412007947</stp>
        <tr r="K485" s="2"/>
      </tp>
      <tp t="s">
        <v>#N/A N/A</v>
        <stp/>
        <stp>BDP|2229504335846471354</stp>
        <tr r="S1386" s="2"/>
      </tp>
      <tp t="s">
        <v>#N/A N/A</v>
        <stp/>
        <stp>BDP|5663974080823315647</stp>
        <tr r="H1698" s="2"/>
      </tp>
      <tp t="s">
        <v>#N/A N/A</v>
        <stp/>
        <stp>BDP|4451693060572990726</stp>
        <tr r="A1101" s="2"/>
      </tp>
      <tp t="s">
        <v>#N/A N/A</v>
        <stp/>
        <stp>BDP|2845427168573431209</stp>
        <tr r="N5" s="2"/>
      </tp>
      <tp t="s">
        <v>#N/A N/A</v>
        <stp/>
        <stp>BDP|5668108253425275511</stp>
        <tr r="R406" s="2"/>
      </tp>
      <tp t="s">
        <v>#N/A N/A</v>
        <stp/>
        <stp>BDP|6387386349085432501</stp>
        <tr r="S1199" s="2"/>
      </tp>
      <tp t="s">
        <v>#N/A N/A</v>
        <stp/>
        <stp>BDP|1527813620032059828</stp>
        <tr r="A824" s="2"/>
      </tp>
      <tp t="s">
        <v>#N/A N/A</v>
        <stp/>
        <stp>BDP|5725976242329601028</stp>
        <tr r="G1136" s="2"/>
      </tp>
      <tp t="s">
        <v>#N/A N/A</v>
        <stp/>
        <stp>BDP|6494101057273067053</stp>
        <tr r="T1575" s="2"/>
      </tp>
      <tp t="s">
        <v>#N/A N/A</v>
        <stp/>
        <stp>BDP|4677539116791428014</stp>
        <tr r="F1301" s="2"/>
      </tp>
      <tp t="s">
        <v>#N/A N/A</v>
        <stp/>
        <stp>BDP|6201603176745696342</stp>
        <tr r="O462" s="2"/>
      </tp>
      <tp t="s">
        <v>#N/A N/A</v>
        <stp/>
        <stp>BDP|7414948799537933160</stp>
        <tr r="T705" s="2"/>
      </tp>
      <tp t="s">
        <v>#N/A N/A</v>
        <stp/>
        <stp>BDP|7491222813442032733</stp>
        <tr r="R111" s="2"/>
      </tp>
      <tp t="s">
        <v>#N/A N/A</v>
        <stp/>
        <stp>BDP|5851459717464534595</stp>
        <tr r="C1493" s="2"/>
      </tp>
      <tp t="s">
        <v>#N/A N/A</v>
        <stp/>
        <stp>BDP|9633618843282317816</stp>
        <tr r="K1687" s="2"/>
      </tp>
      <tp t="s">
        <v>#N/A N/A</v>
        <stp/>
        <stp>BDP|6260047875097781727</stp>
        <tr r="O1622" s="2"/>
      </tp>
      <tp t="s">
        <v>#N/A N/A</v>
        <stp/>
        <stp>BDP|7211663783709486153</stp>
        <tr r="M439" s="2"/>
      </tp>
      <tp t="s">
        <v>#N/A N/A</v>
        <stp/>
        <stp>BDP|3940553768917365616</stp>
        <tr r="H1461" s="2"/>
      </tp>
      <tp t="s">
        <v>#N/A N/A</v>
        <stp/>
        <stp>BDS|6108117387819726760</stp>
        <tr r="I514" s="2"/>
      </tp>
      <tp t="s">
        <v>#N/A N/A</v>
        <stp/>
        <stp>BDP|6025391371077648489</stp>
        <tr r="H1561" s="2"/>
      </tp>
      <tp t="s">
        <v>#N/A N/A</v>
        <stp/>
        <stp>BDP|1321941446244140964</stp>
        <tr r="M112" s="2"/>
      </tp>
      <tp t="s">
        <v>#N/A N/A</v>
        <stp/>
        <stp>BDP|6253332573186450502</stp>
        <tr r="E422" s="2"/>
      </tp>
      <tp t="s">
        <v>#N/A N/A</v>
        <stp/>
        <stp>BDP|5003054146781620130</stp>
        <tr r="G1619" s="2"/>
      </tp>
      <tp t="s">
        <v>#N/A N/A</v>
        <stp/>
        <stp>BDP|6505119461480155028</stp>
        <tr r="N477" s="2"/>
      </tp>
      <tp t="s">
        <v>#N/A N/A</v>
        <stp/>
        <stp>BDP|2642916539319178096</stp>
        <tr r="P1393" s="2"/>
      </tp>
      <tp t="s">
        <v>#N/A N/A</v>
        <stp/>
        <stp>BDP|2054816996115449755</stp>
        <tr r="T302" s="2"/>
      </tp>
      <tp t="s">
        <v>#N/A N/A</v>
        <stp/>
        <stp>BDP|6479249759786990663</stp>
        <tr r="K1596" s="2"/>
      </tp>
      <tp t="s">
        <v>#N/A N/A</v>
        <stp/>
        <stp>BDS|1558859471896479933</stp>
        <tr r="I135" s="2"/>
      </tp>
      <tp t="s">
        <v>#N/A N/A</v>
        <stp/>
        <stp>BDP|4017692368186452334</stp>
        <tr r="R606" s="2"/>
      </tp>
      <tp t="s">
        <v>#N/A N/A</v>
        <stp/>
        <stp>BDP|9914044521483867924</stp>
        <tr r="P1208" s="2"/>
      </tp>
      <tp t="s">
        <v>#N/A N/A</v>
        <stp/>
        <stp>BDP|4376760737454787539</stp>
        <tr r="H345" s="2"/>
      </tp>
      <tp t="s">
        <v>#N/A N/A</v>
        <stp/>
        <stp>BDP|4522116563186973480</stp>
        <tr r="C1753" s="2"/>
      </tp>
      <tp t="s">
        <v>#N/A N/A</v>
        <stp/>
        <stp>BDP|5214741801124150706</stp>
        <tr r="P1748" s="2"/>
      </tp>
      <tp t="s">
        <v>#N/A N/A</v>
        <stp/>
        <stp>BDP|8057385399622538127</stp>
        <tr r="N937" s="2"/>
      </tp>
      <tp t="s">
        <v>#N/A N/A</v>
        <stp/>
        <stp>BDP|1328352426780741116</stp>
        <tr r="C1202" s="2"/>
      </tp>
      <tp t="s">
        <v>#N/A N/A</v>
        <stp/>
        <stp>BDP|9211234461139751514</stp>
        <tr r="A1681" s="2"/>
      </tp>
      <tp t="s">
        <v>#N/A N/A</v>
        <stp/>
        <stp>BDS|2058062678265841107</stp>
        <tr r="I1370" s="2"/>
      </tp>
      <tp t="s">
        <v>#N/A N/A</v>
        <stp/>
        <stp>BDP|5201637191352473927</stp>
        <tr r="N1658" s="2"/>
      </tp>
      <tp t="s">
        <v>#N/A N/A</v>
        <stp/>
        <stp>BDP|6176629323905563635</stp>
        <tr r="K1525" s="2"/>
      </tp>
      <tp t="s">
        <v>#N/A N/A</v>
        <stp/>
        <stp>BDP|2875259719069335919</stp>
        <tr r="K1428" s="2"/>
      </tp>
      <tp t="s">
        <v>#N/A N/A</v>
        <stp/>
        <stp>BDP|8318548686513183760</stp>
        <tr r="G1188" s="2"/>
      </tp>
      <tp t="s">
        <v>#N/A N/A</v>
        <stp/>
        <stp>BDP|9439190686047927645</stp>
        <tr r="R1190" s="2"/>
      </tp>
      <tp t="s">
        <v>#N/A N/A</v>
        <stp/>
        <stp>BDS|7825200416500009580</stp>
        <tr r="I554" s="2"/>
      </tp>
      <tp t="s">
        <v>#N/A N/A</v>
        <stp/>
        <stp>BDP|6777420962110369527</stp>
        <tr r="H1562" s="2"/>
      </tp>
      <tp t="s">
        <v>#N/A N/A</v>
        <stp/>
        <stp>BDP|3475999457696579898</stp>
        <tr r="F144" s="2"/>
      </tp>
      <tp t="s">
        <v>#N/A N/A</v>
        <stp/>
        <stp>BDP|5809903088520294548</stp>
        <tr r="K1509" s="2"/>
      </tp>
      <tp t="s">
        <v>#N/A N/A</v>
        <stp/>
        <stp>BDP|2209439776648083810</stp>
        <tr r="E230" s="2"/>
      </tp>
      <tp t="s">
        <v>#N/A N/A</v>
        <stp/>
        <stp>BDP|4411734411092846186</stp>
        <tr r="E1064" s="2"/>
      </tp>
      <tp t="s">
        <v>#N/A N/A</v>
        <stp/>
        <stp>BDP|3181770140563037208</stp>
        <tr r="A1548" s="2"/>
      </tp>
      <tp t="s">
        <v>#N/A N/A</v>
        <stp/>
        <stp>BDP|8459923973704621355</stp>
        <tr r="O1006" s="2"/>
      </tp>
      <tp t="s">
        <v>#N/A N/A</v>
        <stp/>
        <stp>BDP|8950512269252606813</stp>
        <tr r="R1281" s="2"/>
      </tp>
      <tp t="s">
        <v>#N/A N/A</v>
        <stp/>
        <stp>BDP|6476644645492266717</stp>
        <tr r="C1373" s="2"/>
      </tp>
      <tp t="s">
        <v>#N/A N/A</v>
        <stp/>
        <stp>BDP|6413675862713770402</stp>
        <tr r="R264" s="2"/>
      </tp>
      <tp t="s">
        <v>#N/A N/A</v>
        <stp/>
        <stp>BDP|5662126998179991521</stp>
        <tr r="E859" s="2"/>
      </tp>
      <tp t="s">
        <v>#N/A N/A</v>
        <stp/>
        <stp>BDP|1524694094888678791</stp>
        <tr r="O195" s="2"/>
      </tp>
      <tp t="s">
        <v>#N/A N/A</v>
        <stp/>
        <stp>BDP|2121508328433765790</stp>
        <tr r="P1183" s="2"/>
      </tp>
      <tp t="s">
        <v>#N/A N/A</v>
        <stp/>
        <stp>BDP|5011068250456042711</stp>
        <tr r="R301" s="2"/>
      </tp>
      <tp t="s">
        <v>#N/A N/A</v>
        <stp/>
        <stp>BDP|4570769486169074320</stp>
        <tr r="K508" s="2"/>
      </tp>
      <tp t="s">
        <v>#N/A N/A</v>
        <stp/>
        <stp>BDP|1300111537941553375</stp>
        <tr r="S1076" s="2"/>
      </tp>
      <tp t="s">
        <v>#N/A N/A</v>
        <stp/>
        <stp>BDP|6772091374408823858</stp>
        <tr r="M238" s="2"/>
      </tp>
      <tp t="s">
        <v>#N/A N/A</v>
        <stp/>
        <stp>BDP|9295965808542935322</stp>
        <tr r="P232" s="2"/>
      </tp>
      <tp t="s">
        <v>#N/A N/A</v>
        <stp/>
        <stp>BDS|2196867562944658949</stp>
        <tr r="I826" s="2"/>
      </tp>
      <tp t="s">
        <v>#N/A N/A</v>
        <stp/>
        <stp>BDP|4638094948390542158</stp>
        <tr r="Q1548" s="2"/>
      </tp>
      <tp t="s">
        <v>#N/A N/A</v>
        <stp/>
        <stp>BDP|1783714453216040420</stp>
        <tr r="G900" s="2"/>
      </tp>
      <tp t="s">
        <v>#N/A N/A</v>
        <stp/>
        <stp>BDP|1864131629136256579</stp>
        <tr r="R1284" s="2"/>
      </tp>
      <tp t="s">
        <v>#N/A N/A</v>
        <stp/>
        <stp>BDP|3601117331010353028</stp>
        <tr r="N593" s="2"/>
      </tp>
      <tp t="s">
        <v>#N/A N/A</v>
        <stp/>
        <stp>BDP|6919338447305350595</stp>
        <tr r="J1603" s="2"/>
      </tp>
      <tp t="s">
        <v>#N/A N/A</v>
        <stp/>
        <stp>BDP|7089814513036599908</stp>
        <tr r="J521" s="2"/>
      </tp>
      <tp t="s">
        <v>#N/A N/A</v>
        <stp/>
        <stp>BDS|6775459015812918099</stp>
        <tr r="I121" s="2"/>
      </tp>
      <tp t="s">
        <v>#N/A N/A</v>
        <stp/>
        <stp>BDP|9877419380693709794</stp>
        <tr r="H1560" s="2"/>
      </tp>
      <tp t="s">
        <v>#N/A N/A</v>
        <stp/>
        <stp>BDP|4144017208101763488</stp>
        <tr r="S77" s="2"/>
      </tp>
      <tp t="s">
        <v>#N/A N/A</v>
        <stp/>
        <stp>BDP|5032397855415847738</stp>
        <tr r="R755" s="2"/>
      </tp>
      <tp t="s">
        <v>#N/A N/A</v>
        <stp/>
        <stp>BDP|7973199801300075766</stp>
        <tr r="J975" s="2"/>
      </tp>
      <tp t="s">
        <v>#N/A N/A</v>
        <stp/>
        <stp>BDP|3871826566868358480</stp>
        <tr r="S202" s="2"/>
      </tp>
      <tp t="s">
        <v>#N/A N/A</v>
        <stp/>
        <stp>BDP|2105099320063724284</stp>
        <tr r="T956" s="2"/>
      </tp>
      <tp t="s">
        <v>#N/A N/A</v>
        <stp/>
        <stp>BDP|9584373416809655359</stp>
        <tr r="N1376" s="2"/>
      </tp>
      <tp t="s">
        <v>#N/A N/A</v>
        <stp/>
        <stp>BDP|6200348871475129611</stp>
        <tr r="N1063" s="2"/>
      </tp>
      <tp t="s">
        <v>#N/A N/A</v>
        <stp/>
        <stp>BDP|6610688868985340225</stp>
        <tr r="S355" s="2"/>
      </tp>
      <tp t="s">
        <v>#N/A N/A</v>
        <stp/>
        <stp>BDP|8268856301622416356</stp>
        <tr r="N1449" s="2"/>
      </tp>
      <tp t="s">
        <v>#N/A N/A</v>
        <stp/>
        <stp>BDP|1704059502703298356</stp>
        <tr r="Q449" s="2"/>
      </tp>
      <tp t="s">
        <v>#N/A N/A</v>
        <stp/>
        <stp>BDS|1711160514224667446</stp>
        <tr r="I899" s="2"/>
      </tp>
      <tp t="s">
        <v>#N/A N/A</v>
        <stp/>
        <stp>BDP|6887540018927259414</stp>
        <tr r="N1170" s="2"/>
      </tp>
      <tp t="s">
        <v>#N/A N/A</v>
        <stp/>
        <stp>BDP|4732930558621218894</stp>
        <tr r="H508" s="2"/>
      </tp>
      <tp t="s">
        <v>#N/A N/A</v>
        <stp/>
        <stp>BDP|7646894242799949330</stp>
        <tr r="O1218" s="2"/>
      </tp>
      <tp t="s">
        <v>#N/A N/A</v>
        <stp/>
        <stp>BDP|7231747612978465878</stp>
        <tr r="N1193" s="2"/>
      </tp>
      <tp t="s">
        <v>#N/A N/A</v>
        <stp/>
        <stp>BDP|6644138272810431144</stp>
        <tr r="N1480" s="2"/>
      </tp>
      <tp t="s">
        <v>#N/A N/A</v>
        <stp/>
        <stp>BDP|4865621543971850668</stp>
        <tr r="D673" s="2"/>
      </tp>
      <tp t="s">
        <v>#N/A N/A</v>
        <stp/>
        <stp>BDP|6141489579505324149</stp>
        <tr r="M186" s="2"/>
      </tp>
      <tp t="s">
        <v>#N/A N/A</v>
        <stp/>
        <stp>BDP|6281039067387349625</stp>
        <tr r="R1465" s="2"/>
      </tp>
      <tp t="s">
        <v>#N/A N/A</v>
        <stp/>
        <stp>BDP|8982893481970620903</stp>
        <tr r="A1560" s="2"/>
      </tp>
      <tp t="s">
        <v>#N/A N/A</v>
        <stp/>
        <stp>BDP|7282420871803759616</stp>
        <tr r="M417" s="2"/>
      </tp>
      <tp t="s">
        <v>#N/A N/A</v>
        <stp/>
        <stp>BDP|5071131460583170057</stp>
        <tr r="Q1079" s="2"/>
      </tp>
      <tp t="s">
        <v>#N/A N/A</v>
        <stp/>
        <stp>BDP|1015771706520108776</stp>
        <tr r="K1127" s="2"/>
      </tp>
      <tp t="s">
        <v>#N/A N/A</v>
        <stp/>
        <stp>BDP|4063405410555006574</stp>
        <tr r="C486" s="2"/>
      </tp>
      <tp t="s">
        <v>#N/A N/A</v>
        <stp/>
        <stp>BDP|5038255957647130441</stp>
        <tr r="D914" s="2"/>
      </tp>
      <tp t="s">
        <v>#N/A N/A</v>
        <stp/>
        <stp>BDS|7017717213914276479</stp>
        <tr r="I936" s="2"/>
      </tp>
      <tp t="s">
        <v>#N/A N/A</v>
        <stp/>
        <stp>BDP|4595729335692400314</stp>
        <tr r="O356" s="2"/>
      </tp>
      <tp t="s">
        <v>#N/A N/A</v>
        <stp/>
        <stp>BDP|6810605325597265485</stp>
        <tr r="R1079" s="2"/>
      </tp>
      <tp t="s">
        <v>#N/A N/A</v>
        <stp/>
        <stp>BDP|2526873134531081919</stp>
        <tr r="P267" s="2"/>
      </tp>
      <tp t="s">
        <v>#N/A N/A</v>
        <stp/>
        <stp>BDS|2248470120441758453</stp>
        <tr r="I235" s="2"/>
      </tp>
      <tp t="s">
        <v>#N/A N/A</v>
        <stp/>
        <stp>BDP|3654272023052141046</stp>
        <tr r="P1699" s="2"/>
      </tp>
      <tp t="s">
        <v>#N/A N/A</v>
        <stp/>
        <stp>BDP|6380215064741177208</stp>
        <tr r="E369" s="2"/>
      </tp>
      <tp t="s">
        <v>#N/A N/A</v>
        <stp/>
        <stp>BDP|6499690602905033486</stp>
        <tr r="J699" s="2"/>
      </tp>
      <tp t="s">
        <v>#N/A N/A</v>
        <stp/>
        <stp>BDS|3150938343876658907</stp>
        <tr r="I843" s="2"/>
      </tp>
      <tp t="s">
        <v>#N/A N/A</v>
        <stp/>
        <stp>BDP|4555643953350674636</stp>
        <tr r="Q73" s="2"/>
      </tp>
      <tp t="s">
        <v>#N/A N/A</v>
        <stp/>
        <stp>BDP|8853604080743928460</stp>
        <tr r="O1517" s="2"/>
      </tp>
      <tp t="s">
        <v>#N/A N/A</v>
        <stp/>
        <stp>BDP|4915370840166151481</stp>
        <tr r="H658" s="2"/>
      </tp>
      <tp t="s">
        <v>#N/A N/A</v>
        <stp/>
        <stp>BDP|5321763132524078407</stp>
        <tr r="R1270" s="2"/>
      </tp>
      <tp t="s">
        <v>#N/A N/A</v>
        <stp/>
        <stp>BDP|8378815596561661955</stp>
        <tr r="P1511" s="2"/>
      </tp>
      <tp t="s">
        <v>#N/A N/A</v>
        <stp/>
        <stp>BDP|8464860665447363033</stp>
        <tr r="Q875" s="2"/>
      </tp>
      <tp t="s">
        <v>#N/A N/A</v>
        <stp/>
        <stp>BDP|9410172492071276143</stp>
        <tr r="N1316" s="2"/>
      </tp>
      <tp t="s">
        <v>#N/A N/A</v>
        <stp/>
        <stp>BDP|1448257723075429516</stp>
        <tr r="P1400" s="2"/>
      </tp>
      <tp t="s">
        <v>#N/A N/A</v>
        <stp/>
        <stp>BDP|5010533587871340809</stp>
        <tr r="A801" s="2"/>
      </tp>
      <tp t="s">
        <v>#N/A N/A</v>
        <stp/>
        <stp>BDP|2766603710255347134</stp>
        <tr r="T329" s="2"/>
      </tp>
      <tp t="s">
        <v>#N/A N/A</v>
        <stp/>
        <stp>BDP|4707641874734696068</stp>
        <tr r="G568" s="2"/>
      </tp>
      <tp t="s">
        <v>#N/A N/A</v>
        <stp/>
        <stp>BDP|2082271727192067179</stp>
        <tr r="K1268" s="2"/>
      </tp>
      <tp t="s">
        <v>#N/A N/A</v>
        <stp/>
        <stp>BDP|1297750336952465620</stp>
        <tr r="C1233" s="2"/>
      </tp>
      <tp t="s">
        <v>#N/A N/A</v>
        <stp/>
        <stp>BDP|7821126420540552582</stp>
        <tr r="K1218" s="2"/>
      </tp>
      <tp t="s">
        <v>#N/A N/A</v>
        <stp/>
        <stp>BDP|5685503434972749020</stp>
        <tr r="T1633" s="2"/>
      </tp>
      <tp t="s">
        <v>#N/A N/A</v>
        <stp/>
        <stp>BDP|6314164083558949682</stp>
        <tr r="K118" s="2"/>
      </tp>
      <tp t="s">
        <v>#N/A N/A</v>
        <stp/>
        <stp>BDP|2794984929821564945</stp>
        <tr r="K1083" s="2"/>
      </tp>
      <tp t="s">
        <v>#N/A N/A</v>
        <stp/>
        <stp>BDP|5575907454498673005</stp>
        <tr r="R828" s="2"/>
      </tp>
      <tp t="s">
        <v>#N/A N/A</v>
        <stp/>
        <stp>BDP|3423175507656002508</stp>
        <tr r="Q1545" s="2"/>
      </tp>
      <tp t="s">
        <v>#N/A N/A</v>
        <stp/>
        <stp>BDP|6491712665761270762</stp>
        <tr r="S538" s="2"/>
      </tp>
      <tp t="s">
        <v>#N/A N/A</v>
        <stp/>
        <stp>BDP|7465630617550737139</stp>
        <tr r="J396" s="2"/>
      </tp>
      <tp t="s">
        <v>#N/A N/A</v>
        <stp/>
        <stp>BDP|8302770106829790718</stp>
        <tr r="Q1713" s="2"/>
      </tp>
      <tp t="s">
        <v>#N/A N/A</v>
        <stp/>
        <stp>BDP|3390262253692538777</stp>
        <tr r="T843" s="2"/>
      </tp>
      <tp t="s">
        <v>#N/A N/A</v>
        <stp/>
        <stp>BDP|2563962457739499643</stp>
        <tr r="C1660" s="2"/>
      </tp>
      <tp t="s">
        <v>#N/A N/A</v>
        <stp/>
        <stp>BDP|6832518189062248866</stp>
        <tr r="C1505" s="2"/>
      </tp>
      <tp t="s">
        <v>#N/A N/A</v>
        <stp/>
        <stp>BDP|4140099259089475913</stp>
        <tr r="Q864" s="2"/>
      </tp>
      <tp t="s">
        <v>#N/A N/A</v>
        <stp/>
        <stp>BDP|5354204124102511669</stp>
        <tr r="R723" s="2"/>
      </tp>
      <tp t="s">
        <v>#N/A N/A</v>
        <stp/>
        <stp>BDP|1058169987439395069</stp>
        <tr r="S1737" s="2"/>
      </tp>
      <tp t="s">
        <v>#N/A N/A</v>
        <stp/>
        <stp>BDP|6950480557744413268</stp>
        <tr r="P641" s="2"/>
      </tp>
      <tp t="s">
        <v>#N/A N/A</v>
        <stp/>
        <stp>BDP|9332142253988008402</stp>
        <tr r="A1298" s="2"/>
      </tp>
      <tp t="s">
        <v>#N/A N/A</v>
        <stp/>
        <stp>BDP|8522968334237313403</stp>
        <tr r="A522" s="2"/>
      </tp>
      <tp t="s">
        <v>#N/A N/A</v>
        <stp/>
        <stp>BDP|6676749017671542046</stp>
        <tr r="G1378" s="2"/>
      </tp>
      <tp t="s">
        <v>#N/A N/A</v>
        <stp/>
        <stp>BDP|3646580346603808048</stp>
        <tr r="D1732" s="2"/>
      </tp>
      <tp t="s">
        <v>#N/A N/A</v>
        <stp/>
        <stp>BDP|2534919203619049332</stp>
        <tr r="H4" s="2"/>
      </tp>
      <tp t="s">
        <v>#N/A N/A</v>
        <stp/>
        <stp>BDP|2170180245190140698</stp>
        <tr r="G596" s="2"/>
      </tp>
      <tp t="s">
        <v>#N/A N/A</v>
        <stp/>
        <stp>BDP|6448304448269187997</stp>
        <tr r="Q1299" s="2"/>
      </tp>
      <tp t="s">
        <v>#N/A N/A</v>
        <stp/>
        <stp>BDP|7453378907153484649</stp>
        <tr r="R1093" s="2"/>
      </tp>
      <tp t="s">
        <v>#N/A N/A</v>
        <stp/>
        <stp>BDP|3304203765763699541</stp>
        <tr r="E1390" s="2"/>
      </tp>
      <tp t="s">
        <v>#N/A N/A</v>
        <stp/>
        <stp>BDP|2685003625695067477</stp>
        <tr r="A1060" s="2"/>
      </tp>
      <tp t="s">
        <v>#N/A N/A</v>
        <stp/>
        <stp>BDP|3614366785951092818</stp>
        <tr r="F162" s="2"/>
      </tp>
      <tp t="s">
        <v>#N/A N/A</v>
        <stp/>
        <stp>BDP|5091242148745972714</stp>
        <tr r="F824" s="2"/>
      </tp>
      <tp t="s">
        <v>#N/A N/A</v>
        <stp/>
        <stp>BDP|1706218701422762045</stp>
        <tr r="F94" s="2"/>
      </tp>
      <tp t="s">
        <v>#N/A N/A</v>
        <stp/>
        <stp>BDS|4189916683743619714</stp>
        <tr r="I1630" s="2"/>
      </tp>
      <tp t="s">
        <v>#N/A N/A</v>
        <stp/>
        <stp>BDP|1052509766453613046</stp>
        <tr r="D275" s="2"/>
      </tp>
      <tp t="s">
        <v>#N/A N/A</v>
        <stp/>
        <stp>BDP|4571019462080215300</stp>
        <tr r="R1000" s="2"/>
      </tp>
      <tp t="s">
        <v>#N/A N/A</v>
        <stp/>
        <stp>BDP|9426855601868510810</stp>
        <tr r="D819" s="2"/>
      </tp>
      <tp t="s">
        <v>#N/A N/A</v>
        <stp/>
        <stp>BDP|8110170196076261769</stp>
        <tr r="M1505" s="2"/>
      </tp>
      <tp t="s">
        <v>#N/A N/A</v>
        <stp/>
        <stp>BDP|8287501295102465770</stp>
        <tr r="O715" s="2"/>
      </tp>
      <tp t="s">
        <v>#N/A N/A</v>
        <stp/>
        <stp>BDP|7201322626820264702</stp>
        <tr r="G1126" s="2"/>
      </tp>
      <tp t="s">
        <v>#N/A N/A</v>
        <stp/>
        <stp>BDP|2548771367256700469</stp>
        <tr r="A180" s="2"/>
      </tp>
      <tp t="s">
        <v>#N/A N/A</v>
        <stp/>
        <stp>BDP|6076523098283903877</stp>
        <tr r="K463" s="2"/>
      </tp>
      <tp t="s">
        <v>#N/A N/A</v>
        <stp/>
        <stp>BDP|7190366919294849028</stp>
        <tr r="E279" s="2"/>
      </tp>
      <tp t="s">
        <v>#N/A N/A</v>
        <stp/>
        <stp>BDP|9157272283300803294</stp>
        <tr r="G1006" s="2"/>
      </tp>
      <tp t="s">
        <v>#N/A N/A</v>
        <stp/>
        <stp>BDP|6056157326026236251</stp>
        <tr r="E911" s="2"/>
      </tp>
      <tp t="s">
        <v>#N/A N/A</v>
        <stp/>
        <stp>BDP|4114905255450624961</stp>
        <tr r="G1519" s="2"/>
      </tp>
      <tp t="s">
        <v>#N/A N/A</v>
        <stp/>
        <stp>BDP|6219646993411296939</stp>
        <tr r="K1472" s="2"/>
      </tp>
      <tp t="s">
        <v>#N/A N/A</v>
        <stp/>
        <stp>BDP|5078307981506711927</stp>
        <tr r="N1535" s="2"/>
      </tp>
      <tp t="s">
        <v>#N/A N/A</v>
        <stp/>
        <stp>BDP|3448411805686327072</stp>
        <tr r="D246" s="2"/>
      </tp>
      <tp t="s">
        <v>#N/A N/A</v>
        <stp/>
        <stp>BDP|1545469162585694732</stp>
        <tr r="F337" s="2"/>
      </tp>
      <tp t="s">
        <v>#N/A N/A</v>
        <stp/>
        <stp>BDP|2031909383224628619</stp>
        <tr r="C1402" s="2"/>
      </tp>
      <tp t="s">
        <v>#N/A N/A</v>
        <stp/>
        <stp>BDP|1045491059150429105</stp>
        <tr r="N39" s="2"/>
      </tp>
      <tp t="s">
        <v>#N/A N/A</v>
        <stp/>
        <stp>BDP|1810193392100784809</stp>
        <tr r="R194" s="2"/>
      </tp>
      <tp t="s">
        <v>#N/A N/A</v>
        <stp/>
        <stp>BDP|5279207956430122314</stp>
        <tr r="G1086" s="2"/>
      </tp>
      <tp t="s">
        <v>#N/A N/A</v>
        <stp/>
        <stp>BDP|2306259772446588057</stp>
        <tr r="N398" s="2"/>
      </tp>
      <tp t="s">
        <v>#N/A N/A</v>
        <stp/>
        <stp>BDP|7932088655197810489</stp>
        <tr r="M154" s="2"/>
      </tp>
      <tp t="s">
        <v>#N/A N/A</v>
        <stp/>
        <stp>BDP|3432433652483154003</stp>
        <tr r="A642" s="2"/>
      </tp>
      <tp t="s">
        <v>#N/A N/A</v>
        <stp/>
        <stp>BDP|4289148213622121706</stp>
        <tr r="D173" s="2"/>
      </tp>
      <tp t="s">
        <v>#N/A N/A</v>
        <stp/>
        <stp>BDP|3672597813625976314</stp>
        <tr r="D1552" s="2"/>
      </tp>
      <tp t="s">
        <v>#N/A N/A</v>
        <stp/>
        <stp>BDP|4368945093460950597</stp>
        <tr r="T1459" s="2"/>
      </tp>
      <tp t="s">
        <v>#N/A N/A</v>
        <stp/>
        <stp>BDP|5585847447690796855</stp>
        <tr r="O1050" s="2"/>
      </tp>
      <tp t="s">
        <v>#N/A N/A</v>
        <stp/>
        <stp>BDP|1174701205154978395</stp>
        <tr r="S1315" s="2"/>
      </tp>
      <tp t="s">
        <v>#N/A N/A</v>
        <stp/>
        <stp>BDP|4353600157165755375</stp>
        <tr r="D1040" s="2"/>
      </tp>
      <tp t="s">
        <v>#N/A N/A</v>
        <stp/>
        <stp>BDP|2189462442421533249</stp>
        <tr r="E258" s="2"/>
      </tp>
      <tp t="s">
        <v>#N/A N/A</v>
        <stp/>
        <stp>BDP|7809631433411428280</stp>
        <tr r="M146" s="2"/>
      </tp>
      <tp t="s">
        <v>#N/A N/A</v>
        <stp/>
        <stp>BDP|6314353540009643941</stp>
        <tr r="K117" s="2"/>
      </tp>
      <tp t="s">
        <v>#N/A N/A</v>
        <stp/>
        <stp>BDP|4586214436392095661</stp>
        <tr r="K886" s="2"/>
      </tp>
      <tp t="s">
        <v>#N/A N/A</v>
        <stp/>
        <stp>BDP|7091610106742381200</stp>
        <tr r="A399" s="2"/>
      </tp>
      <tp t="s">
        <v>#N/A N/A</v>
        <stp/>
        <stp>BDP|1265158685809032063</stp>
        <tr r="N1589" s="2"/>
      </tp>
      <tp t="s">
        <v>#N/A N/A</v>
        <stp/>
        <stp>BDP|6675097789459355617</stp>
        <tr r="C1710" s="2"/>
      </tp>
      <tp t="s">
        <v>#N/A N/A</v>
        <stp/>
        <stp>BDP|8530089449229178419</stp>
        <tr r="G925" s="2"/>
      </tp>
      <tp t="s">
        <v>#N/A N/A</v>
        <stp/>
        <stp>BDP|9123129837169542358</stp>
        <tr r="C1716" s="2"/>
      </tp>
      <tp t="s">
        <v>#N/A N/A</v>
        <stp/>
        <stp>BDP|6418747203654435435</stp>
        <tr r="O1705" s="2"/>
      </tp>
      <tp t="s">
        <v>#N/A N/A</v>
        <stp/>
        <stp>BDP|4935685814702366021</stp>
        <tr r="S1470" s="2"/>
      </tp>
      <tp t="s">
        <v>#N/A N/A</v>
        <stp/>
        <stp>BDP|2440706947693194374</stp>
        <tr r="D1623" s="2"/>
      </tp>
      <tp t="s">
        <v>#N/A N/A</v>
        <stp/>
        <stp>BDP|6135583336861355094</stp>
        <tr r="D1066" s="2"/>
      </tp>
      <tp t="s">
        <v>#N/A N/A</v>
        <stp/>
        <stp>BDP|1034213928964816441</stp>
        <tr r="N1251" s="2"/>
      </tp>
      <tp t="s">
        <v>#N/A N/A</v>
        <stp/>
        <stp>BDP|4819639132794409486</stp>
        <tr r="O569" s="2"/>
      </tp>
      <tp t="s">
        <v>#N/A N/A</v>
        <stp/>
        <stp>BDP|6181130860397464735</stp>
        <tr r="K397" s="2"/>
      </tp>
      <tp t="s">
        <v>#N/A N/A</v>
        <stp/>
        <stp>BDP|8037238750149142776</stp>
        <tr r="E1002" s="2"/>
      </tp>
      <tp t="s">
        <v>#N/A N/A</v>
        <stp/>
        <stp>BDP|1640371351696598002</stp>
        <tr r="G1316" s="2"/>
      </tp>
      <tp t="s">
        <v>#N/A N/A</v>
        <stp/>
        <stp>BDP|6531769573720265773</stp>
        <tr r="A503" s="2"/>
      </tp>
      <tp t="s">
        <v>#N/A N/A</v>
        <stp/>
        <stp>BDP|7387236459773827243</stp>
        <tr r="G1464" s="2"/>
      </tp>
      <tp t="s">
        <v>#N/A N/A</v>
        <stp/>
        <stp>BDP|2148159419806195594</stp>
        <tr r="T1172" s="2"/>
      </tp>
      <tp t="s">
        <v>#N/A N/A</v>
        <stp/>
        <stp>BDP|3995228883201884953</stp>
        <tr r="F1679" s="2"/>
      </tp>
      <tp t="s">
        <v>#N/A N/A</v>
        <stp/>
        <stp>BDP|8788759185110682640</stp>
        <tr r="F1154" s="2"/>
      </tp>
      <tp t="s">
        <v>#N/A N/A</v>
        <stp/>
        <stp>BDP|3749549621710455537</stp>
        <tr r="E1501" s="2"/>
      </tp>
      <tp t="s">
        <v>#N/A N/A</v>
        <stp/>
        <stp>BDP|1791837492129277813</stp>
        <tr r="C1714" s="2"/>
      </tp>
      <tp t="s">
        <v>#N/A N/A</v>
        <stp/>
        <stp>BDP|4049214574935746576</stp>
        <tr r="F654" s="2"/>
      </tp>
      <tp t="s">
        <v>#N/A N/A</v>
        <stp/>
        <stp>BDP|3734301298841868927</stp>
        <tr r="P631" s="2"/>
      </tp>
      <tp t="s">
        <v>#N/A N/A</v>
        <stp/>
        <stp>BDP|8764235394661793326</stp>
        <tr r="C1752" s="2"/>
      </tp>
      <tp t="s">
        <v>#N/A N/A</v>
        <stp/>
        <stp>BDP|6637764211582503318</stp>
        <tr r="N1277" s="2"/>
      </tp>
      <tp t="s">
        <v>#N/A N/A</v>
        <stp/>
        <stp>BDP|1250628247076391419</stp>
        <tr r="M1519" s="2"/>
      </tp>
      <tp t="s">
        <v>#N/A N/A</v>
        <stp/>
        <stp>BDP|2643812781913272015</stp>
        <tr r="J853" s="2"/>
      </tp>
      <tp t="s">
        <v>#N/A N/A</v>
        <stp/>
        <stp>BDP|4474820992066787262</stp>
        <tr r="Q938" s="2"/>
      </tp>
      <tp t="s">
        <v>#N/A N/A</v>
        <stp/>
        <stp>BDP|3000789828063311465</stp>
        <tr r="G1005" s="2"/>
      </tp>
      <tp t="s">
        <v>#N/A N/A</v>
        <stp/>
        <stp>BDP|1911282862692509638</stp>
        <tr r="T1335" s="2"/>
      </tp>
      <tp t="s">
        <v>#N/A N/A</v>
        <stp/>
        <stp>BDP|3726700108895809026</stp>
        <tr r="E1078" s="2"/>
      </tp>
      <tp t="s">
        <v>#N/A N/A</v>
        <stp/>
        <stp>BDP|1045644971883737277</stp>
        <tr r="H649" s="2"/>
      </tp>
      <tp t="s">
        <v>#N/A N/A</v>
        <stp/>
        <stp>BDS|9180187339332473814</stp>
        <tr r="I538" s="2"/>
      </tp>
      <tp t="s">
        <v>#N/A N/A</v>
        <stp/>
        <stp>BDP|9177818764663009515</stp>
        <tr r="R1313" s="2"/>
      </tp>
      <tp t="s">
        <v>#N/A N/A</v>
        <stp/>
        <stp>BDP|9431860877343157419</stp>
        <tr r="Q670" s="2"/>
      </tp>
      <tp t="s">
        <v>#N/A N/A</v>
        <stp/>
        <stp>BDP|7234570622041443068</stp>
        <tr r="T1479" s="2"/>
      </tp>
      <tp t="s">
        <v>#N/A N/A</v>
        <stp/>
        <stp>BDP|8517382026151847969</stp>
        <tr r="O833" s="2"/>
      </tp>
      <tp t="s">
        <v>#N/A N/A</v>
        <stp/>
        <stp>BDP|9137593595330846408</stp>
        <tr r="O1709" s="2"/>
      </tp>
      <tp t="s">
        <v>#N/A N/A</v>
        <stp/>
        <stp>BDP|8314876970801363726</stp>
        <tr r="A1046" s="2"/>
      </tp>
      <tp t="s">
        <v>#N/A N/A</v>
        <stp/>
        <stp>BDP|8530901151646182302</stp>
        <tr r="Q1379" s="2"/>
      </tp>
      <tp t="s">
        <v>#N/A N/A</v>
        <stp/>
        <stp>BDP|1793670714417335020</stp>
        <tr r="N1297" s="2"/>
      </tp>
      <tp t="s">
        <v>#N/A N/A</v>
        <stp/>
        <stp>BDP|7844995656922630845</stp>
        <tr r="G803" s="2"/>
      </tp>
      <tp t="s">
        <v>#N/A N/A</v>
        <stp/>
        <stp>BDP|6554713325983202161</stp>
        <tr r="M1052" s="2"/>
      </tp>
      <tp t="s">
        <v>#N/A N/A</v>
        <stp/>
        <stp>BDP|2919073922414957502</stp>
        <tr r="J649" s="2"/>
      </tp>
      <tp t="s">
        <v>#N/A N/A</v>
        <stp/>
        <stp>BDP|7383871171819594059</stp>
        <tr r="E486" s="2"/>
      </tp>
      <tp t="s">
        <v>#N/A N/A</v>
        <stp/>
        <stp>BDP|7567757725744723775</stp>
        <tr r="E1054" s="2"/>
      </tp>
      <tp t="s">
        <v>#N/A N/A</v>
        <stp/>
        <stp>BDP|3285619095624001937</stp>
        <tr r="S1406" s="2"/>
      </tp>
      <tp t="s">
        <v>#N/A N/A</v>
        <stp/>
        <stp>BDP|3453143544086148102</stp>
        <tr r="A357" s="2"/>
      </tp>
      <tp t="s">
        <v>#N/A N/A</v>
        <stp/>
        <stp>BDP|8616942645947693343</stp>
        <tr r="D266" s="2"/>
      </tp>
      <tp t="s">
        <v>#N/A N/A</v>
        <stp/>
        <stp>BDP|8468945737580127334</stp>
        <tr r="K518" s="2"/>
      </tp>
      <tp t="s">
        <v>#N/A N/A</v>
        <stp/>
        <stp>BDP|9811394101513663836</stp>
        <tr r="N1601" s="2"/>
      </tp>
      <tp t="s">
        <v>#N/A N/A</v>
        <stp/>
        <stp>BDP|3666352670160305655</stp>
        <tr r="N1694" s="2"/>
      </tp>
      <tp t="s">
        <v>#N/A N/A</v>
        <stp/>
        <stp>BDS|6249584508762039077</stp>
        <tr r="I352" s="2"/>
      </tp>
      <tp t="s">
        <v>#N/A N/A</v>
        <stp/>
        <stp>BDP|3482238125076348444</stp>
        <tr r="E1055" s="2"/>
      </tp>
      <tp t="s">
        <v>#N/A N/A</v>
        <stp/>
        <stp>BDP|4818021838197141165</stp>
        <tr r="G1506" s="2"/>
      </tp>
      <tp t="s">
        <v>#N/A N/A</v>
        <stp/>
        <stp>BDP|5631246399916789994</stp>
        <tr r="T561" s="2"/>
      </tp>
      <tp t="s">
        <v>#N/A N/A</v>
        <stp/>
        <stp>BDP|8021898460912462586</stp>
        <tr r="P794" s="2"/>
      </tp>
      <tp t="s">
        <v>#N/A N/A</v>
        <stp/>
        <stp>BDP|2642791709527400373</stp>
        <tr r="F697" s="2"/>
      </tp>
      <tp t="s">
        <v>#N/A N/A</v>
        <stp/>
        <stp>BDP|4881788662211254554</stp>
        <tr r="N87" s="2"/>
      </tp>
      <tp t="s">
        <v>#N/A N/A</v>
        <stp/>
        <stp>BDP|1688597708813010625</stp>
        <tr r="T258" s="2"/>
      </tp>
      <tp t="s">
        <v>#N/A N/A</v>
        <stp/>
        <stp>BDP|4361414210249113963</stp>
        <tr r="P353" s="2"/>
      </tp>
      <tp t="s">
        <v>#N/A N/A</v>
        <stp/>
        <stp>BDP|4378851284561028473</stp>
        <tr r="T23" s="2"/>
      </tp>
      <tp t="s">
        <v>#N/A N/A</v>
        <stp/>
        <stp>BDS|3207479186709186777</stp>
        <tr r="I662" s="2"/>
      </tp>
      <tp t="s">
        <v>#N/A N/A</v>
        <stp/>
        <stp>BDP|2115501000562177457</stp>
        <tr r="M1424" s="2"/>
      </tp>
      <tp t="s">
        <v>#N/A N/A</v>
        <stp/>
        <stp>BDP|3741283701970225099</stp>
        <tr r="P270" s="2"/>
      </tp>
      <tp t="s">
        <v>#N/A N/A</v>
        <stp/>
        <stp>BDP|2376237736506017431</stp>
        <tr r="O682" s="2"/>
      </tp>
      <tp t="s">
        <v>#N/A N/A</v>
        <stp/>
        <stp>BDP|5500032276225346661</stp>
        <tr r="H381" s="2"/>
      </tp>
      <tp t="s">
        <v>#N/A N/A</v>
        <stp/>
        <stp>BDP|4236249429873324695</stp>
        <tr r="G769" s="2"/>
      </tp>
      <tp t="s">
        <v>#N/A N/A</v>
        <stp/>
        <stp>BDP|8234058932768297220</stp>
        <tr r="Q851" s="2"/>
      </tp>
      <tp t="s">
        <v>#N/A N/A</v>
        <stp/>
        <stp>BDP|6577137802040726667</stp>
        <tr r="J1298" s="2"/>
      </tp>
      <tp t="s">
        <v>#N/A N/A</v>
        <stp/>
        <stp>BDP|6236736119452509384</stp>
        <tr r="T653" s="2"/>
      </tp>
      <tp t="s">
        <v>#N/A N/A</v>
        <stp/>
        <stp>BDS|8796740397061763668</stp>
        <tr r="I255" s="2"/>
      </tp>
      <tp t="s">
        <v>#N/A N/A</v>
        <stp/>
        <stp>BDP|5378370754022501003</stp>
        <tr r="R1735" s="2"/>
      </tp>
      <tp t="s">
        <v>#N/A N/A</v>
        <stp/>
        <stp>BDP|9395952811213543379</stp>
        <tr r="S1576" s="2"/>
      </tp>
      <tp t="s">
        <v>#N/A N/A</v>
        <stp/>
        <stp>BDP|3912697515011943495</stp>
        <tr r="P32" s="2"/>
      </tp>
      <tp t="s">
        <v>#N/A N/A</v>
        <stp/>
        <stp>BDP|9207546307025111850</stp>
        <tr r="O1593" s="2"/>
      </tp>
      <tp t="s">
        <v>#N/A N/A</v>
        <stp/>
        <stp>BDP|4560723522085872585</stp>
        <tr r="Q1072" s="2"/>
      </tp>
      <tp t="s">
        <v>#N/A N/A</v>
        <stp/>
        <stp>BDP|3511543241294171740</stp>
        <tr r="J1720" s="2"/>
      </tp>
      <tp t="s">
        <v>#N/A N/A</v>
        <stp/>
        <stp>BDP|7883556118933651164</stp>
        <tr r="G1257" s="2"/>
      </tp>
      <tp t="s">
        <v>#N/A N/A</v>
        <stp/>
        <stp>BDP|3469156036008415867</stp>
        <tr r="T719" s="2"/>
      </tp>
      <tp t="s">
        <v>#N/A N/A</v>
        <stp/>
        <stp>BDP|5949863186640561491</stp>
        <tr r="O554" s="2"/>
      </tp>
      <tp t="s">
        <v>#N/A N/A</v>
        <stp/>
        <stp>BDP|8130031497084915495</stp>
        <tr r="A1729" s="2"/>
      </tp>
      <tp t="s">
        <v>#N/A N/A</v>
        <stp/>
        <stp>BDP|9432828620129462885</stp>
        <tr r="J1097" s="2"/>
      </tp>
      <tp t="s">
        <v>#N/A N/A</v>
        <stp/>
        <stp>BDP|9912768328898514689</stp>
        <tr r="C1038" s="2"/>
      </tp>
      <tp t="s">
        <v>#N/A N/A</v>
        <stp/>
        <stp>BDP|3088076011132476281</stp>
        <tr r="M1032" s="2"/>
      </tp>
      <tp t="s">
        <v>#N/A N/A</v>
        <stp/>
        <stp>BDP|5535253874800882269</stp>
        <tr r="C686" s="2"/>
      </tp>
      <tp t="s">
        <v>#N/A N/A</v>
        <stp/>
        <stp>BDP|3178643139874124077</stp>
        <tr r="G1206" s="2"/>
      </tp>
      <tp t="s">
        <v>#N/A N/A</v>
        <stp/>
        <stp>BDP|5457487724931336010</stp>
        <tr r="J1181" s="2"/>
      </tp>
      <tp t="s">
        <v>#N/A N/A</v>
        <stp/>
        <stp>BDP|4343856063769649199</stp>
        <tr r="O586" s="2"/>
      </tp>
      <tp t="s">
        <v>#N/A N/A</v>
        <stp/>
        <stp>BDP|7651706863416989265</stp>
        <tr r="P367" s="2"/>
      </tp>
      <tp t="s">
        <v>#N/A N/A</v>
        <stp/>
        <stp>BDP|9428748098212258707</stp>
        <tr r="O547" s="2"/>
      </tp>
      <tp t="s">
        <v>#N/A N/A</v>
        <stp/>
        <stp>BDP|2799290103723678113</stp>
        <tr r="O1594" s="2"/>
      </tp>
      <tp t="s">
        <v>#N/A N/A</v>
        <stp/>
        <stp>BDP|7416657538822504263</stp>
        <tr r="C47" s="2"/>
      </tp>
      <tp t="s">
        <v>#N/A N/A</v>
        <stp/>
        <stp>BDP|9754004785163855008</stp>
        <tr r="J161" s="2"/>
      </tp>
      <tp t="s">
        <v>#N/A N/A</v>
        <stp/>
        <stp>BDP|2932803594228796906</stp>
        <tr r="A1116" s="2"/>
      </tp>
      <tp t="s">
        <v>#N/A N/A</v>
        <stp/>
        <stp>BDP|1608705128963086549</stp>
        <tr r="A908" s="2"/>
      </tp>
      <tp t="s">
        <v>#N/A N/A</v>
        <stp/>
        <stp>BDP|2039905698238798851</stp>
        <tr r="F1237" s="2"/>
      </tp>
      <tp t="s">
        <v>#N/A N/A</v>
        <stp/>
        <stp>BDP|9457892144220010738</stp>
        <tr r="M1682" s="2"/>
      </tp>
      <tp t="s">
        <v>#N/A N/A</v>
        <stp/>
        <stp>BDP|4785504355164040286</stp>
        <tr r="H720" s="2"/>
      </tp>
      <tp t="s">
        <v>#N/A N/A</v>
        <stp/>
        <stp>BDP|4723684004989433953</stp>
        <tr r="E29" s="2"/>
      </tp>
      <tp t="s">
        <v>#N/A N/A</v>
        <stp/>
        <stp>BDP|6609100406760913539</stp>
        <tr r="Q575" s="2"/>
      </tp>
      <tp t="s">
        <v>#N/A N/A</v>
        <stp/>
        <stp>BDP|7817598158576208313</stp>
        <tr r="M610" s="2"/>
      </tp>
      <tp t="s">
        <v>#N/A N/A</v>
        <stp/>
        <stp>BDP|3334315489043392921</stp>
        <tr r="H1488" s="2"/>
      </tp>
      <tp t="s">
        <v>#N/A N/A</v>
        <stp/>
        <stp>BDP|1011632094138555489</stp>
        <tr r="Q782" s="2"/>
      </tp>
      <tp t="s">
        <v>#N/A N/A</v>
        <stp/>
        <stp>BDP|6992641954290575763</stp>
        <tr r="G892" s="2"/>
      </tp>
      <tp t="s">
        <v>#N/A N/A</v>
        <stp/>
        <stp>BDP|9750699290890585412</stp>
        <tr r="T14" s="2"/>
      </tp>
      <tp t="s">
        <v>#N/A N/A</v>
        <stp/>
        <stp>BDP|3216520603923007799</stp>
        <tr r="P194" s="2"/>
      </tp>
      <tp t="s">
        <v>#N/A N/A</v>
        <stp/>
        <stp>BDP|6286992263609494264</stp>
        <tr r="N1345" s="2"/>
      </tp>
      <tp t="s">
        <v>#N/A N/A</v>
        <stp/>
        <stp>BDP|7847346686676637866</stp>
        <tr r="T277" s="2"/>
      </tp>
      <tp t="s">
        <v>#N/A N/A</v>
        <stp/>
        <stp>BDP|6456460858127967293</stp>
        <tr r="T1722" s="2"/>
      </tp>
      <tp t="s">
        <v>#N/A N/A</v>
        <stp/>
        <stp>BDP|1130368243813826762</stp>
        <tr r="C389" s="2"/>
      </tp>
      <tp t="s">
        <v>#N/A N/A</v>
        <stp/>
        <stp>BDP|1675547149057017512</stp>
        <tr r="T1749" s="2"/>
      </tp>
      <tp t="s">
        <v>#N/A N/A</v>
        <stp/>
        <stp>BDP|5226588044506690025</stp>
        <tr r="N972" s="2"/>
      </tp>
      <tp t="s">
        <v>#N/A N/A</v>
        <stp/>
        <stp>BDP|5028892561271114830</stp>
        <tr r="D1606" s="2"/>
      </tp>
      <tp t="s">
        <v>#N/A N/A</v>
        <stp/>
        <stp>BDP|6151620105196877440</stp>
        <tr r="N54" s="2"/>
      </tp>
      <tp t="s">
        <v>#N/A N/A</v>
        <stp/>
        <stp>BDP|1350270580070978971</stp>
        <tr r="C207" s="2"/>
      </tp>
      <tp t="s">
        <v>#N/A N/A</v>
        <stp/>
        <stp>BDP|1187556627986002294</stp>
        <tr r="J1372" s="2"/>
      </tp>
      <tp t="s">
        <v>#N/A N/A</v>
        <stp/>
        <stp>BDP|5942399949873167320</stp>
        <tr r="O527" s="2"/>
      </tp>
      <tp t="s">
        <v>#N/A N/A</v>
        <stp/>
        <stp>BDP|8634802507776967422</stp>
        <tr r="C1286" s="2"/>
      </tp>
      <tp t="s">
        <v>#N/A N/A</v>
        <stp/>
        <stp>BDP|3275810732019870332</stp>
        <tr r="M1689" s="2"/>
      </tp>
      <tp t="s">
        <v>#N/A N/A</v>
        <stp/>
        <stp>BDP|3927684772023118385</stp>
        <tr r="R1300" s="2"/>
      </tp>
      <tp t="s">
        <v>#N/A N/A</v>
        <stp/>
        <stp>BDP|1479896342687634831</stp>
        <tr r="S993" s="2"/>
      </tp>
      <tp t="s">
        <v>#N/A N/A</v>
        <stp/>
        <stp>BDP|7272595176225703205</stp>
        <tr r="T1409" s="2"/>
      </tp>
      <tp t="s">
        <v>#N/A N/A</v>
        <stp/>
        <stp>BDP|8681905321903590288</stp>
        <tr r="H209" s="2"/>
      </tp>
      <tp t="s">
        <v>#N/A N/A</v>
        <stp/>
        <stp>BDP|1052869757717899937</stp>
        <tr r="J1656" s="2"/>
      </tp>
      <tp t="s">
        <v>#N/A N/A</v>
        <stp/>
        <stp>BDP|8847184424609618082</stp>
        <tr r="S746" s="2"/>
      </tp>
      <tp t="s">
        <v>#N/A N/A</v>
        <stp/>
        <stp>BDP|5709183774820299136</stp>
        <tr r="T777" s="2"/>
      </tp>
      <tp t="s">
        <v>#N/A N/A</v>
        <stp/>
        <stp>BDP|5534226308444434116</stp>
        <tr r="J1751" s="2"/>
      </tp>
      <tp t="s">
        <v>#N/A N/A</v>
        <stp/>
        <stp>BDP|1460443545437824477</stp>
        <tr r="R1167" s="2"/>
      </tp>
      <tp t="s">
        <v>#N/A N/A</v>
        <stp/>
        <stp>BDP|5901403894939068378</stp>
        <tr r="C831" s="2"/>
      </tp>
      <tp t="s">
        <v>#N/A N/A</v>
        <stp/>
        <stp>BDP|7696463672654187290</stp>
        <tr r="S111" s="2"/>
      </tp>
      <tp t="s">
        <v>#N/A N/A</v>
        <stp/>
        <stp>BDP|3428633776031873132</stp>
        <tr r="N481" s="2"/>
      </tp>
      <tp t="s">
        <v>#N/A N/A</v>
        <stp/>
        <stp>BDP|3521169255292441789</stp>
        <tr r="N163" s="2"/>
      </tp>
      <tp t="s">
        <v>#N/A N/A</v>
        <stp/>
        <stp>BDP|6354667766812080695</stp>
        <tr r="C84" s="2"/>
      </tp>
      <tp t="s">
        <v>#N/A N/A</v>
        <stp/>
        <stp>BDP|1318870712768894248</stp>
        <tr r="D679" s="2"/>
      </tp>
      <tp t="s">
        <v>#N/A N/A</v>
        <stp/>
        <stp>BDP|3927009997088250068</stp>
        <tr r="O789" s="2"/>
      </tp>
      <tp t="s">
        <v>#N/A N/A</v>
        <stp/>
        <stp>BDP|1288197715870279366</stp>
        <tr r="N1445" s="2"/>
      </tp>
      <tp t="s">
        <v>#N/A N/A</v>
        <stp/>
        <stp>BDP|8612187306012102930</stp>
        <tr r="Q612" s="2"/>
      </tp>
      <tp t="s">
        <v>#N/A N/A</v>
        <stp/>
        <stp>BDP|6009583209042961323</stp>
        <tr r="K1633" s="2"/>
      </tp>
      <tp t="s">
        <v>#N/A N/A</v>
        <stp/>
        <stp>BDP|3908381242197848112</stp>
        <tr r="P846" s="2"/>
      </tp>
      <tp t="s">
        <v>#N/A N/A</v>
        <stp/>
        <stp>BDS|5847776529926910440</stp>
        <tr r="I1669" s="2"/>
      </tp>
      <tp t="s">
        <v>#N/A N/A</v>
        <stp/>
        <stp>BDP|1587029666371335498</stp>
        <tr r="T1594" s="2"/>
      </tp>
      <tp t="s">
        <v>#N/A N/A</v>
        <stp/>
        <stp>BDP|7799265947580955345</stp>
        <tr r="K1308" s="2"/>
      </tp>
      <tp t="s">
        <v>#N/A N/A</v>
        <stp/>
        <stp>BDP|3684491741123444214</stp>
        <tr r="A507" s="2"/>
      </tp>
      <tp t="s">
        <v>#N/A N/A</v>
        <stp/>
        <stp>BDP|3512674570859110984</stp>
        <tr r="H1294" s="2"/>
      </tp>
      <tp t="s">
        <v>#N/A N/A</v>
        <stp/>
        <stp>BDP|8612156268869440440</stp>
        <tr r="A400" s="2"/>
      </tp>
      <tp t="s">
        <v>#N/A N/A</v>
        <stp/>
        <stp>BDP|5858359253416219772</stp>
        <tr r="E1075" s="2"/>
      </tp>
      <tp t="s">
        <v>#N/A N/A</v>
        <stp/>
        <stp>BDP|4785263258388632940</stp>
        <tr r="P918" s="2"/>
      </tp>
      <tp t="s">
        <v>#N/A N/A</v>
        <stp/>
        <stp>BDP|8568386774346492861</stp>
        <tr r="D1493" s="2"/>
      </tp>
      <tp t="s">
        <v>#N/A N/A</v>
        <stp/>
        <stp>BDP|3636980890887244675</stp>
        <tr r="C1278" s="2"/>
      </tp>
      <tp t="s">
        <v>#N/A N/A</v>
        <stp/>
        <stp>BDP|5030622160095184283</stp>
        <tr r="Q602" s="2"/>
      </tp>
      <tp t="s">
        <v>#N/A N/A</v>
        <stp/>
        <stp>BDP|8750270495010893161</stp>
        <tr r="K361" s="2"/>
      </tp>
      <tp t="s">
        <v>#N/A N/A</v>
        <stp/>
        <stp>BDP|5413330344385883507</stp>
        <tr r="A1077" s="2"/>
      </tp>
      <tp t="s">
        <v>#N/A N/A</v>
        <stp/>
        <stp>BDP|9214193872939362411</stp>
        <tr r="E228" s="2"/>
      </tp>
      <tp t="s">
        <v>#N/A N/A</v>
        <stp/>
        <stp>BDP|1688050379634271035</stp>
        <tr r="S642" s="2"/>
      </tp>
      <tp t="s">
        <v>#N/A N/A</v>
        <stp/>
        <stp>BDP|6037718765520858577</stp>
        <tr r="R540" s="2"/>
      </tp>
      <tp t="s">
        <v>#N/A N/A</v>
        <stp/>
        <stp>BDP|6269884014884056950</stp>
        <tr r="O674" s="2"/>
      </tp>
      <tp t="s">
        <v>#N/A N/A</v>
        <stp/>
        <stp>BDP|6297651588652086849</stp>
        <tr r="G1633" s="2"/>
      </tp>
      <tp t="s">
        <v>#N/A N/A</v>
        <stp/>
        <stp>BDP|7982493471376372090</stp>
        <tr r="M625" s="2"/>
      </tp>
      <tp t="s">
        <v>#N/A N/A</v>
        <stp/>
        <stp>BDP|3182667036475328196</stp>
        <tr r="P483" s="2"/>
      </tp>
      <tp t="s">
        <v>#N/A N/A</v>
        <stp/>
        <stp>BDS|7275092515816528203</stp>
        <tr r="I739" s="2"/>
      </tp>
      <tp t="s">
        <v>#N/A N/A</v>
        <stp/>
        <stp>BDP|5315337912770990507</stp>
        <tr r="S946" s="2"/>
      </tp>
      <tp t="s">
        <v>#N/A N/A</v>
        <stp/>
        <stp>BDP|6474182688865961865</stp>
        <tr r="D115" s="2"/>
      </tp>
      <tp t="s">
        <v>#N/A N/A</v>
        <stp/>
        <stp>BDS|1842347591268197175</stp>
        <tr r="I993" s="2"/>
      </tp>
      <tp t="s">
        <v>#N/A N/A</v>
        <stp/>
        <stp>BDP|5904235450182824298</stp>
        <tr r="A285" s="2"/>
      </tp>
      <tp t="s">
        <v>#N/A N/A</v>
        <stp/>
        <stp>BDP|4973226574190696327</stp>
        <tr r="M459" s="2"/>
      </tp>
      <tp t="s">
        <v>#N/A N/A</v>
        <stp/>
        <stp>BDP|6435800279583205848</stp>
        <tr r="D1135" s="2"/>
      </tp>
      <tp t="s">
        <v>#N/A N/A</v>
        <stp/>
        <stp>BDP|3748930308391727904</stp>
        <tr r="O1098" s="2"/>
      </tp>
      <tp t="s">
        <v>#N/A N/A</v>
        <stp/>
        <stp>BDP|4897577208016561599</stp>
        <tr r="O428" s="2"/>
      </tp>
      <tp t="s">
        <v>#N/A N/A</v>
        <stp/>
        <stp>BDP|8832056555249001636</stp>
        <tr r="R1428" s="2"/>
      </tp>
      <tp t="s">
        <v>#N/A N/A</v>
        <stp/>
        <stp>BDP|6079349778255657518</stp>
        <tr r="J1123" s="2"/>
      </tp>
      <tp t="s">
        <v>#N/A N/A</v>
        <stp/>
        <stp>BDP|7315180594385463805</stp>
        <tr r="K1567" s="2"/>
      </tp>
      <tp t="s">
        <v>#N/A N/A</v>
        <stp/>
        <stp>BDP|8476942402461120283</stp>
        <tr r="A852" s="2"/>
      </tp>
      <tp t="s">
        <v>#N/A N/A</v>
        <stp/>
        <stp>BDP|2961766053205146766</stp>
        <tr r="G198" s="2"/>
      </tp>
      <tp t="s">
        <v>#N/A N/A</v>
        <stp/>
        <stp>BDP|2251480134762023553</stp>
        <tr r="T451" s="2"/>
      </tp>
      <tp t="s">
        <v>#N/A N/A</v>
        <stp/>
        <stp>BDP|3421085307652521350</stp>
        <tr r="Q940" s="2"/>
      </tp>
      <tp t="s">
        <v>#N/A N/A</v>
        <stp/>
        <stp>BDS|9843760690721361465</stp>
        <tr r="I580" s="2"/>
      </tp>
      <tp t="s">
        <v>#N/A N/A</v>
        <stp/>
        <stp>BDP|2451006558322744707</stp>
        <tr r="P1447" s="2"/>
      </tp>
      <tp t="s">
        <v>#N/A N/A</v>
        <stp/>
        <stp>BDP|5867024102603244413</stp>
        <tr r="O1728" s="2"/>
      </tp>
      <tp t="s">
        <v>#N/A N/A</v>
        <stp/>
        <stp>BDP|2642626592259401693</stp>
        <tr r="T1416" s="2"/>
      </tp>
      <tp t="s">
        <v>#N/A N/A</v>
        <stp/>
        <stp>BDP|8837945276927054319</stp>
        <tr r="N676" s="2"/>
      </tp>
      <tp t="s">
        <v>#N/A N/A</v>
        <stp/>
        <stp>BDP|4018133929895095011</stp>
        <tr r="G749" s="2"/>
      </tp>
      <tp t="s">
        <v>#N/A N/A</v>
        <stp/>
        <stp>BDP|5536442065814893175</stp>
        <tr r="O908" s="2"/>
      </tp>
      <tp t="s">
        <v>#N/A N/A</v>
        <stp/>
        <stp>BDP|6611317312372927472</stp>
        <tr r="N1656" s="2"/>
      </tp>
      <tp t="s">
        <v>#N/A N/A</v>
        <stp/>
        <stp>BDP|2301698990716525948</stp>
        <tr r="K1514" s="2"/>
      </tp>
      <tp t="s">
        <v>#N/A N/A</v>
        <stp/>
        <stp>BDP|1772483916713144532</stp>
        <tr r="A261" s="2"/>
      </tp>
      <tp t="s">
        <v>#N/A N/A</v>
        <stp/>
        <stp>BDP|2659293407031740347</stp>
        <tr r="K1209" s="2"/>
      </tp>
      <tp t="s">
        <v>#N/A N/A</v>
        <stp/>
        <stp>BDP|9950412957399630323</stp>
        <tr r="J948" s="2"/>
      </tp>
      <tp t="s">
        <v>#N/A N/A</v>
        <stp/>
        <stp>BDP|7697873453889816117</stp>
        <tr r="F1060" s="2"/>
      </tp>
      <tp t="s">
        <v>#N/A N/A</v>
        <stp/>
        <stp>BDP|4868393354740711097</stp>
        <tr r="C414" s="2"/>
      </tp>
      <tp t="s">
        <v>#N/A N/A</v>
        <stp/>
        <stp>BDP|4562569416130900279</stp>
        <tr r="O413" s="2"/>
      </tp>
      <tp t="s">
        <v>#N/A N/A</v>
        <stp/>
        <stp>BDP|2616086641576007245</stp>
        <tr r="M1264" s="2"/>
      </tp>
      <tp t="s">
        <v>#N/A N/A</v>
        <stp/>
        <stp>BDP|5254482023026176737</stp>
        <tr r="P785" s="2"/>
      </tp>
      <tp t="s">
        <v>#N/A N/A</v>
        <stp/>
        <stp>BDP|4520256218046475374</stp>
        <tr r="T1252" s="2"/>
      </tp>
      <tp t="s">
        <v>#N/A N/A</v>
        <stp/>
        <stp>BDP|7506512959937783214</stp>
        <tr r="G584" s="2"/>
      </tp>
      <tp t="s">
        <v>#N/A N/A</v>
        <stp/>
        <stp>BDP|2759255098793934882</stp>
        <tr r="O210" s="2"/>
      </tp>
      <tp t="s">
        <v>#N/A N/A</v>
        <stp/>
        <stp>BDP|9825417555458047273</stp>
        <tr r="N3" s="2"/>
      </tp>
      <tp t="s">
        <v>#N/A N/A</v>
        <stp/>
        <stp>BDP|3818215534390238042</stp>
        <tr r="R245" s="2"/>
      </tp>
      <tp t="s">
        <v>#N/A N/A</v>
        <stp/>
        <stp>BDP|8043461187274918230</stp>
        <tr r="T703" s="2"/>
      </tp>
      <tp t="s">
        <v>#N/A N/A</v>
        <stp/>
        <stp>BDP|3541191492110441928</stp>
        <tr r="A1130" s="2"/>
      </tp>
      <tp t="s">
        <v>#N/A N/A</v>
        <stp/>
        <stp>BDP|3603494718077655399</stp>
        <tr r="H1073" s="2"/>
      </tp>
      <tp t="s">
        <v>#N/A N/A</v>
        <stp/>
        <stp>BDP|7223759984413858932</stp>
        <tr r="T356" s="2"/>
      </tp>
      <tp t="s">
        <v>#N/A N/A</v>
        <stp/>
        <stp>BDP|5584891624485616864</stp>
        <tr r="D375" s="2"/>
      </tp>
      <tp t="s">
        <v>#N/A N/A</v>
        <stp/>
        <stp>BDP|8927903661277898282</stp>
        <tr r="R1365" s="2"/>
      </tp>
      <tp t="s">
        <v>#N/A N/A</v>
        <stp/>
        <stp>BDP|8318643408208395441</stp>
        <tr r="M75" s="2"/>
      </tp>
      <tp t="s">
        <v>#N/A N/A</v>
        <stp/>
        <stp>BDP|6715120009841164454</stp>
        <tr r="M1197" s="2"/>
      </tp>
      <tp t="s">
        <v>#N/A N/A</v>
        <stp/>
        <stp>BDS|6834552906997231613</stp>
        <tr r="I545" s="2"/>
      </tp>
      <tp t="s">
        <v>#N/A N/A</v>
        <stp/>
        <stp>BDP|7733064509800374533</stp>
        <tr r="G313" s="2"/>
      </tp>
      <tp t="s">
        <v>#N/A N/A</v>
        <stp/>
        <stp>BDP|1721190556117819089</stp>
        <tr r="M1543" s="2"/>
      </tp>
      <tp t="s">
        <v>#N/A N/A</v>
        <stp/>
        <stp>BDP|5625955894221794687</stp>
        <tr r="G1392" s="2"/>
      </tp>
      <tp t="s">
        <v>#N/A N/A</v>
        <stp/>
        <stp>BDP|1688756972111835216</stp>
        <tr r="Q1746" s="2"/>
      </tp>
      <tp t="s">
        <v>#N/A N/A</v>
        <stp/>
        <stp>BDP|5039183970928154916</stp>
        <tr r="C26" s="2"/>
      </tp>
      <tp t="s">
        <v>#N/A N/A</v>
        <stp/>
        <stp>BDS|2954893158965640862</stp>
        <tr r="I895" s="2"/>
      </tp>
      <tp t="s">
        <v>#N/A N/A</v>
        <stp/>
        <stp>BDS|6216069720176449084</stp>
        <tr r="I1344" s="2"/>
      </tp>
      <tp t="s">
        <v>#N/A N/A</v>
        <stp/>
        <stp>BDP|7062035559614511479</stp>
        <tr r="E209" s="2"/>
      </tp>
      <tp t="s">
        <v>#N/A N/A</v>
        <stp/>
        <stp>BDP|3442790038657895256</stp>
        <tr r="C1374" s="2"/>
      </tp>
      <tp t="s">
        <v>#N/A N/A</v>
        <stp/>
        <stp>BDP|3776114824937871520</stp>
        <tr r="C825" s="2"/>
      </tp>
      <tp t="s">
        <v>#N/A N/A</v>
        <stp/>
        <stp>BDP|9902552309888400697</stp>
        <tr r="A927" s="2"/>
      </tp>
      <tp t="s">
        <v>#N/A N/A</v>
        <stp/>
        <stp>BDS|1998475857230309220</stp>
        <tr r="I404" s="2"/>
      </tp>
      <tp t="s">
        <v>#N/A N/A</v>
        <stp/>
        <stp>BDP|4696561588263170811</stp>
        <tr r="K852" s="2"/>
      </tp>
      <tp t="s">
        <v>#N/A N/A</v>
        <stp/>
        <stp>BDP|8824646426748474668</stp>
        <tr r="J264" s="2"/>
      </tp>
      <tp t="s">
        <v>#N/A N/A</v>
        <stp/>
        <stp>BDP|2024035661885208383</stp>
        <tr r="P1327" s="2"/>
      </tp>
      <tp t="s">
        <v>#N/A N/A</v>
        <stp/>
        <stp>BDP|2510646075840976154</stp>
        <tr r="T289" s="2"/>
      </tp>
      <tp t="s">
        <v>#N/A N/A</v>
        <stp/>
        <stp>BDP|9679073279765960999</stp>
        <tr r="S1093" s="2"/>
      </tp>
      <tp t="s">
        <v>#N/A N/A</v>
        <stp/>
        <stp>BDP|5584165389388625640</stp>
        <tr r="Q1111" s="2"/>
      </tp>
      <tp t="s">
        <v>#N/A N/A</v>
        <stp/>
        <stp>BDP|5917577455045500269</stp>
        <tr r="N553" s="2"/>
      </tp>
      <tp t="s">
        <v>#N/A N/A</v>
        <stp/>
        <stp>BDP|2837386959570779668</stp>
        <tr r="F189" s="2"/>
      </tp>
      <tp t="s">
        <v>#N/A N/A</v>
        <stp/>
        <stp>BDP|6810135422501868698</stp>
        <tr r="A117" s="2"/>
      </tp>
      <tp t="s">
        <v>#N/A N/A</v>
        <stp/>
        <stp>BDP|9624705208614532833</stp>
        <tr r="F1684" s="2"/>
      </tp>
      <tp t="s">
        <v>#N/A N/A</v>
        <stp/>
        <stp>BDP|8428632810105826872</stp>
        <tr r="S704" s="2"/>
      </tp>
      <tp t="s">
        <v>#N/A N/A</v>
        <stp/>
        <stp>BDP|2011122117492574281</stp>
        <tr r="O968" s="2"/>
      </tp>
      <tp t="s">
        <v>#N/A N/A</v>
        <stp/>
        <stp>BDP|4065596690759438355</stp>
        <tr r="S1445" s="2"/>
      </tp>
      <tp t="s">
        <v>#N/A N/A</v>
        <stp/>
        <stp>BDP|8001980746245418222</stp>
        <tr r="H697" s="2"/>
      </tp>
      <tp t="s">
        <v>#N/A N/A</v>
        <stp/>
        <stp>BDP|3403670739652705656</stp>
        <tr r="C487" s="2"/>
      </tp>
      <tp t="s">
        <v>#N/A N/A</v>
        <stp/>
        <stp>BDP|9504923310000927361</stp>
        <tr r="G56" s="2"/>
      </tp>
      <tp t="s">
        <v>#N/A N/A</v>
        <stp/>
        <stp>BDP|6318286725247476322</stp>
        <tr r="R765" s="2"/>
      </tp>
      <tp t="s">
        <v>#N/A N/A</v>
        <stp/>
        <stp>BDP|7645110460396745483</stp>
        <tr r="D426" s="2"/>
      </tp>
      <tp t="s">
        <v>#N/A N/A</v>
        <stp/>
        <stp>BDP|8131583176298147066</stp>
        <tr r="O425" s="2"/>
      </tp>
      <tp t="s">
        <v>#N/A N/A</v>
        <stp/>
        <stp>BDP|1070015978527770360</stp>
        <tr r="F1339" s="2"/>
      </tp>
      <tp t="s">
        <v>#N/A N/A</v>
        <stp/>
        <stp>BDP|4364711712758136890</stp>
        <tr r="A1064" s="2"/>
      </tp>
      <tp t="s">
        <v>#N/A N/A</v>
        <stp/>
        <stp>BDP|8314946933323966351</stp>
        <tr r="O299" s="2"/>
      </tp>
      <tp t="s">
        <v>#N/A N/A</v>
        <stp/>
        <stp>BDS|7980108520647748162</stp>
        <tr r="I1196" s="2"/>
      </tp>
      <tp t="s">
        <v>#N/A N/A</v>
        <stp/>
        <stp>BDP|2708115572317867143</stp>
        <tr r="T1309" s="2"/>
      </tp>
      <tp t="s">
        <v>#N/A N/A</v>
        <stp/>
        <stp>BDP|3499908966358200680</stp>
        <tr r="A820" s="2"/>
      </tp>
      <tp t="s">
        <v>#N/A N/A</v>
        <stp/>
        <stp>BDP|1715869303868972335</stp>
        <tr r="M912" s="2"/>
      </tp>
      <tp t="s">
        <v>#N/A N/A</v>
        <stp/>
        <stp>BDP|6929704008900196384</stp>
        <tr r="O1358" s="2"/>
      </tp>
      <tp t="s">
        <v>#N/A N/A</v>
        <stp/>
        <stp>BDP|9906864453626558015</stp>
        <tr r="A1716" s="2"/>
      </tp>
      <tp t="s">
        <v>#N/A N/A</v>
        <stp/>
        <stp>BDP|7063244685427901803</stp>
        <tr r="S136" s="2"/>
      </tp>
      <tp t="s">
        <v>#N/A N/A</v>
        <stp/>
        <stp>BDP|8901066206133639971</stp>
        <tr r="P820" s="2"/>
      </tp>
      <tp t="s">
        <v>#N/A N/A</v>
        <stp/>
        <stp>BDP|1167042513070889268</stp>
        <tr r="J110" s="2"/>
      </tp>
      <tp t="s">
        <v>#N/A N/A</v>
        <stp/>
        <stp>BDS|5606645577477878151</stp>
        <tr r="I441" s="2"/>
      </tp>
      <tp t="s">
        <v>#N/A N/A</v>
        <stp/>
        <stp>BDP|9439296900148460115</stp>
        <tr r="T1461" s="2"/>
      </tp>
      <tp t="s">
        <v>#N/A N/A</v>
        <stp/>
        <stp>BDP|1491355624797948548</stp>
        <tr r="P1104" s="2"/>
      </tp>
      <tp t="s">
        <v>#N/A N/A</v>
        <stp/>
        <stp>BDP|2225132583590225980</stp>
        <tr r="C681" s="2"/>
      </tp>
      <tp t="s">
        <v>#N/A N/A</v>
        <stp/>
        <stp>BDP|9578085916592480878</stp>
        <tr r="P1213" s="2"/>
      </tp>
      <tp t="s">
        <v>#N/A N/A</v>
        <stp/>
        <stp>BDP|1950905160219469553</stp>
        <tr r="R785" s="2"/>
      </tp>
      <tp t="s">
        <v>#N/A N/A</v>
        <stp/>
        <stp>BDP|6187384133382714659</stp>
        <tr r="A516" s="2"/>
      </tp>
      <tp t="s">
        <v>#N/A N/A</v>
        <stp/>
        <stp>BDP|4022094484776264871</stp>
        <tr r="T1640" s="2"/>
      </tp>
      <tp t="s">
        <v>#N/A N/A</v>
        <stp/>
        <stp>BDP|4915361575206657441</stp>
        <tr r="T1222" s="2"/>
      </tp>
      <tp t="s">
        <v>#N/A N/A</v>
        <stp/>
        <stp>BDP|1001419388708511749</stp>
        <tr r="Q1690" s="2"/>
      </tp>
      <tp t="s">
        <v>#N/A N/A</v>
        <stp/>
        <stp>BDP|2899739532002937685</stp>
        <tr r="F302" s="2"/>
      </tp>
      <tp t="s">
        <v>#N/A N/A</v>
        <stp/>
        <stp>BDP|2885456327473651556</stp>
        <tr r="Q720" s="2"/>
      </tp>
      <tp t="s">
        <v>#N/A N/A</v>
        <stp/>
        <stp>BDP|5914482146427999077</stp>
        <tr r="J1439" s="2"/>
      </tp>
      <tp t="s">
        <v>#N/A N/A</v>
        <stp/>
        <stp>BDP|2475790485979029615</stp>
        <tr r="D627" s="2"/>
      </tp>
      <tp t="s">
        <v>#N/A N/A</v>
        <stp/>
        <stp>BDP|9222821972366214298</stp>
        <tr r="J1075" s="2"/>
      </tp>
      <tp t="s">
        <v>#N/A N/A</v>
        <stp/>
        <stp>BDP|4765347423935007290</stp>
        <tr r="T1223" s="2"/>
      </tp>
      <tp t="s">
        <v>#N/A N/A</v>
        <stp/>
        <stp>BDP|8190255869788765635</stp>
        <tr r="R576" s="2"/>
      </tp>
      <tp t="s">
        <v>#N/A N/A</v>
        <stp/>
        <stp>BDP|4079539913014906606</stp>
        <tr r="O1487" s="2"/>
      </tp>
      <tp t="s">
        <v>#N/A N/A</v>
        <stp/>
        <stp>BDP|5465645741787898205</stp>
        <tr r="J1275" s="2"/>
      </tp>
      <tp t="s">
        <v>#N/A N/A</v>
        <stp/>
        <stp>BDP|5519161564876698689</stp>
        <tr r="Q1561" s="2"/>
      </tp>
      <tp t="s">
        <v>#N/A N/A</v>
        <stp/>
        <stp>BDP|2787730859650456203</stp>
        <tr r="F681" s="2"/>
      </tp>
      <tp t="s">
        <v>#N/A N/A</v>
        <stp/>
        <stp>BDP|7518385115562387521</stp>
        <tr r="R72" s="2"/>
      </tp>
      <tp t="s">
        <v>#N/A N/A</v>
        <stp/>
        <stp>BDP|2200493979503290097</stp>
        <tr r="P621" s="2"/>
      </tp>
      <tp t="s">
        <v>#N/A N/A</v>
        <stp/>
        <stp>BDP|2925351128514482595</stp>
        <tr r="S183" s="2"/>
      </tp>
      <tp t="s">
        <v>#N/A N/A</v>
        <stp/>
        <stp>BDP|8142982805746139549</stp>
        <tr r="F1001" s="2"/>
      </tp>
      <tp t="s">
        <v>#N/A N/A</v>
        <stp/>
        <stp>BDP|3634477124065593296</stp>
        <tr r="F1199" s="2"/>
      </tp>
      <tp t="s">
        <v>#N/A N/A</v>
        <stp/>
        <stp>BDP|8987919696302218858</stp>
        <tr r="J1331" s="2"/>
      </tp>
      <tp t="s">
        <v>#N/A N/A</v>
        <stp/>
        <stp>BDP|6370478339771460204</stp>
        <tr r="E1507" s="2"/>
      </tp>
      <tp t="s">
        <v>#N/A N/A</v>
        <stp/>
        <stp>BDP|8511571714867605992</stp>
        <tr r="P1738" s="2"/>
      </tp>
      <tp t="s">
        <v>#N/A N/A</v>
        <stp/>
        <stp>BDP|1332286204531520038</stp>
        <tr r="T1279" s="2"/>
      </tp>
      <tp t="s">
        <v>#N/A N/A</v>
        <stp/>
        <stp>BDP|6999331557683032140</stp>
        <tr r="C103" s="2"/>
      </tp>
      <tp t="s">
        <v>#N/A N/A</v>
        <stp/>
        <stp>BDP|3178205863317246298</stp>
        <tr r="S484" s="2"/>
      </tp>
      <tp t="s">
        <v>#N/A N/A</v>
        <stp/>
        <stp>BDP|3378379893028823361</stp>
        <tr r="T70" s="2"/>
      </tp>
      <tp t="s">
        <v>#N/A N/A</v>
        <stp/>
        <stp>BDP|7633294201713796405</stp>
        <tr r="M95" s="2"/>
      </tp>
      <tp t="s">
        <v>#N/A N/A</v>
        <stp/>
        <stp>BDP|3023565418137794203</stp>
        <tr r="D1126" s="2"/>
      </tp>
      <tp t="s">
        <v>#N/A N/A</v>
        <stp/>
        <stp>BDP|6225193077307480515</stp>
        <tr r="A1426" s="2"/>
      </tp>
      <tp t="s">
        <v>#N/A N/A</v>
        <stp/>
        <stp>BDP|5883433260505552074</stp>
        <tr r="H1387" s="2"/>
      </tp>
      <tp t="s">
        <v>#N/A N/A</v>
        <stp/>
        <stp>BDP|7591288365093094217</stp>
        <tr r="M1237" s="2"/>
      </tp>
      <tp t="s">
        <v>#N/A N/A</v>
        <stp/>
        <stp>BDP|5794819171608816069</stp>
        <tr r="M1191" s="2"/>
      </tp>
      <tp t="s">
        <v>#N/A N/A</v>
        <stp/>
        <stp>BDP|3218233016824712695</stp>
        <tr r="E518" s="2"/>
      </tp>
      <tp t="s">
        <v>#N/A N/A</v>
        <stp/>
        <stp>BDP|7540740456673946477</stp>
        <tr r="F1224" s="2"/>
      </tp>
      <tp t="s">
        <v>#N/A N/A</v>
        <stp/>
        <stp>BDP|1696758543130880019</stp>
        <tr r="J998" s="2"/>
      </tp>
      <tp t="s">
        <v>#N/A N/A</v>
        <stp/>
        <stp>BDP|4991480549022282431</stp>
        <tr r="H1550" s="2"/>
      </tp>
      <tp t="s">
        <v>#N/A N/A</v>
        <stp/>
        <stp>BDP|4734343507292521780</stp>
        <tr r="P263" s="2"/>
      </tp>
      <tp t="s">
        <v>#N/A N/A</v>
        <stp/>
        <stp>BDP|4650690449590629491</stp>
        <tr r="G1721" s="2"/>
      </tp>
      <tp t="s">
        <v>#N/A N/A</v>
        <stp/>
        <stp>BDS|7259878328388067749</stp>
        <tr r="I1260" s="2"/>
      </tp>
      <tp t="s">
        <v>#N/A N/A</v>
        <stp/>
        <stp>BDP|2827471034535105234</stp>
        <tr r="T1352" s="2"/>
      </tp>
      <tp t="s">
        <v>#N/A N/A</v>
        <stp/>
        <stp>BDP|3629977909438321021</stp>
        <tr r="H816" s="2"/>
      </tp>
      <tp t="s">
        <v>#N/A N/A</v>
        <stp/>
        <stp>BDP|2186407262994973634</stp>
        <tr r="C1219" s="2"/>
      </tp>
      <tp t="s">
        <v>#N/A N/A</v>
        <stp/>
        <stp>BDP|2328655169551145173</stp>
        <tr r="T383" s="2"/>
      </tp>
      <tp t="s">
        <v>#N/A N/A</v>
        <stp/>
        <stp>BDP|3328962658209327475</stp>
        <tr r="C653" s="2"/>
      </tp>
      <tp t="s">
        <v>#N/A N/A</v>
        <stp/>
        <stp>BDP|2318496691235046824</stp>
        <tr r="C1490" s="2"/>
      </tp>
      <tp t="s">
        <v>#N/A N/A</v>
        <stp/>
        <stp>BDP|8961551090414255272</stp>
        <tr r="E1397" s="2"/>
      </tp>
      <tp t="s">
        <v>#N/A N/A</v>
        <stp/>
        <stp>BDP|3957031703016916791</stp>
        <tr r="D18" s="2"/>
      </tp>
      <tp t="s">
        <v>#N/A N/A</v>
        <stp/>
        <stp>BDP|5513735503620823044</stp>
        <tr r="F398" s="2"/>
      </tp>
      <tp t="s">
        <v>#N/A N/A</v>
        <stp/>
        <stp>BDP|8963851075057716272</stp>
        <tr r="F1108" s="2"/>
      </tp>
      <tp t="s">
        <v>#N/A N/A</v>
        <stp/>
        <stp>BDS|4335600836486834543</stp>
        <tr r="I365" s="2"/>
      </tp>
      <tp t="s">
        <v>#N/A N/A</v>
        <stp/>
        <stp>BDP|3042651246457977432</stp>
        <tr r="D760" s="2"/>
      </tp>
      <tp t="s">
        <v>#N/A N/A</v>
        <stp/>
        <stp>BDP|4273981942349127203</stp>
        <tr r="D1169" s="2"/>
      </tp>
      <tp t="s">
        <v>#N/A N/A</v>
        <stp/>
        <stp>BDP|3279994586283736335</stp>
        <tr r="J810" s="2"/>
      </tp>
      <tp t="s">
        <v>#N/A N/A</v>
        <stp/>
        <stp>BDP|6243685134197767601</stp>
        <tr r="M516" s="2"/>
      </tp>
      <tp t="s">
        <v>#N/A N/A</v>
        <stp/>
        <stp>BDP|9447562783346818003</stp>
        <tr r="O1395" s="2"/>
      </tp>
      <tp t="s">
        <v>#N/A N/A</v>
        <stp/>
        <stp>BDP|1262436514162468480</stp>
        <tr r="K1397" s="2"/>
      </tp>
      <tp t="s">
        <v>#N/A N/A</v>
        <stp/>
        <stp>BDP|2870803494876027758</stp>
        <tr r="H1457" s="2"/>
      </tp>
      <tp t="s">
        <v>#N/A N/A</v>
        <stp/>
        <stp>BDP|5906603023776314503</stp>
        <tr r="N844" s="2"/>
      </tp>
      <tp t="s">
        <v>#N/A N/A</v>
        <stp/>
        <stp>BDP|2886447447830032022</stp>
        <tr r="E429" s="2"/>
      </tp>
      <tp t="s">
        <v>#N/A N/A</v>
        <stp/>
        <stp>BDP|4966391216781621594</stp>
        <tr r="E544" s="2"/>
      </tp>
      <tp t="s">
        <v>#N/A N/A</v>
        <stp/>
        <stp>BDP|2240295403652029013</stp>
        <tr r="G1750" s="2"/>
      </tp>
      <tp t="s">
        <v>#N/A N/A</v>
        <stp/>
        <stp>BDP|2256982611890510878</stp>
        <tr r="N1095" s="2"/>
      </tp>
      <tp t="s">
        <v>#N/A N/A</v>
        <stp/>
        <stp>BDP|4497484776995463074</stp>
        <tr r="A685" s="2"/>
      </tp>
      <tp t="s">
        <v>#N/A N/A</v>
        <stp/>
        <stp>BDP|4687500613446351480</stp>
        <tr r="P1742" s="2"/>
      </tp>
      <tp t="s">
        <v>#N/A N/A</v>
        <stp/>
        <stp>BDS|8317317073949966763</stp>
        <tr r="I781" s="2"/>
      </tp>
      <tp t="s">
        <v>#N/A N/A</v>
        <stp/>
        <stp>BDP|7898204851464700600</stp>
        <tr r="P1294" s="2"/>
      </tp>
      <tp t="s">
        <v>#N/A N/A</v>
        <stp/>
        <stp>BDP|1577407117131514799</stp>
        <tr r="O196" s="2"/>
      </tp>
      <tp t="s">
        <v>#N/A N/A</v>
        <stp/>
        <stp>BDP|9413509335779615497</stp>
        <tr r="D912" s="2"/>
      </tp>
      <tp t="s">
        <v>#N/A N/A</v>
        <stp/>
        <stp>BDP|1958239944892644769</stp>
        <tr r="K1101" s="2"/>
      </tp>
      <tp t="s">
        <v>#N/A N/A</v>
        <stp/>
        <stp>BDP|8428879377642834727</stp>
        <tr r="A199" s="2"/>
      </tp>
      <tp t="s">
        <v>#N/A N/A</v>
        <stp/>
        <stp>BDP|3730221536981568185</stp>
        <tr r="A1263" s="2"/>
      </tp>
      <tp t="s">
        <v>#N/A N/A</v>
        <stp/>
        <stp>BDP|8982525791770317673</stp>
        <tr r="F825" s="2"/>
      </tp>
      <tp t="s">
        <v>#N/A N/A</v>
        <stp/>
        <stp>BDP|3247082769102887557</stp>
        <tr r="P816" s="2"/>
      </tp>
      <tp t="s">
        <v>#N/A N/A</v>
        <stp/>
        <stp>BDP|6896846692567065204</stp>
        <tr r="F915" s="2"/>
      </tp>
      <tp t="s">
        <v>#N/A N/A</v>
        <stp/>
        <stp>BDP|8071482259252788987</stp>
        <tr r="F1302" s="2"/>
      </tp>
      <tp t="s">
        <v>#N/A N/A</v>
        <stp/>
        <stp>BDP|1080597967020626066</stp>
        <tr r="D792" s="2"/>
      </tp>
      <tp t="s">
        <v>#N/A N/A</v>
        <stp/>
        <stp>BDP|7387682870730764420</stp>
        <tr r="K1363" s="2"/>
      </tp>
      <tp t="s">
        <v>#N/A N/A</v>
        <stp/>
        <stp>BDP|3032524058132498304</stp>
        <tr r="P898" s="2"/>
      </tp>
      <tp t="s">
        <v>#N/A N/A</v>
        <stp/>
        <stp>BDP|2301484297668692541</stp>
        <tr r="G121" s="2"/>
      </tp>
      <tp t="s">
        <v>#N/A N/A</v>
        <stp/>
        <stp>BDP|7920448262536349121</stp>
        <tr r="O1327" s="2"/>
      </tp>
      <tp t="s">
        <v>#N/A N/A</v>
        <stp/>
        <stp>BDP|8697280002241264900</stp>
        <tr r="F127" s="2"/>
      </tp>
      <tp t="s">
        <v>#N/A N/A</v>
        <stp/>
        <stp>BDP|3025605402882449586</stp>
        <tr r="N356" s="2"/>
      </tp>
      <tp t="s">
        <v>#N/A N/A</v>
        <stp/>
        <stp>BDP|4240582262126123378</stp>
        <tr r="C1294" s="2"/>
      </tp>
      <tp t="s">
        <v>#N/A N/A</v>
        <stp/>
        <stp>BDP|6501418545386621294</stp>
        <tr r="G810" s="2"/>
      </tp>
      <tp t="s">
        <v>#N/A N/A</v>
        <stp/>
        <stp>BDP|5149194732726335379</stp>
        <tr r="A521" s="2"/>
      </tp>
      <tp t="s">
        <v>#N/A N/A</v>
        <stp/>
        <stp>BDP|4790487478763917604</stp>
        <tr r="P294" s="2"/>
      </tp>
      <tp t="s">
        <v>#N/A N/A</v>
        <stp/>
        <stp>BDP|8047764728868414745</stp>
        <tr r="F529" s="2"/>
      </tp>
      <tp t="s">
        <v>#N/A N/A</v>
        <stp/>
        <stp>BDP|1949511762916793639</stp>
        <tr r="G796" s="2"/>
      </tp>
      <tp t="s">
        <v>#N/A N/A</v>
        <stp/>
        <stp>BDP|7911564080871179905</stp>
        <tr r="R662" s="2"/>
      </tp>
      <tp t="s">
        <v>#N/A N/A</v>
        <stp/>
        <stp>BDP|6462989182010584559</stp>
        <tr r="P755" s="2"/>
      </tp>
      <tp t="s">
        <v>#N/A N/A</v>
        <stp/>
        <stp>BDP|1565604552482863211</stp>
        <tr r="E1137" s="2"/>
      </tp>
      <tp t="s">
        <v>#N/A N/A</v>
        <stp/>
        <stp>BDP|2187397625109685856</stp>
        <tr r="H985" s="2"/>
      </tp>
      <tp t="s">
        <v>#N/A N/A</v>
        <stp/>
        <stp>BDP|8815170467344540936</stp>
        <tr r="C1375" s="2"/>
      </tp>
      <tp t="s">
        <v>#N/A N/A</v>
        <stp/>
        <stp>BDP|9841047081326554565</stp>
        <tr r="D981" s="2"/>
      </tp>
      <tp t="s">
        <v>#N/A N/A</v>
        <stp/>
        <stp>BDP|6229223489277555926</stp>
        <tr r="P1421" s="2"/>
      </tp>
      <tp t="s">
        <v>#N/A N/A</v>
        <stp/>
        <stp>BDP|3677108997480981960</stp>
        <tr r="J1388" s="2"/>
      </tp>
      <tp t="s">
        <v>#N/A N/A</v>
        <stp/>
        <stp>BDS|3276295453000555637</stp>
        <tr r="I817" s="2"/>
      </tp>
      <tp t="s">
        <v>#N/A N/A</v>
        <stp/>
        <stp>BDP|6767639777911448491</stp>
        <tr r="G482" s="2"/>
      </tp>
      <tp t="s">
        <v>#N/A N/A</v>
        <stp/>
        <stp>BDP|4187685616990158103</stp>
        <tr r="R1473" s="2"/>
      </tp>
      <tp t="s">
        <v>#N/A N/A</v>
        <stp/>
        <stp>BDP|6262803307044224895</stp>
        <tr r="E1135" s="2"/>
      </tp>
      <tp t="s">
        <v>#N/A N/A</v>
        <stp/>
        <stp>BDP|2272407067271978327</stp>
        <tr r="H1548" s="2"/>
      </tp>
      <tp t="s">
        <v>#N/A N/A</v>
        <stp/>
        <stp>BDP|6437362831337597389</stp>
        <tr r="C1106" s="2"/>
      </tp>
      <tp t="s">
        <v>#N/A N/A</v>
        <stp/>
        <stp>BDP|7713230565980948169</stp>
        <tr r="S1425" s="2"/>
      </tp>
      <tp t="s">
        <v>#N/A N/A</v>
        <stp/>
        <stp>BDP|8529885439232958335</stp>
        <tr r="N552" s="2"/>
      </tp>
      <tp t="s">
        <v>#N/A N/A</v>
        <stp/>
        <stp>BDP|2610445377286829531</stp>
        <tr r="F1431" s="2"/>
      </tp>
      <tp t="s">
        <v>#N/A N/A</v>
        <stp/>
        <stp>BDP|8028997810562359040</stp>
        <tr r="M554" s="2"/>
      </tp>
      <tp t="s">
        <v>#N/A N/A</v>
        <stp/>
        <stp>BDP|8324993484379550253</stp>
        <tr r="Q9" s="2"/>
      </tp>
      <tp t="s">
        <v>#N/A N/A</v>
        <stp/>
        <stp>BDP|7712532501306805634</stp>
        <tr r="J1288" s="2"/>
      </tp>
      <tp t="s">
        <v>#N/A N/A</v>
        <stp/>
        <stp>BDP|8201963957135577381</stp>
        <tr r="K1440" s="2"/>
      </tp>
      <tp t="s">
        <v>#N/A N/A</v>
        <stp/>
        <stp>BDP|4885469127323038375</stp>
        <tr r="M1667" s="2"/>
      </tp>
      <tp t="s">
        <v>#N/A N/A</v>
        <stp/>
        <stp>BDS|4806443227472249274</stp>
        <tr r="I946" s="2"/>
      </tp>
      <tp t="s">
        <v>#N/A N/A</v>
        <stp/>
        <stp>BDP|5496254260702740189</stp>
        <tr r="F887" s="2"/>
      </tp>
      <tp t="s">
        <v>#N/A N/A</v>
        <stp/>
        <stp>BDP|5438482387959089257</stp>
        <tr r="Q1015" s="2"/>
      </tp>
      <tp t="s">
        <v>#N/A N/A</v>
        <stp/>
        <stp>BDS|8122116598806487420</stp>
        <tr r="I143" s="2"/>
      </tp>
      <tp t="s">
        <v>#N/A N/A</v>
        <stp/>
        <stp>BDP|2555039709803703363</stp>
        <tr r="C813" s="2"/>
      </tp>
      <tp t="s">
        <v>#N/A N/A</v>
        <stp/>
        <stp>BDP|7233955486360703482</stp>
        <tr r="P1251" s="2"/>
      </tp>
      <tp t="s">
        <v>#N/A N/A</v>
        <stp/>
        <stp>BDP|7131043311046258282</stp>
        <tr r="O629" s="2"/>
      </tp>
      <tp t="s">
        <v>#N/A N/A</v>
        <stp/>
        <stp>BDP|4745312464205878644</stp>
        <tr r="N1133" s="2"/>
      </tp>
      <tp t="s">
        <v>#N/A N/A</v>
        <stp/>
        <stp>BDP|7709540219002112356</stp>
        <tr r="Q832" s="2"/>
      </tp>
      <tp t="s">
        <v>#N/A N/A</v>
        <stp/>
        <stp>BDP|7989256723674463159</stp>
        <tr r="D677" s="2"/>
      </tp>
      <tp t="s">
        <v>#N/A N/A</v>
        <stp/>
        <stp>BDP|8298787611955571907</stp>
        <tr r="K1557" s="2"/>
      </tp>
      <tp t="s">
        <v>#N/A N/A</v>
        <stp/>
        <stp>BDP|1278768402886110290</stp>
        <tr r="G1063" s="2"/>
      </tp>
      <tp t="s">
        <v>#N/A N/A</v>
        <stp/>
        <stp>BDP|3081368500604064686</stp>
        <tr r="D578" s="2"/>
      </tp>
      <tp t="s">
        <v>#N/A N/A</v>
        <stp/>
        <stp>BDS|6325763311046320496</stp>
        <tr r="I1565" s="2"/>
      </tp>
      <tp t="s">
        <v>#N/A N/A</v>
        <stp/>
        <stp>BDP|3297105814897848606</stp>
        <tr r="N669" s="2"/>
      </tp>
      <tp t="s">
        <v>#N/A N/A</v>
        <stp/>
        <stp>BDP|5533603957284979053</stp>
        <tr r="H626" s="2"/>
      </tp>
      <tp t="s">
        <v>#N/A N/A</v>
        <stp/>
        <stp>BDS|6430858799114734103</stp>
        <tr r="I410" s="2"/>
      </tp>
      <tp t="s">
        <v>#N/A N/A</v>
        <stp/>
        <stp>BDS|7632871478309635308</stp>
        <tr r="I533" s="2"/>
      </tp>
      <tp t="s">
        <v>#N/A N/A</v>
        <stp/>
        <stp>BDP|6304181015021186501</stp>
        <tr r="O516" s="2"/>
      </tp>
      <tp t="s">
        <v>#N/A N/A</v>
        <stp/>
        <stp>BDP|3378685817824153227</stp>
        <tr r="D155" s="2"/>
      </tp>
      <tp t="s">
        <v>#N/A N/A</v>
        <stp/>
        <stp>BDP|5581860999500573602</stp>
        <tr r="D112" s="2"/>
      </tp>
      <tp t="s">
        <v>#N/A N/A</v>
        <stp/>
        <stp>BDP|7381224390349810765</stp>
        <tr r="D741" s="2"/>
      </tp>
      <tp t="s">
        <v>#N/A N/A</v>
        <stp/>
        <stp>BDP|3020730700520444688</stp>
        <tr r="T1023" s="2"/>
      </tp>
      <tp t="s">
        <v>#N/A N/A</v>
        <stp/>
        <stp>BDP|5281163902044875217</stp>
        <tr r="C425" s="2"/>
      </tp>
      <tp t="s">
        <v>#N/A N/A</v>
        <stp/>
        <stp>BDP|5533560969631366569</stp>
        <tr r="H65" s="2"/>
      </tp>
      <tp t="s">
        <v>#N/A N/A</v>
        <stp/>
        <stp>BDP|7015879550309966110</stp>
        <tr r="F75" s="2"/>
      </tp>
      <tp t="s">
        <v>#N/A N/A</v>
        <stp/>
        <stp>BDP|9824675220496399937</stp>
        <tr r="Q1517" s="2"/>
      </tp>
      <tp t="s">
        <v>#N/A N/A</v>
        <stp/>
        <stp>BDP|2898658750246678549</stp>
        <tr r="E591" s="2"/>
      </tp>
      <tp t="s">
        <v>#N/A N/A</v>
        <stp/>
        <stp>BDP|2399080557735663055</stp>
        <tr r="M1506" s="2"/>
      </tp>
      <tp t="s">
        <v>#N/A N/A</v>
        <stp/>
        <stp>BDP|2597728740794034788</stp>
        <tr r="Q565" s="2"/>
      </tp>
      <tp t="s">
        <v>#N/A N/A</v>
        <stp/>
        <stp>BDP|7028206733294988053</stp>
        <tr r="A798" s="2"/>
      </tp>
      <tp t="s">
        <v>#N/A N/A</v>
        <stp/>
        <stp>BDP|9328395005841222920</stp>
        <tr r="E1408" s="2"/>
      </tp>
      <tp t="s">
        <v>#N/A N/A</v>
        <stp/>
        <stp>BDS|9238467751378207289</stp>
        <tr r="I578" s="2"/>
      </tp>
      <tp t="s">
        <v>#N/A N/A</v>
        <stp/>
        <stp>BDP|6012090976961417244</stp>
        <tr r="Q1326" s="2"/>
      </tp>
      <tp t="s">
        <v>#N/A N/A</v>
        <stp/>
        <stp>BDP|6688672827250015095</stp>
        <tr r="N367" s="2"/>
      </tp>
      <tp t="s">
        <v>#N/A N/A</v>
        <stp/>
        <stp>BDS|1774968289023468136</stp>
        <tr r="I1704" s="2"/>
      </tp>
      <tp t="s">
        <v>#N/A N/A</v>
        <stp/>
        <stp>BDP|2131537965214021788</stp>
        <tr r="A804" s="2"/>
      </tp>
      <tp t="s">
        <v>#N/A N/A</v>
        <stp/>
        <stp>BDP|1444687772482831098</stp>
        <tr r="E346" s="2"/>
      </tp>
      <tp t="s">
        <v>#N/A N/A</v>
        <stp/>
        <stp>BDP|1325120389423780901</stp>
        <tr r="T1009" s="2"/>
      </tp>
      <tp t="s">
        <v>#N/A N/A</v>
        <stp/>
        <stp>BDP|2910967795685170548</stp>
        <tr r="C476" s="2"/>
      </tp>
      <tp t="s">
        <v>#N/A N/A</v>
        <stp/>
        <stp>BDP|4495785920355124623</stp>
        <tr r="O858" s="2"/>
      </tp>
      <tp t="s">
        <v>#N/A N/A</v>
        <stp/>
        <stp>BDP|3750234338532198223</stp>
        <tr r="N830" s="2"/>
      </tp>
      <tp t="s">
        <v>#N/A N/A</v>
        <stp/>
        <stp>BDP|4816624800074032458</stp>
        <tr r="M888" s="2"/>
      </tp>
      <tp t="s">
        <v>#N/A N/A</v>
        <stp/>
        <stp>BDP|1828560850202927183</stp>
        <tr r="M267" s="2"/>
      </tp>
      <tp t="s">
        <v>#N/A N/A</v>
        <stp/>
        <stp>BDP|7173511784658877037</stp>
        <tr r="G1165" s="2"/>
      </tp>
      <tp t="s">
        <v>#N/A N/A</v>
        <stp/>
        <stp>BDP|5561063017254815236</stp>
        <tr r="A619" s="2"/>
      </tp>
      <tp t="s">
        <v>#N/A N/A</v>
        <stp/>
        <stp>BDP|5253485809166500591</stp>
        <tr r="E1746" s="2"/>
      </tp>
      <tp t="s">
        <v>#N/A N/A</v>
        <stp/>
        <stp>BDP|2141860849099879593</stp>
        <tr r="O688" s="2"/>
      </tp>
      <tp t="s">
        <v>#N/A N/A</v>
        <stp/>
        <stp>BDP|5814760831407676462</stp>
        <tr r="S822" s="2"/>
      </tp>
      <tp t="s">
        <v>#N/A N/A</v>
        <stp/>
        <stp>BDP|1853303516191664071</stp>
        <tr r="K1502" s="2"/>
      </tp>
      <tp t="s">
        <v>#N/A N/A</v>
        <stp/>
        <stp>BDP|2219861090953839239</stp>
        <tr r="Q485" s="2"/>
      </tp>
      <tp t="s">
        <v>#N/A N/A</v>
        <stp/>
        <stp>BDP|8004134169305600834</stp>
        <tr r="O1340" s="2"/>
      </tp>
      <tp t="s">
        <v>#N/A N/A</v>
        <stp/>
        <stp>BDP|6963541765370314746</stp>
        <tr r="J821" s="2"/>
      </tp>
      <tp t="s">
        <v>#N/A N/A</v>
        <stp/>
        <stp>BDP|6000189516850318423</stp>
        <tr r="P665" s="2"/>
      </tp>
      <tp t="s">
        <v>#N/A N/A</v>
        <stp/>
        <stp>BDP|5088728074872086593</stp>
        <tr r="R1356" s="2"/>
      </tp>
      <tp t="s">
        <v>#N/A N/A</v>
        <stp/>
        <stp>BDP|8433609897804927152</stp>
        <tr r="F362" s="2"/>
      </tp>
      <tp t="s">
        <v>#N/A N/A</v>
        <stp/>
        <stp>BDP|8686840130999914842</stp>
        <tr r="Q305" s="2"/>
      </tp>
      <tp t="s">
        <v>#N/A N/A</v>
        <stp/>
        <stp>BDP|8688057690310975359</stp>
        <tr r="M163" s="2"/>
      </tp>
      <tp t="s">
        <v>#N/A N/A</v>
        <stp/>
        <stp>BDP|2613569822797889055</stp>
        <tr r="K220" s="2"/>
      </tp>
      <tp t="s">
        <v>#N/A N/A</v>
        <stp/>
        <stp>BDP|4071292081739457532</stp>
        <tr r="M721" s="2"/>
      </tp>
      <tp t="s">
        <v>#N/A N/A</v>
        <stp/>
        <stp>BDP|4748325859837491775</stp>
        <tr r="J1483" s="2"/>
      </tp>
      <tp t="s">
        <v>#N/A N/A</v>
        <stp/>
        <stp>BDP|6113450200419822932</stp>
        <tr r="D970" s="2"/>
      </tp>
      <tp t="s">
        <v>#N/A N/A</v>
        <stp/>
        <stp>BDS|1976450593327638961</stp>
        <tr r="I373" s="2"/>
      </tp>
      <tp t="s">
        <v>#N/A N/A</v>
        <stp/>
        <stp>BDP|4106863945258810255</stp>
        <tr r="T1557" s="2"/>
      </tp>
      <tp t="s">
        <v>#N/A N/A</v>
        <stp/>
        <stp>BDS|5435617329410676350</stp>
        <tr r="I361" s="2"/>
      </tp>
      <tp t="s">
        <v>#N/A N/A</v>
        <stp/>
        <stp>BDP|4869532566810115539</stp>
        <tr r="A236" s="2"/>
      </tp>
      <tp t="s">
        <v>#N/A N/A</v>
        <stp/>
        <stp>BDP|1743581182986403868</stp>
        <tr r="K1744" s="2"/>
      </tp>
      <tp t="s">
        <v>#N/A N/A</v>
        <stp/>
        <stp>BDP|8034513228995379859</stp>
        <tr r="C1694" s="2"/>
      </tp>
      <tp t="s">
        <v>#N/A N/A</v>
        <stp/>
        <stp>BDP|5448614068595156237</stp>
        <tr r="A645" s="2"/>
      </tp>
      <tp t="s">
        <v>#N/A N/A</v>
        <stp/>
        <stp>BDP|5607210108172926794</stp>
        <tr r="N569" s="2"/>
      </tp>
      <tp t="s">
        <v>#N/A N/A</v>
        <stp/>
        <stp>BDP|6788474667555888306</stp>
        <tr r="M1471" s="2"/>
      </tp>
      <tp t="s">
        <v>#N/A N/A</v>
        <stp/>
        <stp>BDP|9967467385087722024</stp>
        <tr r="E194" s="2"/>
      </tp>
      <tp t="s">
        <v>#N/A N/A</v>
        <stp/>
        <stp>BDP|4227041748723322120</stp>
        <tr r="J1184" s="2"/>
      </tp>
      <tp t="s">
        <v>#N/A N/A</v>
        <stp/>
        <stp>BDP|3641919117849925061</stp>
        <tr r="R1672" s="2"/>
      </tp>
      <tp t="s">
        <v>#N/A N/A</v>
        <stp/>
        <stp>BDP|6701258549810078241</stp>
        <tr r="P971" s="2"/>
      </tp>
      <tp t="s">
        <v>#N/A N/A</v>
        <stp/>
        <stp>BDP|9979975660590009411</stp>
        <tr r="Q1254" s="2"/>
      </tp>
      <tp t="s">
        <v>#N/A N/A</v>
        <stp/>
        <stp>BDP|3723257533068542888</stp>
        <tr r="F728" s="2"/>
      </tp>
      <tp t="s">
        <v>#N/A N/A</v>
        <stp/>
        <stp>BDS|9921900522880182068</stp>
        <tr r="I1461" s="2"/>
      </tp>
      <tp t="s">
        <v>#N/A N/A</v>
        <stp/>
        <stp>BDP|2525272816450880305</stp>
        <tr r="T16" s="2"/>
      </tp>
      <tp t="s">
        <v>#N/A N/A</v>
        <stp/>
        <stp>BDP|8497235867799563795</stp>
        <tr r="D1452" s="2"/>
      </tp>
      <tp t="s">
        <v>#N/A N/A</v>
        <stp/>
        <stp>BDP|8998571734785022965</stp>
        <tr r="J1102" s="2"/>
      </tp>
      <tp t="s">
        <v>#N/A N/A</v>
        <stp/>
        <stp>BDS|2647992242938840590</stp>
        <tr r="I595" s="2"/>
      </tp>
      <tp t="s">
        <v>#N/A N/A</v>
        <stp/>
        <stp>BDP|5390021449022564116</stp>
        <tr r="J491" s="2"/>
      </tp>
      <tp t="s">
        <v>#N/A N/A</v>
        <stp/>
        <stp>BDP|2174984775998049606</stp>
        <tr r="A1747" s="2"/>
      </tp>
      <tp t="s">
        <v>#N/A N/A</v>
        <stp/>
        <stp>BDP|6933640087029605308</stp>
        <tr r="Q145" s="2"/>
      </tp>
      <tp t="s">
        <v>#N/A N/A</v>
        <stp/>
        <stp>BDS|7563838119869080536</stp>
        <tr r="I790" s="2"/>
      </tp>
      <tp t="s">
        <v>#N/A N/A</v>
        <stp/>
        <stp>BDP|2634598714275732101</stp>
        <tr r="T1116" s="2"/>
      </tp>
      <tp t="s">
        <v>#N/A N/A</v>
        <stp/>
        <stp>BDP|1277902192147882447</stp>
        <tr r="P928" s="2"/>
      </tp>
      <tp t="s">
        <v>#N/A N/A</v>
        <stp/>
        <stp>BDP|4140505517857330591</stp>
        <tr r="M1414" s="2"/>
      </tp>
      <tp t="s">
        <v>#N/A N/A</v>
        <stp/>
        <stp>BDP|5443925667238902049</stp>
        <tr r="A196" s="2"/>
      </tp>
      <tp t="s">
        <v>#N/A N/A</v>
        <stp/>
        <stp>BDP|7983263616563417515</stp>
        <tr r="P605" s="2"/>
      </tp>
      <tp t="s">
        <v>#N/A N/A</v>
        <stp/>
        <stp>BDP|1811168181322004830</stp>
        <tr r="F1192" s="2"/>
      </tp>
      <tp t="s">
        <v>#N/A N/A</v>
        <stp/>
        <stp>BDP|8451242655728937509</stp>
        <tr r="R325" s="2"/>
      </tp>
      <tp t="s">
        <v>#N/A N/A</v>
        <stp/>
        <stp>BDP|7404089889139025490</stp>
        <tr r="M1050" s="2"/>
      </tp>
      <tp t="s">
        <v>#N/A N/A</v>
        <stp/>
        <stp>BDP|3997289855892136496</stp>
        <tr r="Q650" s="2"/>
      </tp>
      <tp t="s">
        <v>#N/A N/A</v>
        <stp/>
        <stp>BDP|8947493183830933660</stp>
        <tr r="S661" s="2"/>
      </tp>
      <tp t="s">
        <v>#N/A N/A</v>
        <stp/>
        <stp>BDP|9515782251878567151</stp>
        <tr r="P1329" s="2"/>
      </tp>
      <tp t="s">
        <v>#N/A N/A</v>
        <stp/>
        <stp>BDP|8714287042925676974</stp>
        <tr r="M910" s="2"/>
      </tp>
      <tp t="s">
        <v>#N/A N/A</v>
        <stp/>
        <stp>BDP|2222199506724004510</stp>
        <tr r="A471" s="2"/>
      </tp>
      <tp t="s">
        <v>#N/A N/A</v>
        <stp/>
        <stp>BDP|4194265059619644842</stp>
        <tr r="T1227" s="2"/>
      </tp>
      <tp t="s">
        <v>#N/A N/A</v>
        <stp/>
        <stp>BDP|1120955286561779399</stp>
        <tr r="F1522" s="2"/>
      </tp>
      <tp t="s">
        <v>#N/A N/A</v>
        <stp/>
        <stp>BDP|8900907123178789912</stp>
        <tr r="A328" s="2"/>
      </tp>
      <tp t="s">
        <v>#N/A N/A</v>
        <stp/>
        <stp>BDP|6319166317357736398</stp>
        <tr r="C759" s="2"/>
      </tp>
      <tp t="s">
        <v>#N/A N/A</v>
        <stp/>
        <stp>BDP|7241679787122714993</stp>
        <tr r="A1467" s="2"/>
      </tp>
      <tp t="s">
        <v>#N/A N/A</v>
        <stp/>
        <stp>BDP|7582411039083459152</stp>
        <tr r="G122" s="2"/>
      </tp>
      <tp t="s">
        <v>#N/A N/A</v>
        <stp/>
        <stp>BDP|9522380020262868898</stp>
        <tr r="K991" s="2"/>
      </tp>
      <tp t="s">
        <v>#N/A N/A</v>
        <stp/>
        <stp>BDP|4863370691985625943</stp>
        <tr r="M639" s="2"/>
      </tp>
      <tp t="s">
        <v>#N/A N/A</v>
        <stp/>
        <stp>BDP|4747072785206874812</stp>
        <tr r="J381" s="2"/>
      </tp>
      <tp t="s">
        <v>#N/A N/A</v>
        <stp/>
        <stp>BDS|2009278436996943747</stp>
        <tr r="I402" s="2"/>
      </tp>
      <tp t="s">
        <v>#N/A N/A</v>
        <stp/>
        <stp>BDP|4462658146974919027</stp>
        <tr r="E132" s="2"/>
      </tp>
      <tp t="s">
        <v>#N/A N/A</v>
        <stp/>
        <stp>BDP|5251574837745954472</stp>
        <tr r="M1536" s="2"/>
      </tp>
      <tp t="s">
        <v>#N/A N/A</v>
        <stp/>
        <stp>BDP|6176498635726806598</stp>
        <tr r="P668" s="2"/>
      </tp>
      <tp t="s">
        <v>#N/A N/A</v>
        <stp/>
        <stp>BDP|8831970262705477053</stp>
        <tr r="A1588" s="2"/>
      </tp>
      <tp t="s">
        <v>#N/A N/A</v>
        <stp/>
        <stp>BDP|3120807713831853968</stp>
        <tr r="Q1483" s="2"/>
      </tp>
      <tp t="s">
        <v>#N/A N/A</v>
        <stp/>
        <stp>BDP|5915040714111551705</stp>
        <tr r="F29" s="2"/>
      </tp>
      <tp t="s">
        <v>#N/A N/A</v>
        <stp/>
        <stp>BDP|7454746759741355661</stp>
        <tr r="E1386" s="2"/>
      </tp>
      <tp t="s">
        <v>#N/A N/A</v>
        <stp/>
        <stp>BDP|3821313637238759956</stp>
        <tr r="H718" s="2"/>
      </tp>
      <tp t="s">
        <v>#N/A N/A</v>
        <stp/>
        <stp>BDP|9975568585980227644</stp>
        <tr r="M785" s="2"/>
      </tp>
      <tp t="s">
        <v>#N/A N/A</v>
        <stp/>
        <stp>BDP|8884222797824607571</stp>
        <tr r="K1298" s="2"/>
      </tp>
      <tp t="s">
        <v>#N/A N/A</v>
        <stp/>
        <stp>BDP|8152156779078272437</stp>
        <tr r="T1453" s="2"/>
      </tp>
      <tp t="s">
        <v>#N/A N/A</v>
        <stp/>
        <stp>BDP|3460262569150271551</stp>
        <tr r="H585" s="2"/>
      </tp>
      <tp t="s">
        <v>#N/A N/A</v>
        <stp/>
        <stp>BDP|6459281107677463137</stp>
        <tr r="P1326" s="2"/>
      </tp>
      <tp t="s">
        <v>#N/A N/A</v>
        <stp/>
        <stp>BDP|2808764436646251264</stp>
        <tr r="P1300" s="2"/>
      </tp>
      <tp t="s">
        <v>#N/A N/A</v>
        <stp/>
        <stp>BDP|8337172571475943903</stp>
        <tr r="H623" s="2"/>
      </tp>
      <tp t="s">
        <v>#N/A N/A</v>
        <stp/>
        <stp>BDP|9107403629525424806</stp>
        <tr r="S130" s="2"/>
      </tp>
      <tp t="s">
        <v>#N/A N/A</v>
        <stp/>
        <stp>BDP|7512109547663890365</stp>
        <tr r="D1591" s="2"/>
      </tp>
      <tp t="s">
        <v>#N/A N/A</v>
        <stp/>
        <stp>BDP|5311936164108102094</stp>
        <tr r="F530" s="2"/>
      </tp>
      <tp t="s">
        <v>#N/A N/A</v>
        <stp/>
        <stp>BDP|4272505770453813765</stp>
        <tr r="Q1156" s="2"/>
      </tp>
      <tp t="s">
        <v>#N/A N/A</v>
        <stp/>
        <stp>BDP|9811721996303956694</stp>
        <tr r="F500" s="2"/>
      </tp>
      <tp t="s">
        <v>#N/A N/A</v>
        <stp/>
        <stp>BDP|7648097162213830090</stp>
        <tr r="O509" s="2"/>
      </tp>
      <tp t="s">
        <v>#N/A N/A</v>
        <stp/>
        <stp>BDP|3405085776215545336</stp>
        <tr r="P1312" s="2"/>
      </tp>
      <tp t="s">
        <v>#N/A N/A</v>
        <stp/>
        <stp>BDP|1221595516946380123</stp>
        <tr r="T686" s="2"/>
      </tp>
      <tp t="s">
        <v>#N/A N/A</v>
        <stp/>
        <stp>BDP|4433076735632254783</stp>
        <tr r="Q1636" s="2"/>
      </tp>
      <tp t="s">
        <v>#N/A N/A</v>
        <stp/>
        <stp>BDP|6710422440116148283</stp>
        <tr r="M155" s="2"/>
      </tp>
      <tp t="s">
        <v>#N/A N/A</v>
        <stp/>
        <stp>BDP|6919165106287739220</stp>
        <tr r="O1211" s="2"/>
      </tp>
      <tp t="s">
        <v>#N/A N/A</v>
        <stp/>
        <stp>BDP|7988718493279771200</stp>
        <tr r="K299" s="2"/>
      </tp>
      <tp t="s">
        <v>#N/A N/A</v>
        <stp/>
        <stp>BDP|7122164518676310305</stp>
        <tr r="P102" s="2"/>
      </tp>
      <tp t="s">
        <v>#N/A N/A</v>
        <stp/>
        <stp>BDP|7966350402837523178</stp>
        <tr r="Q1389" s="2"/>
      </tp>
      <tp t="s">
        <v>#N/A N/A</v>
        <stp/>
        <stp>BDP|1398755509876264216</stp>
        <tr r="C998" s="2"/>
      </tp>
      <tp t="s">
        <v>#N/A N/A</v>
        <stp/>
        <stp>BDP|2992152892861517976</stp>
        <tr r="H567" s="2"/>
      </tp>
      <tp t="s">
        <v>#N/A N/A</v>
        <stp/>
        <stp>BDP|2781327437549654988</stp>
        <tr r="T1155" s="2"/>
      </tp>
      <tp t="s">
        <v>#N/A N/A</v>
        <stp/>
        <stp>BDP|5697141170420795192</stp>
        <tr r="S1428" s="2"/>
      </tp>
      <tp t="s">
        <v>#N/A N/A</v>
        <stp/>
        <stp>BDS|4004913040098901347</stp>
        <tr r="I379" s="2"/>
      </tp>
      <tp t="s">
        <v>#N/A N/A</v>
        <stp/>
        <stp>BDP|6851078805101327559</stp>
        <tr r="C997" s="2"/>
      </tp>
      <tp t="s">
        <v>#N/A N/A</v>
        <stp/>
        <stp>BDP|6832372269083327294</stp>
        <tr r="F7" s="2"/>
      </tp>
      <tp t="s">
        <v>#N/A N/A</v>
        <stp/>
        <stp>BDP|8121842122673233393</stp>
        <tr r="P311" s="2"/>
      </tp>
      <tp t="s">
        <v>#N/A N/A</v>
        <stp/>
        <stp>BDP|2783497452854434542</stp>
        <tr r="P1650" s="2"/>
      </tp>
      <tp t="s">
        <v>#N/A N/A</v>
        <stp/>
        <stp>BDP|5936698019635127549</stp>
        <tr r="D725" s="2"/>
      </tp>
      <tp t="s">
        <v>#N/A N/A</v>
        <stp/>
        <stp>BDP|9116195968119461585</stp>
        <tr r="O1253" s="2"/>
      </tp>
      <tp t="s">
        <v>#N/A N/A</v>
        <stp/>
        <stp>BDS|1358578138026982390</stp>
        <tr r="I891" s="2"/>
      </tp>
      <tp t="s">
        <v>#N/A N/A</v>
        <stp/>
        <stp>BDP|3211848591607945732</stp>
        <tr r="G965" s="2"/>
      </tp>
      <tp t="s">
        <v>#N/A N/A</v>
        <stp/>
        <stp>BDP|3275180663905550312</stp>
        <tr r="K1515" s="2"/>
      </tp>
      <tp t="s">
        <v>#N/A N/A</v>
        <stp/>
        <stp>BDP|3431534845439629998</stp>
        <tr r="K203" s="2"/>
      </tp>
      <tp t="s">
        <v>#N/A N/A</v>
        <stp/>
        <stp>BDP|8634715308695782851</stp>
        <tr r="O652" s="2"/>
      </tp>
      <tp t="s">
        <v>#N/A N/A</v>
        <stp/>
        <stp>BDP|3606408069003711051</stp>
        <tr r="S1673" s="2"/>
      </tp>
      <tp t="s">
        <v>#N/A N/A</v>
        <stp/>
        <stp>BDP|4296095814035328214</stp>
        <tr r="O707" s="2"/>
      </tp>
      <tp t="s">
        <v>#N/A N/A</v>
        <stp/>
        <stp>BDP|1962502047922049033</stp>
        <tr r="D252" s="2"/>
      </tp>
      <tp t="s">
        <v>#N/A N/A</v>
        <stp/>
        <stp>BDS|1432510611882830516</stp>
        <tr r="I1541" s="2"/>
      </tp>
      <tp t="s">
        <v>#N/A N/A</v>
        <stp/>
        <stp>BDP|9130181853126667918</stp>
        <tr r="R780" s="2"/>
      </tp>
      <tp t="s">
        <v>#N/A N/A</v>
        <stp/>
        <stp>BDP|5326443406992525197</stp>
        <tr r="H3" s="2"/>
      </tp>
      <tp t="s">
        <v>#N/A N/A</v>
        <stp/>
        <stp>BDP|1258200347162907719</stp>
        <tr r="J415" s="2"/>
      </tp>
      <tp t="s">
        <v>#N/A N/A</v>
        <stp/>
        <stp>BDP|7322255228881543467</stp>
        <tr r="O34" s="2"/>
      </tp>
      <tp t="s">
        <v>#N/A N/A</v>
        <stp/>
        <stp>BDP|3691329319246690564</stp>
        <tr r="O111" s="2"/>
      </tp>
      <tp t="s">
        <v>#N/A N/A</v>
        <stp/>
        <stp>BDP|9106076037238985053</stp>
        <tr r="H70" s="2"/>
      </tp>
      <tp t="s">
        <v>#N/A N/A</v>
        <stp/>
        <stp>BDP|2013885952344710909</stp>
        <tr r="D1335" s="2"/>
      </tp>
      <tp t="s">
        <v>#N/A N/A</v>
        <stp/>
        <stp>BDP|6051801830368981740</stp>
        <tr r="F988" s="2"/>
      </tp>
      <tp t="s">
        <v>#N/A N/A</v>
        <stp/>
        <stp>BDP|9975996644446931008</stp>
        <tr r="J223" s="2"/>
      </tp>
      <tp t="s">
        <v>#N/A N/A</v>
        <stp/>
        <stp>BDP|5803019774263437349</stp>
        <tr r="T848" s="2"/>
      </tp>
      <tp t="s">
        <v>#N/A N/A</v>
        <stp/>
        <stp>BDP|2214726498777267977</stp>
        <tr r="F848" s="2"/>
      </tp>
      <tp t="s">
        <v>#N/A N/A</v>
        <stp/>
        <stp>BDP|4377820778140374970</stp>
        <tr r="G1728" s="2"/>
      </tp>
      <tp t="s">
        <v>#N/A N/A</v>
        <stp/>
        <stp>BDP|3168455951712022287</stp>
        <tr r="P438" s="2"/>
      </tp>
      <tp t="s">
        <v>#N/A N/A</v>
        <stp/>
        <stp>BDP|1701602529255072236</stp>
        <tr r="A336" s="2"/>
      </tp>
      <tp t="s">
        <v>#N/A N/A</v>
        <stp/>
        <stp>BDP|3635454479621440334</stp>
        <tr r="Q801" s="2"/>
      </tp>
      <tp t="s">
        <v>#N/A N/A</v>
        <stp/>
        <stp>BDS|4373202707245023197</stp>
        <tr r="I169" s="2"/>
      </tp>
      <tp t="s">
        <v>#N/A N/A</v>
        <stp/>
        <stp>BDS|7658270362742662386</stp>
        <tr r="I123" s="2"/>
      </tp>
      <tp t="s">
        <v>#N/A N/A</v>
        <stp/>
        <stp>BDP|4381158388046338902</stp>
        <tr r="C586" s="2"/>
      </tp>
      <tp t="s">
        <v>#N/A N/A</v>
        <stp/>
        <stp>BDS|2110344969775086018</stp>
        <tr r="I584" s="2"/>
      </tp>
      <tp t="s">
        <v>#N/A N/A</v>
        <stp/>
        <stp>BDP|7291831161212428999</stp>
        <tr r="F793" s="2"/>
      </tp>
      <tp t="s">
        <v>#N/A N/A</v>
        <stp/>
        <stp>BDP|9470463408206223954</stp>
        <tr r="E1462" s="2"/>
      </tp>
      <tp t="s">
        <v>#N/A N/A</v>
        <stp/>
        <stp>BDP|5425203812793834735</stp>
        <tr r="F1722" s="2"/>
      </tp>
      <tp t="s">
        <v>#N/A N/A</v>
        <stp/>
        <stp>BDP|7552384237511671413</stp>
        <tr r="G241" s="2"/>
      </tp>
      <tp t="s">
        <v>#N/A N/A</v>
        <stp/>
        <stp>BDP|7944538234717627459</stp>
        <tr r="G618" s="2"/>
      </tp>
      <tp t="s">
        <v>#N/A N/A</v>
        <stp/>
        <stp>BDP|5143530574946880335</stp>
        <tr r="T1082" s="2"/>
      </tp>
      <tp t="s">
        <v>#N/A N/A</v>
        <stp/>
        <stp>BDP|1551862744169226687</stp>
        <tr r="P1443" s="2"/>
      </tp>
      <tp t="s">
        <v>#N/A N/A</v>
        <stp/>
        <stp>BDP|7659861887254876122</stp>
        <tr r="S1267" s="2"/>
      </tp>
      <tp t="s">
        <v>#N/A N/A</v>
        <stp/>
        <stp>BDP|7382091760363390040</stp>
        <tr r="R754" s="2"/>
      </tp>
      <tp t="s">
        <v>#N/A N/A</v>
        <stp/>
        <stp>BDP|3113390477236208300</stp>
        <tr r="E1637" s="2"/>
      </tp>
      <tp t="s">
        <v>#N/A N/A</v>
        <stp/>
        <stp>BDP|7664200818310440672</stp>
        <tr r="M1089" s="2"/>
      </tp>
      <tp t="s">
        <v>#N/A N/A</v>
        <stp/>
        <stp>BDP|5458496349324926301</stp>
        <tr r="S471" s="2"/>
      </tp>
      <tp t="s">
        <v>#N/A N/A</v>
        <stp/>
        <stp>BDP|2927580665261966204</stp>
        <tr r="G983" s="2"/>
      </tp>
      <tp t="s">
        <v>#N/A N/A</v>
        <stp/>
        <stp>BDP|6322268357286835579</stp>
        <tr r="O427" s="2"/>
      </tp>
      <tp t="s">
        <v>#N/A N/A</v>
        <stp/>
        <stp>BDP|3961500036190011724</stp>
        <tr r="H1146" s="2"/>
      </tp>
      <tp t="s">
        <v>#N/A N/A</v>
        <stp/>
        <stp>BDP|6300181354718077824</stp>
        <tr r="H240" s="2"/>
      </tp>
      <tp t="s">
        <v>#N/A N/A</v>
        <stp/>
        <stp>BDP|5882395166735262789</stp>
        <tr r="O867" s="2"/>
      </tp>
      <tp t="s">
        <v>#N/A N/A</v>
        <stp/>
        <stp>BDP|3487236238835015522</stp>
        <tr r="D1241" s="2"/>
      </tp>
      <tp t="s">
        <v>#N/A N/A</v>
        <stp/>
        <stp>BDP|3682424381535958819</stp>
        <tr r="K454" s="2"/>
      </tp>
      <tp t="s">
        <v>#N/A N/A</v>
        <stp/>
        <stp>BDP|3485860080984821577</stp>
        <tr r="P497" s="2"/>
      </tp>
      <tp t="s">
        <v>#N/A N/A</v>
        <stp/>
        <stp>BDP|1215525228380537400</stp>
        <tr r="G1689" s="2"/>
      </tp>
      <tp t="s">
        <v>#N/A N/A</v>
        <stp/>
        <stp>BDP|9558148711603465899</stp>
        <tr r="D44" s="2"/>
      </tp>
      <tp t="s">
        <v>#N/A N/A</v>
        <stp/>
        <stp>BDP|7037492300762446305</stp>
        <tr r="G1342" s="2"/>
      </tp>
      <tp t="s">
        <v>#N/A N/A</v>
        <stp/>
        <stp>BDP|2965267043946870098</stp>
        <tr r="N1306" s="2"/>
      </tp>
      <tp t="s">
        <v>#N/A N/A</v>
        <stp/>
        <stp>BDS|2860197875430129683</stp>
        <tr r="I1377" s="2"/>
      </tp>
      <tp t="s">
        <v>#N/A N/A</v>
        <stp/>
        <stp>BDP|3568434248564581568</stp>
        <tr r="M200" s="2"/>
      </tp>
      <tp t="s">
        <v>#N/A N/A</v>
        <stp/>
        <stp>BDP|2380710841911671281</stp>
        <tr r="M607" s="2"/>
      </tp>
      <tp t="s">
        <v>#N/A N/A</v>
        <stp/>
        <stp>BDP|3260809587009084881</stp>
        <tr r="K538" s="2"/>
      </tp>
      <tp t="s">
        <v>#N/A N/A</v>
        <stp/>
        <stp>BDP|8965076456719242675</stp>
        <tr r="Q991" s="2"/>
      </tp>
      <tp t="s">
        <v>#N/A N/A</v>
        <stp/>
        <stp>BDP|9957261811510037834</stp>
        <tr r="E743" s="2"/>
      </tp>
      <tp t="s">
        <v>#N/A N/A</v>
        <stp/>
        <stp>BDP|3950216466757440289</stp>
        <tr r="G485" s="2"/>
      </tp>
      <tp t="s">
        <v>#N/A N/A</v>
        <stp/>
        <stp>BDP|8841933738835634575</stp>
        <tr r="A1418" s="2"/>
      </tp>
      <tp t="s">
        <v>#N/A N/A</v>
        <stp/>
        <stp>BDP|7582146903273643761</stp>
        <tr r="R237" s="2"/>
      </tp>
      <tp t="s">
        <v>#N/A N/A</v>
        <stp/>
        <stp>BDP|1801868597581924326</stp>
        <tr r="P611" s="2"/>
      </tp>
      <tp t="s">
        <v>#N/A N/A</v>
        <stp/>
        <stp>BDP|4080155906626553147</stp>
        <tr r="C1646" s="2"/>
      </tp>
      <tp t="s">
        <v>#N/A N/A</v>
        <stp/>
        <stp>BDP|5796546913470500372</stp>
        <tr r="G1060" s="2"/>
      </tp>
      <tp t="s">
        <v>#N/A N/A</v>
        <stp/>
        <stp>BDP|2396305307581106270</stp>
        <tr r="R1068" s="2"/>
      </tp>
      <tp t="s">
        <v>#N/A N/A</v>
        <stp/>
        <stp>BDS|6385227685416684808</stp>
        <tr r="I1656" s="2"/>
      </tp>
      <tp t="s">
        <v>#N/A N/A</v>
        <stp/>
        <stp>BDP|8356877167201198501</stp>
        <tr r="Q416" s="2"/>
      </tp>
      <tp t="s">
        <v>#N/A N/A</v>
        <stp/>
        <stp>BDP|8297522850089107330</stp>
        <tr r="F1249" s="2"/>
      </tp>
      <tp t="s">
        <v>#N/A N/A</v>
        <stp/>
        <stp>BDP|8781960461387661246</stp>
        <tr r="D809" s="2"/>
      </tp>
      <tp t="s">
        <v>#N/A N/A</v>
        <stp/>
        <stp>BDP|6912014808551328518</stp>
        <tr r="A29" s="2"/>
      </tp>
      <tp t="s">
        <v>#N/A N/A</v>
        <stp/>
        <stp>BDP|2189688548383185121</stp>
        <tr r="F1729" s="2"/>
      </tp>
      <tp t="s">
        <v>#N/A N/A</v>
        <stp/>
        <stp>BDP|4244209068497822501</stp>
        <tr r="K1649" s="2"/>
      </tp>
      <tp t="s">
        <v>#N/A N/A</v>
        <stp/>
        <stp>BDP|5898105609027408171</stp>
        <tr r="M875" s="2"/>
      </tp>
      <tp t="s">
        <v>#N/A N/A</v>
        <stp/>
        <stp>BDP|6746829497605667060</stp>
        <tr r="R639" s="2"/>
      </tp>
      <tp t="s">
        <v>#N/A N/A</v>
        <stp/>
        <stp>BDP|1225610204372081754</stp>
        <tr r="D1099" s="2"/>
      </tp>
      <tp t="s">
        <v>#N/A N/A</v>
        <stp/>
        <stp>BDP|6003748325642625351</stp>
        <tr r="S154" s="2"/>
      </tp>
      <tp t="s">
        <v>#N/A N/A</v>
        <stp/>
        <stp>BDP|7986035721353156486</stp>
        <tr r="F692" s="2"/>
      </tp>
      <tp t="s">
        <v>#N/A N/A</v>
        <stp/>
        <stp>BDP|7652960017624168948</stp>
        <tr r="C373" s="2"/>
      </tp>
      <tp t="s">
        <v>#N/A N/A</v>
        <stp/>
        <stp>BDP|4600023529574838078</stp>
        <tr r="N23" s="2"/>
      </tp>
      <tp t="s">
        <v>#N/A N/A</v>
        <stp/>
        <stp>BDP|6019952486841078410</stp>
        <tr r="O1226" s="2"/>
      </tp>
      <tp t="s">
        <v>#N/A N/A</v>
        <stp/>
        <stp>BDP|7140133461011296332</stp>
        <tr r="E1318" s="2"/>
      </tp>
      <tp t="s">
        <v>#N/A N/A</v>
        <stp/>
        <stp>BDS|1294387815538832957</stp>
        <tr r="I335" s="2"/>
      </tp>
      <tp t="s">
        <v>#N/A N/A</v>
        <stp/>
        <stp>BDP|1289264287328972184</stp>
        <tr r="D831" s="2"/>
      </tp>
      <tp t="s">
        <v>#N/A N/A</v>
        <stp/>
        <stp>BDP|7409062345908511906</stp>
        <tr r="H851" s="2"/>
      </tp>
      <tp t="s">
        <v>#N/A N/A</v>
        <stp/>
        <stp>BDP|7187573564722517452</stp>
        <tr r="P562" s="2"/>
      </tp>
      <tp t="s">
        <v>#N/A N/A</v>
        <stp/>
        <stp>BDP|6905550832802404087</stp>
        <tr r="Q469" s="2"/>
      </tp>
      <tp t="s">
        <v>#N/A N/A</v>
        <stp/>
        <stp>BDP|9426803156940047602</stp>
        <tr r="M1299" s="2"/>
      </tp>
      <tp t="s">
        <v>#N/A N/A</v>
        <stp/>
        <stp>BDP|9986547488732062470</stp>
        <tr r="M1287" s="2"/>
      </tp>
      <tp t="s">
        <v>#N/A N/A</v>
        <stp/>
        <stp>BDP|2523267074397604238</stp>
        <tr r="E1109" s="2"/>
      </tp>
      <tp t="s">
        <v>#N/A N/A</v>
        <stp/>
        <stp>BDP|9901868435954978418</stp>
        <tr r="G83" s="2"/>
      </tp>
      <tp t="s">
        <v>#N/A N/A</v>
        <stp/>
        <stp>BDP|5354672269362899573</stp>
        <tr r="K712" s="2"/>
      </tp>
      <tp t="s">
        <v>#N/A N/A</v>
        <stp/>
        <stp>BDP|8099574561151170855</stp>
        <tr r="T237" s="2"/>
      </tp>
      <tp t="s">
        <v>#N/A N/A</v>
        <stp/>
        <stp>BDP|4798077271511571062</stp>
        <tr r="P1673" s="2"/>
      </tp>
      <tp t="s">
        <v>#N/A N/A</v>
        <stp/>
        <stp>BDP|8268646780617794331</stp>
        <tr r="E182" s="2"/>
      </tp>
      <tp t="s">
        <v>#N/A N/A</v>
        <stp/>
        <stp>BDP|1055484268052037323</stp>
        <tr r="F1562" s="2"/>
      </tp>
      <tp t="s">
        <v>#N/A N/A</v>
        <stp/>
        <stp>BDS|9744166565408164472</stp>
        <tr r="I462" s="2"/>
      </tp>
      <tp t="s">
        <v>#N/A N/A</v>
        <stp/>
        <stp>BDP|8617925741574660316</stp>
        <tr r="C151" s="2"/>
      </tp>
      <tp t="s">
        <v>#N/A N/A</v>
        <stp/>
        <stp>BDP|2519847815711531833</stp>
        <tr r="S366" s="2"/>
      </tp>
      <tp t="s">
        <v>#N/A N/A</v>
        <stp/>
        <stp>BDP|9444787927666006894</stp>
        <tr r="K1056" s="2"/>
      </tp>
      <tp t="s">
        <v>#N/A N/A</v>
        <stp/>
        <stp>BDP|4435572336317348747</stp>
        <tr r="E157" s="2"/>
      </tp>
      <tp t="s">
        <v>#N/A N/A</v>
        <stp/>
        <stp>BDP|3788330131159301849</stp>
        <tr r="Q290" s="2"/>
      </tp>
      <tp t="s">
        <v>#N/A N/A</v>
        <stp/>
        <stp>BDP|5278455629322548396</stp>
        <tr r="O1537" s="2"/>
      </tp>
      <tp t="s">
        <v>#N/A N/A</v>
        <stp/>
        <stp>BDP|1907321539251817281</stp>
        <tr r="Q1092" s="2"/>
      </tp>
      <tp t="s">
        <v>#N/A N/A</v>
        <stp/>
        <stp>BDP|5782649765760320777</stp>
        <tr r="R502" s="2"/>
      </tp>
      <tp t="s">
        <v>#N/A N/A</v>
        <stp/>
        <stp>BDP|2589472416824440125</stp>
        <tr r="R56" s="2"/>
      </tp>
      <tp t="s">
        <v>#N/A N/A</v>
        <stp/>
        <stp>BDP|8036124996272747012</stp>
        <tr r="G267" s="2"/>
      </tp>
      <tp t="s">
        <v>#N/A N/A</v>
        <stp/>
        <stp>BDP|9478070576845551929</stp>
        <tr r="Q1722" s="2"/>
      </tp>
      <tp t="s">
        <v>#N/A N/A</v>
        <stp/>
        <stp>BDP|5356272202551738432</stp>
        <tr r="F329" s="2"/>
      </tp>
      <tp t="s">
        <v>#N/A N/A</v>
        <stp/>
        <stp>BDP|2077173447451546476</stp>
        <tr r="S263" s="2"/>
      </tp>
      <tp t="s">
        <v>#N/A N/A</v>
        <stp/>
        <stp>BDP|3303299858986331031</stp>
        <tr r="Q1347" s="2"/>
      </tp>
      <tp t="s">
        <v>#N/A N/A</v>
        <stp/>
        <stp>BDP|9613405335418458457</stp>
        <tr r="J270" s="2"/>
      </tp>
      <tp t="s">
        <v>#N/A N/A</v>
        <stp/>
        <stp>BDP|2031631631731440444</stp>
        <tr r="H1072" s="2"/>
      </tp>
      <tp t="s">
        <v>#N/A N/A</v>
        <stp/>
        <stp>BDP|3770567413864047109</stp>
        <tr r="R140" s="2"/>
      </tp>
      <tp t="s">
        <v>#N/A N/A</v>
        <stp/>
        <stp>BDP|3537720669223424386</stp>
        <tr r="M36" s="2"/>
      </tp>
      <tp t="s">
        <v>#N/A N/A</v>
        <stp/>
        <stp>BDP|9532619376559323338</stp>
        <tr r="D1344" s="2"/>
      </tp>
      <tp t="s">
        <v>#N/A N/A</v>
        <stp/>
        <stp>BDP|2604421694744346917</stp>
        <tr r="T211" s="2"/>
      </tp>
      <tp t="s">
        <v>#N/A N/A</v>
        <stp/>
        <stp>BDS|4513456408671320395</stp>
        <tr r="I1536" s="2"/>
      </tp>
      <tp t="s">
        <v>#N/A N/A</v>
        <stp/>
        <stp>BDP|3098045405185495471</stp>
        <tr r="M1233" s="2"/>
      </tp>
      <tp t="s">
        <v>#N/A N/A</v>
        <stp/>
        <stp>BDP|9463677907589003461</stp>
        <tr r="Q30" s="2"/>
      </tp>
      <tp t="s">
        <v>#N/A N/A</v>
        <stp/>
        <stp>BDP|4446143941445155623</stp>
        <tr r="H1112" s="2"/>
      </tp>
      <tp t="s">
        <v>#N/A N/A</v>
        <stp/>
        <stp>BDP|5272243654122019201</stp>
        <tr r="J1608" s="2"/>
      </tp>
      <tp t="s">
        <v>#N/A N/A</v>
        <stp/>
        <stp>BDP|8793563990672717448</stp>
        <tr r="N11" s="2"/>
      </tp>
      <tp t="s">
        <v>#N/A N/A</v>
        <stp/>
        <stp>BDP|1371311578257115091</stp>
        <tr r="J158" s="2"/>
      </tp>
      <tp t="s">
        <v>#N/A N/A</v>
        <stp/>
        <stp>BDP|1388325935835067667</stp>
        <tr r="O912" s="2"/>
      </tp>
      <tp t="s">
        <v>#N/A N/A</v>
        <stp/>
        <stp>BDP|8404295251639766491</stp>
        <tr r="Q496" s="2"/>
      </tp>
      <tp t="s">
        <v>#N/A N/A</v>
        <stp/>
        <stp>BDP|1229402470314025405</stp>
        <tr r="C661" s="2"/>
      </tp>
      <tp t="s">
        <v>#N/A N/A</v>
        <stp/>
        <stp>BDP|2277863435819637258</stp>
        <tr r="N474" s="2"/>
      </tp>
      <tp t="s">
        <v>#N/A N/A</v>
        <stp/>
        <stp>BDP|7774072331692239417</stp>
        <tr r="C1376" s="2"/>
      </tp>
      <tp t="s">
        <v>#N/A N/A</v>
        <stp/>
        <stp>BDP|9138956244596244003</stp>
        <tr r="C893" s="2"/>
      </tp>
      <tp t="s">
        <v>#N/A N/A</v>
        <stp/>
        <stp>BDP|1191648746061630075</stp>
        <tr r="T762" s="2"/>
      </tp>
      <tp t="s">
        <v>#N/A N/A</v>
        <stp/>
        <stp>BDP|7472451710901695151</stp>
        <tr r="Q98" s="2"/>
      </tp>
      <tp t="s">
        <v>#N/A N/A</v>
        <stp/>
        <stp>BDP|2649638092296301969</stp>
        <tr r="A1221" s="2"/>
      </tp>
      <tp t="s">
        <v>#N/A N/A</v>
        <stp/>
        <stp>BDP|1220113035573712233</stp>
        <tr r="G247" s="2"/>
      </tp>
      <tp t="s">
        <v>#N/A N/A</v>
        <stp/>
        <stp>BDP|5321034038495894132</stp>
        <tr r="N1204" s="2"/>
      </tp>
      <tp t="s">
        <v>#N/A N/A</v>
        <stp/>
        <stp>BDP|2192685805950887674</stp>
        <tr r="O20" s="2"/>
      </tp>
      <tp t="s">
        <v>#N/A N/A</v>
        <stp/>
        <stp>BDP|5754584549501048759</stp>
        <tr r="P479" s="2"/>
      </tp>
      <tp t="s">
        <v>#N/A N/A</v>
        <stp/>
        <stp>BDP|2159069104078269822</stp>
        <tr r="K731" s="2"/>
      </tp>
      <tp t="s">
        <v>#N/A N/A</v>
        <stp/>
        <stp>BDP|2233474659943910267</stp>
        <tr r="P310" s="2"/>
      </tp>
      <tp t="s">
        <v>#N/A N/A</v>
        <stp/>
        <stp>BDP|7914987980792197630</stp>
        <tr r="M1540" s="2"/>
      </tp>
      <tp t="s">
        <v>#N/A N/A</v>
        <stp/>
        <stp>BDP|2368129740877390216</stp>
        <tr r="K582" s="2"/>
      </tp>
      <tp t="s">
        <v>#N/A N/A</v>
        <stp/>
        <stp>BDP|9611743225389393770</stp>
        <tr r="G1116" s="2"/>
      </tp>
      <tp t="s">
        <v>#N/A N/A</v>
        <stp/>
        <stp>BDP|7235043463871343257</stp>
        <tr r="M1365" s="2"/>
      </tp>
      <tp t="s">
        <v>#N/A N/A</v>
        <stp/>
        <stp>BDP|6955658748006002076</stp>
        <tr r="R973" s="2"/>
      </tp>
      <tp t="s">
        <v>#N/A N/A</v>
        <stp/>
        <stp>BDP|1499112018185603681</stp>
        <tr r="A716" s="2"/>
      </tp>
      <tp t="s">
        <v>#N/A N/A</v>
        <stp/>
        <stp>BDS|1709357522391247318</stp>
        <tr r="I892" s="2"/>
      </tp>
      <tp t="s">
        <v>#N/A N/A</v>
        <stp/>
        <stp>BDP|7991028647197623699</stp>
        <tr r="H1320" s="2"/>
      </tp>
      <tp t="s">
        <v>#N/A N/A</v>
        <stp/>
        <stp>BDP|4555727514478248829</stp>
        <tr r="S1442" s="2"/>
      </tp>
      <tp t="s">
        <v>#N/A N/A</v>
        <stp/>
        <stp>BDP|6942149139647487139</stp>
        <tr r="K548" s="2"/>
      </tp>
      <tp t="s">
        <v>#N/A N/A</v>
        <stp/>
        <stp>BDP|6564725516852645045</stp>
        <tr r="D1751" s="2"/>
      </tp>
      <tp t="s">
        <v>#N/A N/A</v>
        <stp/>
        <stp>BDP|9085461484857787063</stp>
        <tr r="D1095" s="2"/>
      </tp>
      <tp t="s">
        <v>#N/A N/A</v>
        <stp/>
        <stp>BDP|9589663700224520956</stp>
        <tr r="T1631" s="2"/>
      </tp>
      <tp t="s">
        <v>#N/A N/A</v>
        <stp/>
        <stp>BDS|6688872629347337984</stp>
        <tr r="I1071" s="2"/>
      </tp>
      <tp t="s">
        <v>#N/A N/A</v>
        <stp/>
        <stp>BDP|4449589729766331754</stp>
        <tr r="J1369" s="2"/>
      </tp>
      <tp t="s">
        <v>#N/A N/A</v>
        <stp/>
        <stp>BDP|7274353765430186004</stp>
        <tr r="T1615" s="2"/>
      </tp>
      <tp t="s">
        <v>#N/A N/A</v>
        <stp/>
        <stp>BDP|1805349044251267591</stp>
        <tr r="N1148" s="2"/>
      </tp>
      <tp t="s">
        <v>#N/A N/A</v>
        <stp/>
        <stp>BDP|4048428827021335153</stp>
        <tr r="A513" s="2"/>
      </tp>
      <tp t="s">
        <v>#N/A N/A</v>
        <stp/>
        <stp>BDP|3263571625627185125</stp>
        <tr r="E458" s="2"/>
      </tp>
      <tp t="s">
        <v>#N/A N/A</v>
        <stp/>
        <stp>BDP|5557650216946723622</stp>
        <tr r="J1721" s="2"/>
      </tp>
      <tp t="s">
        <v>#N/A N/A</v>
        <stp/>
        <stp>BDP|8525878304190243270</stp>
        <tr r="T343" s="2"/>
      </tp>
      <tp t="s">
        <v>#N/A N/A</v>
        <stp/>
        <stp>BDP|4667254560297075508</stp>
        <tr r="F1632" s="2"/>
      </tp>
      <tp t="s">
        <v>#N/A N/A</v>
        <stp/>
        <stp>BDP|2073094953737983203</stp>
        <tr r="K106" s="2"/>
      </tp>
      <tp t="s">
        <v>#N/A N/A</v>
        <stp/>
        <stp>BDP|2922833594430920149</stp>
        <tr r="S1493" s="2"/>
      </tp>
      <tp t="s">
        <v>#N/A N/A</v>
        <stp/>
        <stp>BDP|9471338564036972896</stp>
        <tr r="J201" s="2"/>
      </tp>
      <tp t="s">
        <v>#N/A N/A</v>
        <stp/>
        <stp>BDP|3634690008310573719</stp>
        <tr r="D965" s="2"/>
      </tp>
      <tp t="s">
        <v>#N/A N/A</v>
        <stp/>
        <stp>BDP|4075343004165024039</stp>
        <tr r="A1206" s="2"/>
      </tp>
      <tp t="s">
        <v>#N/A N/A</v>
        <stp/>
        <stp>BDP|1572780271952836173</stp>
        <tr r="C470" s="2"/>
      </tp>
      <tp t="s">
        <v>#N/A N/A</v>
        <stp/>
        <stp>BDP|4979398031125583378</stp>
        <tr r="J314" s="2"/>
      </tp>
      <tp t="s">
        <v>#N/A N/A</v>
        <stp/>
        <stp>BDP|1347709636285494227</stp>
        <tr r="H1147" s="2"/>
      </tp>
      <tp t="s">
        <v>#N/A N/A</v>
        <stp/>
        <stp>BDP|7429772972696101337</stp>
        <tr r="J1717" s="2"/>
      </tp>
      <tp t="s">
        <v>#N/A N/A</v>
        <stp/>
        <stp>BDS|1839142800492668090</stp>
        <tr r="I850" s="2"/>
      </tp>
      <tp t="s">
        <v>#N/A N/A</v>
        <stp/>
        <stp>BDP|6990823586944933070</stp>
        <tr r="N1615" s="2"/>
      </tp>
      <tp t="s">
        <v>#N/A N/A</v>
        <stp/>
        <stp>BDP|1902307209079454972</stp>
        <tr r="G564" s="2"/>
      </tp>
      <tp t="s">
        <v>#N/A N/A</v>
        <stp/>
        <stp>BDP|4267742874380744663</stp>
        <tr r="A1428" s="2"/>
      </tp>
      <tp t="s">
        <v>#N/A N/A</v>
        <stp/>
        <stp>BDS|4938499221246180633</stp>
        <tr r="I780" s="2"/>
      </tp>
      <tp t="s">
        <v>#N/A N/A</v>
        <stp/>
        <stp>BDP|4167230927614715211</stp>
        <tr r="H151" s="2"/>
      </tp>
      <tp t="s">
        <v>#N/A N/A</v>
        <stp/>
        <stp>BDP|4343984888960696760</stp>
        <tr r="A812" s="2"/>
      </tp>
      <tp t="s">
        <v>#N/A N/A</v>
        <stp/>
        <stp>BDP|6135410090159165027</stp>
        <tr r="H987" s="2"/>
      </tp>
      <tp t="s">
        <v>#N/A N/A</v>
        <stp/>
        <stp>BDP|4252108362825372401</stp>
        <tr r="H212" s="2"/>
      </tp>
      <tp t="s">
        <v>#N/A N/A</v>
        <stp/>
        <stp>BDP|2391971292747744728</stp>
        <tr r="Q742" s="2"/>
      </tp>
      <tp t="s">
        <v>#N/A N/A</v>
        <stp/>
        <stp>BDP|8087136784296585517</stp>
        <tr r="J938" s="2"/>
      </tp>
      <tp t="s">
        <v>#N/A N/A</v>
        <stp/>
        <stp>BDP|4328612523455211706</stp>
        <tr r="D855" s="2"/>
      </tp>
      <tp t="s">
        <v>#N/A N/A</v>
        <stp/>
        <stp>BDP|5056056523393023651</stp>
        <tr r="D947" s="2"/>
      </tp>
      <tp t="s">
        <v>#N/A N/A</v>
        <stp/>
        <stp>BDP|6984981174599396356</stp>
        <tr r="O1234" s="2"/>
      </tp>
      <tp t="s">
        <v>#N/A N/A</v>
        <stp/>
        <stp>BDP|7833534029290576240</stp>
        <tr r="T1119" s="2"/>
      </tp>
      <tp t="s">
        <v>#N/A N/A</v>
        <stp/>
        <stp>BDP|5657789169515728339</stp>
        <tr r="C748" s="2"/>
      </tp>
      <tp t="s">
        <v>#N/A N/A</v>
        <stp/>
        <stp>BDP|1108360294218902190</stp>
        <tr r="F490" s="2"/>
      </tp>
      <tp t="s">
        <v>#N/A N/A</v>
        <stp/>
        <stp>BDS|6332308009113895415</stp>
        <tr r="I1374" s="2"/>
      </tp>
      <tp t="s">
        <v>#N/A N/A</v>
        <stp/>
        <stp>BDP|7647447742943363609</stp>
        <tr r="O1292" s="2"/>
      </tp>
      <tp t="s">
        <v>#N/A N/A</v>
        <stp/>
        <stp>BDP|8386225036858192359</stp>
        <tr r="J559" s="2"/>
      </tp>
      <tp t="s">
        <v>#N/A N/A</v>
        <stp/>
        <stp>BDP|9039662401928182555</stp>
        <tr r="E126" s="2"/>
      </tp>
      <tp t="s">
        <v>#N/A N/A</v>
        <stp/>
        <stp>BDP|3336034517542249263</stp>
        <tr r="R769" s="2"/>
      </tp>
      <tp t="s">
        <v>#N/A N/A</v>
        <stp/>
        <stp>BDS|9006940437795985499</stp>
        <tr r="I87" s="2"/>
      </tp>
      <tp t="s">
        <v>#N/A N/A</v>
        <stp/>
        <stp>BDP|8981068817453993828</stp>
        <tr r="A139" s="2"/>
      </tp>
      <tp t="s">
        <v>#N/A N/A</v>
        <stp/>
        <stp>BDP|7020402053997753379</stp>
        <tr r="E328" s="2"/>
      </tp>
      <tp t="s">
        <v>#N/A N/A</v>
        <stp/>
        <stp>BDP|3532776675736671721</stp>
        <tr r="N850" s="2"/>
      </tp>
      <tp t="s">
        <v>#N/A N/A</v>
        <stp/>
        <stp>BDP|5660231264657006425</stp>
        <tr r="H1202" s="2"/>
      </tp>
      <tp t="s">
        <v>#N/A N/A</v>
        <stp/>
        <stp>BDP|5794619220372470110</stp>
        <tr r="T268" s="2"/>
      </tp>
      <tp t="s">
        <v>#N/A N/A</v>
        <stp/>
        <stp>BDP|3288412743471281012</stp>
        <tr r="C12" s="2"/>
      </tp>
      <tp t="s">
        <v>#N/A N/A</v>
        <stp/>
        <stp>BDP|6903035786594744880</stp>
        <tr r="J1753" s="2"/>
      </tp>
      <tp t="s">
        <v>#N/A N/A</v>
        <stp/>
        <stp>BDP|8464963155121478704</stp>
        <tr r="K381" s="2"/>
      </tp>
      <tp t="s">
        <v>#N/A N/A</v>
        <stp/>
        <stp>BDP|8763129231619378149</stp>
        <tr r="D1502" s="2"/>
      </tp>
      <tp t="s">
        <v>#N/A N/A</v>
        <stp/>
        <stp>BDP|5740633435337313513</stp>
        <tr r="K1429" s="2"/>
      </tp>
      <tp t="s">
        <v>#N/A N/A</v>
        <stp/>
        <stp>BDP|6974242754631327297</stp>
        <tr r="N386" s="2"/>
      </tp>
      <tp t="s">
        <v>#N/A N/A</v>
        <stp/>
        <stp>BDP|3417438292955373951</stp>
        <tr r="O550" s="2"/>
      </tp>
      <tp t="s">
        <v>#N/A N/A</v>
        <stp/>
        <stp>BDS|8677520399493910577</stp>
        <tr r="I1305" s="2"/>
      </tp>
      <tp t="s">
        <v>#N/A N/A</v>
        <stp/>
        <stp>BDP|4350317632084530267</stp>
        <tr r="E1138" s="2"/>
      </tp>
      <tp t="s">
        <v>#N/A N/A</v>
        <stp/>
        <stp>BDP|5415539746151679748</stp>
        <tr r="Q690" s="2"/>
      </tp>
      <tp t="s">
        <v>#N/A N/A</v>
        <stp/>
        <stp>BDP|2965217337475986464</stp>
        <tr r="O1193" s="2"/>
      </tp>
      <tp t="s">
        <v>#N/A N/A</v>
        <stp/>
        <stp>BDP|5396571717854095730</stp>
        <tr r="G25" s="2"/>
      </tp>
      <tp t="s">
        <v>#N/A N/A</v>
        <stp/>
        <stp>BDP|4360678565967261138</stp>
        <tr r="R1520" s="2"/>
      </tp>
      <tp t="s">
        <v>#N/A N/A</v>
        <stp/>
        <stp>BDP|7536718661477247373</stp>
        <tr r="F1083" s="2"/>
      </tp>
      <tp t="s">
        <v>#N/A N/A</v>
        <stp/>
        <stp>BDP|2581120254690425474</stp>
        <tr r="K864" s="2"/>
      </tp>
      <tp t="s">
        <v>#N/A N/A</v>
        <stp/>
        <stp>BDP|9900188991914210728</stp>
        <tr r="S1141" s="2"/>
      </tp>
      <tp t="s">
        <v>#N/A N/A</v>
        <stp/>
        <stp>BDP|9262828649100801714</stp>
        <tr r="T793" s="2"/>
      </tp>
      <tp t="s">
        <v>#N/A N/A</v>
        <stp/>
        <stp>BDP|6770083397308857508</stp>
        <tr r="P139" s="2"/>
      </tp>
      <tp t="s">
        <v>#N/A N/A</v>
        <stp/>
        <stp>BDP|9096113285906110458</stp>
        <tr r="O323" s="2"/>
      </tp>
      <tp t="s">
        <v>#N/A N/A</v>
        <stp/>
        <stp>BDP|9615819745202384518</stp>
        <tr r="M541" s="2"/>
      </tp>
      <tp t="s">
        <v>#N/A N/A</v>
        <stp/>
        <stp>BDP|5270401334255397557</stp>
        <tr r="P972" s="2"/>
      </tp>
      <tp t="s">
        <v>#N/A N/A</v>
        <stp/>
        <stp>BDP|8356566157558583274</stp>
        <tr r="M522" s="2"/>
      </tp>
      <tp t="s">
        <v>#N/A N/A</v>
        <stp/>
        <stp>BDP|6435044271647181403</stp>
        <tr r="A380" s="2"/>
      </tp>
      <tp t="s">
        <v>#N/A N/A</v>
        <stp/>
        <stp>BDP|1333727632015087236</stp>
        <tr r="E1234" s="2"/>
      </tp>
      <tp t="s">
        <v>#N/A N/A</v>
        <stp/>
        <stp>BDP|5057870214847796949</stp>
        <tr r="E982" s="2"/>
      </tp>
      <tp t="s">
        <v>#N/A N/A</v>
        <stp/>
        <stp>BDP|7625248395726718801</stp>
        <tr r="D63" s="2"/>
      </tp>
      <tp t="s">
        <v>#N/A N/A</v>
        <stp/>
        <stp>BDP|4450371620854406370</stp>
        <tr r="D1723" s="2"/>
      </tp>
      <tp t="s">
        <v>#N/A N/A</v>
        <stp/>
        <stp>BDP|9585520393710176754</stp>
        <tr r="E180" s="2"/>
      </tp>
      <tp t="s">
        <v>#N/A N/A</v>
        <stp/>
        <stp>BDP|5168300628996969005</stp>
        <tr r="E280" s="2"/>
      </tp>
      <tp t="s">
        <v>#N/A N/A</v>
        <stp/>
        <stp>BDP|5534117480967232961</stp>
        <tr r="G765" s="2"/>
      </tp>
      <tp t="s">
        <v>#N/A N/A</v>
        <stp/>
        <stp>BDP|6995095801507439355</stp>
        <tr r="T1549" s="2"/>
      </tp>
      <tp t="s">
        <v>#N/A N/A</v>
        <stp/>
        <stp>BDP|6561600238358490993</stp>
        <tr r="S1309" s="2"/>
      </tp>
      <tp t="s">
        <v>#N/A N/A</v>
        <stp/>
        <stp>BDP|4364157807772813598</stp>
        <tr r="T30" s="2"/>
      </tp>
      <tp t="s">
        <v>#N/A N/A</v>
        <stp/>
        <stp>BDP|3232548331812440539</stp>
        <tr r="R251" s="2"/>
      </tp>
      <tp t="s">
        <v>#N/A N/A</v>
        <stp/>
        <stp>BDP|2768166574233052559</stp>
        <tr r="N344" s="2"/>
      </tp>
      <tp t="s">
        <v>#N/A N/A</v>
        <stp/>
        <stp>BDP|1832623779121188327</stp>
        <tr r="K487" s="2"/>
      </tp>
      <tp t="s">
        <v>#N/A N/A</v>
        <stp/>
        <stp>BDP|7625415757122146613</stp>
        <tr r="E129" s="2"/>
      </tp>
      <tp t="s">
        <v>#N/A N/A</v>
        <stp/>
        <stp>BDS|2943592160664114713</stp>
        <tr r="I209" s="2"/>
      </tp>
      <tp t="s">
        <v>#N/A N/A</v>
        <stp/>
        <stp>BDP|7010126000787369317</stp>
        <tr r="A1194" s="2"/>
      </tp>
      <tp t="s">
        <v>#N/A N/A</v>
        <stp/>
        <stp>BDP|2416536207612500751</stp>
        <tr r="A348" s="2"/>
      </tp>
      <tp t="s">
        <v>#N/A N/A</v>
        <stp/>
        <stp>BDP|6333061333472069560</stp>
        <tr r="J955" s="2"/>
      </tp>
      <tp t="s">
        <v>#N/A N/A</v>
        <stp/>
        <stp>BDP|2220347989082625994</stp>
        <tr r="P581" s="2"/>
      </tp>
      <tp t="s">
        <v>#N/A N/A</v>
        <stp/>
        <stp>BDP|1437953895801433208</stp>
        <tr r="P788" s="2"/>
      </tp>
      <tp t="s">
        <v>#N/A N/A</v>
        <stp/>
        <stp>BDP|3323624231534118011</stp>
        <tr r="T1504" s="2"/>
      </tp>
      <tp t="s">
        <v>#N/A N/A</v>
        <stp/>
        <stp>BDP|7438605743200348742</stp>
        <tr r="M775" s="2"/>
      </tp>
      <tp t="s">
        <v>#N/A N/A</v>
        <stp/>
        <stp>BDP|3761290928782409323</stp>
        <tr r="O1333" s="2"/>
      </tp>
      <tp t="s">
        <v>#N/A N/A</v>
        <stp/>
        <stp>BDP|7933044041824958558</stp>
        <tr r="C1575" s="2"/>
      </tp>
      <tp t="s">
        <v>#N/A N/A</v>
        <stp/>
        <stp>BDP|7528774976566477301</stp>
        <tr r="J220" s="2"/>
      </tp>
      <tp t="s">
        <v>#N/A N/A</v>
        <stp/>
        <stp>BDP|4417715062714035375</stp>
        <tr r="G216" s="2"/>
      </tp>
      <tp t="s">
        <v>#N/A N/A</v>
        <stp/>
        <stp>BDP|4762322203867408229</stp>
        <tr r="H999" s="2"/>
      </tp>
      <tp t="s">
        <v>#N/A N/A</v>
        <stp/>
        <stp>BDP|8478415772419621011</stp>
        <tr r="P587" s="2"/>
      </tp>
      <tp t="s">
        <v>#N/A N/A</v>
        <stp/>
        <stp>BDP|7457685464312166791</stp>
        <tr r="C1006" s="2"/>
      </tp>
      <tp t="s">
        <v>#N/A N/A</v>
        <stp/>
        <stp>BDP|4563000297437764850</stp>
        <tr r="F672" s="2"/>
      </tp>
      <tp t="s">
        <v>#N/A N/A</v>
        <stp/>
        <stp>BDP|4951885378631122880</stp>
        <tr r="M1121" s="2"/>
      </tp>
      <tp t="s">
        <v>#N/A N/A</v>
        <stp/>
        <stp>BDP|8269632463413620946</stp>
        <tr r="K569" s="2"/>
      </tp>
      <tp t="s">
        <v>#N/A N/A</v>
        <stp/>
        <stp>BDS|2031396966271631493</stp>
        <tr r="I853" s="2"/>
      </tp>
      <tp t="s">
        <v>#N/A N/A</v>
        <stp/>
        <stp>BDP|2128261784793223911</stp>
        <tr r="C1087" s="2"/>
      </tp>
      <tp t="s">
        <v>#N/A N/A</v>
        <stp/>
        <stp>BDP|3098568756705488449</stp>
        <tr r="F290" s="2"/>
      </tp>
      <tp t="s">
        <v>#N/A N/A</v>
        <stp/>
        <stp>BDP|3425212645443655466</stp>
        <tr r="S38" s="2"/>
      </tp>
      <tp t="s">
        <v>#N/A N/A</v>
        <stp/>
        <stp>BDP|3306011306049172851</stp>
        <tr r="F1429" s="2"/>
      </tp>
      <tp t="s">
        <v>#N/A N/A</v>
        <stp/>
        <stp>BDP|7336037077615258750</stp>
        <tr r="R901" s="2"/>
      </tp>
      <tp t="s">
        <v>#N/A N/A</v>
        <stp/>
        <stp>BDP|7353000571195160735</stp>
        <tr r="K1344" s="2"/>
      </tp>
      <tp t="s">
        <v>#N/A N/A</v>
        <stp/>
        <stp>BDP|9975826479211739557</stp>
        <tr r="F121" s="2"/>
      </tp>
      <tp t="s">
        <v>#N/A N/A</v>
        <stp/>
        <stp>BDP|6664190379380738210</stp>
        <tr r="D285" s="2"/>
      </tp>
      <tp t="s">
        <v>#N/A N/A</v>
        <stp/>
        <stp>BDP|2515708701486387173</stp>
        <tr r="A437" s="2"/>
      </tp>
      <tp t="s">
        <v>#N/A N/A</v>
        <stp/>
        <stp>BDP|1747012945134206311</stp>
        <tr r="F5" s="2"/>
      </tp>
      <tp t="s">
        <v>#N/A N/A</v>
        <stp/>
        <stp>BDP|2568136520183791001</stp>
        <tr r="D740" s="2"/>
      </tp>
      <tp t="s">
        <v>#N/A N/A</v>
        <stp/>
        <stp>BDP|1517411561221481003</stp>
        <tr r="S338" s="2"/>
      </tp>
      <tp t="s">
        <v>#N/A N/A</v>
        <stp/>
        <stp>BDP|5732028698176500893</stp>
        <tr r="P361" s="2"/>
      </tp>
      <tp t="s">
        <v>#N/A N/A</v>
        <stp/>
        <stp>BDP|1275083011502994030</stp>
        <tr r="C236" s="2"/>
      </tp>
      <tp t="s">
        <v>#N/A N/A</v>
        <stp/>
        <stp>BDP|3957552577617986432</stp>
        <tr r="A185" s="2"/>
      </tp>
      <tp t="s">
        <v>#N/A N/A</v>
        <stp/>
        <stp>BDP|8083047621161314974</stp>
        <tr r="C1598" s="2"/>
      </tp>
      <tp t="s">
        <v>#N/A N/A</v>
        <stp/>
        <stp>BDP|4161567816896151417</stp>
        <tr r="P423" s="2"/>
      </tp>
      <tp t="s">
        <v>#N/A N/A</v>
        <stp/>
        <stp>BDP|9636183555679946639</stp>
        <tr r="A1181" s="2"/>
      </tp>
      <tp t="s">
        <v>#N/A N/A</v>
        <stp/>
        <stp>BDP|1218105802260345229</stp>
        <tr r="H525" s="2"/>
      </tp>
      <tp t="s">
        <v>#N/A N/A</v>
        <stp/>
        <stp>BDP|3847368300401748387</stp>
        <tr r="H648" s="2"/>
      </tp>
      <tp t="s">
        <v>#N/A N/A</v>
        <stp/>
        <stp>BDP|2674330854707622169</stp>
        <tr r="H619" s="2"/>
      </tp>
      <tp t="s">
        <v>#N/A N/A</v>
        <stp/>
        <stp>BDP|4650658920642106030</stp>
        <tr r="P471" s="2"/>
      </tp>
      <tp t="s">
        <v>#N/A N/A</v>
        <stp/>
        <stp>BDP|3422879342455651860</stp>
        <tr r="P1659" s="2"/>
      </tp>
      <tp t="s">
        <v>#N/A N/A</v>
        <stp/>
        <stp>BDP|2341140126015605669</stp>
        <tr r="E1093" s="2"/>
      </tp>
      <tp t="s">
        <v>#N/A N/A</v>
        <stp/>
        <stp>BDP|2661451602411869588</stp>
        <tr r="H1523" s="2"/>
      </tp>
      <tp t="s">
        <v>#N/A N/A</v>
        <stp/>
        <stp>BDP|6279874495777115208</stp>
        <tr r="S343" s="2"/>
      </tp>
      <tp t="s">
        <v>#N/A N/A</v>
        <stp/>
        <stp>BDP|2393554157819516958</stp>
        <tr r="E57" s="2"/>
      </tp>
      <tp t="s">
        <v>#N/A N/A</v>
        <stp/>
        <stp>BDP|5214613511474390403</stp>
        <tr r="H125" s="2"/>
      </tp>
      <tp t="s">
        <v>#N/A N/A</v>
        <stp/>
        <stp>BDP|1480236457573152702</stp>
        <tr r="N743" s="2"/>
      </tp>
      <tp t="s">
        <v>#N/A N/A</v>
        <stp/>
        <stp>BDP|1865109784428431294</stp>
        <tr r="D1495" s="2"/>
      </tp>
      <tp t="s">
        <v>#N/A N/A</v>
        <stp/>
        <stp>BDP|6235786424926961766</stp>
        <tr r="N959" s="2"/>
      </tp>
      <tp t="s">
        <v>#N/A N/A</v>
        <stp/>
        <stp>BDP|7643342150565577668</stp>
        <tr r="T1097" s="2"/>
      </tp>
      <tp t="s">
        <v>#N/A N/A</v>
        <stp/>
        <stp>BDP|1345201562751555658</stp>
        <tr r="R427" s="2"/>
      </tp>
      <tp t="s">
        <v>#N/A N/A</v>
        <stp/>
        <stp>BDP|6575236900374589225</stp>
        <tr r="R1032" s="2"/>
      </tp>
      <tp t="s">
        <v>#N/A N/A</v>
        <stp/>
        <stp>BDP|3155778149563731194</stp>
        <tr r="P1232" s="2"/>
      </tp>
      <tp t="s">
        <v>#N/A N/A</v>
        <stp/>
        <stp>BDP|3197710606786611010</stp>
        <tr r="G641" s="2"/>
      </tp>
      <tp t="s">
        <v>#N/A N/A</v>
        <stp/>
        <stp>BDP|1874134238358389917</stp>
        <tr r="A372" s="2"/>
      </tp>
      <tp t="s">
        <v>#N/A N/A</v>
        <stp/>
        <stp>BDP|5619508226737173706</stp>
        <tr r="P934" s="2"/>
      </tp>
      <tp t="s">
        <v>#N/A N/A</v>
        <stp/>
        <stp>BDP|9284652280141172472</stp>
        <tr r="T1065" s="2"/>
      </tp>
      <tp t="s">
        <v>#N/A N/A</v>
        <stp/>
        <stp>BDP|9916789391372130706</stp>
        <tr r="C858" s="2"/>
      </tp>
      <tp t="s">
        <v>#N/A N/A</v>
        <stp/>
        <stp>BDP|3654664565486185753</stp>
        <tr r="S453" s="2"/>
      </tp>
      <tp t="s">
        <v>#N/A N/A</v>
        <stp/>
        <stp>BDP|8909077135718984136</stp>
        <tr r="F1385" s="2"/>
      </tp>
      <tp t="s">
        <v>#N/A N/A</v>
        <stp/>
        <stp>BDP|2197608521744163001</stp>
        <tr r="K1287" s="2"/>
      </tp>
      <tp t="s">
        <v>#N/A N/A</v>
        <stp/>
        <stp>BDP|3664459382975646863</stp>
        <tr r="K1341" s="2"/>
      </tp>
      <tp t="s">
        <v>#N/A N/A</v>
        <stp/>
        <stp>BDP|1106650676347574565</stp>
        <tr r="C200" s="2"/>
      </tp>
      <tp t="s">
        <v>#N/A N/A</v>
        <stp/>
        <stp>BDP|9251422866069052073</stp>
        <tr r="S828" s="2"/>
      </tp>
      <tp t="s">
        <v>#N/A N/A</v>
        <stp/>
        <stp>BDP|6300064669844557689</stp>
        <tr r="C1748" s="2"/>
      </tp>
      <tp t="s">
        <v>#N/A N/A</v>
        <stp/>
        <stp>BDP|6571696521726510697</stp>
        <tr r="F487" s="2"/>
      </tp>
      <tp t="s">
        <v>#N/A N/A</v>
        <stp/>
        <stp>BDS|7380544059731704488</stp>
        <tr r="I1469" s="2"/>
      </tp>
      <tp t="s">
        <v>#N/A N/A</v>
        <stp/>
        <stp>BDP|2728521951555704526</stp>
        <tr r="T298" s="2"/>
      </tp>
      <tp t="s">
        <v>#N/A N/A</v>
        <stp/>
        <stp>BDP|9679220998681508181</stp>
        <tr r="D1425" s="2"/>
      </tp>
      <tp t="s">
        <v>#N/A N/A</v>
        <stp/>
        <stp>BDP|3171726933993785663</stp>
        <tr r="N1260" s="2"/>
      </tp>
      <tp t="s">
        <v>#N/A N/A</v>
        <stp/>
        <stp>BDP|6341044420671156770</stp>
        <tr r="C589" s="2"/>
      </tp>
      <tp t="s">
        <v>#N/A N/A</v>
        <stp/>
        <stp>BDP|8118756287585797058</stp>
        <tr r="Q1421" s="2"/>
      </tp>
      <tp t="s">
        <v>#N/A N/A</v>
        <stp/>
        <stp>BDP|1867836042658144791</stp>
        <tr r="M591" s="2"/>
      </tp>
      <tp t="s">
        <v>#N/A N/A</v>
        <stp/>
        <stp>BDP|5266295305152676796</stp>
        <tr r="D863" s="2"/>
      </tp>
      <tp t="s">
        <v>#N/A N/A</v>
        <stp/>
        <stp>BDP|5956506656765970270</stp>
        <tr r="G528" s="2"/>
      </tp>
      <tp t="s">
        <v>#N/A N/A</v>
        <stp/>
        <stp>BDP|1622664948272110386</stp>
        <tr r="J629" s="2"/>
      </tp>
      <tp t="s">
        <v>#N/A N/A</v>
        <stp/>
        <stp>BDP|4239820111179386639</stp>
        <tr r="O444" s="2"/>
      </tp>
      <tp t="s">
        <v>#N/A N/A</v>
        <stp/>
        <stp>BDP|3706927196356238705</stp>
        <tr r="E1217" s="2"/>
      </tp>
      <tp t="s">
        <v>#N/A N/A</v>
        <stp/>
        <stp>BDP|6166035261447015523</stp>
        <tr r="F899" s="2"/>
      </tp>
      <tp t="s">
        <v>#N/A N/A</v>
        <stp/>
        <stp>BDP|3557260193562877892</stp>
        <tr r="S1132" s="2"/>
      </tp>
      <tp t="s">
        <v>#N/A N/A</v>
        <stp/>
        <stp>BDP|2265318539966935621</stp>
        <tr r="S118" s="2"/>
      </tp>
      <tp t="s">
        <v>#N/A N/A</v>
        <stp/>
        <stp>BDP|3928562778901192275</stp>
        <tr r="O1278" s="2"/>
      </tp>
      <tp t="s">
        <v>#N/A N/A</v>
        <stp/>
        <stp>BDP|3111344750970588711</stp>
        <tr r="E98" s="2"/>
      </tp>
      <tp t="s">
        <v>#N/A N/A</v>
        <stp/>
        <stp>BDP|5135561029335873572</stp>
        <tr r="T1473" s="2"/>
      </tp>
      <tp t="s">
        <v>#N/A N/A</v>
        <stp/>
        <stp>BDP|3001902565138205667</stp>
        <tr r="D642" s="2"/>
      </tp>
      <tp t="s">
        <v>#N/A N/A</v>
        <stp/>
        <stp>BDP|3387737034330517509</stp>
        <tr r="A734" s="2"/>
      </tp>
      <tp t="s">
        <v>#N/A N/A</v>
        <stp/>
        <stp>BDP|5523688540800538595</stp>
        <tr r="R833" s="2"/>
      </tp>
      <tp t="s">
        <v>#N/A N/A</v>
        <stp/>
        <stp>BDP|2451444872594079737</stp>
        <tr r="Q877" s="2"/>
      </tp>
      <tp t="s">
        <v>#N/A N/A</v>
        <stp/>
        <stp>BDP|2731651142124079610</stp>
        <tr r="R110" s="2"/>
      </tp>
      <tp t="s">
        <v>#N/A N/A</v>
        <stp/>
        <stp>BDP|4166117736990368449</stp>
        <tr r="H603" s="2"/>
      </tp>
      <tp t="s">
        <v>#N/A N/A</v>
        <stp/>
        <stp>BDP|9637722798167446293</stp>
        <tr r="G617" s="2"/>
      </tp>
      <tp t="s">
        <v>#N/A N/A</v>
        <stp/>
        <stp>BDP|1647562116177226053</stp>
        <tr r="E716" s="2"/>
      </tp>
      <tp t="s">
        <v>#N/A N/A</v>
        <stp/>
        <stp>BDP|8500986155331845717</stp>
        <tr r="S1395" s="2"/>
      </tp>
      <tp t="s">
        <v>#N/A N/A</v>
        <stp/>
        <stp>BDP|5638343849430248086</stp>
        <tr r="D1540" s="2"/>
      </tp>
      <tp t="s">
        <v>#N/A N/A</v>
        <stp/>
        <stp>BDP|4531739476465202347</stp>
        <tr r="H1706" s="2"/>
      </tp>
      <tp t="s">
        <v>#N/A N/A</v>
        <stp/>
        <stp>BDP|5298769172417046009</stp>
        <tr r="R1530" s="2"/>
      </tp>
      <tp t="s">
        <v>#N/A N/A</v>
        <stp/>
        <stp>BDS|8079139961385066841</stp>
        <tr r="I131" s="2"/>
      </tp>
      <tp t="s">
        <v>#N/A N/A</v>
        <stp/>
        <stp>BDP|7985652842961992613</stp>
        <tr r="M1086" s="2"/>
      </tp>
      <tp t="s">
        <v>#N/A N/A</v>
        <stp/>
        <stp>BDP|2565710664870150173</stp>
        <tr r="E310" s="2"/>
      </tp>
      <tp t="s">
        <v>#N/A N/A</v>
        <stp/>
        <stp>BDP|9583508334015115869</stp>
        <tr r="P841" s="2"/>
      </tp>
      <tp t="s">
        <v>#N/A N/A</v>
        <stp/>
        <stp>BDP|4570331355112294276</stp>
        <tr r="T611" s="2"/>
      </tp>
      <tp t="s">
        <v>#N/A N/A</v>
        <stp/>
        <stp>BDP|9484974658204954340</stp>
        <tr r="P1309" s="2"/>
      </tp>
      <tp t="s">
        <v>#N/A N/A</v>
        <stp/>
        <stp>BDP|1225525944386085427</stp>
        <tr r="R663" s="2"/>
      </tp>
      <tp t="s">
        <v>#N/A N/A</v>
        <stp/>
        <stp>BDP|7740901664829465310</stp>
        <tr r="Q1426" s="2"/>
      </tp>
      <tp t="s">
        <v>#N/A N/A</v>
        <stp/>
        <stp>BDP|7366682129791311079</stp>
        <tr r="N777" s="2"/>
      </tp>
      <tp t="s">
        <v>#N/A N/A</v>
        <stp/>
        <stp>BDP|6144420945256593254</stp>
        <tr r="O1311" s="2"/>
      </tp>
      <tp t="s">
        <v>#N/A N/A</v>
        <stp/>
        <stp>BDP|8177824633095208449</stp>
        <tr r="S848" s="2"/>
      </tp>
      <tp t="s">
        <v>#N/A N/A</v>
        <stp/>
        <stp>BDS|4681550501515119655</stp>
        <tr r="I213" s="2"/>
      </tp>
      <tp t="s">
        <v>#N/A N/A</v>
        <stp/>
        <stp>BDP|6793535713416158607</stp>
        <tr r="G857" s="2"/>
      </tp>
      <tp t="s">
        <v>#N/A N/A</v>
        <stp/>
        <stp>BDP|1850586712956237164</stp>
        <tr r="N132" s="2"/>
      </tp>
      <tp t="s">
        <v>#N/A N/A</v>
        <stp/>
        <stp>BDP|5188601016731452156</stp>
        <tr r="D1171" s="2"/>
      </tp>
      <tp t="s">
        <v>#N/A N/A</v>
        <stp/>
        <stp>BDS|2870910098689769908</stp>
        <tr r="I900" s="2"/>
      </tp>
      <tp t="s">
        <v>#N/A N/A</v>
        <stp/>
        <stp>BDP|5253108366755731556</stp>
        <tr r="M605" s="2"/>
      </tp>
      <tp t="s">
        <v>#N/A N/A</v>
        <stp/>
        <stp>BDP|9815884903007529408</stp>
        <tr r="S1708" s="2"/>
      </tp>
      <tp t="s">
        <v>#N/A N/A</v>
        <stp/>
        <stp>BDP|1973217952993954753</stp>
        <tr r="A1673" s="2"/>
      </tp>
      <tp t="s">
        <v>#N/A N/A</v>
        <stp/>
        <stp>BDP|7376762830312204319</stp>
        <tr r="M486" s="2"/>
      </tp>
      <tp t="s">
        <v>#N/A N/A</v>
        <stp/>
        <stp>BDP|1950284306245342429</stp>
        <tr r="N1272" s="2"/>
      </tp>
      <tp t="s">
        <v>#N/A N/A</v>
        <stp/>
        <stp>BDP|3121228717736023421</stp>
        <tr r="C945" s="2"/>
      </tp>
      <tp t="s">
        <v>#N/A N/A</v>
        <stp/>
        <stp>BDP|1542376367162740449</stp>
        <tr r="K1619" s="2"/>
      </tp>
      <tp t="s">
        <v>#N/A N/A</v>
        <stp/>
        <stp>BDP|3009627834042186611</stp>
        <tr r="O1406" s="2"/>
      </tp>
      <tp t="s">
        <v>#N/A N/A</v>
        <stp/>
        <stp>BDP|7197974429236068897</stp>
        <tr r="K1171" s="2"/>
      </tp>
      <tp t="s">
        <v>#N/A N/A</v>
        <stp/>
        <stp>BDP|9170667727539702614</stp>
        <tr r="R339" s="2"/>
      </tp>
      <tp t="s">
        <v>#N/A N/A</v>
        <stp/>
        <stp>BDP|8937924551302902455</stp>
        <tr r="R1690" s="2"/>
      </tp>
      <tp t="s">
        <v>#N/A N/A</v>
        <stp/>
        <stp>BDP|4324346622996295115</stp>
        <tr r="Q676" s="2"/>
      </tp>
      <tp t="s">
        <v>#N/A N/A</v>
        <stp/>
        <stp>BDP|4877424511634569782</stp>
        <tr r="N858" s="2"/>
      </tp>
      <tp t="s">
        <v>#N/A N/A</v>
        <stp/>
        <stp>BDP|6449488269691328709</stp>
        <tr r="A856" s="2"/>
      </tp>
      <tp t="s">
        <v>#N/A N/A</v>
        <stp/>
        <stp>BDP|7815188871007416439</stp>
        <tr r="F1358" s="2"/>
      </tp>
      <tp t="s">
        <v>#N/A N/A</v>
        <stp/>
        <stp>BDP|2841057009140033021</stp>
        <tr r="O109" s="2"/>
      </tp>
      <tp t="s">
        <v>#N/A N/A</v>
        <stp/>
        <stp>BDP|2234770473058972894</stp>
        <tr r="J1639" s="2"/>
      </tp>
      <tp t="s">
        <v>#N/A N/A</v>
        <stp/>
        <stp>BDP|7416890468168305300</stp>
        <tr r="O1498" s="2"/>
      </tp>
      <tp t="s">
        <v>#N/A N/A</v>
        <stp/>
        <stp>BDP|2962251042741105790</stp>
        <tr r="M1477" s="2"/>
      </tp>
      <tp t="s">
        <v>#N/A N/A</v>
        <stp/>
        <stp>BDP|9056625682151220440</stp>
        <tr r="J1283" s="2"/>
      </tp>
      <tp t="s">
        <v>#N/A N/A</v>
        <stp/>
        <stp>BDP|2407535511672215621</stp>
        <tr r="K977" s="2"/>
      </tp>
      <tp t="s">
        <v>#N/A N/A</v>
        <stp/>
        <stp>BDP|3568310205164655611</stp>
        <tr r="S1467" s="2"/>
      </tp>
      <tp t="s">
        <v>#N/A N/A</v>
        <stp/>
        <stp>BDP|2800147197039914144</stp>
        <tr r="S1260" s="2"/>
      </tp>
      <tp t="s">
        <v>#N/A N/A</v>
        <stp/>
        <stp>BDP|4323457525667151744</stp>
        <tr r="G178" s="2"/>
      </tp>
      <tp t="s">
        <v>#N/A N/A</v>
        <stp/>
        <stp>BDP|9906802742915881251</stp>
        <tr r="A331" s="2"/>
      </tp>
      <tp t="s">
        <v>#N/A N/A</v>
        <stp/>
        <stp>BDP|3212742785516440817</stp>
        <tr r="R1337" s="2"/>
      </tp>
      <tp t="s">
        <v>#N/A N/A</v>
        <stp/>
        <stp>BDP|9082624442221690802</stp>
        <tr r="H1199" s="2"/>
      </tp>
      <tp t="s">
        <v>#N/A N/A</v>
        <stp/>
        <stp>BDP|7207706825433560341</stp>
        <tr r="O1643" s="2"/>
      </tp>
      <tp t="s">
        <v>#N/A N/A</v>
        <stp/>
        <stp>BDP|6577734920156052702</stp>
        <tr r="Q1149" s="2"/>
      </tp>
      <tp t="s">
        <v>#N/A N/A</v>
        <stp/>
        <stp>BDP|3198169150343050612</stp>
        <tr r="D1507" s="2"/>
      </tp>
      <tp t="s">
        <v>#N/A N/A</v>
        <stp/>
        <stp>BDP|2808407123510513687</stp>
        <tr r="K319" s="2"/>
      </tp>
      <tp t="s">
        <v>#N/A N/A</v>
        <stp/>
        <stp>BDP|3843731930497918244</stp>
        <tr r="T102" s="2"/>
      </tp>
      <tp t="s">
        <v>#N/A N/A</v>
        <stp/>
        <stp>BDP|7699162032185146259</stp>
        <tr r="D1613" s="2"/>
      </tp>
      <tp t="s">
        <v>#N/A N/A</v>
        <stp/>
        <stp>BDP|2160687472636537783</stp>
        <tr r="K902" s="2"/>
      </tp>
      <tp t="s">
        <v>#N/A N/A</v>
        <stp/>
        <stp>BDP|6202716175104501050</stp>
        <tr r="E1073" s="2"/>
      </tp>
      <tp t="s">
        <v>#N/A N/A</v>
        <stp/>
        <stp>BDP|2766222536158330960</stp>
        <tr r="H1207" s="2"/>
      </tp>
      <tp t="s">
        <v>#N/A N/A</v>
        <stp/>
        <stp>BDP|2538045032191341265</stp>
        <tr r="R1111" s="2"/>
      </tp>
      <tp t="s">
        <v>#N/A N/A</v>
        <stp/>
        <stp>BDP|6207362123250312527</stp>
        <tr r="A1293" s="2"/>
      </tp>
      <tp t="s">
        <v>#N/A N/A</v>
        <stp/>
        <stp>BDP|1195057430723461369</stp>
        <tr r="O160" s="2"/>
      </tp>
      <tp t="s">
        <v>#N/A N/A</v>
        <stp/>
        <stp>BDP|5989381674951344202</stp>
        <tr r="D579" s="2"/>
      </tp>
      <tp t="s">
        <v>#N/A N/A</v>
        <stp/>
        <stp>BDP|1148697107723933601</stp>
        <tr r="M1073" s="2"/>
      </tp>
      <tp t="s">
        <v>#N/A N/A</v>
        <stp/>
        <stp>BDP|6419626145060526603</stp>
        <tr r="F594" s="2"/>
      </tp>
      <tp t="s">
        <v>#N/A N/A</v>
        <stp/>
        <stp>BDP|7367134316721342428</stp>
        <tr r="G1087" s="2"/>
      </tp>
      <tp t="s">
        <v>#N/A N/A</v>
        <stp/>
        <stp>BDP|5556525552926064126</stp>
        <tr r="C1112" s="2"/>
      </tp>
      <tp t="s">
        <v>#N/A N/A</v>
        <stp/>
        <stp>BDP|4864082727806303235</stp>
        <tr r="C299" s="2"/>
      </tp>
      <tp t="s">
        <v>#N/A N/A</v>
        <stp/>
        <stp>BDP|7996036837796217080</stp>
        <tr r="T852" s="2"/>
      </tp>
      <tp t="s">
        <v>#N/A N/A</v>
        <stp/>
        <stp>BDP|8037007630369269058</stp>
        <tr r="K482" s="2"/>
      </tp>
      <tp t="s">
        <v>#N/A N/A</v>
        <stp/>
        <stp>BDP|1781666944229141831</stp>
        <tr r="H1013" s="2"/>
      </tp>
      <tp t="s">
        <v>#N/A N/A</v>
        <stp/>
        <stp>BDP|8987441299313102422</stp>
        <tr r="H1475" s="2"/>
      </tp>
      <tp t="s">
        <v>#N/A N/A</v>
        <stp/>
        <stp>BDP|5777307746069004968</stp>
        <tr r="Q1463" s="2"/>
      </tp>
      <tp t="s">
        <v>#N/A N/A</v>
        <stp/>
        <stp>BDP|1751267931772081075</stp>
        <tr r="C293" s="2"/>
      </tp>
      <tp t="s">
        <v>#N/A N/A</v>
        <stp/>
        <stp>BDP|4336640342665748159</stp>
        <tr r="F1180" s="2"/>
      </tp>
      <tp t="s">
        <v>#N/A N/A</v>
        <stp/>
        <stp>BDP|1203147275212276769</stp>
        <tr r="T232" s="2"/>
      </tp>
      <tp t="s">
        <v>#N/A N/A</v>
        <stp/>
        <stp>BDP|1940734842067729789</stp>
        <tr r="F842" s="2"/>
      </tp>
      <tp t="s">
        <v>#N/A N/A</v>
        <stp/>
        <stp>BDP|9955312517609020088</stp>
        <tr r="N485" s="2"/>
      </tp>
      <tp t="s">
        <v>#N/A N/A</v>
        <stp/>
        <stp>BDP|8670685965832897848</stp>
        <tr r="T405" s="2"/>
      </tp>
      <tp t="s">
        <v>#N/A N/A</v>
        <stp/>
        <stp>BDP|3811814642925461880</stp>
        <tr r="H1107" s="2"/>
      </tp>
      <tp t="s">
        <v>#N/A N/A</v>
        <stp/>
        <stp>BDP|4137773467174781313</stp>
        <tr r="S1753" s="2"/>
      </tp>
      <tp t="s">
        <v>#N/A N/A</v>
        <stp/>
        <stp>BDP|5619975880127486127</stp>
        <tr r="C417" s="2"/>
      </tp>
      <tp t="s">
        <v>#N/A N/A</v>
        <stp/>
        <stp>BDP|9802211085453976228</stp>
        <tr r="S650" s="2"/>
      </tp>
      <tp t="s">
        <v>#N/A N/A</v>
        <stp/>
        <stp>BDS|6863888530416516922</stp>
        <tr r="I675" s="2"/>
      </tp>
      <tp t="s">
        <v>#N/A N/A</v>
        <stp/>
        <stp>BDP|1543144166664656069</stp>
        <tr r="M1107" s="2"/>
      </tp>
      <tp t="s">
        <v>#N/A N/A</v>
        <stp/>
        <stp>BDP|3845469708297006215</stp>
        <tr r="S36" s="2"/>
      </tp>
      <tp t="s">
        <v>#N/A N/A</v>
        <stp/>
        <stp>BDP|7116113816744285137</stp>
        <tr r="N409" s="2"/>
      </tp>
      <tp t="s">
        <v>#N/A N/A</v>
        <stp/>
        <stp>BDP|8983980873365222173</stp>
        <tr r="A397" s="2"/>
      </tp>
      <tp t="s">
        <v>#N/A N/A</v>
        <stp/>
        <stp>BDP|2097104385491204803</stp>
        <tr r="R1720" s="2"/>
      </tp>
      <tp t="s">
        <v>#N/A N/A</v>
        <stp/>
        <stp>BDP|8525749986714073106</stp>
        <tr r="D926" s="2"/>
      </tp>
      <tp t="s">
        <v>#N/A N/A</v>
        <stp/>
        <stp>BDP|8803781383691421408</stp>
        <tr r="P592" s="2"/>
      </tp>
      <tp t="s">
        <v>#N/A N/A</v>
        <stp/>
        <stp>BDP|4149375042801420076</stp>
        <tr r="N283" s="2"/>
      </tp>
      <tp t="s">
        <v>#N/A N/A</v>
        <stp/>
        <stp>BDP|2793255860391626531</stp>
        <tr r="A1723" s="2"/>
      </tp>
      <tp t="s">
        <v>#N/A N/A</v>
        <stp/>
        <stp>BDP|2533287046771472788</stp>
        <tr r="F924" s="2"/>
      </tp>
      <tp t="s">
        <v>#N/A N/A</v>
        <stp/>
        <stp>BDP|4932773958976521247</stp>
        <tr r="E1508" s="2"/>
      </tp>
      <tp t="s">
        <v>#N/A N/A</v>
        <stp/>
        <stp>BDS|4040705897260993895</stp>
        <tr r="I1178" s="2"/>
      </tp>
      <tp t="s">
        <v>#N/A N/A</v>
        <stp/>
        <stp>BDP|5372956433168388514</stp>
        <tr r="N1696" s="2"/>
      </tp>
      <tp t="s">
        <v>#N/A N/A</v>
        <stp/>
        <stp>BDP|3150772380927574946</stp>
        <tr r="D839" s="2"/>
      </tp>
      <tp t="s">
        <v>#N/A N/A</v>
        <stp/>
        <stp>BDP|6890175376275942775</stp>
        <tr r="R596" s="2"/>
      </tp>
      <tp t="s">
        <v>#N/A N/A</v>
        <stp/>
        <stp>BDP|5258804644549199202</stp>
        <tr r="A708" s="2"/>
      </tp>
      <tp t="s">
        <v>#N/A N/A</v>
        <stp/>
        <stp>BDP|9407762795481797470</stp>
        <tr r="N570" s="2"/>
      </tp>
      <tp t="s">
        <v>#N/A N/A</v>
        <stp/>
        <stp>BDP|7319302006867415165</stp>
        <tr r="S264" s="2"/>
      </tp>
      <tp t="s">
        <v>#N/A N/A</v>
        <stp/>
        <stp>BDP|2376583772772898064</stp>
        <tr r="O581" s="2"/>
      </tp>
      <tp t="s">
        <v>#N/A N/A</v>
        <stp/>
        <stp>BDP|2801737509180268771</stp>
        <tr r="A1556" s="2"/>
      </tp>
      <tp t="s">
        <v>#N/A N/A</v>
        <stp/>
        <stp>BDP|3013959481854375406</stp>
        <tr r="Q1419" s="2"/>
      </tp>
      <tp t="s">
        <v>#N/A N/A</v>
        <stp/>
        <stp>BDP|6777822109645970925</stp>
        <tr r="O437" s="2"/>
      </tp>
      <tp t="s">
        <v>#N/A N/A</v>
        <stp/>
        <stp>BDP|1124625530567658126</stp>
        <tr r="G588" s="2"/>
      </tp>
      <tp t="s">
        <v>#N/A N/A</v>
        <stp/>
        <stp>BDP|3417256731386363643</stp>
        <tr r="O1013" s="2"/>
      </tp>
      <tp t="s">
        <v>#N/A N/A</v>
        <stp/>
        <stp>BDP|1289686070543839158</stp>
        <tr r="F447" s="2"/>
      </tp>
      <tp t="s">
        <v>#N/A N/A</v>
        <stp/>
        <stp>BDP|2024665121436451246</stp>
        <tr r="S1681" s="2"/>
      </tp>
      <tp t="s">
        <v>#N/A N/A</v>
        <stp/>
        <stp>BDP|5977632508385567400</stp>
        <tr r="O209" s="2"/>
      </tp>
      <tp t="s">
        <v>#N/A N/A</v>
        <stp/>
        <stp>BDP|7871417433543418194</stp>
        <tr r="S1069" s="2"/>
      </tp>
      <tp t="s">
        <v>#N/A N/A</v>
        <stp/>
        <stp>BDP|8404804504406265455</stp>
        <tr r="S1495" s="2"/>
      </tp>
      <tp t="s">
        <v>#N/A N/A</v>
        <stp/>
        <stp>BDP|6611484708365007515</stp>
        <tr r="F1160" s="2"/>
      </tp>
      <tp t="s">
        <v>#N/A N/A</v>
        <stp/>
        <stp>BDP|8925317862527413892</stp>
        <tr r="S381" s="2"/>
      </tp>
      <tp t="s">
        <v>#N/A N/A</v>
        <stp/>
        <stp>BDP|7190019943539437805</stp>
        <tr r="S27" s="2"/>
      </tp>
      <tp t="s">
        <v>#N/A N/A</v>
        <stp/>
        <stp>BDP|7379262123100767561</stp>
        <tr r="G1649" s="2"/>
      </tp>
      <tp t="s">
        <v>#N/A N/A</v>
        <stp/>
        <stp>BDP|5566181938051502474</stp>
        <tr r="R1568" s="2"/>
      </tp>
      <tp t="s">
        <v>#N/A N/A</v>
        <stp/>
        <stp>BDP|6027013646470873080</stp>
        <tr r="O1525" s="2"/>
      </tp>
      <tp t="s">
        <v>#N/A N/A</v>
        <stp/>
        <stp>BDP|9925741784547749390</stp>
        <tr r="J190" s="2"/>
      </tp>
      <tp t="s">
        <v>#N/A N/A</v>
        <stp/>
        <stp>BDP|8318400067261547965</stp>
        <tr r="N840" s="2"/>
      </tp>
      <tp t="s">
        <v>#N/A N/A</v>
        <stp/>
        <stp>BDP|8360056231288850185</stp>
        <tr r="O1353" s="2"/>
      </tp>
      <tp t="s">
        <v>#N/A N/A</v>
        <stp/>
        <stp>BDP|3191199519549287848</stp>
        <tr r="H180" s="2"/>
      </tp>
      <tp t="s">
        <v>#N/A N/A</v>
        <stp/>
        <stp>BDP|7212086279982189053</stp>
        <tr r="K1279" s="2"/>
      </tp>
      <tp t="s">
        <v>#N/A N/A</v>
        <stp/>
        <stp>BDP|6286727443773289465</stp>
        <tr r="S1258" s="2"/>
      </tp>
      <tp t="s">
        <v>#N/A N/A</v>
        <stp/>
        <stp>BDP|6090623253692493520</stp>
        <tr r="E725" s="2"/>
      </tp>
      <tp t="s">
        <v>#N/A N/A</v>
        <stp/>
        <stp>BDP|8822200792141468090</stp>
        <tr r="S1550" s="2"/>
      </tp>
      <tp t="s">
        <v>#N/A N/A</v>
        <stp/>
        <stp>BDP|9147572726504275850</stp>
        <tr r="M1591" s="2"/>
      </tp>
      <tp t="s">
        <v>#N/A N/A</v>
        <stp/>
        <stp>BDP|9498334397198481930</stp>
        <tr r="C1285" s="2"/>
      </tp>
      <tp t="s">
        <v>#N/A N/A</v>
        <stp/>
        <stp>BDP|4989880156928506355</stp>
        <tr r="S580" s="2"/>
      </tp>
      <tp t="s">
        <v>#N/A N/A</v>
        <stp/>
        <stp>BDP|5816465952651212797</stp>
        <tr r="M1417" s="2"/>
      </tp>
      <tp t="s">
        <v>#N/A N/A</v>
        <stp/>
        <stp>BDP|3274359145976017051</stp>
        <tr r="E756" s="2"/>
      </tp>
      <tp t="s">
        <v>#N/A N/A</v>
        <stp/>
        <stp>BDP|3355880196278964836</stp>
        <tr r="S1410" s="2"/>
      </tp>
      <tp t="s">
        <v>#N/A N/A</v>
        <stp/>
        <stp>BDP|4342010561496349673</stp>
        <tr r="F1335" s="2"/>
      </tp>
      <tp t="s">
        <v>#N/A N/A</v>
        <stp/>
        <stp>BDP|2172031500721276171</stp>
        <tr r="E299" s="2"/>
      </tp>
      <tp t="s">
        <v>#N/A N/A</v>
        <stp/>
        <stp>BDP|1883380863806124055</stp>
        <tr r="K895" s="2"/>
      </tp>
      <tp t="s">
        <v>#N/A N/A</v>
        <stp/>
        <stp>BDP|7859606569127735216</stp>
        <tr r="R997" s="2"/>
      </tp>
      <tp t="s">
        <v>#N/A N/A</v>
        <stp/>
        <stp>BDP|8566416496703217470</stp>
        <tr r="D202" s="2"/>
      </tp>
      <tp t="s">
        <v>#N/A N/A</v>
        <stp/>
        <stp>BDP|8992797981860118571</stp>
        <tr r="P1716" s="2"/>
      </tp>
      <tp t="s">
        <v>#N/A N/A</v>
        <stp/>
        <stp>BDP|9906428551412525888</stp>
        <tr r="Q762" s="2"/>
      </tp>
      <tp t="s">
        <v>#N/A N/A</v>
        <stp/>
        <stp>BDP|2457100652537502346</stp>
        <tr r="O1324" s="2"/>
      </tp>
      <tp t="s">
        <v>#N/A N/A</v>
        <stp/>
        <stp>BDP|5025165854797757423</stp>
        <tr r="R681" s="2"/>
      </tp>
      <tp t="s">
        <v>#N/A N/A</v>
        <stp/>
        <stp>BDP|1363321476605939294</stp>
        <tr r="Q1448" s="2"/>
      </tp>
      <tp t="s">
        <v>#N/A N/A</v>
        <stp/>
        <stp>BDP|4064297756028138994</stp>
        <tr r="S589" s="2"/>
      </tp>
      <tp t="s">
        <v>#N/A N/A</v>
        <stp/>
        <stp>BDP|2768149563714028343</stp>
        <tr r="S712" s="2"/>
      </tp>
      <tp t="s">
        <v>#N/A N/A</v>
        <stp/>
        <stp>BDP|2091511617802091620</stp>
        <tr r="N518" s="2"/>
      </tp>
      <tp t="s">
        <v>#N/A N/A</v>
        <stp/>
        <stp>BDS|9714814391708205218</stp>
        <tr r="I1183" s="2"/>
      </tp>
      <tp t="s">
        <v>#N/A N/A</v>
        <stp/>
        <stp>BDP|9118687051748594091</stp>
        <tr r="M1261" s="2"/>
      </tp>
      <tp t="s">
        <v>#N/A N/A</v>
        <stp/>
        <stp>BDP|4395574941503745465</stp>
        <tr r="D968" s="2"/>
      </tp>
      <tp t="s">
        <v>#N/A N/A</v>
        <stp/>
        <stp>BDS|1054329173157575001</stp>
        <tr r="I1736" s="2"/>
      </tp>
      <tp t="s">
        <v>#N/A N/A</v>
        <stp/>
        <stp>BDP|7496942233389573627</stp>
        <tr r="M1439" s="2"/>
      </tp>
      <tp t="s">
        <v>#N/A N/A</v>
        <stp/>
        <stp>BDP|8308244296916311764</stp>
        <tr r="Q1736" s="2"/>
      </tp>
      <tp t="s">
        <v>#N/A N/A</v>
        <stp/>
        <stp>BDP|2113786956735302788</stp>
        <tr r="M487" s="2"/>
      </tp>
      <tp t="s">
        <v>#N/A N/A</v>
        <stp/>
        <stp>BDP|5544540817695511678</stp>
        <tr r="Q95" s="2"/>
      </tp>
      <tp t="s">
        <v>#N/A N/A</v>
        <stp/>
        <stp>BDP|4809268878937494463</stp>
        <tr r="F1231" s="2"/>
      </tp>
      <tp t="s">
        <v>#N/A N/A</v>
        <stp/>
        <stp>BDP|9017735101014285847</stp>
        <tr r="K1694" s="2"/>
      </tp>
      <tp t="s">
        <v>#N/A N/A</v>
        <stp/>
        <stp>BDP|3679251404687289413</stp>
        <tr r="Q653" s="2"/>
      </tp>
      <tp t="s">
        <v>#N/A N/A</v>
        <stp/>
        <stp>BDS|5883613703380636183</stp>
        <tr r="I1061" s="2"/>
      </tp>
      <tp t="s">
        <v>#N/A N/A</v>
        <stp/>
        <stp>BDP|4291931248789530287</stp>
        <tr r="J1739" s="2"/>
      </tp>
      <tp t="s">
        <v>#N/A N/A</v>
        <stp/>
        <stp>BDP|4009386512802976673</stp>
        <tr r="A980" s="2"/>
      </tp>
      <tp t="s">
        <v>#N/A N/A</v>
        <stp/>
        <stp>BDP|7909574935142903168</stp>
        <tr r="N847" s="2"/>
      </tp>
      <tp t="s">
        <v>#N/A N/A</v>
        <stp/>
        <stp>BDP|1648325270874207324</stp>
        <tr r="H886" s="2"/>
      </tp>
      <tp t="s">
        <v>#N/A N/A</v>
        <stp/>
        <stp>BDP|3679418142218612971</stp>
        <tr r="D654" s="2"/>
      </tp>
      <tp t="s">
        <v>#N/A N/A</v>
        <stp/>
        <stp>BDP|3796791279673218212</stp>
        <tr r="T196" s="2"/>
      </tp>
      <tp t="s">
        <v>#N/A N/A</v>
        <stp/>
        <stp>BDP|6793355578564644481</stp>
        <tr r="N524" s="2"/>
      </tp>
      <tp t="s">
        <v>#N/A N/A</v>
        <stp/>
        <stp>BDP|1536415361901938080</stp>
        <tr r="D47" s="2"/>
      </tp>
      <tp t="s">
        <v>#N/A N/A</v>
        <stp/>
        <stp>BDP|1823956151056983913</stp>
        <tr r="P405" s="2"/>
      </tp>
      <tp t="s">
        <v>#N/A N/A</v>
        <stp/>
        <stp>BDP|2066176523383747078</stp>
        <tr r="G962" s="2"/>
      </tp>
      <tp t="s">
        <v>#N/A N/A</v>
        <stp/>
        <stp>BDP|8590159808608405389</stp>
        <tr r="K412" s="2"/>
      </tp>
      <tp t="s">
        <v>#N/A N/A</v>
        <stp/>
        <stp>BDP|3058268940665116234</stp>
        <tr r="N802" s="2"/>
      </tp>
      <tp t="s">
        <v>#N/A N/A</v>
        <stp/>
        <stp>BDS|3193421147859395834</stp>
        <tr r="I1389" s="2"/>
      </tp>
      <tp t="s">
        <v>#N/A N/A</v>
        <stp/>
        <stp>BDP|6547701028227909609</stp>
        <tr r="T1282" s="2"/>
      </tp>
      <tp t="s">
        <v>#N/A N/A</v>
        <stp/>
        <stp>BDP|8068966502981378230</stp>
        <tr r="T1157" s="2"/>
      </tp>
      <tp t="s">
        <v>#N/A N/A</v>
        <stp/>
        <stp>BDS|3898384366150536472</stp>
        <tr r="I866" s="2"/>
      </tp>
      <tp t="s">
        <v>#N/A N/A</v>
        <stp/>
        <stp>BDP|5772588897592468982</stp>
        <tr r="J718" s="2"/>
      </tp>
      <tp t="s">
        <v>#N/A N/A</v>
        <stp/>
        <stp>BDP|4301695669941397744</stp>
        <tr r="J959" s="2"/>
      </tp>
      <tp t="s">
        <v>#N/A N/A</v>
        <stp/>
        <stp>BDP|6007684584519141394</stp>
        <tr r="D671" s="2"/>
      </tp>
      <tp t="s">
        <v>#N/A N/A</v>
        <stp/>
        <stp>BDP|6861696055227030000</stp>
        <tr r="F1004" s="2"/>
      </tp>
      <tp t="s">
        <v>#N/A N/A</v>
        <stp/>
        <stp>BDP|1629511243576942493</stp>
        <tr r="A193" s="2"/>
      </tp>
      <tp t="s">
        <v>#N/A N/A</v>
        <stp/>
        <stp>BDP|8086041224639595116</stp>
        <tr r="D1384" s="2"/>
      </tp>
      <tp t="s">
        <v>#N/A N/A</v>
        <stp/>
        <stp>BDS|9119526605149504775</stp>
        <tr r="I661" s="2"/>
      </tp>
      <tp t="s">
        <v>#N/A N/A</v>
        <stp/>
        <stp>BDP|5464976679311959876</stp>
        <tr r="F980" s="2"/>
      </tp>
      <tp t="s">
        <v>#N/A N/A</v>
        <stp/>
        <stp>BDP|3713418043249613879</stp>
        <tr r="Q661" s="2"/>
      </tp>
      <tp t="s">
        <v>#N/A N/A</v>
        <stp/>
        <stp>BDP|4985521500224805778</stp>
        <tr r="A150" s="2"/>
      </tp>
      <tp t="s">
        <v>#N/A N/A</v>
        <stp/>
        <stp>BDS|5392948665731746912</stp>
        <tr r="I147" s="2"/>
      </tp>
      <tp t="s">
        <v>#N/A N/A</v>
        <stp/>
        <stp>BDS|9144188375875043880</stp>
        <tr r="I1024" s="2"/>
      </tp>
      <tp t="s">
        <v>#N/A N/A</v>
        <stp/>
        <stp>BDP|5255460175590662435</stp>
        <tr r="N1140" s="2"/>
      </tp>
      <tp t="s">
        <v>#N/A N/A</v>
        <stp/>
        <stp>BDP|4412262116384233120</stp>
        <tr r="J811" s="2"/>
      </tp>
      <tp t="s">
        <v>#N/A N/A</v>
        <stp/>
        <stp>BDP|7356544207485354572</stp>
        <tr r="T995" s="2"/>
      </tp>
      <tp t="s">
        <v>#N/A N/A</v>
        <stp/>
        <stp>BDP|3226981879197711806</stp>
        <tr r="J849" s="2"/>
      </tp>
      <tp t="s">
        <v>#N/A N/A</v>
        <stp/>
        <stp>BDP|2251145726872191154</stp>
        <tr r="G1096" s="2"/>
      </tp>
      <tp t="s">
        <v>#N/A N/A</v>
        <stp/>
        <stp>BDP|1541416973597760745</stp>
        <tr r="P75" s="2"/>
      </tp>
      <tp t="s">
        <v>#N/A N/A</v>
        <stp/>
        <stp>BDP|7273823182717042263</stp>
        <tr r="K1468" s="2"/>
      </tp>
      <tp t="s">
        <v>#N/A N/A</v>
        <stp/>
        <stp>BDP|2716356608475704697</stp>
        <tr r="G349" s="2"/>
      </tp>
      <tp t="s">
        <v>#N/A N/A</v>
        <stp/>
        <stp>BDP|5838880745753349824</stp>
        <tr r="T105" s="2"/>
      </tp>
      <tp t="s">
        <v>#N/A N/A</v>
        <stp/>
        <stp>BDP|6786235133887282219</stp>
        <tr r="O1157" s="2"/>
      </tp>
      <tp t="s">
        <v>#N/A N/A</v>
        <stp/>
        <stp>BDP|6792011167121689335</stp>
        <tr r="R9" s="2"/>
      </tp>
      <tp t="s">
        <v>#N/A N/A</v>
        <stp/>
        <stp>BDP|9614964025414731465</stp>
        <tr r="K1390" s="2"/>
      </tp>
      <tp t="s">
        <v>#N/A N/A</v>
        <stp/>
        <stp>BDP|6639024441987982781</stp>
        <tr r="N668" s="2"/>
      </tp>
      <tp t="s">
        <v>#N/A N/A</v>
        <stp/>
        <stp>BDP|5666572843762728416</stp>
        <tr r="J9" s="2"/>
      </tp>
      <tp t="s">
        <v>#N/A N/A</v>
        <stp/>
        <stp>BDP|4433146544485251623</stp>
        <tr r="M924" s="2"/>
      </tp>
      <tp t="s">
        <v>#N/A N/A</v>
        <stp/>
        <stp>BDP|5559833484076195178</stp>
        <tr r="P1695" s="2"/>
      </tp>
      <tp t="s">
        <v>#N/A N/A</v>
        <stp/>
        <stp>BDP|6331137209637804254</stp>
        <tr r="F730" s="2"/>
      </tp>
      <tp t="s">
        <v>#N/A N/A</v>
        <stp/>
        <stp>BDP|8062571320754303906</stp>
        <tr r="O765" s="2"/>
      </tp>
      <tp t="s">
        <v>#N/A N/A</v>
        <stp/>
        <stp>BDP|3815629540394998774</stp>
        <tr r="E688" s="2"/>
      </tp>
      <tp t="s">
        <v>#N/A N/A</v>
        <stp/>
        <stp>BDP|9593904955901129650</stp>
        <tr r="C406" s="2"/>
      </tp>
      <tp t="s">
        <v>#N/A N/A</v>
        <stp/>
        <stp>BDP|7333912583852517611</stp>
        <tr r="S472" s="2"/>
      </tp>
      <tp t="s">
        <v>#N/A N/A</v>
        <stp/>
        <stp>BDP|7174188431632465596</stp>
        <tr r="A1528" s="2"/>
      </tp>
      <tp t="s">
        <v>#N/A N/A</v>
        <stp/>
        <stp>BDP|1393263826554709717</stp>
        <tr r="C1037" s="2"/>
      </tp>
      <tp t="s">
        <v>#N/A N/A</v>
        <stp/>
        <stp>BDP|4085323446708335924</stp>
        <tr r="M79" s="2"/>
      </tp>
      <tp t="s">
        <v>#N/A N/A</v>
        <stp/>
        <stp>BDP|6038445834203690036</stp>
        <tr r="N970" s="2"/>
      </tp>
      <tp t="s">
        <v>#N/A N/A</v>
        <stp/>
        <stp>BDS|8162800055123170408</stp>
        <tr r="I357" s="2"/>
      </tp>
      <tp t="s">
        <v>#N/A N/A</v>
        <stp/>
        <stp>BDP|6271555757862511600</stp>
        <tr r="G130" s="2"/>
      </tp>
      <tp t="s">
        <v>#N/A N/A</v>
        <stp/>
        <stp>BDP|6845946634217520988</stp>
        <tr r="E290" s="2"/>
      </tp>
      <tp t="s">
        <v>#N/A N/A</v>
        <stp/>
        <stp>BDP|3985486851961285175</stp>
        <tr r="K533" s="2"/>
      </tp>
      <tp t="s">
        <v>#N/A N/A</v>
        <stp/>
        <stp>BDP|4484037055184253751</stp>
        <tr r="S533" s="2"/>
      </tp>
      <tp t="s">
        <v>#N/A N/A</v>
        <stp/>
        <stp>BDP|4851774969057285013</stp>
        <tr r="O388" s="2"/>
      </tp>
      <tp t="s">
        <v>#N/A N/A</v>
        <stp/>
        <stp>BDP|7176679543093252421</stp>
        <tr r="G483" s="2"/>
      </tp>
      <tp t="s">
        <v>#N/A N/A</v>
        <stp/>
        <stp>BDP|8115909916445752753</stp>
        <tr r="E1141" s="2"/>
      </tp>
      <tp t="s">
        <v>#N/A N/A</v>
        <stp/>
        <stp>BDP|8497849732722396343</stp>
        <tr r="R1411" s="2"/>
      </tp>
      <tp t="s">
        <v>#N/A N/A</v>
        <stp/>
        <stp>BDS|3674110354356336359</stp>
        <tr r="I1002" s="2"/>
      </tp>
      <tp t="s">
        <v>#N/A N/A</v>
        <stp/>
        <stp>BDP|3397343190663129833</stp>
        <tr r="Q388" s="2"/>
      </tp>
      <tp t="s">
        <v>#N/A N/A</v>
        <stp/>
        <stp>BDP|6491055690169018441</stp>
        <tr r="F289" s="2"/>
      </tp>
      <tp t="s">
        <v>#N/A N/A</v>
        <stp/>
        <stp>BDP|1296932382034476620</stp>
        <tr r="O708" s="2"/>
      </tp>
      <tp t="s">
        <v>#N/A N/A</v>
        <stp/>
        <stp>BDP|2209415642851345175</stp>
        <tr r="O1438" s="2"/>
      </tp>
      <tp t="s">
        <v>#N/A N/A</v>
        <stp/>
        <stp>BDP|8913139483274915754</stp>
        <tr r="Q925" s="2"/>
      </tp>
      <tp t="s">
        <v>#N/A N/A</v>
        <stp/>
        <stp>BDP|9841061686310594380</stp>
        <tr r="M1349" s="2"/>
      </tp>
      <tp t="s">
        <v>#N/A N/A</v>
        <stp/>
        <stp>BDS|4709248356039777873</stp>
        <tr r="I1746" s="2"/>
      </tp>
      <tp t="s">
        <v>#N/A N/A</v>
        <stp/>
        <stp>BDP|6331131917313396717</stp>
        <tr r="O65" s="2"/>
      </tp>
      <tp t="s">
        <v>#N/A N/A</v>
        <stp/>
        <stp>BDP|5690640367187862081</stp>
        <tr r="F110" s="2"/>
      </tp>
      <tp t="s">
        <v>#N/A N/A</v>
        <stp/>
        <stp>BDP|4801968920675885839</stp>
        <tr r="E537" s="2"/>
      </tp>
      <tp t="s">
        <v>#N/A N/A</v>
        <stp/>
        <stp>BDP|1005752780915172912</stp>
        <tr r="P557" s="2"/>
      </tp>
      <tp t="s">
        <v>#N/A N/A</v>
        <stp/>
        <stp>BDP|2624968102450543924</stp>
        <tr r="M1246" s="2"/>
      </tp>
      <tp t="s">
        <v>#N/A N/A</v>
        <stp/>
        <stp>BDP|3320328330082716335</stp>
        <tr r="A1292" s="2"/>
      </tp>
      <tp t="s">
        <v>#N/A N/A</v>
        <stp/>
        <stp>BDP|2336018994550453975</stp>
        <tr r="G1245" s="2"/>
      </tp>
      <tp t="s">
        <v>#N/A N/A</v>
        <stp/>
        <stp>BDP|2567809101590216835</stp>
        <tr r="Q1542" s="2"/>
      </tp>
      <tp t="s">
        <v>#N/A N/A</v>
        <stp/>
        <stp>BDP|8498236260286028821</stp>
        <tr r="E962" s="2"/>
      </tp>
      <tp t="s">
        <v>#N/A N/A</v>
        <stp/>
        <stp>BDP|7413650232020396059</stp>
        <tr r="G636" s="2"/>
      </tp>
      <tp t="s">
        <v>#N/A N/A</v>
        <stp/>
        <stp>BDP|8795978640136236172</stp>
        <tr r="N863" s="2"/>
      </tp>
      <tp t="s">
        <v>#N/A N/A</v>
        <stp/>
        <stp>BDP|3076263833293035304</stp>
        <tr r="S1329" s="2"/>
      </tp>
      <tp t="s">
        <v>#N/A N/A</v>
        <stp/>
        <stp>BDP|2588688869409953980</stp>
        <tr r="G293" s="2"/>
      </tp>
      <tp t="s">
        <v>#N/A N/A</v>
        <stp/>
        <stp>BDP|3417759315827549045</stp>
        <tr r="P209" s="2"/>
      </tp>
      <tp t="s">
        <v>#N/A N/A</v>
        <stp/>
        <stp>BDP|8973697683034290049</stp>
        <tr r="D1056" s="2"/>
      </tp>
      <tp t="s">
        <v>#N/A N/A</v>
        <stp/>
        <stp>BDP|6599555526830154321</stp>
        <tr r="K626" s="2"/>
      </tp>
      <tp t="s">
        <v>#N/A N/A</v>
        <stp/>
        <stp>BDP|3687375720804724434</stp>
        <tr r="T476" s="2"/>
      </tp>
      <tp t="s">
        <v>#N/A N/A</v>
        <stp/>
        <stp>BDP|6407383591916987811</stp>
        <tr r="E88" s="2"/>
      </tp>
      <tp t="s">
        <v>#N/A N/A</v>
        <stp/>
        <stp>BDP|5055622642634250177</stp>
        <tr r="F1261" s="2"/>
      </tp>
      <tp t="s">
        <v>#N/A N/A</v>
        <stp/>
        <stp>BDP|8914310863388704791</stp>
        <tr r="R1049" s="2"/>
      </tp>
      <tp t="s">
        <v>#N/A N/A</v>
        <stp/>
        <stp>BDP|3335533585348037403</stp>
        <tr r="M480" s="2"/>
      </tp>
      <tp t="s">
        <v>#N/A N/A</v>
        <stp/>
        <stp>BDP|8503523846172782939</stp>
        <tr r="M37" s="2"/>
      </tp>
      <tp t="s">
        <v>#N/A N/A</v>
        <stp/>
        <stp>BDS|5339013353123013140</stp>
        <tr r="I700" s="2"/>
      </tp>
      <tp t="s">
        <v>#N/A N/A</v>
        <stp/>
        <stp>BDP|2345351410777684558</stp>
        <tr r="P552" s="2"/>
      </tp>
      <tp t="s">
        <v>#N/A N/A</v>
        <stp/>
        <stp>BDS|1614362061464170251</stp>
        <tr r="I1308" s="2"/>
      </tp>
      <tp t="s">
        <v>#N/A N/A</v>
        <stp/>
        <stp>BDP|6117135963834373779</stp>
        <tr r="T1525" s="2"/>
      </tp>
      <tp t="s">
        <v>#N/A N/A</v>
        <stp/>
        <stp>BDS|8235454832694630964</stp>
        <tr r="I1324" s="2"/>
      </tp>
      <tp t="s">
        <v>#N/A N/A</v>
        <stp/>
        <stp>BDP|6459533580719164032</stp>
        <tr r="F151" s="2"/>
      </tp>
      <tp t="s">
        <v>#N/A N/A</v>
        <stp/>
        <stp>BDP|8237683526187053991</stp>
        <tr r="R542" s="2"/>
      </tp>
      <tp t="s">
        <v>#N/A N/A</v>
        <stp/>
        <stp>BDP|9367976445081670722</stp>
        <tr r="M1108" s="2"/>
      </tp>
      <tp t="s">
        <v>#N/A N/A</v>
        <stp/>
        <stp>BDP|5826221872197853553</stp>
        <tr r="K545" s="2"/>
      </tp>
      <tp t="s">
        <v>#N/A N/A</v>
        <stp/>
        <stp>BDP|7275158467561583306</stp>
        <tr r="G1617" s="2"/>
      </tp>
      <tp t="s">
        <v>#N/A N/A</v>
        <stp/>
        <stp>BDP|6833125569781542231</stp>
        <tr r="Q966" s="2"/>
      </tp>
      <tp t="s">
        <v>#N/A N/A</v>
        <stp/>
        <stp>BDP|7934797947657720154</stp>
        <tr r="D522" s="2"/>
      </tp>
      <tp t="s">
        <v>#N/A N/A</v>
        <stp/>
        <stp>BDP|9344969611113382023</stp>
        <tr r="A1634" s="2"/>
      </tp>
      <tp t="s">
        <v>#N/A N/A</v>
        <stp/>
        <stp>BDP|3707146344914787050</stp>
        <tr r="R1307" s="2"/>
      </tp>
      <tp t="s">
        <v>#N/A N/A</v>
        <stp/>
        <stp>BDP|4618149089008981777</stp>
        <tr r="F250" s="2"/>
      </tp>
      <tp t="s">
        <v>#N/A N/A</v>
        <stp/>
        <stp>BDP|7037947408109026591</stp>
        <tr r="K1631" s="2"/>
      </tp>
      <tp t="s">
        <v>#N/A N/A</v>
        <stp/>
        <stp>BDP|5591819964139727025</stp>
        <tr r="N106" s="2"/>
      </tp>
      <tp t="s">
        <v>#N/A N/A</v>
        <stp/>
        <stp>BDP|6002681308655728723</stp>
        <tr r="G38" s="2"/>
      </tp>
      <tp t="s">
        <v>#N/A N/A</v>
        <stp/>
        <stp>BDP|1131565612297870085</stp>
        <tr r="C1491" s="2"/>
      </tp>
      <tp t="s">
        <v>#N/A N/A</v>
        <stp/>
        <stp>BDP|8173968418336610534</stp>
        <tr r="R31" s="2"/>
      </tp>
      <tp t="s">
        <v>#N/A N/A</v>
        <stp/>
        <stp>BDP|5187247562256822456</stp>
        <tr r="Q1469" s="2"/>
      </tp>
      <tp t="s">
        <v>#N/A N/A</v>
        <stp/>
        <stp>BDS|6392781852250318700</stp>
        <tr r="I1200" s="2"/>
      </tp>
      <tp t="s">
        <v>#N/A N/A</v>
        <stp/>
        <stp>BDP|7852011943846761672</stp>
        <tr r="N1022" s="2"/>
      </tp>
      <tp t="s">
        <v>#N/A N/A</v>
        <stp/>
        <stp>BDP|7816412250943529660</stp>
        <tr r="S1349" s="2"/>
      </tp>
      <tp t="s">
        <v>#N/A N/A</v>
        <stp/>
        <stp>BDP|8835905381028551268</stp>
        <tr r="D573" s="2"/>
      </tp>
      <tp t="s">
        <v>#N/A N/A</v>
        <stp/>
        <stp>BDP|1649879175205949870</stp>
        <tr r="G31" s="2"/>
      </tp>
      <tp t="s">
        <v>#N/A N/A</v>
        <stp/>
        <stp>BDP|2708947038118584345</stp>
        <tr r="N1643" s="2"/>
      </tp>
      <tp t="s">
        <v>#N/A N/A</v>
        <stp/>
        <stp>BDP|1900936787164349748</stp>
        <tr r="T769" s="2"/>
      </tp>
      <tp t="s">
        <v>#N/A N/A</v>
        <stp/>
        <stp>BDP|3800739346131445236</stp>
        <tr r="D593" s="2"/>
      </tp>
      <tp t="s">
        <v>#N/A N/A</v>
        <stp/>
        <stp>BDP|4071019744594767787</stp>
        <tr r="S115" s="2"/>
      </tp>
      <tp t="s">
        <v>#N/A N/A</v>
        <stp/>
        <stp>BDP|6671613631319531999</stp>
        <tr r="F940" s="2"/>
      </tp>
      <tp t="s">
        <v>#N/A N/A</v>
        <stp/>
        <stp>BDS|7895559308937655692</stp>
        <tr r="I787" s="2"/>
      </tp>
      <tp t="s">
        <v>#N/A N/A</v>
        <stp/>
        <stp>BDP|1352198000294334731</stp>
        <tr r="J771" s="2"/>
      </tp>
      <tp t="s">
        <v>#N/A N/A</v>
        <stp/>
        <stp>BDP|2926669373249541931</stp>
        <tr r="H1355" s="2"/>
      </tp>
      <tp t="s">
        <v>#N/A N/A</v>
        <stp/>
        <stp>BDS|4465777875490884742</stp>
        <tr r="I1271" s="2"/>
      </tp>
      <tp t="s">
        <v>#N/A N/A</v>
        <stp/>
        <stp>BDP|7577831780835828140</stp>
        <tr r="K1117" s="2"/>
      </tp>
      <tp t="s">
        <v>#N/A N/A</v>
        <stp/>
        <stp>BDP|8234387291975404452</stp>
        <tr r="C5" s="2"/>
      </tp>
      <tp t="s">
        <v>#N/A N/A</v>
        <stp/>
        <stp>BDP|9961641506835852995</stp>
        <tr r="C201" s="2"/>
      </tp>
      <tp t="s">
        <v>#N/A N/A</v>
        <stp/>
        <stp>BDP|6135158208321754512</stp>
        <tr r="M404" s="2"/>
      </tp>
      <tp t="s">
        <v>#N/A N/A</v>
        <stp/>
        <stp>BDP|1627262618786694741</stp>
        <tr r="R1507" s="2"/>
      </tp>
      <tp t="s">
        <v>#N/A N/A</v>
        <stp/>
        <stp>BDP|6894067681428419514</stp>
        <tr r="H1144" s="2"/>
      </tp>
      <tp t="s">
        <v>#N/A N/A</v>
        <stp/>
        <stp>BDP|5941078251414526704</stp>
        <tr r="G454" s="2"/>
      </tp>
      <tp t="s">
        <v>#N/A N/A</v>
        <stp/>
        <stp>BDP|1087960444619977617</stp>
        <tr r="K1214" s="2"/>
      </tp>
      <tp t="s">
        <v>#N/A N/A</v>
        <stp/>
        <stp>BDP|4866399259762333315</stp>
        <tr r="R1541" s="2"/>
      </tp>
      <tp t="s">
        <v>#N/A N/A</v>
        <stp/>
        <stp>BDP|5457401703807445599</stp>
        <tr r="O578" s="2"/>
      </tp>
      <tp t="s">
        <v>#N/A N/A</v>
        <stp/>
        <stp>BDP|8271827410297259586</stp>
        <tr r="F1465" s="2"/>
      </tp>
      <tp t="s">
        <v>#N/A N/A</v>
        <stp/>
        <stp>BDP|1380091247991559724</stp>
        <tr r="O1637" s="2"/>
      </tp>
      <tp t="s">
        <v>#N/A N/A</v>
        <stp/>
        <stp>BDP|8347138959596314909</stp>
        <tr r="P494" s="2"/>
      </tp>
      <tp t="s">
        <v>#N/A N/A</v>
        <stp/>
        <stp>BDP|6979659512337491505</stp>
        <tr r="F54" s="2"/>
      </tp>
      <tp t="s">
        <v>#N/A N/A</v>
        <stp/>
        <stp>BDP|1844322857225736106</stp>
        <tr r="K593" s="2"/>
      </tp>
      <tp t="s">
        <v>#N/A N/A</v>
        <stp/>
        <stp>BDP|2040733926831983567</stp>
        <tr r="O159" s="2"/>
      </tp>
      <tp t="s">
        <v>#N/A N/A</v>
        <stp/>
        <stp>BDP|7166403626641984348</stp>
        <tr r="T8" s="2"/>
      </tp>
      <tp t="s">
        <v>#N/A N/A</v>
        <stp/>
        <stp>BDP|2667932609471767915</stp>
        <tr r="M1520" s="2"/>
      </tp>
      <tp t="s">
        <v>#N/A N/A</v>
        <stp/>
        <stp>BDP|3135497767147674531</stp>
        <tr r="Q1220" s="2"/>
      </tp>
      <tp t="s">
        <v>#N/A N/A</v>
        <stp/>
        <stp>BDP|8879251575257667941</stp>
        <tr r="A1702" s="2"/>
      </tp>
      <tp t="s">
        <v>#N/A N/A</v>
        <stp/>
        <stp>BDP|8828083799447562560</stp>
        <tr r="C1370" s="2"/>
      </tp>
      <tp t="s">
        <v>#N/A N/A</v>
        <stp/>
        <stp>BDP|9213585804746559914</stp>
        <tr r="Q232" s="2"/>
      </tp>
      <tp t="s">
        <v>#N/A N/A</v>
        <stp/>
        <stp>BDP|3466288066390468449</stp>
        <tr r="H166" s="2"/>
      </tp>
      <tp t="s">
        <v>#N/A N/A</v>
        <stp/>
        <stp>BDP|5741148491207094985</stp>
        <tr r="P639" s="2"/>
      </tp>
      <tp t="s">
        <v>#N/A N/A</v>
        <stp/>
        <stp>BDP|4463420123424678597</stp>
        <tr r="R1525" s="2"/>
      </tp>
      <tp t="s">
        <v>#N/A N/A</v>
        <stp/>
        <stp>BDP|3281545853769978968</stp>
        <tr r="A1650" s="2"/>
      </tp>
      <tp t="s">
        <v>#N/A N/A</v>
        <stp/>
        <stp>BDP|1917940697734032600</stp>
        <tr r="O631" s="2"/>
      </tp>
      <tp t="s">
        <v>#N/A N/A</v>
        <stp/>
        <stp>BDP|8007523695327973042</stp>
        <tr r="O475" s="2"/>
      </tp>
      <tp t="s">
        <v>#N/A N/A</v>
        <stp/>
        <stp>BDP|6725298852615110778</stp>
        <tr r="G357" s="2"/>
      </tp>
      <tp t="s">
        <v>#N/A N/A</v>
        <stp/>
        <stp>BDP|2170056628756646506</stp>
        <tr r="Q1033" s="2"/>
      </tp>
      <tp t="s">
        <v>#N/A N/A</v>
        <stp/>
        <stp>BDP|3470492488115640994</stp>
        <tr r="R231" s="2"/>
      </tp>
      <tp t="s">
        <v>#N/A N/A</v>
        <stp/>
        <stp>BDP|1993158840233474420</stp>
        <tr r="E953" s="2"/>
      </tp>
      <tp t="s">
        <v>#N/A N/A</v>
        <stp/>
        <stp>BDP|2078586482559895589</stp>
        <tr r="J159" s="2"/>
      </tp>
      <tp t="s">
        <v>#N/A N/A</v>
        <stp/>
        <stp>BDP|6111709016573409099</stp>
        <tr r="D1388" s="2"/>
      </tp>
      <tp t="s">
        <v>#N/A N/A</v>
        <stp/>
        <stp>BDP|6190231919743196502</stp>
        <tr r="T961" s="2"/>
      </tp>
      <tp t="s">
        <v>#N/A N/A</v>
        <stp/>
        <stp>BDP|1166442934592217797</stp>
        <tr r="C229" s="2"/>
      </tp>
      <tp t="s">
        <v>#N/A N/A</v>
        <stp/>
        <stp>BDP|3514619525796884230</stp>
        <tr r="N133" s="2"/>
      </tp>
      <tp t="s">
        <v>#N/A N/A</v>
        <stp/>
        <stp>BDP|4238595933087625643</stp>
        <tr r="Q1046" s="2"/>
      </tp>
      <tp t="s">
        <v>#N/A N/A</v>
        <stp/>
        <stp>BDP|1877016213662618161</stp>
        <tr r="F1191" s="2"/>
      </tp>
      <tp t="s">
        <v>#N/A N/A</v>
        <stp/>
        <stp>BDP|6301741655207872002</stp>
        <tr r="K1111" s="2"/>
      </tp>
      <tp t="s">
        <v>#N/A N/A</v>
        <stp/>
        <stp>BDP|4687074045796843569</stp>
        <tr r="T1229" s="2"/>
      </tp>
      <tp t="s">
        <v>#N/A N/A</v>
        <stp/>
        <stp>BDP|3179792197046604833</stp>
        <tr r="E783" s="2"/>
      </tp>
      <tp t="s">
        <v>#N/A N/A</v>
        <stp/>
        <stp>BDP|7801362534671329530</stp>
        <tr r="H1196" s="2"/>
      </tp>
      <tp t="s">
        <v>#N/A N/A</v>
        <stp/>
        <stp>BDP|2141902784228791894</stp>
        <tr r="H1041" s="2"/>
      </tp>
      <tp t="s">
        <v>#N/A N/A</v>
        <stp/>
        <stp>BDP|7527389500671353651</stp>
        <tr r="D506" s="2"/>
      </tp>
      <tp t="s">
        <v>#N/A N/A</v>
        <stp/>
        <stp>BDP|5804926688832975501</stp>
        <tr r="A1734" s="2"/>
      </tp>
      <tp t="s">
        <v>#N/A N/A</v>
        <stp/>
        <stp>BDP|7247185452856263617</stp>
        <tr r="G1414" s="2"/>
      </tp>
      <tp t="s">
        <v>#N/A N/A</v>
        <stp/>
        <stp>BDP|7082421966131630793</stp>
        <tr r="S1664" s="2"/>
      </tp>
      <tp t="s">
        <v>#N/A N/A</v>
        <stp/>
        <stp>BDP|6834416770925035324</stp>
        <tr r="R238" s="2"/>
      </tp>
      <tp t="s">
        <v>#N/A N/A</v>
        <stp/>
        <stp>BDP|3710356758811704764</stp>
        <tr r="E1164" s="2"/>
      </tp>
      <tp t="s">
        <v>#N/A N/A</v>
        <stp/>
        <stp>BDP|3381187172947089125</stp>
        <tr r="N1749" s="2"/>
      </tp>
      <tp t="s">
        <v>#N/A N/A</v>
        <stp/>
        <stp>BDP|9624329915440936837</stp>
        <tr r="K537" s="2"/>
      </tp>
      <tp t="s">
        <v>#N/A N/A</v>
        <stp/>
        <stp>BDP|2203838424763821867</stp>
        <tr r="Q581" s="2"/>
      </tp>
      <tp t="s">
        <v>#N/A N/A</v>
        <stp/>
        <stp>BDP|9749961150594893223</stp>
        <tr r="G786" s="2"/>
      </tp>
      <tp t="s">
        <v>#N/A N/A</v>
        <stp/>
        <stp>BDP|9529836560911822555</stp>
        <tr r="J334" s="2"/>
      </tp>
      <tp t="s">
        <v>#N/A N/A</v>
        <stp/>
        <stp>BDP|4137922470379993016</stp>
        <tr r="T115" s="2"/>
      </tp>
      <tp t="s">
        <v>#N/A N/A</v>
        <stp/>
        <stp>BDP|1338618008120554442</stp>
        <tr r="K835" s="2"/>
      </tp>
      <tp t="s">
        <v>#N/A N/A</v>
        <stp/>
        <stp>BDP|8476322723812944875</stp>
        <tr r="G1167" s="2"/>
      </tp>
      <tp t="s">
        <v>#N/A N/A</v>
        <stp/>
        <stp>BDS|2823278467413721643</stp>
        <tr r="I288" s="2"/>
      </tp>
      <tp t="s">
        <v>#N/A N/A</v>
        <stp/>
        <stp>BDP|9845258037432506944</stp>
        <tr r="D272" s="2"/>
      </tp>
      <tp t="s">
        <v>#N/A N/A</v>
        <stp/>
        <stp>BDP|5401380346346578748</stp>
        <tr r="M719" s="2"/>
      </tp>
      <tp t="s">
        <v>#N/A N/A</v>
        <stp/>
        <stp>BDP|2601900496800963121</stp>
        <tr r="Q1702" s="2"/>
      </tp>
      <tp t="s">
        <v>#N/A N/A</v>
        <stp/>
        <stp>BDP|4043799769531254792</stp>
        <tr r="H612" s="2"/>
      </tp>
      <tp t="s">
        <v>#N/A N/A</v>
        <stp/>
        <stp>BDP|2670593730173229468</stp>
        <tr r="K464" s="2"/>
      </tp>
      <tp t="s">
        <v>#N/A N/A</v>
        <stp/>
        <stp>BDP|5944461625400888096</stp>
        <tr r="E543" s="2"/>
      </tp>
      <tp t="s">
        <v>#N/A N/A</v>
        <stp/>
        <stp>BDP|4281232440716839720</stp>
        <tr r="S354" s="2"/>
      </tp>
      <tp t="s">
        <v>#N/A N/A</v>
        <stp/>
        <stp>BDP|5447448913127057486</stp>
        <tr r="T851" s="2"/>
      </tp>
      <tp t="s">
        <v>#N/A N/A</v>
        <stp/>
        <stp>BDP|5150426713071234291</stp>
        <tr r="M1018" s="2"/>
      </tp>
      <tp t="s">
        <v>#N/A N/A</v>
        <stp/>
        <stp>BDP|3179616467121468187</stp>
        <tr r="H550" s="2"/>
      </tp>
      <tp t="s">
        <v>#N/A N/A</v>
        <stp/>
        <stp>BDS|2388089934041125351</stp>
        <tr r="I1747" s="2"/>
      </tp>
      <tp t="s">
        <v>#N/A N/A</v>
        <stp/>
        <stp>BDP|6735386898358515796</stp>
        <tr r="A1600" s="2"/>
      </tp>
      <tp t="s">
        <v>#N/A N/A</v>
        <stp/>
        <stp>BDP|7743239457080950319</stp>
        <tr r="R1316" s="2"/>
      </tp>
      <tp t="s">
        <v>#N/A N/A</v>
        <stp/>
        <stp>BDP|7184271915847943014</stp>
        <tr r="H34" s="2"/>
      </tp>
      <tp t="s">
        <v>#N/A N/A</v>
        <stp/>
        <stp>BDP|6667690476470610443</stp>
        <tr r="A41" s="2"/>
      </tp>
      <tp t="s">
        <v>#N/A N/A</v>
        <stp/>
        <stp>BDP|6652219588569684621</stp>
        <tr r="N1313" s="2"/>
      </tp>
      <tp t="s">
        <v>#N/A N/A</v>
        <stp/>
        <stp>BDP|7922436334023132047</stp>
        <tr r="M397" s="2"/>
      </tp>
      <tp t="s">
        <v>#N/A N/A</v>
        <stp/>
        <stp>BDP|2470407672261538381</stp>
        <tr r="M1293" s="2"/>
      </tp>
      <tp t="s">
        <v>#N/A N/A</v>
        <stp/>
        <stp>BDP|7521403308678256841</stp>
        <tr r="H557" s="2"/>
      </tp>
      <tp t="s">
        <v>#N/A N/A</v>
        <stp/>
        <stp>BDP|5729021026710834404</stp>
        <tr r="C870" s="2"/>
      </tp>
      <tp t="s">
        <v>#N/A N/A</v>
        <stp/>
        <stp>BDP|7929332920635727066</stp>
        <tr r="J604" s="2"/>
      </tp>
      <tp t="s">
        <v>#N/A N/A</v>
        <stp/>
        <stp>BDP|1541730792248865472</stp>
        <tr r="M1247" s="2"/>
      </tp>
      <tp t="s">
        <v>#N/A N/A</v>
        <stp/>
        <stp>BDP|7651497660550075642</stp>
        <tr r="S950" s="2"/>
      </tp>
      <tp t="s">
        <v>#N/A N/A</v>
        <stp/>
        <stp>BDS|7814822401559751575</stp>
        <tr r="I715" s="2"/>
      </tp>
      <tp t="s">
        <v>#N/A N/A</v>
        <stp/>
        <stp>BDP|6275660615023227180</stp>
        <tr r="G1425" s="2"/>
      </tp>
      <tp t="s">
        <v>#N/A N/A</v>
        <stp/>
        <stp>BDP|6198972921439825748</stp>
        <tr r="P885" s="2"/>
      </tp>
      <tp t="s">
        <v>#N/A N/A</v>
        <stp/>
        <stp>BDP|6432100165757226583</stp>
        <tr r="N1342" s="2"/>
      </tp>
      <tp t="s">
        <v>#N/A N/A</v>
        <stp/>
        <stp>BDP|5981479015100030306</stp>
        <tr r="F1737" s="2"/>
      </tp>
      <tp t="s">
        <v>#N/A N/A</v>
        <stp/>
        <stp>BDP|7820639175195680037</stp>
        <tr r="S41" s="2"/>
      </tp>
      <tp t="s">
        <v>#N/A N/A</v>
        <stp/>
        <stp>BDP|3764274910854981727</stp>
        <tr r="O146" s="2"/>
      </tp>
      <tp t="s">
        <v>#N/A N/A</v>
        <stp/>
        <stp>BDP|5111271104536999209</stp>
        <tr r="O725" s="2"/>
      </tp>
      <tp t="s">
        <v>#N/A N/A</v>
        <stp/>
        <stp>BDP|7921805884732321657</stp>
        <tr r="S1487" s="2"/>
      </tp>
      <tp t="s">
        <v>#N/A N/A</v>
        <stp/>
        <stp>BDP|2305621963885981405</stp>
        <tr r="K573" s="2"/>
      </tp>
      <tp t="s">
        <v>#N/A N/A</v>
        <stp/>
        <stp>BDP|4074193644743147173</stp>
        <tr r="O1207" s="2"/>
      </tp>
      <tp t="s">
        <v>#N/A N/A</v>
        <stp/>
        <stp>BDP|5512867386964799292</stp>
        <tr r="G1752" s="2"/>
      </tp>
      <tp t="s">
        <v>#N/A N/A</v>
        <stp/>
        <stp>BDP|6827035278026933413</stp>
        <tr r="K501" s="2"/>
      </tp>
      <tp t="s">
        <v>#N/A N/A</v>
        <stp/>
        <stp>BDP|4286640201122460388</stp>
        <tr r="T1206" s="2"/>
      </tp>
      <tp t="s">
        <v>#N/A N/A</v>
        <stp/>
        <stp>BDP|2345728545875774784</stp>
        <tr r="J1425" s="2"/>
      </tp>
      <tp t="s">
        <v>#N/A N/A</v>
        <stp/>
        <stp>BDP|7536277679509043802</stp>
        <tr r="K1561" s="2"/>
      </tp>
      <tp t="s">
        <v>#N/A N/A</v>
        <stp/>
        <stp>BDP|4156473770694401097</stp>
        <tr r="K1488" s="2"/>
      </tp>
      <tp t="s">
        <v>#N/A N/A</v>
        <stp/>
        <stp>BDP|6995202936601335579</stp>
        <tr r="F1400" s="2"/>
      </tp>
      <tp t="s">
        <v>#N/A N/A</v>
        <stp/>
        <stp>BDS|8090976301812858056</stp>
        <tr r="I1665" s="2"/>
      </tp>
      <tp t="s">
        <v>#N/A N/A</v>
        <stp/>
        <stp>BDP|9995178305463564855</stp>
        <tr r="M780" s="2"/>
      </tp>
      <tp t="s">
        <v>#N/A N/A</v>
        <stp/>
        <stp>BDP|3825627075648651920</stp>
        <tr r="S951" s="2"/>
      </tp>
      <tp t="s">
        <v>#N/A N/A</v>
        <stp/>
        <stp>BDP|9570410859488519334</stp>
        <tr r="E529" s="2"/>
      </tp>
      <tp t="s">
        <v>#N/A N/A</v>
        <stp/>
        <stp>BDP|2775376232848967936</stp>
        <tr r="H1216" s="2"/>
      </tp>
      <tp t="s">
        <v>#N/A N/A</v>
        <stp/>
        <stp>BDP|1836689246363633383</stp>
        <tr r="A842" s="2"/>
      </tp>
      <tp t="s">
        <v>#N/A N/A</v>
        <stp/>
        <stp>BDP|4044515226813663397</stp>
        <tr r="R425" s="2"/>
      </tp>
      <tp t="s">
        <v>#N/A N/A</v>
        <stp/>
        <stp>BDP|9733922320438857958</stp>
        <tr r="S193" s="2"/>
      </tp>
      <tp t="s">
        <v>#N/A N/A</v>
        <stp/>
        <stp>BDS|6827759693633775811</stp>
        <tr r="I1333" s="2"/>
      </tp>
      <tp t="s">
        <v>#N/A N/A</v>
        <stp/>
        <stp>BDP|5293597221354546571</stp>
        <tr r="C349" s="2"/>
      </tp>
      <tp t="s">
        <v>#N/A N/A</v>
        <stp/>
        <stp>BDP|5236963665539187086</stp>
        <tr r="T353" s="2"/>
      </tp>
      <tp t="s">
        <v>#N/A N/A</v>
        <stp/>
        <stp>BDP|6927552412460572138</stp>
        <tr r="K1275" s="2"/>
      </tp>
      <tp t="s">
        <v>#N/A N/A</v>
        <stp/>
        <stp>BDP|8106307380171182185</stp>
        <tr r="R1238" s="2"/>
      </tp>
      <tp t="s">
        <v>#N/A N/A</v>
        <stp/>
        <stp>BDP|4699454338909498976</stp>
        <tr r="F896" s="2"/>
      </tp>
      <tp t="s">
        <v>#N/A N/A</v>
        <stp/>
        <stp>BDP|1206428408382065406</stp>
        <tr r="H1278" s="2"/>
      </tp>
      <tp t="s">
        <v>#N/A N/A</v>
        <stp/>
        <stp>BDP|1299918394446881476</stp>
        <tr r="T1727" s="2"/>
      </tp>
      <tp t="s">
        <v>#N/A N/A</v>
        <stp/>
        <stp>BDP|4876414552985201311</stp>
        <tr r="C345" s="2"/>
      </tp>
      <tp t="s">
        <v>#N/A N/A</v>
        <stp/>
        <stp>BDP|9030738798814491077</stp>
        <tr r="E1593" s="2"/>
      </tp>
      <tp t="s">
        <v>#N/A N/A</v>
        <stp/>
        <stp>BDP|4484393332501656616</stp>
        <tr r="E1690" s="2"/>
      </tp>
      <tp t="s">
        <v>#N/A N/A</v>
        <stp/>
        <stp>BDP|4197608005779982851</stp>
        <tr r="P50" s="2"/>
      </tp>
      <tp t="s">
        <v>#N/A N/A</v>
        <stp/>
        <stp>BDP|3598370036522827241</stp>
        <tr r="E1218" s="2"/>
      </tp>
      <tp t="s">
        <v>#N/A N/A</v>
        <stp/>
        <stp>BDP|9315181705592335959</stp>
        <tr r="P304" s="2"/>
      </tp>
      <tp t="s">
        <v>#N/A N/A</v>
        <stp/>
        <stp>BDP|2924665150955538722</stp>
        <tr r="Q1401" s="2"/>
      </tp>
      <tp t="s">
        <v>#N/A N/A</v>
        <stp/>
        <stp>BDP|3030424444286926678</stp>
        <tr r="H1153" s="2"/>
      </tp>
      <tp t="s">
        <v>#N/A N/A</v>
        <stp/>
        <stp>BDP|9952934426490085142</stp>
        <tr r="J392" s="2"/>
      </tp>
      <tp t="s">
        <v>#N/A N/A</v>
        <stp/>
        <stp>BDP|6784422183319801067</stp>
        <tr r="A1089" s="2"/>
      </tp>
      <tp t="s">
        <v>#N/A N/A</v>
        <stp/>
        <stp>BDP|8728914585418228291</stp>
        <tr r="S379" s="2"/>
      </tp>
      <tp t="s">
        <v>#N/A N/A</v>
        <stp/>
        <stp>BDP|7006806786792718691</stp>
        <tr r="H1392" s="2"/>
      </tp>
      <tp t="s">
        <v>#N/A N/A</v>
        <stp/>
        <stp>BDP|2806233606551656232</stp>
        <tr r="S1531" s="2"/>
      </tp>
      <tp t="s">
        <v>#N/A N/A</v>
        <stp/>
        <stp>BDP|2221495115792770616</stp>
        <tr r="C1398" s="2"/>
      </tp>
      <tp t="s">
        <v>#N/A N/A</v>
        <stp/>
        <stp>BDP|1068207543473811735</stp>
        <tr r="P1733" s="2"/>
      </tp>
      <tp t="s">
        <v>#N/A N/A</v>
        <stp/>
        <stp>BDP|3143791017347275151</stp>
        <tr r="K1498" s="2"/>
      </tp>
      <tp t="s">
        <v>#N/A N/A</v>
        <stp/>
        <stp>BDP|9081157824019075098</stp>
        <tr r="D340" s="2"/>
      </tp>
      <tp t="s">
        <v>#N/A N/A</v>
        <stp/>
        <stp>BDP|1714357917246572683</stp>
        <tr r="E390" s="2"/>
      </tp>
      <tp t="s">
        <v>#N/A N/A</v>
        <stp/>
        <stp>BDP|1222421891086044994</stp>
        <tr r="F698" s="2"/>
      </tp>
      <tp t="s">
        <v>#N/A N/A</v>
        <stp/>
        <stp>BDS|9781974877165899174</stp>
        <tr r="I1001" s="2"/>
      </tp>
      <tp t="s">
        <v>#N/A N/A</v>
        <stp/>
        <stp>BDP|4604467948474337333</stp>
        <tr r="E969" s="2"/>
      </tp>
      <tp t="s">
        <v>#N/A N/A</v>
        <stp/>
        <stp>BDP|4731666029493400042</stp>
        <tr r="S25" s="2"/>
      </tp>
      <tp t="s">
        <v>#N/A N/A</v>
        <stp/>
        <stp>BDP|3851245797832631959</stp>
        <tr r="G1708" s="2"/>
      </tp>
      <tp t="s">
        <v>#N/A N/A</v>
        <stp/>
        <stp>BDP|2009077118296214656</stp>
        <tr r="J319" s="2"/>
      </tp>
      <tp t="s">
        <v>#N/A N/A</v>
        <stp/>
        <stp>BDP|2631881782177144655</stp>
        <tr r="Q195" s="2"/>
      </tp>
      <tp t="s">
        <v>#N/A N/A</v>
        <stp/>
        <stp>BDP|5476937502577821855</stp>
        <tr r="J741" s="2"/>
      </tp>
      <tp t="s">
        <v>#N/A N/A</v>
        <stp/>
        <stp>BDP|8340803428666753746</stp>
        <tr r="C1611" s="2"/>
      </tp>
      <tp t="s">
        <v>#N/A N/A</v>
        <stp/>
        <stp>BDP|9864758335559593750</stp>
        <tr r="P1383" s="2"/>
      </tp>
      <tp t="s">
        <v>#N/A N/A</v>
        <stp/>
        <stp>BDP|5438001966792325295</stp>
        <tr r="C829" s="2"/>
      </tp>
      <tp t="s">
        <v>#N/A N/A</v>
        <stp/>
        <stp>BDP|7927685223991296185</stp>
        <tr r="A988" s="2"/>
      </tp>
      <tp t="s">
        <v>#N/A N/A</v>
        <stp/>
        <stp>BDP|2012363645684857233</stp>
        <tr r="M255" s="2"/>
      </tp>
      <tp t="s">
        <v>#N/A N/A</v>
        <stp/>
        <stp>BDP|1290771329514412309</stp>
        <tr r="O187" s="2"/>
      </tp>
      <tp t="s">
        <v>#N/A N/A</v>
        <stp/>
        <stp>BDP|1179156588809751239</stp>
        <tr r="F92" s="2"/>
      </tp>
      <tp t="s">
        <v>#N/A N/A</v>
        <stp/>
        <stp>BDP|4157562368965087172</stp>
        <tr r="S473" s="2"/>
      </tp>
      <tp t="s">
        <v>#N/A N/A</v>
        <stp/>
        <stp>BDP|5993514533536695655</stp>
        <tr r="J4" s="2"/>
      </tp>
      <tp t="s">
        <v>#N/A N/A</v>
        <stp/>
        <stp>BDP|6336361237325827027</stp>
        <tr r="H786" s="2"/>
      </tp>
      <tp t="s">
        <v>#N/A N/A</v>
        <stp/>
        <stp>BDP|2900536111681430477</stp>
        <tr r="S918" s="2"/>
      </tp>
      <tp t="s">
        <v>#N/A N/A</v>
        <stp/>
        <stp>BDP|9711929458274078259</stp>
        <tr r="H437" s="2"/>
      </tp>
      <tp t="s">
        <v>#N/A N/A</v>
        <stp/>
        <stp>BDP|4833084428674805186</stp>
        <tr r="F978" s="2"/>
      </tp>
      <tp t="s">
        <v>#N/A N/A</v>
        <stp/>
        <stp>BDP|1282676291359433489</stp>
        <tr r="J1292" s="2"/>
      </tp>
      <tp t="s">
        <v>#N/A N/A</v>
        <stp/>
        <stp>BDP|1911724045933694202</stp>
        <tr r="T1545" s="2"/>
      </tp>
      <tp t="s">
        <v>#N/A N/A</v>
        <stp/>
        <stp>BDP|3842165255483156727</stp>
        <tr r="P599" s="2"/>
      </tp>
      <tp t="s">
        <v>#N/A N/A</v>
        <stp/>
        <stp>BDP|1633141781478949325</stp>
        <tr r="C1059" s="2"/>
      </tp>
      <tp t="s">
        <v>#N/A N/A</v>
        <stp/>
        <stp>BDP|1313187330394368405</stp>
        <tr r="H1614" s="2"/>
      </tp>
      <tp t="s">
        <v>#N/A N/A</v>
        <stp/>
        <stp>BDP|8564635783173515685</stp>
        <tr r="D510" s="2"/>
      </tp>
      <tp t="s">
        <v>#N/A N/A</v>
        <stp/>
        <stp>BDS|3615280070406506330</stp>
        <tr r="I1177" s="2"/>
      </tp>
      <tp t="s">
        <v>#N/A N/A</v>
        <stp/>
        <stp>BDP|5926614802568556870</stp>
        <tr r="P1210" s="2"/>
      </tp>
      <tp t="s">
        <v>#N/A N/A</v>
        <stp/>
        <stp>BDP|7868925080556755355</stp>
        <tr r="F1384" s="2"/>
      </tp>
      <tp t="s">
        <v>#N/A N/A</v>
        <stp/>
        <stp>BDP|1736412524043986720</stp>
        <tr r="S1735" s="2"/>
      </tp>
      <tp t="s">
        <v>#N/A N/A</v>
        <stp/>
        <stp>BDP|7797460714567477682</stp>
        <tr r="N1128" s="2"/>
      </tp>
      <tp t="s">
        <v>#N/A N/A</v>
        <stp/>
        <stp>BDS|3173974289719572839</stp>
        <tr r="I331" s="2"/>
      </tp>
      <tp t="s">
        <v>#N/A N/A</v>
        <stp/>
        <stp>BDP|7045321031760320499</stp>
        <tr r="Q669" s="2"/>
      </tp>
      <tp t="s">
        <v>#N/A N/A</v>
        <stp/>
        <stp>BDP|6318792423900525051</stp>
        <tr r="F1468" s="2"/>
      </tp>
      <tp t="s">
        <v>#N/A N/A</v>
        <stp/>
        <stp>BDP|1912517891918471641</stp>
        <tr r="O1268" s="2"/>
      </tp>
      <tp t="s">
        <v>#N/A N/A</v>
        <stp/>
        <stp>BDP|4704723328887725530</stp>
        <tr r="E411" s="2"/>
      </tp>
      <tp t="s">
        <v>#N/A N/A</v>
        <stp/>
        <stp>BDP|2833438418214833022</stp>
        <tr r="R1554" s="2"/>
      </tp>
      <tp t="s">
        <v>#N/A N/A</v>
        <stp/>
        <stp>BDP|4974222620534101338</stp>
        <tr r="S1196" s="2"/>
      </tp>
      <tp t="s">
        <v>#N/A N/A</v>
        <stp/>
        <stp>BDP|6718048212726008286</stp>
        <tr r="K458" s="2"/>
      </tp>
      <tp t="s">
        <v>#N/A N/A</v>
        <stp/>
        <stp>BDP|1910383408464999597</stp>
        <tr r="T540" s="2"/>
      </tp>
      <tp t="s">
        <v>#N/A N/A</v>
        <stp/>
        <stp>BDP|2837118842785345113</stp>
        <tr r="R816" s="2"/>
      </tp>
      <tp t="s">
        <v>#N/A N/A</v>
        <stp/>
        <stp>BDP|5324197856056660438</stp>
        <tr r="M456" s="2"/>
      </tp>
      <tp t="s">
        <v>#N/A N/A</v>
        <stp/>
        <stp>BDP|8195900142694348291</stp>
        <tr r="S482" s="2"/>
      </tp>
      <tp t="s">
        <v>#N/A N/A</v>
        <stp/>
        <stp>BDP|2044417114177894341</stp>
        <tr r="A1444" s="2"/>
      </tp>
      <tp t="s">
        <v>#N/A N/A</v>
        <stp/>
        <stp>BDP|5603414134686995731</stp>
        <tr r="E620" s="2"/>
      </tp>
      <tp t="s">
        <v>#N/A N/A</v>
        <stp/>
        <stp>BDP|8547980425290580044</stp>
        <tr r="K970" s="2"/>
      </tp>
      <tp t="s">
        <v>#N/A N/A</v>
        <stp/>
        <stp>BDP|2604476849391293031</stp>
        <tr r="R481" s="2"/>
      </tp>
      <tp t="s">
        <v>#N/A N/A</v>
        <stp/>
        <stp>BDP|4862051034962755676</stp>
        <tr r="G1325" s="2"/>
      </tp>
      <tp t="s">
        <v>#N/A N/A</v>
        <stp/>
        <stp>BDP|1233006013481149299</stp>
        <tr r="J1285" s="2"/>
      </tp>
      <tp t="s">
        <v>#N/A N/A</v>
        <stp/>
        <stp>BDP|1340038328198018810</stp>
        <tr r="R1654" s="2"/>
      </tp>
      <tp t="s">
        <v>#N/A N/A</v>
        <stp/>
        <stp>BDP|3373398407762449100</stp>
        <tr r="M687" s="2"/>
      </tp>
      <tp t="s">
        <v>#N/A N/A</v>
        <stp/>
        <stp>BDP|8610876553275309389</stp>
        <tr r="O424" s="2"/>
      </tp>
      <tp t="s">
        <v>#N/A N/A</v>
        <stp/>
        <stp>BDP|8292995766715031147</stp>
        <tr r="C654" s="2"/>
      </tp>
      <tp t="s">
        <v>#N/A N/A</v>
        <stp/>
        <stp>BDP|6433111026501293781</stp>
        <tr r="D556" s="2"/>
      </tp>
      <tp t="s">
        <v>#N/A N/A</v>
        <stp/>
        <stp>BDP|8855492979490484854</stp>
        <tr r="D36" s="2"/>
      </tp>
      <tp t="s">
        <v>#N/A N/A</v>
        <stp/>
        <stp>BDP|2376475269314179759</stp>
        <tr r="G359" s="2"/>
      </tp>
      <tp t="s">
        <v>#N/A N/A</v>
        <stp/>
        <stp>BDP|3934867391432178368</stp>
        <tr r="E1035" s="2"/>
      </tp>
      <tp t="s">
        <v>#N/A N/A</v>
        <stp/>
        <stp>BDP|1205367836002218097</stp>
        <tr r="A55" s="2"/>
      </tp>
      <tp t="s">
        <v>#N/A N/A</v>
        <stp/>
        <stp>BDP|3648673105687474197</stp>
        <tr r="O922" s="2"/>
      </tp>
      <tp t="s">
        <v>#N/A N/A</v>
        <stp/>
        <stp>BDP|6274667243627843063</stp>
        <tr r="P1575" s="2"/>
      </tp>
      <tp t="s">
        <v>#N/A N/A</v>
        <stp/>
        <stp>BDP|1245604575051726293</stp>
        <tr r="H724" s="2"/>
      </tp>
      <tp t="s">
        <v>#N/A N/A</v>
        <stp/>
        <stp>BDP|2068743078525216470</stp>
        <tr r="A246" s="2"/>
      </tp>
      <tp t="s">
        <v>#N/A N/A</v>
        <stp/>
        <stp>BDP|5235096129323239794</stp>
        <tr r="C43" s="2"/>
      </tp>
      <tp t="s">
        <v>#N/A N/A</v>
        <stp/>
        <stp>BDP|6664370863519842936</stp>
        <tr r="Q481" s="2"/>
      </tp>
      <tp t="s">
        <v>#N/A N/A</v>
        <stp/>
        <stp>BDP|6071677334910289080</stp>
        <tr r="H1220" s="2"/>
      </tp>
      <tp t="s">
        <v>#N/A N/A</v>
        <stp/>
        <stp>BDP|1135570256667113584</stp>
        <tr r="G309" s="2"/>
      </tp>
      <tp t="s">
        <v>#N/A N/A</v>
        <stp/>
        <stp>BDP|4768984045098552267</stp>
        <tr r="S1014" s="2"/>
      </tp>
      <tp t="s">
        <v>#N/A N/A</v>
        <stp/>
        <stp>BDP|4517255656044869472</stp>
        <tr r="F423" s="2"/>
      </tp>
      <tp t="s">
        <v>#N/A N/A</v>
        <stp/>
        <stp>BDP|6709621148711647622</stp>
        <tr r="S1586" s="2"/>
      </tp>
      <tp t="s">
        <v>#N/A N/A</v>
        <stp/>
        <stp>BDP|1550080823147305744</stp>
        <tr r="E1395" s="2"/>
      </tp>
      <tp t="s">
        <v>#N/A N/A</v>
        <stp/>
        <stp>BDP|4880515544540680623</stp>
        <tr r="F109" s="2"/>
      </tp>
      <tp t="s">
        <v>#N/A N/A</v>
        <stp/>
        <stp>BDP|8325031999354268625</stp>
        <tr r="N1236" s="2"/>
      </tp>
      <tp t="s">
        <v>#N/A N/A</v>
        <stp/>
        <stp>BDP|6495218978325693528</stp>
        <tr r="T335" s="2"/>
      </tp>
      <tp t="s">
        <v>#N/A N/A</v>
        <stp/>
        <stp>BDP|8955067163169479417</stp>
        <tr r="H224" s="2"/>
      </tp>
      <tp t="s">
        <v>#N/A N/A</v>
        <stp/>
        <stp>BDP|8719035495676969416</stp>
        <tr r="J713" s="2"/>
      </tp>
      <tp t="s">
        <v>#N/A N/A</v>
        <stp/>
        <stp>BDP|3125841993232823371</stp>
        <tr r="P1461" s="2"/>
      </tp>
      <tp t="s">
        <v>#N/A N/A</v>
        <stp/>
        <stp>BDP|7828237714440125771</stp>
        <tr r="E343" s="2"/>
      </tp>
      <tp t="s">
        <v>#N/A N/A</v>
        <stp/>
        <stp>BDP|3618490564147070525</stp>
        <tr r="O399" s="2"/>
      </tp>
      <tp t="s">
        <v>#N/A N/A</v>
        <stp/>
        <stp>BDP|3733522271194923640</stp>
        <tr r="E750" s="2"/>
      </tp>
      <tp t="s">
        <v>#N/A N/A</v>
        <stp/>
        <stp>BDP|5952877329054749893</stp>
        <tr r="G863" s="2"/>
      </tp>
      <tp t="s">
        <v>#N/A N/A</v>
        <stp/>
        <stp>BDP|7837939886860524515</stp>
        <tr r="K960" s="2"/>
      </tp>
      <tp t="s">
        <v>#N/A N/A</v>
        <stp/>
        <stp>BDP|6907594457440602587</stp>
        <tr r="M1006" s="2"/>
      </tp>
      <tp t="s">
        <v>#N/A N/A</v>
        <stp/>
        <stp>BDP|6432147962484805637</stp>
        <tr r="K473" s="2"/>
      </tp>
      <tp t="s">
        <v>#N/A N/A</v>
        <stp/>
        <stp>BDP|7867567110062243252</stp>
        <tr r="H799" s="2"/>
      </tp>
      <tp t="s">
        <v>#N/A N/A</v>
        <stp/>
        <stp>BDP|6719185857617634677</stp>
        <tr r="G439" s="2"/>
      </tp>
      <tp t="s">
        <v>#N/A N/A</v>
        <stp/>
        <stp>BDP|8013802904486914540</stp>
        <tr r="F1099" s="2"/>
      </tp>
      <tp t="s">
        <v>#N/A N/A</v>
        <stp/>
        <stp>BDP|3417846350105927802</stp>
        <tr r="R474" s="2"/>
      </tp>
      <tp t="s">
        <v>#N/A N/A</v>
        <stp/>
        <stp>BDP|3948690140587942503</stp>
        <tr r="G1581" s="2"/>
      </tp>
      <tp t="s">
        <v>#N/A N/A</v>
        <stp/>
        <stp>BDP|8818947290592458910</stp>
        <tr r="D188" s="2"/>
      </tp>
      <tp t="s">
        <v>#N/A N/A</v>
        <stp/>
        <stp>BDP|5592618213321134088</stp>
        <tr r="H108" s="2"/>
      </tp>
      <tp t="s">
        <v>#N/A N/A</v>
        <stp/>
        <stp>BDP|2672472018534386041</stp>
        <tr r="D1297" s="2"/>
      </tp>
      <tp t="s">
        <v>#N/A N/A</v>
        <stp/>
        <stp>BDP|5700433975507865279</stp>
        <tr r="A981" s="2"/>
      </tp>
      <tp t="s">
        <v>#N/A N/A</v>
        <stp/>
        <stp>BDP|4225441996213909979</stp>
        <tr r="S1449" s="2"/>
      </tp>
      <tp t="s">
        <v>#N/A N/A</v>
        <stp/>
        <stp>BDP|3000267274202885745</stp>
        <tr r="D1279" s="2"/>
      </tp>
      <tp t="s">
        <v>#N/A N/A</v>
        <stp/>
        <stp>BDP|8941964823113515378</stp>
        <tr r="Q371" s="2"/>
      </tp>
      <tp t="s">
        <v>#N/A N/A</v>
        <stp/>
        <stp>BDP|3804479770626155501</stp>
        <tr r="F1317" s="2"/>
      </tp>
      <tp t="s">
        <v>#N/A N/A</v>
        <stp/>
        <stp>BDP|9447023068394280827</stp>
        <tr r="D898" s="2"/>
      </tp>
      <tp t="s">
        <v>#N/A N/A</v>
        <stp/>
        <stp>BDP|7769203408931776760</stp>
        <tr r="S312" s="2"/>
      </tp>
      <tp t="s">
        <v>#N/A N/A</v>
        <stp/>
        <stp>BDP|4119011668090226148</stp>
        <tr r="A847" s="2"/>
      </tp>
      <tp t="s">
        <v>#N/A N/A</v>
        <stp/>
        <stp>BDP|9036891144023095531</stp>
        <tr r="P1435" s="2"/>
      </tp>
      <tp t="s">
        <v>#N/A N/A</v>
        <stp/>
        <stp>BDS|8614251436909911321</stp>
        <tr r="I1176" s="2"/>
      </tp>
      <tp t="s">
        <v>#N/A N/A</v>
        <stp/>
        <stp>BDP|1493108523850845110</stp>
        <tr r="K1016" s="2"/>
      </tp>
      <tp t="s">
        <v>#N/A N/A</v>
        <stp/>
        <stp>BDP|5983505352227651137</stp>
        <tr r="F30" s="2"/>
      </tp>
      <tp t="s">
        <v>#N/A N/A</v>
        <stp/>
        <stp>BDP|2836798979859493827</stp>
        <tr r="G714" s="2"/>
      </tp>
      <tp t="s">
        <v>#N/A N/A</v>
        <stp/>
        <stp>BDP|6584294806185313270</stp>
        <tr r="R1612" s="2"/>
      </tp>
      <tp t="s">
        <v>#N/A N/A</v>
        <stp/>
        <stp>BDP|9506765382570692595</stp>
        <tr r="D1123" s="2"/>
      </tp>
      <tp t="s">
        <v>#N/A N/A</v>
        <stp/>
        <stp>BDP|1272319757565979130</stp>
        <tr r="T236" s="2"/>
      </tp>
      <tp t="s">
        <v>#N/A N/A</v>
        <stp/>
        <stp>BDP|9283483893071369642</stp>
        <tr r="P1006" s="2"/>
      </tp>
      <tp t="s">
        <v>#N/A N/A</v>
        <stp/>
        <stp>BDP|2264660680858890728</stp>
        <tr r="T853" s="2"/>
      </tp>
      <tp t="s">
        <v>#N/A N/A</v>
        <stp/>
        <stp>BDP|1809416864029083931</stp>
        <tr r="M1232" s="2"/>
      </tp>
      <tp t="s">
        <v>#N/A N/A</v>
        <stp/>
        <stp>BDP|1459001933814943507</stp>
        <tr r="J720" s="2"/>
      </tp>
      <tp t="s">
        <v>#N/A N/A</v>
        <stp/>
        <stp>BDP|6388240104086965140</stp>
        <tr r="A822" s="2"/>
      </tp>
      <tp t="s">
        <v>#N/A N/A</v>
        <stp/>
        <stp>BDP|2183796213901080651</stp>
        <tr r="M183" s="2"/>
      </tp>
      <tp t="s">
        <v>#N/A N/A</v>
        <stp/>
        <stp>BDP|6054831234258962601</stp>
        <tr r="D1093" s="2"/>
      </tp>
      <tp t="s">
        <v>#N/A N/A</v>
        <stp/>
        <stp>BDP|4247367516000578595</stp>
        <tr r="D363" s="2"/>
      </tp>
      <tp t="s">
        <v>#N/A N/A</v>
        <stp/>
        <stp>BDP|1034399293808043046</stp>
        <tr r="N1271" s="2"/>
      </tp>
      <tp t="s">
        <v>#N/A N/A</v>
        <stp/>
        <stp>BDP|6180461209993098209</stp>
        <tr r="Q912" s="2"/>
      </tp>
      <tp t="s">
        <v>#N/A N/A</v>
        <stp/>
        <stp>BDP|2426205630144268480</stp>
        <tr r="J1154" s="2"/>
      </tp>
      <tp t="s">
        <v>#N/A N/A</v>
        <stp/>
        <stp>BDP|7392009838201256677</stp>
        <tr r="M850" s="2"/>
      </tp>
      <tp t="s">
        <v>#N/A N/A</v>
        <stp/>
        <stp>BDP|1496584862808547951</stp>
        <tr r="G87" s="2"/>
      </tp>
      <tp t="s">
        <v>#N/A N/A</v>
        <stp/>
        <stp>BDP|5938300007771346430</stp>
        <tr r="D1266" s="2"/>
      </tp>
      <tp t="s">
        <v>#N/A N/A</v>
        <stp/>
        <stp>BDP|5526039428495547158</stp>
        <tr r="J41" s="2"/>
      </tp>
      <tp t="s">
        <v>#N/A N/A</v>
        <stp/>
        <stp>BDP|9991289249485046963</stp>
        <tr r="Q1576" s="2"/>
      </tp>
      <tp t="s">
        <v>#N/A N/A</v>
        <stp/>
        <stp>BDP|7121592953156323260</stp>
        <tr r="H1397" s="2"/>
      </tp>
      <tp t="s">
        <v>#N/A N/A</v>
        <stp/>
        <stp>BDP|5306351899168737460</stp>
        <tr r="H974" s="2"/>
      </tp>
      <tp t="s">
        <v>#N/A N/A</v>
        <stp/>
        <stp>BDS|2697573819996762314</stp>
        <tr r="I1668" s="2"/>
      </tp>
      <tp t="s">
        <v>#N/A N/A</v>
        <stp/>
        <stp>BDP|2927572929913090592</stp>
        <tr r="C664" s="2"/>
      </tp>
      <tp t="s">
        <v>#N/A N/A</v>
        <stp/>
        <stp>BDP|6585462309312491305</stp>
        <tr r="R211" s="2"/>
      </tp>
      <tp t="s">
        <v>#N/A N/A</v>
        <stp/>
        <stp>BDP|5340707718483430311</stp>
        <tr r="N254" s="2"/>
      </tp>
      <tp t="s">
        <v>#N/A N/A</v>
        <stp/>
        <stp>BDP|5200745390890893801</stp>
        <tr r="D713" s="2"/>
      </tp>
      <tp t="s">
        <v>#N/A N/A</v>
        <stp/>
        <stp>BDP|1396749427770812762</stp>
        <tr r="T565" s="2"/>
      </tp>
      <tp t="s">
        <v>#N/A N/A</v>
        <stp/>
        <stp>BDP|7835443079020834737</stp>
        <tr r="A1522" s="2"/>
      </tp>
      <tp t="s">
        <v>#N/A N/A</v>
        <stp/>
        <stp>BDP|3174107358193322747</stp>
        <tr r="C1627" s="2"/>
      </tp>
      <tp t="s">
        <v>#N/A N/A</v>
        <stp/>
        <stp>BDP|5788133689906272911</stp>
        <tr r="F1369" s="2"/>
      </tp>
      <tp t="s">
        <v>#N/A N/A</v>
        <stp/>
        <stp>BDP|8840345837118362362</stp>
        <tr r="G1281" s="2"/>
      </tp>
      <tp t="s">
        <v>#N/A N/A</v>
        <stp/>
        <stp>BDP|6201687242257150077</stp>
        <tr r="O649" s="2"/>
      </tp>
      <tp t="s">
        <v>#N/A N/A</v>
        <stp/>
        <stp>BDP|4371561258676016136</stp>
        <tr r="F868" s="2"/>
      </tp>
      <tp t="s">
        <v>#N/A N/A</v>
        <stp/>
        <stp>BDP|3176844309299261100</stp>
        <tr r="S597" s="2"/>
      </tp>
      <tp t="s">
        <v>#N/A N/A</v>
        <stp/>
        <stp>BDP|3859325354493139510</stp>
        <tr r="F237" s="2"/>
      </tp>
      <tp t="s">
        <v>#N/A N/A</v>
        <stp/>
        <stp>BDP|3323651339471280439</stp>
        <tr r="S195" s="2"/>
      </tp>
      <tp t="s">
        <v>#N/A N/A</v>
        <stp/>
        <stp>BDP|6110498080308557139</stp>
        <tr r="D732" s="2"/>
      </tp>
      <tp t="s">
        <v>#N/A N/A</v>
        <stp/>
        <stp>BDP|1559393884130563937</stp>
        <tr r="D666" s="2"/>
      </tp>
      <tp t="s">
        <v>#N/A N/A</v>
        <stp/>
        <stp>BDP|5028517996113001992</stp>
        <tr r="H704" s="2"/>
      </tp>
      <tp t="s">
        <v>#N/A N/A</v>
        <stp/>
        <stp>BDP|4948072564395306473</stp>
        <tr r="S128" s="2"/>
      </tp>
      <tp t="s">
        <v>#N/A N/A</v>
        <stp/>
        <stp>BDP|4113087760092207350</stp>
        <tr r="G1150" s="2"/>
      </tp>
      <tp t="s">
        <v>#N/A N/A</v>
        <stp/>
        <stp>BDP|8651302618068085116</stp>
        <tr r="H548" s="2"/>
      </tp>
      <tp t="s">
        <v>#N/A N/A</v>
        <stp/>
        <stp>BDP|2984021294620073801</stp>
        <tr r="E1156" s="2"/>
      </tp>
      <tp t="s">
        <v>#N/A N/A</v>
        <stp/>
        <stp>BDP|8855873381029775268</stp>
        <tr r="E848" s="2"/>
      </tp>
      <tp t="s">
        <v>#N/A N/A</v>
        <stp/>
        <stp>BDP|9358015360654492896</stp>
        <tr r="D1706" s="2"/>
      </tp>
      <tp t="s">
        <v>#N/A N/A</v>
        <stp/>
        <stp>BDP|8744103701998803217</stp>
        <tr r="E208" s="2"/>
      </tp>
      <tp t="s">
        <v>#N/A N/A</v>
        <stp/>
        <stp>BDP|5037164779279741979</stp>
        <tr r="K1606" s="2"/>
      </tp>
      <tp t="s">
        <v>#N/A N/A</v>
        <stp/>
        <stp>BDP|2308185732502598132</stp>
        <tr r="J1716" s="2"/>
      </tp>
      <tp t="s">
        <v>#N/A N/A</v>
        <stp/>
        <stp>BDP|7676899495433083659</stp>
        <tr r="F440" s="2"/>
      </tp>
      <tp t="s">
        <v>#N/A N/A</v>
        <stp/>
        <stp>BDP|9527953739019489922</stp>
        <tr r="T941" s="2"/>
      </tp>
      <tp t="s">
        <v>#N/A N/A</v>
        <stp/>
        <stp>BDP|4367834161059708099</stp>
        <tr r="P1341" s="2"/>
      </tp>
      <tp t="s">
        <v>#N/A N/A</v>
        <stp/>
        <stp>BDP|2713739294167776883</stp>
        <tr r="T243" s="2"/>
      </tp>
      <tp t="s">
        <v>#N/A N/A</v>
        <stp/>
        <stp>BDP|8716146291055890653</stp>
        <tr r="P1244" s="2"/>
      </tp>
      <tp t="s">
        <v>#N/A N/A</v>
        <stp/>
        <stp>BDP|4266708739962690122</stp>
        <tr r="M864" s="2"/>
      </tp>
      <tp t="s">
        <v>#N/A N/A</v>
        <stp/>
        <stp>BDP|8663109299495318636</stp>
        <tr r="T1512" s="2"/>
      </tp>
      <tp t="s">
        <v>#N/A N/A</v>
        <stp/>
        <stp>BDP|2142380400023305158</stp>
        <tr r="N497" s="2"/>
      </tp>
      <tp t="s">
        <v>#N/A N/A</v>
        <stp/>
        <stp>BDP|8195524395424939306</stp>
        <tr r="F1566" s="2"/>
      </tp>
      <tp t="s">
        <v>#N/A N/A</v>
        <stp/>
        <stp>BDP|7752009509384874094</stp>
        <tr r="R1412" s="2"/>
      </tp>
      <tp t="s">
        <v>#N/A N/A</v>
        <stp/>
        <stp>BDP|2433889710511092939</stp>
        <tr r="N1392" s="2"/>
      </tp>
      <tp t="s">
        <v>#N/A N/A</v>
        <stp/>
        <stp>BDP|5225807380922948446</stp>
        <tr r="H1284" s="2"/>
      </tp>
      <tp t="s">
        <v>#N/A N/A</v>
        <stp/>
        <stp>BDP|2900228093903589927</stp>
        <tr r="N1451" s="2"/>
      </tp>
      <tp t="s">
        <v>#N/A N/A</v>
        <stp/>
        <stp>BDS|9366403252563789895</stp>
        <tr r="I778" s="2"/>
      </tp>
      <tp t="s">
        <v>#N/A N/A</v>
        <stp/>
        <stp>BDP|2617017257152864670</stp>
        <tr r="A1435" s="2"/>
      </tp>
      <tp t="s">
        <v>#N/A N/A</v>
        <stp/>
        <stp>BDP|1501514664599779887</stp>
        <tr r="Q1186" s="2"/>
      </tp>
      <tp t="s">
        <v>#N/A N/A</v>
        <stp/>
        <stp>BDP|2837570154658304974</stp>
        <tr r="J1724" s="2"/>
      </tp>
      <tp t="s">
        <v>#N/A N/A</v>
        <stp/>
        <stp>BDP|6184188121457271152</stp>
        <tr r="R798" s="2"/>
      </tp>
      <tp t="s">
        <v>#N/A N/A</v>
        <stp/>
        <stp>BDP|7906759760041294411</stp>
        <tr r="D1519" s="2"/>
      </tp>
      <tp t="s">
        <v>#N/A N/A</v>
        <stp/>
        <stp>BDP|6126055713555136190</stp>
        <tr r="J429" s="2"/>
      </tp>
      <tp t="s">
        <v>#N/A N/A</v>
        <stp/>
        <stp>BDP|8381211897870910031</stp>
        <tr r="E601" s="2"/>
      </tp>
      <tp t="s">
        <v>#N/A N/A</v>
        <stp/>
        <stp>BDP|3532087553742869794</stp>
        <tr r="F8" s="2"/>
      </tp>
      <tp t="s">
        <v>#N/A N/A</v>
        <stp/>
        <stp>BDP|2948925993233752206</stp>
        <tr r="G875" s="2"/>
      </tp>
      <tp t="s">
        <v>#N/A N/A</v>
        <stp/>
        <stp>BDP|1036211598531161871</stp>
        <tr r="Q1400" s="2"/>
      </tp>
      <tp t="s">
        <v>#N/A N/A</v>
        <stp/>
        <stp>BDP|4129271965640916354</stp>
        <tr r="K1718" s="2"/>
      </tp>
      <tp t="s">
        <v>#N/A N/A</v>
        <stp/>
        <stp>BDP|6339345628790738472</stp>
        <tr r="G1238" s="2"/>
      </tp>
      <tp t="s">
        <v>#N/A N/A</v>
        <stp/>
        <stp>BDP|4401526132993886237</stp>
        <tr r="D96" s="2"/>
      </tp>
      <tp t="s">
        <v>#N/A N/A</v>
        <stp/>
        <stp>BDP|6537463638294413603</stp>
        <tr r="G1159" s="2"/>
      </tp>
      <tp t="s">
        <v>#N/A N/A</v>
        <stp/>
        <stp>BDP|5854261206602730602</stp>
        <tr r="S985" s="2"/>
      </tp>
      <tp t="s">
        <v>#N/A N/A</v>
        <stp/>
        <stp>BDP|9253710919485545906</stp>
        <tr r="D356" s="2"/>
      </tp>
      <tp t="s">
        <v>#N/A N/A</v>
        <stp/>
        <stp>BDP|2329956908000812896</stp>
        <tr r="H420" s="2"/>
      </tp>
      <tp t="s">
        <v>#N/A N/A</v>
        <stp/>
        <stp>BDP|6844421701557455606</stp>
        <tr r="S1046" s="2"/>
      </tp>
      <tp t="s">
        <v>#N/A N/A</v>
        <stp/>
        <stp>BDP|2948210231607574736</stp>
        <tr r="F306" s="2"/>
      </tp>
      <tp t="s">
        <v>#N/A N/A</v>
        <stp/>
        <stp>BDP|4173403414314869622</stp>
        <tr r="N288" s="2"/>
      </tp>
      <tp t="s">
        <v>#N/A N/A</v>
        <stp/>
        <stp>BDS|3959425013072737703</stp>
        <tr r="I1368" s="2"/>
      </tp>
      <tp t="s">
        <v>#N/A N/A</v>
        <stp/>
        <stp>BDP|2868517357342204331</stp>
        <tr r="D539" s="2"/>
      </tp>
      <tp t="s">
        <v>#N/A N/A</v>
        <stp/>
        <stp>BDP|6919207857432466056</stp>
        <tr r="C1699" s="2"/>
      </tp>
      <tp t="s">
        <v>#N/A N/A</v>
        <stp/>
        <stp>BDP|3014415551358771982</stp>
        <tr r="R255" s="2"/>
      </tp>
      <tp t="s">
        <v>#N/A N/A</v>
        <stp/>
        <stp>BDP|2623246150241501784</stp>
        <tr r="K1181" s="2"/>
      </tp>
      <tp t="s">
        <v>#N/A N/A</v>
        <stp/>
        <stp>BDP|8516983062107354334</stp>
        <tr r="N480" s="2"/>
      </tp>
      <tp t="s">
        <v>#N/A N/A</v>
        <stp/>
        <stp>BDP|2226318481033919949</stp>
        <tr r="N835" s="2"/>
      </tp>
      <tp t="s">
        <v>#N/A N/A</v>
        <stp/>
        <stp>BDP|6308673364087999268</stp>
        <tr r="F744" s="2"/>
      </tp>
      <tp t="s">
        <v>#N/A N/A</v>
        <stp/>
        <stp>BDP|4198315102903902747</stp>
        <tr r="O806" s="2"/>
      </tp>
      <tp t="s">
        <v>#N/A N/A</v>
        <stp/>
        <stp>BDP|1703599265331165059</stp>
        <tr r="G751" s="2"/>
      </tp>
      <tp t="s">
        <v>#N/A N/A</v>
        <stp/>
        <stp>BDP|4284472037671894150</stp>
        <tr r="K408" s="2"/>
      </tp>
      <tp t="s">
        <v>#N/A N/A</v>
        <stp/>
        <stp>BDP|2426317140316852027</stp>
        <tr r="T1672" s="2"/>
      </tp>
      <tp t="s">
        <v>#N/A N/A</v>
        <stp/>
        <stp>BDP|5250752319010526041</stp>
        <tr r="R1357" s="2"/>
      </tp>
      <tp t="s">
        <v>#N/A N/A</v>
        <stp/>
        <stp>BDP|1611312520544936711</stp>
        <tr r="F1568" s="2"/>
      </tp>
      <tp t="s">
        <v>#N/A N/A</v>
        <stp/>
        <stp>BDP|6546271463500630187</stp>
        <tr r="A162" s="2"/>
      </tp>
      <tp t="s">
        <v>#N/A N/A</v>
        <stp/>
        <stp>BDP|9990607533878450717</stp>
        <tr r="K1572" s="2"/>
      </tp>
      <tp t="s">
        <v>#N/A N/A</v>
        <stp/>
        <stp>BDP|4479105203693931513</stp>
        <tr r="D60" s="2"/>
      </tp>
      <tp t="s">
        <v>#N/A N/A</v>
        <stp/>
        <stp>BDP|7733285706224049264</stp>
        <tr r="M1690" s="2"/>
      </tp>
      <tp t="s">
        <v>#N/A N/A</v>
        <stp/>
        <stp>BDP|3509296111194009723</stp>
        <tr r="G84" s="2"/>
      </tp>
      <tp t="s">
        <v>#N/A N/A</v>
        <stp/>
        <stp>BDP|7753066537587816013</stp>
        <tr r="A1223" s="2"/>
      </tp>
      <tp t="s">
        <v>#N/A N/A</v>
        <stp/>
        <stp>BDP|2726522830652220580</stp>
        <tr r="K145" s="2"/>
      </tp>
      <tp t="s">
        <v>#N/A N/A</v>
        <stp/>
        <stp>BDP|7126885603148293478</stp>
        <tr r="C55" s="2"/>
      </tp>
      <tp t="s">
        <v>#N/A N/A</v>
        <stp/>
        <stp>BDP|7880641111730111338</stp>
        <tr r="P802" s="2"/>
      </tp>
      <tp t="s">
        <v>#N/A N/A</v>
        <stp/>
        <stp>BDP|6623286753983320118</stp>
        <tr r="R1354" s="2"/>
      </tp>
      <tp t="s">
        <v>#N/A N/A</v>
        <stp/>
        <stp>BDP|2738087002933024228</stp>
        <tr r="C1176" s="2"/>
      </tp>
      <tp t="s">
        <v>#N/A N/A</v>
        <stp/>
        <stp>BDP|1945065253372238516</stp>
        <tr r="K635" s="2"/>
      </tp>
      <tp t="s">
        <v>#N/A N/A</v>
        <stp/>
        <stp>BDP|7095060870850871311</stp>
        <tr r="N602" s="2"/>
      </tp>
      <tp t="s">
        <v>#N/A N/A</v>
        <stp/>
        <stp>BDP|8606445198256127043</stp>
        <tr r="H743" s="2"/>
      </tp>
      <tp t="s">
        <v>#N/A N/A</v>
        <stp/>
        <stp>BDP|2849432155672958283</stp>
        <tr r="D1047" s="2"/>
      </tp>
      <tp t="s">
        <v>#N/A N/A</v>
        <stp/>
        <stp>BDP|9144411438768677513</stp>
        <tr r="A1169" s="2"/>
      </tp>
      <tp t="s">
        <v>#N/A N/A</v>
        <stp/>
        <stp>BDP|2698676146906847504</stp>
        <tr r="M1280" s="2"/>
      </tp>
      <tp t="s">
        <v>#N/A N/A</v>
        <stp/>
        <stp>BDP|7743784852736867098</stp>
        <tr r="H549" s="2"/>
      </tp>
      <tp t="s">
        <v>#N/A N/A</v>
        <stp/>
        <stp>BDP|6462207258544996695</stp>
        <tr r="D1685" s="2"/>
      </tp>
      <tp t="s">
        <v>#N/A N/A</v>
        <stp/>
        <stp>BDP|3853659727372135677</stp>
        <tr r="Q1393" s="2"/>
      </tp>
      <tp t="s">
        <v>#N/A N/A</v>
        <stp/>
        <stp>BDP|1117183927509257809</stp>
        <tr r="E687" s="2"/>
      </tp>
      <tp t="s">
        <v>#N/A N/A</v>
        <stp/>
        <stp>BDP|2403964488892027265</stp>
        <tr r="M856" s="2"/>
      </tp>
      <tp t="s">
        <v>#N/A N/A</v>
        <stp/>
        <stp>BDS|6099832025408812726</stp>
        <tr r="I1415" s="2"/>
      </tp>
      <tp t="s">
        <v>#N/A N/A</v>
        <stp/>
        <stp>BDP|3680949067187035899</stp>
        <tr r="Q1485" s="2"/>
      </tp>
      <tp t="s">
        <v>#N/A N/A</v>
        <stp/>
        <stp>BDP|2924305654563571448</stp>
        <tr r="A857" s="2"/>
      </tp>
      <tp t="s">
        <v>#N/A N/A</v>
        <stp/>
        <stp>BDP|4789547227938982813</stp>
        <tr r="Q113" s="2"/>
      </tp>
      <tp t="s">
        <v>#N/A N/A</v>
        <stp/>
        <stp>BDP|4757456051432932468</stp>
        <tr r="Q427" s="2"/>
      </tp>
      <tp t="s">
        <v>#N/A N/A</v>
        <stp/>
        <stp>BDP|1667378751297924352</stp>
        <tr r="C683" s="2"/>
      </tp>
      <tp t="s">
        <v>#N/A N/A</v>
        <stp/>
        <stp>BDP|9739329315229530197</stp>
        <tr r="G978" s="2"/>
      </tp>
      <tp t="s">
        <v>#N/A N/A</v>
        <stp/>
        <stp>BDP|7920478715558338940</stp>
        <tr r="R1027" s="2"/>
      </tp>
      <tp t="s">
        <v>#N/A N/A</v>
        <stp/>
        <stp>BDP|9076883333140722108</stp>
        <tr r="H1533" s="2"/>
      </tp>
      <tp t="s">
        <v>#N/A N/A</v>
        <stp/>
        <stp>BDS|8364959575793716685</stp>
        <tr r="I1057" s="2"/>
      </tp>
      <tp t="s">
        <v>#N/A N/A</v>
        <stp/>
        <stp>BDP|1065714011982847640</stp>
        <tr r="T1649" s="2"/>
      </tp>
      <tp t="s">
        <v>#N/A N/A</v>
        <stp/>
        <stp>BDP|9585589586461396642</stp>
        <tr r="R373" s="2"/>
      </tp>
      <tp t="s">
        <v>#N/A N/A</v>
        <stp/>
        <stp>BDP|9704346948404757909</stp>
        <tr r="D706" s="2"/>
      </tp>
      <tp t="s">
        <v>#N/A N/A</v>
        <stp/>
        <stp>BDP|2548408645289472888</stp>
        <tr r="T824" s="2"/>
      </tp>
      <tp t="s">
        <v>#N/A N/A</v>
        <stp/>
        <stp>BDP|3635515339106372011</stp>
        <tr r="H1038" s="2"/>
      </tp>
      <tp t="s">
        <v>#N/A N/A</v>
        <stp/>
        <stp>BDP|2365381153043075441</stp>
        <tr r="O1354" s="2"/>
      </tp>
      <tp t="s">
        <v>#N/A N/A</v>
        <stp/>
        <stp>BDP|8907627844270220916</stp>
        <tr r="F493" s="2"/>
      </tp>
      <tp t="s">
        <v>#N/A N/A</v>
        <stp/>
        <stp>BDP|8975060997320776232</stp>
        <tr r="G1288" s="2"/>
      </tp>
      <tp t="s">
        <v>#N/A N/A</v>
        <stp/>
        <stp>BDP|2504380945505259360</stp>
        <tr r="M832" s="2"/>
      </tp>
      <tp t="s">
        <v>#N/A N/A</v>
        <stp/>
        <stp>BDP|9624344428649111271</stp>
        <tr r="S978" s="2"/>
      </tp>
      <tp t="s">
        <v>#N/A N/A</v>
        <stp/>
        <stp>BDP|5056765477377573184</stp>
        <tr r="C523" s="2"/>
      </tp>
      <tp t="s">
        <v>#N/A N/A</v>
        <stp/>
        <stp>BDP|1379195272884429008</stp>
        <tr r="J251" s="2"/>
      </tp>
      <tp t="s">
        <v>#N/A N/A</v>
        <stp/>
        <stp>BDP|3725811398152459367</stp>
        <tr r="J566" s="2"/>
      </tp>
      <tp t="s">
        <v>#N/A N/A</v>
        <stp/>
        <stp>BDP|2011500139005370265</stp>
        <tr r="J70" s="2"/>
      </tp>
      <tp t="s">
        <v>#N/A N/A</v>
        <stp/>
        <stp>BDP|3403833498708667951</stp>
        <tr r="P351" s="2"/>
      </tp>
      <tp t="s">
        <v>#N/A N/A</v>
        <stp/>
        <stp>BDP|4952894392803621588</stp>
        <tr r="G1178" s="2"/>
      </tp>
      <tp t="s">
        <v>#N/A N/A</v>
        <stp/>
        <stp>BDP|4095499030217115740</stp>
        <tr r="K1627" s="2"/>
      </tp>
      <tp t="s">
        <v>#N/A N/A</v>
        <stp/>
        <stp>BDP|2587858010929530198</stp>
        <tr r="O1589" s="2"/>
      </tp>
      <tp t="s">
        <v>#N/A N/A</v>
        <stp/>
        <stp>BDP|1923062662667224336</stp>
        <tr r="N1687" s="2"/>
      </tp>
      <tp t="s">
        <v>#N/A N/A</v>
        <stp/>
        <stp>BDP|2534167549542724611</stp>
        <tr r="H1432" s="2"/>
      </tp>
      <tp t="s">
        <v>#N/A N/A</v>
        <stp/>
        <stp>BDP|4207840784213610481</stp>
        <tr r="K1723" s="2"/>
      </tp>
      <tp t="s">
        <v>#N/A N/A</v>
        <stp/>
        <stp>BDP|6228517958273048671</stp>
        <tr r="D498" s="2"/>
      </tp>
      <tp t="s">
        <v>#N/A N/A</v>
        <stp/>
        <stp>BDP|2676922542189844522</stp>
        <tr r="J1653" s="2"/>
      </tp>
      <tp t="s">
        <v>#N/A N/A</v>
        <stp/>
        <stp>BDP|7547112636716719092</stp>
        <tr r="R1154" s="2"/>
      </tp>
      <tp t="s">
        <v>#N/A N/A</v>
        <stp/>
        <stp>BDP|3379326174223841715</stp>
        <tr r="R621" s="2"/>
      </tp>
      <tp t="s">
        <v>#N/A N/A</v>
        <stp/>
        <stp>BDP|5965722170124671217</stp>
        <tr r="J1571" s="2"/>
      </tp>
      <tp t="s">
        <v>#N/A N/A</v>
        <stp/>
        <stp>BDP|5086682360423324579</stp>
        <tr r="J1373" s="2"/>
      </tp>
      <tp t="s">
        <v>#N/A N/A</v>
        <stp/>
        <stp>BDP|5089405716656865528</stp>
        <tr r="M1575" s="2"/>
      </tp>
      <tp t="s">
        <v>#N/A N/A</v>
        <stp/>
        <stp>BDP|5611621838404107711</stp>
        <tr r="J936" s="2"/>
      </tp>
      <tp t="s">
        <v>#N/A N/A</v>
        <stp/>
        <stp>BDP|2061167740881944538</stp>
        <tr r="C277" s="2"/>
      </tp>
      <tp t="s">
        <v>#N/A N/A</v>
        <stp/>
        <stp>BDS|7838503022874564738</stp>
        <tr r="I1040" s="2"/>
      </tp>
      <tp t="s">
        <v>#N/A N/A</v>
        <stp/>
        <stp>BDP|4009293217464449067</stp>
        <tr r="D17" s="2"/>
      </tp>
      <tp t="s">
        <v>#N/A N/A</v>
        <stp/>
        <stp>BDP|3963846230039447250</stp>
        <tr r="H245" s="2"/>
      </tp>
      <tp t="s">
        <v>#N/A N/A</v>
        <stp/>
        <stp>BDP|6149332819504540323</stp>
        <tr r="R1269" s="2"/>
      </tp>
      <tp t="s">
        <v>#N/A N/A</v>
        <stp/>
        <stp>BDP|8006554794506820157</stp>
        <tr r="T1402" s="2"/>
      </tp>
      <tp t="s">
        <v>#N/A N/A</v>
        <stp/>
        <stp>BDP|4429060409571378644</stp>
        <tr r="A786" s="2"/>
      </tp>
      <tp t="s">
        <v>#N/A N/A</v>
        <stp/>
        <stp>BDP|6155455257423830771</stp>
        <tr r="F319" s="2"/>
      </tp>
      <tp t="s">
        <v>#N/A N/A</v>
        <stp/>
        <stp>BDP|7847247375252001357</stp>
        <tr r="P989" s="2"/>
      </tp>
      <tp t="s">
        <v>#N/A N/A</v>
        <stp/>
        <stp>BDP|5783770231150966249</stp>
        <tr r="F721" s="2"/>
      </tp>
      <tp t="s">
        <v>#N/A N/A</v>
        <stp/>
        <stp>BDP|5750033744125836742</stp>
        <tr r="G195" s="2"/>
      </tp>
      <tp t="s">
        <v>#N/A N/A</v>
        <stp/>
        <stp>BDP|3552114560487872004</stp>
        <tr r="K730" s="2"/>
      </tp>
      <tp t="s">
        <v>#N/A N/A</v>
        <stp/>
        <stp>BDP|4807659147775744003</stp>
        <tr r="C693" s="2"/>
      </tp>
      <tp t="s">
        <v>#N/A N/A</v>
        <stp/>
        <stp>BDS|2773516162860042297</stp>
        <tr r="I1106" s="2"/>
      </tp>
      <tp t="s">
        <v>#N/A N/A</v>
        <stp/>
        <stp>BDP|8177468569101511866</stp>
        <tr r="A4" s="2"/>
      </tp>
      <tp t="s">
        <v>#N/A N/A</v>
        <stp/>
        <stp>BDP|4998307596219040421</stp>
        <tr r="S724" s="2"/>
      </tp>
      <tp t="s">
        <v>#N/A N/A</v>
        <stp/>
        <stp>BDP|9233719830416846863</stp>
        <tr r="A183" s="2"/>
      </tp>
      <tp t="s">
        <v>#N/A N/A</v>
        <stp/>
        <stp>BDP|3253219819691258256</stp>
        <tr r="K1377" s="2"/>
      </tp>
      <tp t="s">
        <v>#N/A N/A</v>
        <stp/>
        <stp>BDP|7872770714755096761</stp>
        <tr r="J1581" s="2"/>
      </tp>
      <tp t="s">
        <v>#N/A N/A</v>
        <stp/>
        <stp>BDP|6007951456139680080</stp>
        <tr r="Q733" s="2"/>
      </tp>
      <tp t="s">
        <v>#N/A N/A</v>
        <stp/>
        <stp>BDP|2708732061862930211</stp>
        <tr r="T240" s="2"/>
      </tp>
      <tp t="s">
        <v>#N/A N/A</v>
        <stp/>
        <stp>BDP|3596825943014841810</stp>
        <tr r="T826" s="2"/>
      </tp>
      <tp t="s">
        <v>#N/A N/A</v>
        <stp/>
        <stp>BDP|8379270638668916288</stp>
        <tr r="S489" s="2"/>
      </tp>
      <tp t="s">
        <v>#N/A N/A</v>
        <stp/>
        <stp>BDP|1036249595578850141</stp>
        <tr r="C949" s="2"/>
      </tp>
      <tp t="s">
        <v>#N/A N/A</v>
        <stp/>
        <stp>BDP|5497623287760574891</stp>
        <tr r="F1411" s="2"/>
      </tp>
      <tp t="s">
        <v>#N/A N/A</v>
        <stp/>
        <stp>BDP|5321148608107235003</stp>
        <tr r="S121" s="2"/>
      </tp>
      <tp t="s">
        <v>#N/A N/A</v>
        <stp/>
        <stp>BDP|4272609975521830723</stp>
        <tr r="S480" s="2"/>
      </tp>
      <tp t="s">
        <v>#N/A N/A</v>
        <stp/>
        <stp>BDP|7585917767689759296</stp>
        <tr r="P16" s="2"/>
      </tp>
      <tp t="s">
        <v>#N/A N/A</v>
        <stp/>
        <stp>BDP|1698797756323441303</stp>
        <tr r="O1732" s="2"/>
      </tp>
      <tp t="s">
        <v>#N/A N/A</v>
        <stp/>
        <stp>BDP|8082947929554172417</stp>
        <tr r="M876" s="2"/>
      </tp>
      <tp t="s">
        <v>#N/A N/A</v>
        <stp/>
        <stp>BDP|4724736538886848595</stp>
        <tr r="R956" s="2"/>
      </tp>
      <tp t="s">
        <v>#N/A N/A</v>
        <stp/>
        <stp>BDP|5046799221420437317</stp>
        <tr r="C694" s="2"/>
      </tp>
      <tp t="s">
        <v>#N/A N/A</v>
        <stp/>
        <stp>BDP|6136185574805720671</stp>
        <tr r="C797" s="2"/>
      </tp>
      <tp t="s">
        <v>#N/A N/A</v>
        <stp/>
        <stp>BDP|7695761636174929426</stp>
        <tr r="S516" s="2"/>
      </tp>
      <tp t="s">
        <v>#N/A N/A</v>
        <stp/>
        <stp>BDP|6575520805516974668</stp>
        <tr r="D368" s="2"/>
      </tp>
      <tp t="s">
        <v>#N/A N/A</v>
        <stp/>
        <stp>BDP|1042996896182698047</stp>
        <tr r="G1093" s="2"/>
      </tp>
      <tp t="s">
        <v>#N/A N/A</v>
        <stp/>
        <stp>BDP|2652771935824099199</stp>
        <tr r="Q1514" s="2"/>
      </tp>
      <tp t="s">
        <v>#N/A N/A</v>
        <stp/>
        <stp>BDP|4513712889529338139</stp>
        <tr r="K1009" s="2"/>
      </tp>
      <tp t="s">
        <v>#N/A N/A</v>
        <stp/>
        <stp>BDP|9890771762803254829</stp>
        <tr r="G976" s="2"/>
      </tp>
      <tp t="s">
        <v>#N/A N/A</v>
        <stp/>
        <stp>BDP|8613385394830428132</stp>
        <tr r="A891" s="2"/>
      </tp>
      <tp t="s">
        <v>#N/A N/A</v>
        <stp/>
        <stp>BDP|6290567275836494180</stp>
        <tr r="E1532" s="2"/>
      </tp>
      <tp t="s">
        <v>#N/A N/A</v>
        <stp/>
        <stp>BDS|5780265451140897159</stp>
        <tr r="I1096" s="2"/>
      </tp>
      <tp t="s">
        <v>#N/A N/A</v>
        <stp/>
        <stp>BDP|5083647459393153616</stp>
        <tr r="K909" s="2"/>
      </tp>
      <tp t="s">
        <v>#N/A N/A</v>
        <stp/>
        <stp>BDP|9291661931719926612</stp>
        <tr r="M181" s="2"/>
      </tp>
      <tp t="s">
        <v>#N/A N/A</v>
        <stp/>
        <stp>BDP|5260177989237293835</stp>
        <tr r="E1645" s="2"/>
      </tp>
      <tp t="s">
        <v>#N/A N/A</v>
        <stp/>
        <stp>BDP|9792650876742184989</stp>
        <tr r="P1532" s="2"/>
      </tp>
      <tp t="s">
        <v>#N/A N/A</v>
        <stp/>
        <stp>BDP|7855527975965551371</stp>
        <tr r="S683" s="2"/>
      </tp>
      <tp t="s">
        <v>#N/A N/A</v>
        <stp/>
        <stp>BDP|8489001794375568782</stp>
        <tr r="E1429" s="2"/>
      </tp>
      <tp t="s">
        <v>#N/A N/A</v>
        <stp/>
        <stp>BDP|2711206217800911240</stp>
        <tr r="F1460" s="2"/>
      </tp>
      <tp t="s">
        <v>#N/A N/A</v>
        <stp/>
        <stp>BDP|6969519403540051061</stp>
        <tr r="A1289" s="2"/>
      </tp>
      <tp t="s">
        <v>#N/A N/A</v>
        <stp/>
        <stp>BDS|2253310961897679397</stp>
        <tr r="I273" s="2"/>
      </tp>
      <tp t="s">
        <v>#N/A N/A</v>
        <stp/>
        <stp>BDP|7921438436856862595</stp>
        <tr r="N1011" s="2"/>
      </tp>
      <tp t="s">
        <v>#N/A N/A</v>
        <stp/>
        <stp>BDP|2874069454981114567</stp>
        <tr r="N103" s="2"/>
      </tp>
      <tp t="s">
        <v>#N/A N/A</v>
        <stp/>
        <stp>BDP|8127752273669925234</stp>
        <tr r="M609" s="2"/>
      </tp>
      <tp t="s">
        <v>#N/A N/A</v>
        <stp/>
        <stp>BDP|1720320463035370285</stp>
        <tr r="J981" s="2"/>
      </tp>
      <tp t="s">
        <v>#N/A N/A</v>
        <stp/>
        <stp>BDP|8653068281982841140</stp>
        <tr r="P211" s="2"/>
      </tp>
      <tp t="s">
        <v>#N/A N/A</v>
        <stp/>
        <stp>BDP|1727558655671896326</stp>
        <tr r="K226" s="2"/>
      </tp>
      <tp t="s">
        <v>#N/A N/A</v>
        <stp/>
        <stp>BDP|3703172030425821757</stp>
        <tr r="Q1253" s="2"/>
      </tp>
      <tp t="s">
        <v>#N/A N/A</v>
        <stp/>
        <stp>BDP|8986221997863170305</stp>
        <tr r="O96" s="2"/>
      </tp>
      <tp t="s">
        <v>#N/A N/A</v>
        <stp/>
        <stp>BDP|3236592210944734019</stp>
        <tr r="H1505" s="2"/>
      </tp>
      <tp t="s">
        <v>#N/A N/A</v>
        <stp/>
        <stp>BDP|6437055914510039482</stp>
        <tr r="C673" s="2"/>
      </tp>
      <tp t="s">
        <v>#N/A N/A</v>
        <stp/>
        <stp>BDP|2586922250355231888</stp>
        <tr r="Q747" s="2"/>
      </tp>
      <tp t="s">
        <v>#N/A N/A</v>
        <stp/>
        <stp>BDP|1378115436045945504</stp>
        <tr r="D278" s="2"/>
      </tp>
      <tp t="s">
        <v>#N/A N/A</v>
        <stp/>
        <stp>BDP|1798319929285034623</stp>
        <tr r="M1385" s="2"/>
      </tp>
      <tp t="s">
        <v>#N/A N/A</v>
        <stp/>
        <stp>BDP|9079527791410834665</stp>
        <tr r="O1025" s="2"/>
      </tp>
      <tp t="s">
        <v>#N/A N/A</v>
        <stp/>
        <stp>BDP|3677163105215821401</stp>
        <tr r="K742" s="2"/>
      </tp>
      <tp t="s">
        <v>#N/A N/A</v>
        <stp/>
        <stp>BDP|2436670229051536425</stp>
        <tr r="T1213" s="2"/>
      </tp>
      <tp t="s">
        <v>#N/A N/A</v>
        <stp/>
        <stp>BDP|5669425803217877523</stp>
        <tr r="G609" s="2"/>
      </tp>
      <tp t="s">
        <v>#N/A N/A</v>
        <stp/>
        <stp>BDP|6307086559418604897</stp>
        <tr r="O1689" s="2"/>
      </tp>
      <tp t="s">
        <v>#N/A N/A</v>
        <stp/>
        <stp>BDP|2759735304685962345</stp>
        <tr r="T1132" s="2"/>
      </tp>
      <tp t="s">
        <v>#N/A N/A</v>
        <stp/>
        <stp>BDP|3471478943712596284</stp>
        <tr r="F740" s="2"/>
      </tp>
      <tp t="s">
        <v>#N/A N/A</v>
        <stp/>
        <stp>BDP|7945435116177813695</stp>
        <tr r="G109" s="2"/>
      </tp>
      <tp t="s">
        <v>#N/A N/A</v>
        <stp/>
        <stp>BDP|1034191256911253709</stp>
        <tr r="H1085" s="2"/>
      </tp>
      <tp t="s">
        <v>#N/A N/A</v>
        <stp/>
        <stp>BDP|8515753585532006680</stp>
        <tr r="R1028" s="2"/>
      </tp>
      <tp t="s">
        <v>#N/A N/A</v>
        <stp/>
        <stp>BDP|9968530039185969976</stp>
        <tr r="T487" s="2"/>
      </tp>
      <tp t="s">
        <v>#N/A N/A</v>
        <stp/>
        <stp>BDP|9146702782701856462</stp>
        <tr r="Q777" s="2"/>
      </tp>
      <tp t="s">
        <v>#N/A N/A</v>
        <stp/>
        <stp>BDP|4395692070904234257</stp>
        <tr r="T536" s="2"/>
      </tp>
      <tp t="s">
        <v>#N/A N/A</v>
        <stp/>
        <stp>BDP|8706300299652590369</stp>
        <tr r="N1286" s="2"/>
      </tp>
      <tp t="s">
        <v>#N/A N/A</v>
        <stp/>
        <stp>BDP|6515348659301140248</stp>
        <tr r="H1599" s="2"/>
      </tp>
      <tp t="s">
        <v>#N/A N/A</v>
        <stp/>
        <stp>BDP|2338097476667165102</stp>
        <tr r="S959" s="2"/>
      </tp>
      <tp t="s">
        <v>#N/A N/A</v>
        <stp/>
        <stp>BDP|5742370921801984652</stp>
        <tr r="T652" s="2"/>
      </tp>
      <tp t="s">
        <v>#N/A N/A</v>
        <stp/>
        <stp>BDP|5336236287218780426</stp>
        <tr r="P142" s="2"/>
      </tp>
      <tp t="s">
        <v>#N/A N/A</v>
        <stp/>
        <stp>BDP|5553632460964564211</stp>
        <tr r="Q764" s="2"/>
      </tp>
      <tp t="s">
        <v>#N/A N/A</v>
        <stp/>
        <stp>BDP|4014296881829818427</stp>
        <tr r="D544" s="2"/>
      </tp>
      <tp t="s">
        <v>#N/A N/A</v>
        <stp/>
        <stp>BDP|5861895892594277338</stp>
        <tr r="N1582" s="2"/>
      </tp>
      <tp t="s">
        <v>#N/A N/A</v>
        <stp/>
        <stp>BDP|8780228199345982572</stp>
        <tr r="K817" s="2"/>
      </tp>
      <tp t="s">
        <v>#N/A N/A</v>
        <stp/>
        <stp>BDP|9581480201509931777</stp>
        <tr r="M1513" s="2"/>
      </tp>
      <tp t="s">
        <v>#N/A N/A</v>
        <stp/>
        <stp>BDP|3810581721524799345</stp>
        <tr r="J760" s="2"/>
      </tp>
      <tp t="s">
        <v>#N/A N/A</v>
        <stp/>
        <stp>BDP|7098923705168132541</stp>
        <tr r="R507" s="2"/>
      </tp>
      <tp t="s">
        <v>#N/A N/A</v>
        <stp/>
        <stp>BDP|6487263049760069392</stp>
        <tr r="R1591" s="2"/>
      </tp>
      <tp t="s">
        <v>#N/A N/A</v>
        <stp/>
        <stp>BDP|4689958441983705972</stp>
        <tr r="R78" s="2"/>
      </tp>
      <tp t="s">
        <v>#N/A N/A</v>
        <stp/>
        <stp>BDP|5012170885388511758</stp>
        <tr r="D678" s="2"/>
      </tp>
      <tp t="s">
        <v>#N/A N/A</v>
        <stp/>
        <stp>BDP|3203762941222224159</stp>
        <tr r="D551" s="2"/>
      </tp>
      <tp t="s">
        <v>#N/A N/A</v>
        <stp/>
        <stp>BDP|1358149656710397609</stp>
        <tr r="E406" s="2"/>
      </tp>
      <tp t="s">
        <v>#N/A N/A</v>
        <stp/>
        <stp>BDP|5201406821084341428</stp>
        <tr r="C1341" s="2"/>
      </tp>
      <tp t="s">
        <v>#N/A N/A</v>
        <stp/>
        <stp>BDP|7045319097778013641</stp>
        <tr r="M1544" s="2"/>
      </tp>
      <tp t="s">
        <v>#N/A N/A</v>
        <stp/>
        <stp>BDP|7273542965242689572</stp>
        <tr r="Q472" s="2"/>
      </tp>
      <tp t="s">
        <v>#N/A N/A</v>
        <stp/>
        <stp>BDP|3976415412626896301</stp>
        <tr r="E677" s="2"/>
      </tp>
      <tp t="s">
        <v>#N/A N/A</v>
        <stp/>
        <stp>BDP|6791203368630447194</stp>
        <tr r="H128" s="2"/>
      </tp>
      <tp t="s">
        <v>#N/A N/A</v>
        <stp/>
        <stp>BDP|8534825373205211149</stp>
        <tr r="O1703" s="2"/>
      </tp>
      <tp t="s">
        <v>#N/A N/A</v>
        <stp/>
        <stp>BDP|7682346931533677770</stp>
        <tr r="A764" s="2"/>
      </tp>
      <tp t="s">
        <v>#N/A N/A</v>
        <stp/>
        <stp>BDP|3530615739607981267</stp>
        <tr r="J578" s="2"/>
      </tp>
      <tp t="s">
        <v>#N/A N/A</v>
        <stp/>
        <stp>BDP|8475812038813732381</stp>
        <tr r="M865" s="2"/>
      </tp>
      <tp t="s">
        <v>#N/A N/A</v>
        <stp/>
        <stp>BDP|5940769070642565482</stp>
        <tr r="K1743" s="2"/>
      </tp>
      <tp t="s">
        <v>#N/A N/A</v>
        <stp/>
        <stp>BDP|1727809813309234244</stp>
        <tr r="S1094" s="2"/>
      </tp>
      <tp t="s">
        <v>#N/A N/A</v>
        <stp/>
        <stp>BDP|2767811789428987945</stp>
        <tr r="G1351" s="2"/>
      </tp>
      <tp t="s">
        <v>#N/A N/A</v>
        <stp/>
        <stp>BDP|9063718720317705843</stp>
        <tr r="E223" s="2"/>
      </tp>
      <tp t="s">
        <v>#N/A N/A</v>
        <stp/>
        <stp>BDP|6705660684978401338</stp>
        <tr r="G1261" s="2"/>
      </tp>
      <tp t="s">
        <v>#N/A N/A</v>
        <stp/>
        <stp>BDP|9630221154908330519</stp>
        <tr r="C436" s="2"/>
      </tp>
      <tp t="s">
        <v>#N/A N/A</v>
        <stp/>
        <stp>BDP|7646958796681021579</stp>
        <tr r="Q1580" s="2"/>
      </tp>
      <tp t="s">
        <v>#N/A N/A</v>
        <stp/>
        <stp>BDP|8416833330759344961</stp>
        <tr r="K1149" s="2"/>
      </tp>
      <tp t="s">
        <v>#N/A N/A</v>
        <stp/>
        <stp>BDP|5420613213441346071</stp>
        <tr r="A1236" s="2"/>
      </tp>
      <tp t="s">
        <v>#N/A N/A</v>
        <stp/>
        <stp>BDP|4069188069954522465</stp>
        <tr r="S1434" s="2"/>
      </tp>
      <tp t="s">
        <v>#N/A N/A</v>
        <stp/>
        <stp>BDP|2592288807872982111</stp>
        <tr r="R1257" s="2"/>
      </tp>
      <tp t="s">
        <v>#N/A N/A</v>
        <stp/>
        <stp>BDP|9214605991427946284</stp>
        <tr r="A1703" s="2"/>
      </tp>
      <tp t="s">
        <v>#N/A N/A</v>
        <stp/>
        <stp>BDP|3136323830368789868</stp>
        <tr r="F1252" s="2"/>
      </tp>
      <tp t="s">
        <v>#N/A N/A</v>
        <stp/>
        <stp>BDP|3816305065603614690</stp>
        <tr r="S1186" s="2"/>
      </tp>
      <tp t="s">
        <v>#N/A N/A</v>
        <stp/>
        <stp>BDP|7922766829811666029</stp>
        <tr r="N1389" s="2"/>
      </tp>
      <tp t="s">
        <v>#N/A N/A</v>
        <stp/>
        <stp>BDP|3306081458544429155</stp>
        <tr r="O1015" s="2"/>
      </tp>
      <tp t="s">
        <v>#N/A N/A</v>
        <stp/>
        <stp>BDP|3347573527587442055</stp>
        <tr r="J276" s="2"/>
      </tp>
      <tp t="s">
        <v>#N/A N/A</v>
        <stp/>
        <stp>BDP|2344411101294855191</stp>
        <tr r="N52" s="2"/>
      </tp>
      <tp t="s">
        <v>#N/A N/A</v>
        <stp/>
        <stp>BDP|7399926623547680861</stp>
        <tr r="K720" s="2"/>
      </tp>
      <tp t="s">
        <v>#N/A N/A</v>
        <stp/>
        <stp>BDP|3251493367121754390</stp>
        <tr r="K1689" s="2"/>
      </tp>
      <tp t="s">
        <v>#N/A N/A</v>
        <stp/>
        <stp>BDP|5216203693158220513</stp>
        <tr r="R258" s="2"/>
      </tp>
      <tp t="s">
        <v>#N/A N/A</v>
        <stp/>
        <stp>BDP|4312271860355078666</stp>
        <tr r="A795" s="2"/>
      </tp>
      <tp t="s">
        <v>#N/A N/A</v>
        <stp/>
        <stp>BDP|1656310512917760708</stp>
        <tr r="G1670" s="2"/>
      </tp>
      <tp t="s">
        <v>#N/A N/A</v>
        <stp/>
        <stp>BDP|3397672816020484741</stp>
        <tr r="D267" s="2"/>
      </tp>
      <tp t="s">
        <v>#N/A N/A</v>
        <stp/>
        <stp>BDP|3187269965427647363</stp>
        <tr r="D359" s="2"/>
      </tp>
      <tp t="s">
        <v>#N/A N/A</v>
        <stp/>
        <stp>BDP|5124054132072446707</stp>
        <tr r="O1003" s="2"/>
      </tp>
      <tp t="s">
        <v>#N/A N/A</v>
        <stp/>
        <stp>BDP|9367363297506773672</stp>
        <tr r="E1134" s="2"/>
      </tp>
      <tp t="s">
        <v>#N/A N/A</v>
        <stp/>
        <stp>BDP|3450333321571414007</stp>
        <tr r="E396" s="2"/>
      </tp>
      <tp t="s">
        <v>#N/A N/A</v>
        <stp/>
        <stp>BDP|1739424507636073003</stp>
        <tr r="G845" s="2"/>
      </tp>
      <tp t="s">
        <v>#N/A N/A</v>
        <stp/>
        <stp>BDP|1046112122498143903</stp>
        <tr r="C660" s="2"/>
      </tp>
      <tp t="s">
        <v>#N/A N/A</v>
        <stp/>
        <stp>BDP|8608637286225576047</stp>
        <tr r="C988" s="2"/>
      </tp>
      <tp t="s">
        <v>#N/A N/A</v>
        <stp/>
        <stp>BDP|8217011287061522236</stp>
        <tr r="G980" s="2"/>
      </tp>
      <tp t="s">
        <v>#N/A N/A</v>
        <stp/>
        <stp>BDP|3910319379996703245</stp>
        <tr r="N1009" s="2"/>
      </tp>
      <tp t="s">
        <v>#N/A N/A</v>
        <stp/>
        <stp>BDP|2756262700183795048</stp>
        <tr r="C162" s="2"/>
      </tp>
      <tp t="s">
        <v>#N/A N/A</v>
        <stp/>
        <stp>BDP|5999355432954517293</stp>
        <tr r="S1163" s="2"/>
      </tp>
      <tp t="s">
        <v>#N/A N/A</v>
        <stp/>
        <stp>BDP|2489485849899471835</stp>
        <tr r="C393" s="2"/>
      </tp>
      <tp t="s">
        <v>#N/A N/A</v>
        <stp/>
        <stp>BDP|4268230853193030303</stp>
        <tr r="D1334" s="2"/>
      </tp>
      <tp t="s">
        <v>#N/A N/A</v>
        <stp/>
        <stp>BDP|4641199565484868409</stp>
        <tr r="S550" s="2"/>
      </tp>
      <tp t="s">
        <v>#N/A N/A</v>
        <stp/>
        <stp>BDP|7021362572876471629</stp>
        <tr r="J1465" s="2"/>
      </tp>
      <tp t="s">
        <v>#N/A N/A</v>
        <stp/>
        <stp>BDP|1044693520363354587</stp>
        <tr r="M407" s="2"/>
      </tp>
      <tp t="s">
        <v>#N/A N/A</v>
        <stp/>
        <stp>BDP|2079002796421366971</stp>
        <tr r="D1683" s="2"/>
      </tp>
      <tp t="s">
        <v>#N/A N/A</v>
        <stp/>
        <stp>BDP|4832334200326929200</stp>
        <tr r="Q1541" s="2"/>
      </tp>
      <tp t="s">
        <v>#N/A N/A</v>
        <stp/>
        <stp>BDP|1515025724927856781</stp>
        <tr r="K228" s="2"/>
      </tp>
      <tp t="s">
        <v>#N/A N/A</v>
        <stp/>
        <stp>BDP|6544249066734741537</stp>
        <tr r="E832" s="2"/>
      </tp>
      <tp t="s">
        <v>#N/A N/A</v>
        <stp/>
        <stp>BDP|1768604539424875358</stp>
        <tr r="E752" s="2"/>
      </tp>
      <tp t="s">
        <v>#N/A N/A</v>
        <stp/>
        <stp>BDP|8631707181622199652</stp>
        <tr r="K621" s="2"/>
      </tp>
      <tp t="s">
        <v>#N/A N/A</v>
        <stp/>
        <stp>BDP|9423363880983256235</stp>
        <tr r="H839" s="2"/>
      </tp>
      <tp t="s">
        <v>#N/A N/A</v>
        <stp/>
        <stp>BDP|2898810692178878804</stp>
        <tr r="S1520" s="2"/>
      </tp>
      <tp t="s">
        <v>#N/A N/A</v>
        <stp/>
        <stp>BDP|9781033610603079871</stp>
        <tr r="H1008" s="2"/>
      </tp>
      <tp t="s">
        <v>#N/A N/A</v>
        <stp/>
        <stp>BDP|4494357241174255410</stp>
        <tr r="R338" s="2"/>
      </tp>
      <tp t="s">
        <v>#N/A N/A</v>
        <stp/>
        <stp>BDP|8558192274864859930</stp>
        <tr r="A374" s="2"/>
      </tp>
      <tp t="s">
        <v>#N/A N/A</v>
        <stp/>
        <stp>BDP|6187703148747824124</stp>
        <tr r="E483" s="2"/>
      </tp>
      <tp t="s">
        <v>#N/A N/A</v>
        <stp/>
        <stp>BDS|8249091453957874932</stp>
        <tr r="I1076" s="2"/>
      </tp>
      <tp t="s">
        <v>#N/A N/A</v>
        <stp/>
        <stp>BDP|7201448912432413337</stp>
        <tr r="D392" s="2"/>
      </tp>
      <tp t="s">
        <v>#N/A N/A</v>
        <stp/>
        <stp>BDP|6380405164615340272</stp>
        <tr r="A1699" s="2"/>
      </tp>
      <tp t="s">
        <v>#N/A N/A</v>
        <stp/>
        <stp>BDP|7392380205257910046</stp>
        <tr r="S1552" s="2"/>
      </tp>
      <tp t="s">
        <v>#N/A N/A</v>
        <stp/>
        <stp>BDP|2657916992906119777</stp>
        <tr r="E50" s="2"/>
      </tp>
      <tp t="s">
        <v>#N/A N/A</v>
        <stp/>
        <stp>BDP|8681930273680253577</stp>
        <tr r="O653" s="2"/>
      </tp>
      <tp t="s">
        <v>#N/A N/A</v>
        <stp/>
        <stp>BDP|3691855375739228675</stp>
        <tr r="P1446" s="2"/>
      </tp>
      <tp t="s">
        <v>#N/A N/A</v>
        <stp/>
        <stp>BDP|6844909388554269012</stp>
        <tr r="M1602" s="2"/>
      </tp>
      <tp t="s">
        <v>#N/A N/A</v>
        <stp/>
        <stp>BDP|8707339868237867971</stp>
        <tr r="H1542" s="2"/>
      </tp>
      <tp t="s">
        <v>#N/A N/A</v>
        <stp/>
        <stp>BDP|3647388756620906625</stp>
        <tr r="P26" s="2"/>
      </tp>
      <tp t="s">
        <v>#N/A N/A</v>
        <stp/>
        <stp>BDP|7880335961452008396</stp>
        <tr r="J839" s="2"/>
      </tp>
      <tp t="s">
        <v>#N/A N/A</v>
        <stp/>
        <stp>BDP|9950483307837394968</stp>
        <tr r="H1135" s="2"/>
      </tp>
      <tp t="s">
        <v>#N/A N/A</v>
        <stp/>
        <stp>BDP|2236316513614287714</stp>
        <tr r="D1479" s="2"/>
      </tp>
      <tp t="s">
        <v>#N/A N/A</v>
        <stp/>
        <stp>BDP|8277766696957214236</stp>
        <tr r="K387" s="2"/>
      </tp>
      <tp t="s">
        <v>#N/A N/A</v>
        <stp/>
        <stp>BDP|9037155388172613189</stp>
        <tr r="C1411" s="2"/>
      </tp>
      <tp t="s">
        <v>#N/A N/A</v>
        <stp/>
        <stp>BDP|4811983206548002659</stp>
        <tr r="N1181" s="2"/>
      </tp>
      <tp t="s">
        <v>#N/A N/A</v>
        <stp/>
        <stp>BDP|8639673314294580834</stp>
        <tr r="H846" s="2"/>
      </tp>
      <tp t="s">
        <v>#N/A N/A</v>
        <stp/>
        <stp>BDP|3694373739010997022</stp>
        <tr r="H1481" s="2"/>
      </tp>
      <tp t="s">
        <v>#N/A N/A</v>
        <stp/>
        <stp>BDP|7161846990296200343</stp>
        <tr r="D724" s="2"/>
      </tp>
      <tp t="s">
        <v>#N/A N/A</v>
        <stp/>
        <stp>BDP|4816324237944893364</stp>
        <tr r="D1261" s="2"/>
      </tp>
      <tp t="s">
        <v>#N/A N/A</v>
        <stp/>
        <stp>BDP|5268566031574437427</stp>
        <tr r="H1534" s="2"/>
      </tp>
      <tp t="s">
        <v>#N/A N/A</v>
        <stp/>
        <stp>BDP|4045260313221033565</stp>
        <tr r="T477" s="2"/>
      </tp>
      <tp t="s">
        <v>#N/A N/A</v>
        <stp/>
        <stp>BDP|6064444732570767221</stp>
        <tr r="S139" s="2"/>
      </tp>
      <tp t="s">
        <v>#N/A N/A</v>
        <stp/>
        <stp>BDP|9709253781395318531</stp>
        <tr r="M1649" s="2"/>
      </tp>
      <tp t="s">
        <v>#N/A N/A</v>
        <stp/>
        <stp>BDP|2836494501872452779</stp>
        <tr r="S515" s="2"/>
      </tp>
      <tp t="s">
        <v>#N/A N/A</v>
        <stp/>
        <stp>BDP|2449652083467312820</stp>
        <tr r="D477" s="2"/>
      </tp>
      <tp t="s">
        <v>#N/A N/A</v>
        <stp/>
        <stp>BDP|4424759513375939488</stp>
        <tr r="C953" s="2"/>
      </tp>
      <tp t="s">
        <v>#N/A N/A</v>
        <stp/>
        <stp>BDP|6416222325140615561</stp>
        <tr r="D576" s="2"/>
      </tp>
      <tp t="s">
        <v>#N/A N/A</v>
        <stp/>
        <stp>BDP|1403573496199058765</stp>
        <tr r="P1668" s="2"/>
      </tp>
      <tp t="s">
        <v>#N/A N/A</v>
        <stp/>
        <stp>BDP|7796387750193489185</stp>
        <tr r="Q1531" s="2"/>
      </tp>
      <tp t="s">
        <v>#N/A N/A</v>
        <stp/>
        <stp>BDP|2237849583187505639</stp>
        <tr r="A1163" s="2"/>
      </tp>
      <tp t="s">
        <v>#N/A N/A</v>
        <stp/>
        <stp>BDP|3936535142988290994</stp>
        <tr r="G509" s="2"/>
      </tp>
      <tp t="s">
        <v>#N/A N/A</v>
        <stp/>
        <stp>BDP|1644356856327045367</stp>
        <tr r="S1626" s="2"/>
      </tp>
      <tp t="s">
        <v>#N/A N/A</v>
        <stp/>
        <stp>BDP|5415704856152504641</stp>
        <tr r="O1701" s="2"/>
      </tp>
      <tp t="s">
        <v>#N/A N/A</v>
        <stp/>
        <stp>BDP|7912802309598437470</stp>
        <tr r="H109" s="2"/>
      </tp>
      <tp t="s">
        <v>#N/A N/A</v>
        <stp/>
        <stp>BDP|9973370954505012996</stp>
        <tr r="P259" s="2"/>
      </tp>
      <tp t="s">
        <v>#N/A N/A</v>
        <stp/>
        <stp>BDP|8608991362171827567</stp>
        <tr r="E404" s="2"/>
      </tp>
      <tp t="s">
        <v>#N/A N/A</v>
        <stp/>
        <stp>BDP|2434353979083802634</stp>
        <tr r="C1074" s="2"/>
      </tp>
      <tp t="s">
        <v>#N/A N/A</v>
        <stp/>
        <stp>BDP|2954234476506933263</stp>
        <tr r="D1160" s="2"/>
      </tp>
      <tp t="s">
        <v>#N/A N/A</v>
        <stp/>
        <stp>BDP|2442272058284186298</stp>
        <tr r="M489" s="2"/>
      </tp>
      <tp t="s">
        <v>#N/A N/A</v>
        <stp/>
        <stp>BDP|3679167766323779423</stp>
        <tr r="P1313" s="2"/>
      </tp>
      <tp t="s">
        <v>#N/A N/A</v>
        <stp/>
        <stp>BDP|7016719759813920525</stp>
        <tr r="S636" s="2"/>
      </tp>
      <tp t="s">
        <v>#N/A N/A</v>
        <stp/>
        <stp>BDP|6050669685809727271</stp>
        <tr r="O941" s="2"/>
      </tp>
      <tp t="s">
        <v>#N/A N/A</v>
        <stp/>
        <stp>BDP|8806974619523671031</stp>
        <tr r="O945" s="2"/>
      </tp>
      <tp t="s">
        <v>#N/A N/A</v>
        <stp/>
        <stp>BDP|6468246573224864483</stp>
        <tr r="C1211" s="2"/>
      </tp>
      <tp t="s">
        <v>#N/A N/A</v>
        <stp/>
        <stp>BDP|6083667045146561161</stp>
        <tr r="R1125" s="2"/>
      </tp>
      <tp t="s">
        <v>#N/A N/A</v>
        <stp/>
        <stp>BDP|1212858566954113808</stp>
        <tr r="Q1297" s="2"/>
      </tp>
      <tp t="s">
        <v>#N/A N/A</v>
        <stp/>
        <stp>BDP|7423910593796352259</stp>
        <tr r="F683" s="2"/>
      </tp>
      <tp t="s">
        <v>#N/A N/A</v>
        <stp/>
        <stp>BDP|8060822149493912428</stp>
        <tr r="R753" s="2"/>
      </tp>
      <tp t="s">
        <v>#N/A N/A</v>
        <stp/>
        <stp>BDP|9986917244574959356</stp>
        <tr r="S4" s="2"/>
      </tp>
      <tp t="s">
        <v>#N/A N/A</v>
        <stp/>
        <stp>BDP|2083647763780657114</stp>
        <tr r="M1698" s="2"/>
      </tp>
      <tp t="s">
        <v>#N/A N/A</v>
        <stp/>
        <stp>BDP|4183506423457446766</stp>
        <tr r="M919" s="2"/>
      </tp>
      <tp t="s">
        <v>#N/A N/A</v>
        <stp/>
        <stp>BDP|7044243320871571510</stp>
        <tr r="Q1623" s="2"/>
      </tp>
      <tp t="s">
        <v>#N/A N/A</v>
        <stp/>
        <stp>BDP|4690041773012232230</stp>
        <tr r="K75" s="2"/>
      </tp>
      <tp t="s">
        <v>#N/A N/A</v>
        <stp/>
        <stp>BDP|9831091717378595333</stp>
        <tr r="Q1004" s="2"/>
      </tp>
      <tp t="s">
        <v>#N/A N/A</v>
        <stp/>
        <stp>BDP|3039854304290376829</stp>
        <tr r="A900" s="2"/>
      </tp>
      <tp t="s">
        <v>#N/A N/A</v>
        <stp/>
        <stp>BDP|2341697409767484077</stp>
        <tr r="T998" s="2"/>
      </tp>
      <tp t="s">
        <v>#N/A N/A</v>
        <stp/>
        <stp>BDP|8442042186431781211</stp>
        <tr r="O1062" s="2"/>
      </tp>
      <tp t="s">
        <v>#N/A N/A</v>
        <stp/>
        <stp>BDP|4076469205453083039</stp>
        <tr r="F1644" s="2"/>
      </tp>
      <tp t="s">
        <v>#N/A N/A</v>
        <stp/>
        <stp>BDP|2948508735042443583</stp>
        <tr r="C338" s="2"/>
      </tp>
      <tp t="s">
        <v>#N/A N/A</v>
        <stp/>
        <stp>BDP|6757689126026961700</stp>
        <tr r="T581" s="2"/>
      </tp>
      <tp t="s">
        <v>#N/A N/A</v>
        <stp/>
        <stp>BDP|3808209040686826007</stp>
        <tr r="R1500" s="2"/>
      </tp>
      <tp t="s">
        <v>#N/A N/A</v>
        <stp/>
        <stp>BDP|6644874287867574232</stp>
        <tr r="P534" s="2"/>
      </tp>
      <tp t="s">
        <v>#N/A N/A</v>
        <stp/>
        <stp>BDP|8756073320781358839</stp>
        <tr r="J457" s="2"/>
      </tp>
      <tp t="s">
        <v>#N/A N/A</v>
        <stp/>
        <stp>BDP|9228164617868028231</stp>
        <tr r="A1407" s="2"/>
      </tp>
      <tp t="s">
        <v>#N/A N/A</v>
        <stp/>
        <stp>BDP|1710405464225597562</stp>
        <tr r="S520" s="2"/>
      </tp>
      <tp t="s">
        <v>#N/A N/A</v>
        <stp/>
        <stp>BDP|3418386698863569914</stp>
        <tr r="G1285" s="2"/>
      </tp>
      <tp t="s">
        <v>#N/A N/A</v>
        <stp/>
        <stp>BDP|5527067834851588429</stp>
        <tr r="Q201" s="2"/>
      </tp>
      <tp t="s">
        <v>#N/A N/A</v>
        <stp/>
        <stp>BDP|9738817632958257964</stp>
        <tr r="T341" s="2"/>
      </tp>
      <tp t="s">
        <v>#N/A N/A</v>
        <stp/>
        <stp>BDP|1316536210785795375</stp>
        <tr r="C1261" s="2"/>
      </tp>
      <tp t="s">
        <v>#N/A N/A</v>
        <stp/>
        <stp>BDP|3712163010401406159</stp>
        <tr r="P1100" s="2"/>
      </tp>
      <tp t="s">
        <v>#N/A N/A</v>
        <stp/>
        <stp>BDP|8600227086877013621</stp>
        <tr r="M1653" s="2"/>
      </tp>
      <tp t="s">
        <v>#N/A N/A</v>
        <stp/>
        <stp>BDP|1647780538817733111</stp>
        <tr r="C610" s="2"/>
      </tp>
      <tp t="s">
        <v>#N/A N/A</v>
        <stp/>
        <stp>BDP|6476530195411155838</stp>
        <tr r="E937" s="2"/>
      </tp>
      <tp t="s">
        <v>#N/A N/A</v>
        <stp/>
        <stp>BDP|8382662171463308970</stp>
        <tr r="S13" s="2"/>
      </tp>
      <tp t="s">
        <v>#N/A N/A</v>
        <stp/>
        <stp>BDP|8540484739404098843</stp>
        <tr r="M503" s="2"/>
      </tp>
      <tp t="s">
        <v>#N/A N/A</v>
        <stp/>
        <stp>BDP|7475961003084806998</stp>
        <tr r="S1320" s="2"/>
      </tp>
      <tp t="s">
        <v>#N/A N/A</v>
        <stp/>
        <stp>BDP|1148630585705258957</stp>
        <tr r="F1524" s="2"/>
      </tp>
      <tp t="s">
        <v>#N/A N/A</v>
        <stp/>
        <stp>BDP|3843909411719924109</stp>
        <tr r="P913" s="2"/>
      </tp>
      <tp t="s">
        <v>#N/A N/A</v>
        <stp/>
        <stp>BDP|4579546440023200530</stp>
        <tr r="F538" s="2"/>
      </tp>
      <tp t="s">
        <v>#N/A N/A</v>
        <stp/>
        <stp>BDP|3916058612482942378</stp>
        <tr r="T1438" s="2"/>
      </tp>
      <tp t="s">
        <v>#N/A N/A</v>
        <stp/>
        <stp>BDP|7294423157896227351</stp>
        <tr r="N1276" s="2"/>
      </tp>
      <tp t="s">
        <v>#N/A N/A</v>
        <stp/>
        <stp>BDP|6512335932270449502</stp>
        <tr r="N1462" s="2"/>
      </tp>
      <tp t="s">
        <v>#N/A N/A</v>
        <stp/>
        <stp>BDP|3844171603135866442</stp>
        <tr r="F919" s="2"/>
      </tp>
      <tp t="s">
        <v>#N/A N/A</v>
        <stp/>
        <stp>BDP|9060150136950563869</stp>
        <tr r="M691" s="2"/>
      </tp>
      <tp t="s">
        <v>#N/A N/A</v>
        <stp/>
        <stp>BDP|2274869882278586934</stp>
        <tr r="D226" s="2"/>
      </tp>
      <tp t="s">
        <v>#N/A N/A</v>
        <stp/>
        <stp>BDP|2878903669828353629</stp>
        <tr r="R107" s="2"/>
      </tp>
      <tp t="s">
        <v>#N/A N/A</v>
        <stp/>
        <stp>BDP|6300697406884549798</stp>
        <tr r="T1105" s="2"/>
      </tp>
      <tp t="s">
        <v>#N/A N/A</v>
        <stp/>
        <stp>BDP|6326850841030460937</stp>
        <tr r="S896" s="2"/>
      </tp>
      <tp t="s">
        <v>#N/A N/A</v>
        <stp/>
        <stp>BDP|8953584979361874806</stp>
        <tr r="K233" s="2"/>
      </tp>
      <tp t="s">
        <v>#N/A N/A</v>
        <stp/>
        <stp>BDP|2497868086741028047</stp>
        <tr r="C1537" s="2"/>
      </tp>
      <tp t="s">
        <v>#N/A N/A</v>
        <stp/>
        <stp>BDP|2632648260970013121</stp>
        <tr r="J1064" s="2"/>
      </tp>
      <tp t="s">
        <v>#N/A N/A</v>
        <stp/>
        <stp>BDP|7273906545660211954</stp>
        <tr r="N1196" s="2"/>
      </tp>
      <tp t="s">
        <v>#N/A N/A</v>
        <stp/>
        <stp>BDS|2661930436882461979</stp>
        <tr r="I821" s="2"/>
      </tp>
      <tp t="s">
        <v>#N/A N/A</v>
        <stp/>
        <stp>BDP|1647490734076859333</stp>
        <tr r="C1296" s="2"/>
      </tp>
      <tp t="s">
        <v>#N/A N/A</v>
        <stp/>
        <stp>BDP|2375541854008264912</stp>
        <tr r="Q136" s="2"/>
      </tp>
      <tp t="s">
        <v>#N/A N/A</v>
        <stp/>
        <stp>BDP|1710930833679405135</stp>
        <tr r="N666" s="2"/>
      </tp>
      <tp t="s">
        <v>#N/A N/A</v>
        <stp/>
        <stp>BDP|8284473795732306439</stp>
        <tr r="O1464" s="2"/>
      </tp>
      <tp t="s">
        <v>#N/A N/A</v>
        <stp/>
        <stp>BDP|4222266146105023422</stp>
        <tr r="D405" s="2"/>
      </tp>
      <tp t="s">
        <v>#N/A N/A</v>
        <stp/>
        <stp>BDP|6164247686289128624</stp>
        <tr r="C1647" s="2"/>
      </tp>
      <tp t="s">
        <v>#N/A N/A</v>
        <stp/>
        <stp>BDP|9431616871713710836</stp>
        <tr r="F628" s="2"/>
      </tp>
      <tp t="s">
        <v>#N/A N/A</v>
        <stp/>
        <stp>BDP|9936905128152719363</stp>
        <tr r="O1148" s="2"/>
      </tp>
      <tp t="s">
        <v>#N/A N/A</v>
        <stp/>
        <stp>BDP|6251079521740697726</stp>
        <tr r="G5" s="2"/>
      </tp>
      <tp t="s">
        <v>#N/A N/A</v>
        <stp/>
        <stp>BDP|8675707307325665971</stp>
        <tr r="O13" s="2"/>
      </tp>
      <tp t="s">
        <v>#N/A N/A</v>
        <stp/>
        <stp>BDP|5763302700267001272</stp>
        <tr r="G1145" s="2"/>
      </tp>
      <tp t="s">
        <v>#N/A N/A</v>
        <stp/>
        <stp>BDP|1026960526581570854</stp>
        <tr r="O888" s="2"/>
      </tp>
      <tp t="s">
        <v>#N/A N/A</v>
        <stp/>
        <stp>BDP|1688500909321784684</stp>
        <tr r="T1547" s="2"/>
      </tp>
      <tp t="s">
        <v>#N/A N/A</v>
        <stp/>
        <stp>BDP|8471952812124016732</stp>
        <tr r="N985" s="2"/>
      </tp>
      <tp t="s">
        <v>#N/A N/A</v>
        <stp/>
        <stp>BDP|4591405878801507583</stp>
        <tr r="Q506" s="2"/>
      </tp>
      <tp t="s">
        <v>#N/A N/A</v>
        <stp/>
        <stp>BDP|6649138375401275228</stp>
        <tr r="N663" s="2"/>
      </tp>
      <tp t="s">
        <v>#N/A N/A</v>
        <stp/>
        <stp>BDP|2528187152143766685</stp>
        <tr r="K656" s="2"/>
      </tp>
      <tp t="s">
        <v>#N/A N/A</v>
        <stp/>
        <stp>BDP|4272236220131457653</stp>
        <tr r="R917" s="2"/>
      </tp>
      <tp t="s">
        <v>#N/A N/A</v>
        <stp/>
        <stp>BDP|5809463168563348754</stp>
        <tr r="G1601" s="2"/>
      </tp>
      <tp t="s">
        <v>#N/A N/A</v>
        <stp/>
        <stp>BDP|2448736874954657558</stp>
        <tr r="S970" s="2"/>
      </tp>
      <tp t="s">
        <v>#N/A N/A</v>
        <stp/>
        <stp>BDP|9687965677954367044</stp>
        <tr r="P523" s="2"/>
      </tp>
      <tp t="s">
        <v>#N/A N/A</v>
        <stp/>
        <stp>BDP|7848822582543915714</stp>
        <tr r="S66" s="2"/>
      </tp>
      <tp t="s">
        <v>#N/A N/A</v>
        <stp/>
        <stp>BDP|1669534872797601713</stp>
        <tr r="N86" s="2"/>
      </tp>
      <tp t="s">
        <v>#N/A N/A</v>
        <stp/>
        <stp>BDP|3748275725517149759</stp>
        <tr r="P577" s="2"/>
      </tp>
      <tp t="s">
        <v>#N/A N/A</v>
        <stp/>
        <stp>BDP|7187685728934383435</stp>
        <tr r="T1169" s="2"/>
      </tp>
      <tp t="s">
        <v>#N/A N/A</v>
        <stp/>
        <stp>BDP|7501154070001682375</stp>
        <tr r="J560" s="2"/>
      </tp>
      <tp t="s">
        <v>#N/A N/A</v>
        <stp/>
        <stp>BDP|1901592841127291423</stp>
        <tr r="A638" s="2"/>
      </tp>
      <tp t="s">
        <v>#N/A N/A</v>
        <stp/>
        <stp>BDP|2338167626337479568</stp>
        <tr r="Q566" s="2"/>
      </tp>
      <tp t="s">
        <v>#N/A N/A</v>
        <stp/>
        <stp>BDP|3456756372565086526</stp>
        <tr r="O824" s="2"/>
      </tp>
      <tp t="s">
        <v>#N/A N/A</v>
        <stp/>
        <stp>BDP|2985564774973955038</stp>
        <tr r="F1498" s="2"/>
      </tp>
      <tp t="s">
        <v>#N/A N/A</v>
        <stp/>
        <stp>BDP|7855068087385047982</stp>
        <tr r="K1458" s="2"/>
      </tp>
      <tp t="s">
        <v>#N/A N/A</v>
        <stp/>
        <stp>BDP|3940454124923926500</stp>
        <tr r="T319" s="2"/>
      </tp>
      <tp t="s">
        <v>#N/A N/A</v>
        <stp/>
        <stp>BDP|5323540696419352338</stp>
        <tr r="M517" s="2"/>
      </tp>
      <tp t="s">
        <v>#N/A N/A</v>
        <stp/>
        <stp>BDP|7122575350746725209</stp>
        <tr r="Q1754" s="2"/>
      </tp>
      <tp t="s">
        <v>#N/A N/A</v>
        <stp/>
        <stp>BDP|9520754686697129268</stp>
        <tr r="R894" s="2"/>
      </tp>
      <tp t="s">
        <v>#N/A N/A</v>
        <stp/>
        <stp>BDP|2833587622774093230</stp>
        <tr r="A1737" s="2"/>
      </tp>
      <tp t="s">
        <v>#N/A N/A</v>
        <stp/>
        <stp>BDP|5537834141332596837</stp>
        <tr r="D206" s="2"/>
      </tp>
      <tp t="s">
        <v>#N/A N/A</v>
        <stp/>
        <stp>BDP|4693570815461113246</stp>
        <tr r="P806" s="2"/>
      </tp>
      <tp t="s">
        <v>#N/A N/A</v>
        <stp/>
        <stp>BDP|6296603227187335672</stp>
        <tr r="C1396" s="2"/>
      </tp>
      <tp t="s">
        <v>#N/A N/A</v>
        <stp/>
        <stp>BDP|5373014677643500218</stp>
        <tr r="G150" s="2"/>
      </tp>
      <tp t="s">
        <v>#N/A N/A</v>
        <stp/>
        <stp>BDP|4804496212440178238</stp>
        <tr r="D1594" s="2"/>
      </tp>
      <tp t="s">
        <v>#N/A N/A</v>
        <stp/>
        <stp>BDP|1167949949536439995</stp>
        <tr r="R135" s="2"/>
      </tp>
      <tp t="s">
        <v>#N/A N/A</v>
        <stp/>
        <stp>BDP|2296202627558605922</stp>
        <tr r="C753" s="2"/>
      </tp>
      <tp t="s">
        <v>#N/A N/A</v>
        <stp/>
        <stp>BDP|6379459083541460801</stp>
        <tr r="G1691" s="2"/>
      </tp>
      <tp t="s">
        <v>#N/A N/A</v>
        <stp/>
        <stp>BDP|3488172394231766912</stp>
        <tr r="S855" s="2"/>
      </tp>
      <tp t="s">
        <v>#N/A N/A</v>
        <stp/>
        <stp>BDP|6985160805426871237</stp>
        <tr r="P190" s="2"/>
      </tp>
      <tp t="s">
        <v>#N/A N/A</v>
        <stp/>
        <stp>BDP|9037537382480385734</stp>
        <tr r="N621" s="2"/>
      </tp>
      <tp t="s">
        <v>#N/A N/A</v>
        <stp/>
        <stp>BDP|2159731823172230629</stp>
        <tr r="H1667" s="2"/>
      </tp>
      <tp t="s">
        <v>#N/A N/A</v>
        <stp/>
        <stp>BDP|4517973465849640101</stp>
        <tr r="E1400" s="2"/>
      </tp>
      <tp t="s">
        <v>#N/A N/A</v>
        <stp/>
        <stp>BDP|6150781760652882605</stp>
        <tr r="O261" s="2"/>
      </tp>
      <tp t="s">
        <v>#N/A N/A</v>
        <stp/>
        <stp>BDP|7567413431987731430</stp>
        <tr r="K1332" s="2"/>
      </tp>
      <tp t="s">
        <v>#N/A N/A</v>
        <stp/>
        <stp>BDP|4800803499977826186</stp>
        <tr r="G836" s="2"/>
      </tp>
      <tp t="s">
        <v>#N/A N/A</v>
        <stp/>
        <stp>BDP|4840113398916045904</stp>
        <tr r="M1339" s="2"/>
      </tp>
      <tp t="s">
        <v>#N/A N/A</v>
        <stp/>
        <stp>BDP|1514708310671640525</stp>
        <tr r="K140" s="2"/>
      </tp>
      <tp t="s">
        <v>#N/A N/A</v>
        <stp/>
        <stp>BDP|6981292521617015203</stp>
        <tr r="H67" s="2"/>
      </tp>
      <tp t="s">
        <v>#N/A N/A</v>
        <stp/>
        <stp>BDP|7455595055866163280</stp>
        <tr r="S685" s="2"/>
      </tp>
      <tp t="s">
        <v>#N/A N/A</v>
        <stp/>
        <stp>BDP|7363713355850758616</stp>
        <tr r="J300" s="2"/>
      </tp>
      <tp t="s">
        <v>#N/A N/A</v>
        <stp/>
        <stp>BDP|1838979673848412492</stp>
        <tr r="R1038" s="2"/>
      </tp>
      <tp t="s">
        <v>#N/A N/A</v>
        <stp/>
        <stp>BDP|3122366574180217405</stp>
        <tr r="H1559" s="2"/>
      </tp>
      <tp t="s">
        <v>#N/A N/A</v>
        <stp/>
        <stp>BDP|3491188285701167890</stp>
        <tr r="C1629" s="2"/>
      </tp>
      <tp t="s">
        <v>#N/A N/A</v>
        <stp/>
        <stp>BDP|3904461988948699401</stp>
        <tr r="G1253" s="2"/>
      </tp>
      <tp t="s">
        <v>#N/A N/A</v>
        <stp/>
        <stp>BDP|1607681058464623517</stp>
        <tr r="E697" s="2"/>
      </tp>
      <tp t="s">
        <v>#N/A N/A</v>
        <stp/>
        <stp>BDP|2274230734970096047</stp>
        <tr r="T142" s="2"/>
      </tp>
      <tp t="s">
        <v>#N/A N/A</v>
        <stp/>
        <stp>BDP|1948396324102278174</stp>
        <tr r="N995" s="2"/>
      </tp>
      <tp t="s">
        <v>#N/A N/A</v>
        <stp/>
        <stp>BDP|7515988807844835932</stp>
        <tr r="C1189" s="2"/>
      </tp>
      <tp t="s">
        <v>#N/A N/A</v>
        <stp/>
        <stp>BDP|7874356501482567583</stp>
        <tr r="N1100" s="2"/>
      </tp>
      <tp t="s">
        <v>#N/A N/A</v>
        <stp/>
        <stp>BDP|3319536164673380069</stp>
        <tr r="H789" s="2"/>
      </tp>
      <tp t="s">
        <v>#N/A N/A</v>
        <stp/>
        <stp>BDP|1682913709639762288</stp>
        <tr r="R1688" s="2"/>
      </tp>
      <tp t="s">
        <v>#N/A N/A</v>
        <stp/>
        <stp>BDP|5992598814223798129</stp>
        <tr r="N1717" s="2"/>
      </tp>
      <tp t="s">
        <v>#N/A N/A</v>
        <stp/>
        <stp>BDP|8466025057179723773</stp>
        <tr r="Q515" s="2"/>
      </tp>
      <tp t="s">
        <v>#N/A N/A</v>
        <stp/>
        <stp>BDP|4769358532663721469</stp>
        <tr r="C593" s="2"/>
      </tp>
      <tp t="s">
        <v>#N/A N/A</v>
        <stp/>
        <stp>BDP|1347862639670522980</stp>
        <tr r="P1061" s="2"/>
      </tp>
      <tp t="s">
        <v>#N/A N/A</v>
        <stp/>
        <stp>BDP|2423476277737523503</stp>
        <tr r="M1176" s="2"/>
      </tp>
      <tp t="s">
        <v>#N/A N/A</v>
        <stp/>
        <stp>BDP|2476467082909125409</stp>
        <tr r="H1702" s="2"/>
      </tp>
      <tp t="s">
        <v>#N/A N/A</v>
        <stp/>
        <stp>BDP|1187567732483687721</stp>
        <tr r="Q714" s="2"/>
      </tp>
      <tp t="s">
        <v>#N/A N/A</v>
        <stp/>
        <stp>BDP|9958260204898917039</stp>
        <tr r="K1456" s="2"/>
      </tp>
      <tp t="s">
        <v>#N/A N/A</v>
        <stp/>
        <stp>BDP|7172171251325555535</stp>
        <tr r="H1436" s="2"/>
      </tp>
      <tp t="s">
        <v>#N/A N/A</v>
        <stp/>
        <stp>BDP|8059421393027805181</stp>
        <tr r="A1071" s="2"/>
      </tp>
      <tp t="s">
        <v>#N/A N/A</v>
        <stp/>
        <stp>BDP|3283050407891007115</stp>
        <tr r="T947" s="2"/>
      </tp>
      <tp t="s">
        <v>#N/A N/A</v>
        <stp/>
        <stp>BDP|8802539083481810719</stp>
        <tr r="F880" s="2"/>
      </tp>
      <tp t="s">
        <v>#N/A N/A</v>
        <stp/>
        <stp>BDP|7310301519592848435</stp>
        <tr r="N611" s="2"/>
      </tp>
      <tp t="s">
        <v>#N/A N/A</v>
        <stp/>
        <stp>BDP|2470371809871839339</stp>
        <tr r="G604" s="2"/>
      </tp>
      <tp t="s">
        <v>#N/A N/A</v>
        <stp/>
        <stp>BDP|4533742064130533617</stp>
        <tr r="C371" s="2"/>
      </tp>
      <tp t="s">
        <v>#N/A N/A</v>
        <stp/>
        <stp>BDP|2016842582290012174</stp>
        <tr r="S1578" s="2"/>
      </tp>
      <tp t="s">
        <v>#N/A N/A</v>
        <stp/>
        <stp>BDP|5708977464769702024</stp>
        <tr r="M1143" s="2"/>
      </tp>
      <tp t="s">
        <v>#N/A N/A</v>
        <stp/>
        <stp>BDP|4298416264554686106</stp>
        <tr r="H832" s="2"/>
      </tp>
      <tp t="s">
        <v>#N/A N/A</v>
        <stp/>
        <stp>BDP|9770926971247564301</stp>
        <tr r="G825" s="2"/>
      </tp>
      <tp t="s">
        <v>#N/A N/A</v>
        <stp/>
        <stp>BDP|1312660511201277473</stp>
        <tr r="A1480" s="2"/>
      </tp>
      <tp t="s">
        <v>#N/A N/A</v>
        <stp/>
        <stp>BDP|2491417532183701518</stp>
        <tr r="N566" s="2"/>
      </tp>
      <tp t="s">
        <v>#N/A N/A</v>
        <stp/>
        <stp>BDP|7554627123355358563</stp>
        <tr r="M626" s="2"/>
      </tp>
      <tp t="s">
        <v>#N/A N/A</v>
        <stp/>
        <stp>BDP|2346597537427958055</stp>
        <tr r="M1578" s="2"/>
      </tp>
      <tp t="s">
        <v>#N/A N/A</v>
        <stp/>
        <stp>BDP|2489319251445616233</stp>
        <tr r="D797" s="2"/>
      </tp>
      <tp t="s">
        <v>#N/A N/A</v>
        <stp/>
        <stp>BDP|8570460423628852592</stp>
        <tr r="G682" s="2"/>
      </tp>
      <tp t="s">
        <v>#N/A N/A</v>
        <stp/>
        <stp>BDP|6872917469418832291</stp>
        <tr r="D1649" s="2"/>
      </tp>
      <tp t="s">
        <v>#N/A N/A</v>
        <stp/>
        <stp>BDP|5217133771201256133</stp>
        <tr r="S778" s="2"/>
      </tp>
      <tp t="s">
        <v>#N/A N/A</v>
        <stp/>
        <stp>BDP|2676473646543359252</stp>
        <tr r="C136" s="2"/>
      </tp>
      <tp t="s">
        <v>#N/A N/A</v>
        <stp/>
        <stp>BDP|1408420097169821685</stp>
        <tr r="C14" s="2"/>
      </tp>
      <tp t="s">
        <v>#N/A N/A</v>
        <stp/>
        <stp>BDP|4823657708494155552</stp>
        <tr r="A432" s="2"/>
      </tp>
      <tp t="s">
        <v>#N/A N/A</v>
        <stp/>
        <stp>BDP|2812638332430736487</stp>
        <tr r="F1604" s="2"/>
      </tp>
      <tp t="s">
        <v>#N/A N/A</v>
        <stp/>
        <stp>BDS|8224817105104191717</stp>
        <tr r="I1147" s="2"/>
      </tp>
      <tp t="s">
        <v>#N/A N/A</v>
        <stp/>
        <stp>BDP|1374474117323407419</stp>
        <tr r="R452" s="2"/>
      </tp>
      <tp t="s">
        <v>#N/A N/A</v>
        <stp/>
        <stp>BDS|9103472637048681510</stp>
        <tr r="I192" s="2"/>
      </tp>
      <tp t="s">
        <v>#N/A N/A</v>
        <stp/>
        <stp>BDP|2446463041306757728</stp>
        <tr r="G612" s="2"/>
      </tp>
      <tp t="s">
        <v>#N/A N/A</v>
        <stp/>
        <stp>BDP|4699683814542428284</stp>
        <tr r="T1334" s="2"/>
      </tp>
      <tp t="s">
        <v>#N/A N/A</v>
        <stp/>
        <stp>BDP|1745825376985197848</stp>
        <tr r="T253" s="2"/>
      </tp>
      <tp t="s">
        <v>#N/A N/A</v>
        <stp/>
        <stp>BDP|4518470497718077238</stp>
        <tr r="K1215" s="2"/>
      </tp>
      <tp t="s">
        <v>#N/A N/A</v>
        <stp/>
        <stp>BDP|4303902780443285576</stp>
        <tr r="T773" s="2"/>
      </tp>
      <tp t="s">
        <v>#N/A N/A</v>
        <stp/>
        <stp>BDP|2749366322555769529</stp>
        <tr r="T888" s="2"/>
      </tp>
      <tp t="s">
        <v>#N/A N/A</v>
        <stp/>
        <stp>BDS|9655504083165285213</stp>
        <tr r="I105" s="2"/>
      </tp>
      <tp t="s">
        <v>#N/A N/A</v>
        <stp/>
        <stp>BDS|6684892258468347021</stp>
        <tr r="I1434" s="2"/>
      </tp>
      <tp t="s">
        <v>#N/A N/A</v>
        <stp/>
        <stp>BDP|3243519422406256157</stp>
        <tr r="C161" s="2"/>
      </tp>
      <tp t="s">
        <v>#N/A N/A</v>
        <stp/>
        <stp>BDS|1432193918245193723</stp>
        <tr r="I242" s="2"/>
      </tp>
      <tp t="s">
        <v>#N/A N/A</v>
        <stp/>
        <stp>BDP|4347248782635093839</stp>
        <tr r="D750" s="2"/>
      </tp>
      <tp t="s">
        <v>#N/A N/A</v>
        <stp/>
        <stp>BDP|3477972582114587521</stp>
        <tr r="G734" s="2"/>
      </tp>
      <tp t="s">
        <v>#N/A N/A</v>
        <stp/>
        <stp>BDP|9521532413878734646</stp>
        <tr r="Q527" s="2"/>
      </tp>
      <tp t="s">
        <v>#N/A N/A</v>
        <stp/>
        <stp>BDP|1191414345761463371</stp>
        <tr r="Q129" s="2"/>
      </tp>
      <tp t="s">
        <v>#N/A N/A</v>
        <stp/>
        <stp>BDP|1359640274446295575</stp>
        <tr r="Q380" s="2"/>
      </tp>
      <tp t="s">
        <v>#N/A N/A</v>
        <stp/>
        <stp>BDP|1767850194626090505</stp>
        <tr r="N136" s="2"/>
      </tp>
      <tp t="s">
        <v>#N/A N/A</v>
        <stp/>
        <stp>BDP|4191152017354322366</stp>
        <tr r="G275" s="2"/>
      </tp>
      <tp t="s">
        <v>#N/A N/A</v>
        <stp/>
        <stp>BDP|3365256564915141151</stp>
        <tr r="G1497" s="2"/>
      </tp>
      <tp t="s">
        <v>#N/A N/A</v>
        <stp/>
        <stp>BDP|2702869438332714887</stp>
        <tr r="H94" s="2"/>
      </tp>
      <tp t="s">
        <v>#N/A N/A</v>
        <stp/>
        <stp>BDP|4181244829927319098</stp>
        <tr r="O1693" s="2"/>
      </tp>
      <tp t="s">
        <v>#N/A N/A</v>
        <stp/>
        <stp>BDP|2569791824590985476</stp>
        <tr r="Q1726" s="2"/>
      </tp>
      <tp t="s">
        <v>#N/A N/A</v>
        <stp/>
        <stp>BDP|2761018886808730119</stp>
        <tr r="D250" s="2"/>
      </tp>
      <tp t="s">
        <v>#N/A N/A</v>
        <stp/>
        <stp>BDP|6798398248301973399</stp>
        <tr r="G827" s="2"/>
      </tp>
      <tp t="s">
        <v>#N/A N/A</v>
        <stp/>
        <stp>BDP|5703213865185398767</stp>
        <tr r="H156" s="2"/>
      </tp>
      <tp t="s">
        <v>#N/A N/A</v>
        <stp/>
        <stp>BDP|7556612419804988728</stp>
        <tr r="H791" s="2"/>
      </tp>
      <tp t="s">
        <v>#N/A N/A</v>
        <stp/>
        <stp>BDP|1078284965846811034</stp>
        <tr r="R158" s="2"/>
      </tp>
      <tp t="s">
        <v>#N/A N/A</v>
        <stp/>
        <stp>BDP|3063255055616487123</stp>
        <tr r="K636" s="2"/>
      </tp>
      <tp t="s">
        <v>#N/A N/A</v>
        <stp/>
        <stp>BDP|2562744342352230073</stp>
        <tr r="A1184" s="2"/>
      </tp>
      <tp t="s">
        <v>#N/A N/A</v>
        <stp/>
        <stp>BDP|2318668433805342134</stp>
        <tr r="M918" s="2"/>
      </tp>
      <tp t="s">
        <v>#N/A N/A</v>
        <stp/>
        <stp>BDS|1414149837416973689</stp>
        <tr r="I1204" s="2"/>
      </tp>
      <tp t="s">
        <v>#N/A N/A</v>
        <stp/>
        <stp>BDP|2683052002155429438</stp>
        <tr r="N1675" s="2"/>
      </tp>
      <tp t="s">
        <v>#N/A N/A</v>
        <stp/>
        <stp>BDP|6574138761880760260</stp>
        <tr r="C1096" s="2"/>
      </tp>
      <tp t="s">
        <v>#N/A N/A</v>
        <stp/>
        <stp>BDP|7157609427078340838</stp>
        <tr r="M261" s="2"/>
      </tp>
      <tp t="s">
        <v>#N/A N/A</v>
        <stp/>
        <stp>BDP|5562152477525541545</stp>
        <tr r="P679" s="2"/>
      </tp>
      <tp t="s">
        <v>#N/A N/A</v>
        <stp/>
        <stp>BDP|6208642224353569217</stp>
        <tr r="G472" s="2"/>
      </tp>
      <tp t="s">
        <v>#N/A N/A</v>
        <stp/>
        <stp>BDP|2773099288309353038</stp>
        <tr r="E975" s="2"/>
      </tp>
      <tp t="s">
        <v>#N/A N/A</v>
        <stp/>
        <stp>BDP|9116345330919756348</stp>
        <tr r="R767" s="2"/>
      </tp>
      <tp t="s">
        <v>#N/A N/A</v>
        <stp/>
        <stp>BDP|3500678672828208940</stp>
        <tr r="O1734" s="2"/>
      </tp>
      <tp t="s">
        <v>#N/A N/A</v>
        <stp/>
        <stp>BDP|5825516213615862747</stp>
        <tr r="R1685" s="2"/>
      </tp>
      <tp t="s">
        <v>#N/A N/A</v>
        <stp/>
        <stp>BDP|3373763733160377431</stp>
        <tr r="O85" s="2"/>
      </tp>
      <tp t="s">
        <v>#N/A N/A</v>
        <stp/>
        <stp>BDP|6602013532323608553</stp>
        <tr r="F981" s="2"/>
      </tp>
      <tp t="s">
        <v>#N/A N/A</v>
        <stp/>
        <stp>BDP|5028091789006400820</stp>
        <tr r="O714" s="2"/>
      </tp>
      <tp t="s">
        <v>#N/A N/A</v>
        <stp/>
        <stp>BDP|7006946398311371590</stp>
        <tr r="P906" s="2"/>
      </tp>
      <tp t="s">
        <v>#N/A N/A</v>
        <stp/>
        <stp>BDS|3167626003110350655</stp>
        <tr r="I1146" s="2"/>
      </tp>
      <tp t="s">
        <v>#N/A N/A</v>
        <stp/>
        <stp>BDP|1424139186562781904</stp>
        <tr r="C1050" s="2"/>
      </tp>
      <tp t="s">
        <v>#N/A N/A</v>
        <stp/>
        <stp>BDP|2398752573578453979</stp>
        <tr r="G1644" s="2"/>
      </tp>
      <tp t="s">
        <v>#N/A N/A</v>
        <stp/>
        <stp>BDP|3016330453266536035</stp>
        <tr r="J1315" s="2"/>
      </tp>
      <tp t="s">
        <v>#N/A N/A</v>
        <stp/>
        <stp>BDP|6993476049955455056</stp>
        <tr r="D69" s="2"/>
      </tp>
      <tp t="s">
        <v>#N/A N/A</v>
        <stp/>
        <stp>BDP|6279117346448213810</stp>
        <tr r="S131" s="2"/>
      </tp>
      <tp t="s">
        <v>#N/A N/A</v>
        <stp/>
        <stp>BDP|2145176801377812795</stp>
        <tr r="G6" s="2"/>
      </tp>
      <tp t="s">
        <v>#N/A N/A</v>
        <stp/>
        <stp>BDP|7573517400573358215</stp>
        <tr r="S448" s="2"/>
      </tp>
      <tp t="s">
        <v>#N/A N/A</v>
        <stp/>
        <stp>BDP|6806726193588654393</stp>
        <tr r="G425" s="2"/>
      </tp>
      <tp t="s">
        <v>#N/A N/A</v>
        <stp/>
        <stp>BDP|3390494485174186880</stp>
        <tr r="K1470" s="2"/>
      </tp>
      <tp t="s">
        <v>#N/A N/A</v>
        <stp/>
        <stp>BDP|4924288224992123525</stp>
        <tr r="M1187" s="2"/>
      </tp>
      <tp t="s">
        <v>#N/A N/A</v>
        <stp/>
        <stp>BDP|8987438380142949551</stp>
        <tr r="A600" s="2"/>
      </tp>
      <tp t="s">
        <v>#N/A N/A</v>
        <stp/>
        <stp>BDP|3418662296769657646</stp>
        <tr r="Q619" s="2"/>
      </tp>
      <tp t="s">
        <v>#N/A N/A</v>
        <stp/>
        <stp>BDP|8903419455253249998</stp>
        <tr r="E1090" s="2"/>
      </tp>
      <tp t="s">
        <v>#N/A N/A</v>
        <stp/>
        <stp>BDP|2471245346662020500</stp>
        <tr r="Q1165" s="2"/>
      </tp>
      <tp t="s">
        <v>#N/A N/A</v>
        <stp/>
        <stp>BDP|3876397544467149026</stp>
        <tr r="C505" s="2"/>
      </tp>
      <tp t="s">
        <v>#N/A N/A</v>
        <stp/>
        <stp>BDP|1330657947251712101</stp>
        <tr r="C316" s="2"/>
      </tp>
      <tp t="s">
        <v>#N/A N/A</v>
        <stp/>
        <stp>BDS|4658152312840330749</stp>
        <tr r="I1332" s="2"/>
      </tp>
      <tp t="s">
        <v>#N/A N/A</v>
        <stp/>
        <stp>BDP|1735265156232543759</stp>
        <tr r="K1328" s="2"/>
      </tp>
      <tp t="s">
        <v>#N/A N/A</v>
        <stp/>
        <stp>BDP|2310915602409382141</stp>
        <tr r="G129" s="2"/>
      </tp>
      <tp t="s">
        <v>#N/A N/A</v>
        <stp/>
        <stp>BDP|4900930084852835412</stp>
        <tr r="R904" s="2"/>
      </tp>
      <tp t="s">
        <v>#N/A N/A</v>
        <stp/>
        <stp>BDP|4609077813664314269</stp>
        <tr r="M1457" s="2"/>
      </tp>
      <tp t="s">
        <v>#N/A N/A</v>
        <stp/>
        <stp>BDP|3104300964375581072</stp>
        <tr r="R4" s="2"/>
      </tp>
      <tp t="s">
        <v>#N/A N/A</v>
        <stp/>
        <stp>BDP|7184706035257740740</stp>
        <tr r="G1593" s="2"/>
      </tp>
      <tp t="s">
        <v>#N/A N/A</v>
        <stp/>
        <stp>BDP|7298811884341573557</stp>
        <tr r="G162" s="2"/>
      </tp>
      <tp t="s">
        <v>#N/A N/A</v>
        <stp/>
        <stp>BDP|5470928652278635254</stp>
        <tr r="H1243" s="2"/>
      </tp>
      <tp t="s">
        <v>#N/A N/A</v>
        <stp/>
        <stp>BDP|4668044672686380646</stp>
        <tr r="T865" s="2"/>
      </tp>
      <tp t="s">
        <v>#N/A N/A</v>
        <stp/>
        <stp>BDP|4585478465514273128</stp>
        <tr r="Q1648" s="2"/>
      </tp>
      <tp t="s">
        <v>#N/A N/A</v>
        <stp/>
        <stp>BDP|5669315643942428372</stp>
        <tr r="F565" s="2"/>
      </tp>
      <tp t="s">
        <v>#N/A N/A</v>
        <stp/>
        <stp>BDP|7882334957041273391</stp>
        <tr r="G1374" s="2"/>
      </tp>
      <tp t="s">
        <v>#N/A N/A</v>
        <stp/>
        <stp>BDP|2355139165932179438</stp>
        <tr r="F984" s="2"/>
      </tp>
      <tp t="s">
        <v>#N/A N/A</v>
        <stp/>
        <stp>BDP|3539308572466752270</stp>
        <tr r="F1462" s="2"/>
      </tp>
      <tp t="s">
        <v>#N/A N/A</v>
        <stp/>
        <stp>BDS|4465651329135701688</stp>
        <tr r="I860" s="2"/>
      </tp>
      <tp t="s">
        <v>#N/A N/A</v>
        <stp/>
        <stp>BDP|9346001477575288815</stp>
        <tr r="T818" s="2"/>
      </tp>
      <tp t="s">
        <v>#N/A N/A</v>
        <stp/>
        <stp>BDP|3269368426638645931</stp>
        <tr r="C1023" s="2"/>
      </tp>
      <tp t="s">
        <v>#N/A N/A</v>
        <stp/>
        <stp>BDP|4364022480818379757</stp>
        <tr r="K380" s="2"/>
      </tp>
      <tp t="s">
        <v>#N/A N/A</v>
        <stp/>
        <stp>BDP|6599284134354709091</stp>
        <tr r="T233" s="2"/>
      </tp>
      <tp t="s">
        <v>#N/A N/A</v>
        <stp/>
        <stp>BDP|6835048434960950668</stp>
        <tr r="F1190" s="2"/>
      </tp>
      <tp t="s">
        <v>#N/A N/A</v>
        <stp/>
        <stp>BDP|3410396834997793798</stp>
        <tr r="M1521" s="2"/>
      </tp>
      <tp t="s">
        <v>#N/A N/A</v>
        <stp/>
        <stp>BDP|2288564543739902994</stp>
        <tr r="C291" s="2"/>
      </tp>
      <tp t="s">
        <v>#N/A N/A</v>
        <stp/>
        <stp>BDP|2645634365853576221</stp>
        <tr r="M1027" s="2"/>
      </tp>
      <tp t="s">
        <v>#N/A N/A</v>
        <stp/>
        <stp>BDP|4451004066574293573</stp>
        <tr r="M563" s="2"/>
      </tp>
      <tp t="s">
        <v>#N/A N/A</v>
        <stp/>
        <stp>BDP|6614688039624804481</stp>
        <tr r="O1545" s="2"/>
      </tp>
      <tp t="s">
        <v>#N/A N/A</v>
        <stp/>
        <stp>BDP|1588526435264104042</stp>
        <tr r="J1421" s="2"/>
      </tp>
      <tp t="s">
        <v>#N/A N/A</v>
        <stp/>
        <stp>BDP|2145439914352376627</stp>
        <tr r="R1104" s="2"/>
      </tp>
      <tp t="s">
        <v>#N/A N/A</v>
        <stp/>
        <stp>BDP|7617555563626009173</stp>
        <tr r="O361" s="2"/>
      </tp>
      <tp t="s">
        <v>#N/A N/A</v>
        <stp/>
        <stp>BDP|7150221201053120546</stp>
        <tr r="H532" s="2"/>
      </tp>
      <tp t="s">
        <v>#N/A N/A</v>
        <stp/>
        <stp>BDP|4987298623597546011</stp>
        <tr r="P281" s="2"/>
      </tp>
      <tp t="s">
        <v>#N/A N/A</v>
        <stp/>
        <stp>BDP|3559650484409534762</stp>
        <tr r="A235" s="2"/>
      </tp>
      <tp t="s">
        <v>#N/A N/A</v>
        <stp/>
        <stp>BDP|3373273722569278936</stp>
        <tr r="E51" s="2"/>
      </tp>
      <tp t="s">
        <v>#N/A N/A</v>
        <stp/>
        <stp>BDP|1320715396448582468</stp>
        <tr r="F280" s="2"/>
      </tp>
      <tp t="s">
        <v>#N/A N/A</v>
        <stp/>
        <stp>BDP|7670639260100457469</stp>
        <tr r="G565" s="2"/>
      </tp>
      <tp t="s">
        <v>#N/A N/A</v>
        <stp/>
        <stp>BDP|9824688691596656309</stp>
        <tr r="P1512" s="2"/>
      </tp>
      <tp t="s">
        <v>#N/A N/A</v>
        <stp/>
        <stp>BDP|7126464287388232055</stp>
        <tr r="S555" s="2"/>
      </tp>
      <tp t="s">
        <v>#N/A N/A</v>
        <stp/>
        <stp>BDP|7281867545921548931</stp>
        <tr r="N286" s="2"/>
      </tp>
      <tp t="s">
        <v>#N/A N/A</v>
        <stp/>
        <stp>BDP|5251009403862229445</stp>
        <tr r="D845" s="2"/>
      </tp>
      <tp t="s">
        <v>#N/A N/A</v>
        <stp/>
        <stp>BDP|7220734846586884189</stp>
        <tr r="N791" s="2"/>
      </tp>
      <tp t="s">
        <v>#N/A N/A</v>
        <stp/>
        <stp>BDS|8175303766709445746</stp>
        <tr r="I1346" s="2"/>
      </tp>
      <tp t="s">
        <v>#N/A N/A</v>
        <stp/>
        <stp>BDP|7231795091689571385</stp>
        <tr r="A120" s="2"/>
      </tp>
      <tp t="s">
        <v>#N/A N/A</v>
        <stp/>
        <stp>BDS|2725600257755574724</stp>
        <tr r="I565" s="2"/>
      </tp>
      <tp t="s">
        <v>#N/A N/A</v>
        <stp/>
        <stp>BDP|9660877836653722270</stp>
        <tr r="G508" s="2"/>
      </tp>
      <tp t="s">
        <v>#N/A N/A</v>
        <stp/>
        <stp>BDP|7761662664782124634</stp>
        <tr r="F1343" s="2"/>
      </tp>
      <tp t="s">
        <v>#N/A N/A</v>
        <stp/>
        <stp>BDP|6215306246031605353</stp>
        <tr r="T1641" s="2"/>
      </tp>
      <tp t="s">
        <v>#N/A N/A</v>
        <stp/>
        <stp>BDP|3608745956272578064</stp>
        <tr r="R1285" s="2"/>
      </tp>
      <tp t="s">
        <v>#N/A N/A</v>
        <stp/>
        <stp>BDP|5213669706395196546</stp>
        <tr r="O1521" s="2"/>
      </tp>
      <tp t="s">
        <v>#N/A N/A</v>
        <stp/>
        <stp>BDP|3924014173453401485</stp>
        <tr r="C506" s="2"/>
      </tp>
      <tp t="s">
        <v>#N/A N/A</v>
        <stp/>
        <stp>BDP|6303813760468273377</stp>
        <tr r="Q1504" s="2"/>
      </tp>
      <tp t="s">
        <v>#N/A N/A</v>
        <stp/>
        <stp>BDP|4442243004741645453</stp>
        <tr r="D1707" s="2"/>
      </tp>
      <tp t="s">
        <v>#N/A N/A</v>
        <stp/>
        <stp>BDP|4561172315771739677</stp>
        <tr r="D1385" s="2"/>
      </tp>
      <tp t="s">
        <v>#N/A N/A</v>
        <stp/>
        <stp>BDP|4506167990809512619</stp>
        <tr r="Q833" s="2"/>
      </tp>
      <tp t="s">
        <v>#N/A N/A</v>
        <stp/>
        <stp>BDP|1349762716705660120</stp>
        <tr r="G74" s="2"/>
      </tp>
      <tp t="s">
        <v>#N/A N/A</v>
        <stp/>
        <stp>BDP|4128430843796057167</stp>
        <tr r="G1588" s="2"/>
      </tp>
      <tp t="s">
        <v>#N/A N/A</v>
        <stp/>
        <stp>BDP|8619687328538201734</stp>
        <tr r="R1107" s="2"/>
      </tp>
      <tp t="s">
        <v>#N/A N/A</v>
        <stp/>
        <stp>BDP|5115391209197235245</stp>
        <tr r="M322" s="2"/>
      </tp>
      <tp t="s">
        <v>#N/A N/A</v>
        <stp/>
        <stp>BDP|5296925699787693185</stp>
        <tr r="S645" s="2"/>
      </tp>
      <tp t="s">
        <v>#N/A N/A</v>
        <stp/>
        <stp>BDP|2371964255679401433</stp>
        <tr r="Q1063" s="2"/>
      </tp>
      <tp t="s">
        <v>#N/A N/A</v>
        <stp/>
        <stp>BDP|5496678722562500032</stp>
        <tr r="M696" s="2"/>
      </tp>
      <tp t="s">
        <v>#N/A N/A</v>
        <stp/>
        <stp>BDP|2249421151053045367</stp>
        <tr r="H152" s="2"/>
      </tp>
      <tp t="s">
        <v>#N/A N/A</v>
        <stp/>
        <stp>BDP|5439253494438607542</stp>
        <tr r="C917" s="2"/>
      </tp>
      <tp t="s">
        <v>#N/A N/A</v>
        <stp/>
        <stp>BDP|8666855741564276348</stp>
        <tr r="N1683" s="2"/>
      </tp>
      <tp t="s">
        <v>#N/A N/A</v>
        <stp/>
        <stp>BDS|5405665121853352142</stp>
        <tr r="I240" s="2"/>
      </tp>
      <tp t="s">
        <v>#N/A N/A</v>
        <stp/>
        <stp>BDP|7796907085162208746</stp>
        <tr r="K954" s="2"/>
      </tp>
      <tp t="s">
        <v>#N/A N/A</v>
        <stp/>
        <stp>BDP|9145331292136591615</stp>
        <tr r="H1253" s="2"/>
      </tp>
      <tp t="s">
        <v>#N/A N/A</v>
        <stp/>
        <stp>BDP|7733048472152152147</stp>
        <tr r="A464" s="2"/>
      </tp>
      <tp t="s">
        <v>#N/A N/A</v>
        <stp/>
        <stp>BDP|7691940173882309869</stp>
        <tr r="T1035" s="2"/>
      </tp>
      <tp t="s">
        <v>#N/A N/A</v>
        <stp/>
        <stp>BDP|9835854336569781882</stp>
        <tr r="S904" s="2"/>
      </tp>
      <tp t="s">
        <v>#N/A N/A</v>
        <stp/>
        <stp>BDS|2578440760531702229</stp>
        <tr r="I149" s="2"/>
      </tp>
      <tp t="s">
        <v>#N/A N/A</v>
        <stp/>
        <stp>BDP|9218578412628057632</stp>
        <tr r="N1375" s="2"/>
      </tp>
      <tp t="s">
        <v>#N/A N/A</v>
        <stp/>
        <stp>BDS|8977891944113344438</stp>
        <tr r="I476" s="2"/>
      </tp>
      <tp t="s">
        <v>#N/A N/A</v>
        <stp/>
        <stp>BDP|9083920583452055952</stp>
        <tr r="M1102" s="2"/>
      </tp>
      <tp t="s">
        <v>#N/A N/A</v>
        <stp/>
        <stp>BDP|3946283444836742060</stp>
        <tr r="G278" s="2"/>
      </tp>
      <tp t="s">
        <v>#N/A N/A</v>
        <stp/>
        <stp>BDP|6126010817832343605</stp>
        <tr r="Q1402" s="2"/>
      </tp>
      <tp t="s">
        <v>#N/A N/A</v>
        <stp/>
        <stp>BDP|4270866560680084904</stp>
        <tr r="D1192" s="2"/>
      </tp>
      <tp t="s">
        <v>#N/A N/A</v>
        <stp/>
        <stp>BDP|3339232534824344536</stp>
        <tr r="N230" s="2"/>
      </tp>
      <tp t="s">
        <v>#N/A N/A</v>
        <stp/>
        <stp>BDP|6081504662520770614</stp>
        <tr r="R624" s="2"/>
      </tp>
      <tp t="s">
        <v>#N/A N/A</v>
        <stp/>
        <stp>BDP|8984840316691949360</stp>
        <tr r="D772" s="2"/>
      </tp>
      <tp t="s">
        <v>#N/A N/A</v>
        <stp/>
        <stp>BDP|5006881065838105083</stp>
        <tr r="O1092" s="2"/>
      </tp>
      <tp t="s">
        <v>#N/A N/A</v>
        <stp/>
        <stp>BDP|3770557259649957969</stp>
        <tr r="J323" s="2"/>
      </tp>
      <tp t="s">
        <v>#N/A N/A</v>
        <stp/>
        <stp>BDP|7402478292740446911</stp>
        <tr r="N910" s="2"/>
      </tp>
      <tp t="s">
        <v>#N/A N/A</v>
        <stp/>
        <stp>BDP|7057183208201668428</stp>
        <tr r="S1444" s="2"/>
      </tp>
      <tp t="s">
        <v>#N/A N/A</v>
        <stp/>
        <stp>BDP|4254464071782344628</stp>
        <tr r="J1708" s="2"/>
      </tp>
      <tp t="s">
        <v>#N/A N/A</v>
        <stp/>
        <stp>BDP|7582492517099857875</stp>
        <tr r="K620" s="2"/>
      </tp>
      <tp t="s">
        <v>#N/A N/A</v>
        <stp/>
        <stp>BDP|1712786668842712143</stp>
        <tr r="J469" s="2"/>
      </tp>
      <tp t="s">
        <v>#N/A N/A</v>
        <stp/>
        <stp>BDP|3361997183895967442</stp>
        <tr r="K445" s="2"/>
      </tp>
      <tp t="s">
        <v>#N/A N/A</v>
        <stp/>
        <stp>BDP|4872377314665998062</stp>
        <tr r="O1513" s="2"/>
      </tp>
      <tp t="s">
        <v>#N/A N/A</v>
        <stp/>
        <stp>BDP|9078922231973296358</stp>
        <tr r="E1503" s="2"/>
      </tp>
      <tp t="s">
        <v>#N/A N/A</v>
        <stp/>
        <stp>BDP|7475931736147390962</stp>
        <tr r="E312" s="2"/>
      </tp>
      <tp t="s">
        <v>#N/A N/A</v>
        <stp/>
        <stp>BDP|3464109301601540041</stp>
        <tr r="F696" s="2"/>
      </tp>
      <tp t="s">
        <v>#N/A N/A</v>
        <stp/>
        <stp>BDP|6002425251016100269</stp>
        <tr r="C60" s="2"/>
      </tp>
      <tp t="s">
        <v>#N/A N/A</v>
        <stp/>
        <stp>BDP|2555668025192241704</stp>
        <tr r="E780" s="2"/>
      </tp>
      <tp t="s">
        <v>#N/A N/A</v>
        <stp/>
        <stp>BDP|5658418602567971583</stp>
        <tr r="T419" s="2"/>
      </tp>
      <tp t="s">
        <v>#N/A N/A</v>
        <stp/>
        <stp>BDP|4038954203279597770</stp>
        <tr r="N1219" s="2"/>
      </tp>
      <tp t="s">
        <v>#N/A N/A</v>
        <stp/>
        <stp>BDP|3050153444320033559</stp>
        <tr r="M130" s="2"/>
      </tp>
      <tp t="s">
        <v>#N/A N/A</v>
        <stp/>
        <stp>BDP|1588546466697546663</stp>
        <tr r="N445" s="2"/>
      </tp>
      <tp t="s">
        <v>#N/A N/A</v>
        <stp/>
        <stp>BDP|6670561728390991253</stp>
        <tr r="O1555" s="2"/>
      </tp>
      <tp t="s">
        <v>#N/A N/A</v>
        <stp/>
        <stp>BDP|3531355671976799229</stp>
        <tr r="N1004" s="2"/>
      </tp>
      <tp t="s">
        <v>#N/A N/A</v>
        <stp/>
        <stp>BDP|1474176817700496240</stp>
        <tr r="K1383" s="2"/>
      </tp>
      <tp t="s">
        <v>#N/A N/A</v>
        <stp/>
        <stp>BDP|6610186379287231419</stp>
        <tr r="R1750" s="2"/>
      </tp>
      <tp t="s">
        <v>#N/A N/A</v>
        <stp/>
        <stp>BDP|1829762949921236014</stp>
        <tr r="J728" s="2"/>
      </tp>
      <tp t="s">
        <v>#N/A N/A</v>
        <stp/>
        <stp>BDP|6389064708633109684</stp>
        <tr r="M797" s="2"/>
      </tp>
      <tp t="s">
        <v>#N/A N/A</v>
        <stp/>
        <stp>BDP|6984845735206597898</stp>
        <tr r="M1714" s="2"/>
      </tp>
      <tp t="s">
        <v>#N/A N/A</v>
        <stp/>
        <stp>BDP|8980803130452983249</stp>
        <tr r="H930" s="2"/>
      </tp>
      <tp t="s">
        <v>#N/A N/A</v>
        <stp/>
        <stp>BDP|4896083173590794008</stp>
        <tr r="A1666" s="2"/>
      </tp>
      <tp t="s">
        <v>#N/A N/A</v>
        <stp/>
        <stp>BDP|5825630702101576185</stp>
        <tr r="F1467" s="2"/>
      </tp>
      <tp t="s">
        <v>#N/A N/A</v>
        <stp/>
        <stp>BDP|6263100550026600707</stp>
        <tr r="G1462" s="2"/>
      </tp>
      <tp t="s">
        <v>#N/A N/A</v>
        <stp/>
        <stp>BDS|6329205376488701861</stp>
        <tr r="I960" s="2"/>
      </tp>
      <tp t="s">
        <v>#N/A N/A</v>
        <stp/>
        <stp>BDP|1848436557713152091</stp>
        <tr r="P1406" s="2"/>
      </tp>
      <tp t="s">
        <v>#N/A N/A</v>
        <stp/>
        <stp>BDP|2628209753512191406</stp>
        <tr r="K33" s="2"/>
      </tp>
      <tp t="s">
        <v>#N/A N/A</v>
        <stp/>
        <stp>BDP|6586511870242423548</stp>
        <tr r="A1195" s="2"/>
      </tp>
      <tp t="s">
        <v>#N/A N/A</v>
        <stp/>
        <stp>BDP|7857888230916028946</stp>
        <tr r="D1354" s="2"/>
      </tp>
      <tp t="s">
        <v>#N/A N/A</v>
        <stp/>
        <stp>BDP|8319641706034350965</stp>
        <tr r="R29" s="2"/>
      </tp>
      <tp t="s">
        <v>#N/A N/A</v>
        <stp/>
        <stp>BDP|2578371572024661120</stp>
        <tr r="S1331" s="2"/>
      </tp>
      <tp t="s">
        <v>#N/A N/A</v>
        <stp/>
        <stp>BDP|2423471565294137732</stp>
        <tr r="T188" s="2"/>
      </tp>
      <tp t="s">
        <v>#N/A N/A</v>
        <stp/>
        <stp>BDP|4398955498600801729</stp>
        <tr r="N1401" s="2"/>
      </tp>
      <tp t="s">
        <v>#N/A N/A</v>
        <stp/>
        <stp>BDP|9889480184992178415</stp>
        <tr r="H503" s="2"/>
      </tp>
      <tp t="s">
        <v>#N/A N/A</v>
        <stp/>
        <stp>BDP|2378668267795632409</stp>
        <tr r="M1670" s="2"/>
      </tp>
      <tp t="s">
        <v>#N/A N/A</v>
        <stp/>
        <stp>BDP|3126064156502664737</stp>
        <tr r="J1171" s="2"/>
      </tp>
      <tp t="s">
        <v>#N/A N/A</v>
        <stp/>
        <stp>BDP|5254075244422478011</stp>
        <tr r="O214" s="2"/>
      </tp>
      <tp t="s">
        <v>#N/A N/A</v>
        <stp/>
        <stp>BDP|8615542928124833863</stp>
        <tr r="N1504" s="2"/>
      </tp>
      <tp t="s">
        <v>#N/A N/A</v>
        <stp/>
        <stp>BDP|6188928285321566577</stp>
        <tr r="O1534" s="2"/>
      </tp>
      <tp t="s">
        <v>#N/A N/A</v>
        <stp/>
        <stp>BDP|1543271927353510145</stp>
        <tr r="K1070" s="2"/>
      </tp>
      <tp t="s">
        <v>#N/A N/A</v>
        <stp/>
        <stp>BDP|7588509129133902012</stp>
        <tr r="S415" s="2"/>
      </tp>
      <tp t="s">
        <v>#N/A N/A</v>
        <stp/>
        <stp>BDP|7168856843221148924</stp>
        <tr r="R1549" s="2"/>
      </tp>
      <tp t="s">
        <v>#N/A N/A</v>
        <stp/>
        <stp>BDP|5766793361881886637</stp>
        <tr r="M44" s="2"/>
      </tp>
      <tp t="s">
        <v>#N/A N/A</v>
        <stp/>
        <stp>BDP|9336952133528760867</stp>
        <tr r="N627" s="2"/>
      </tp>
      <tp t="s">
        <v>#N/A N/A</v>
        <stp/>
        <stp>BDP|6379511903185075555</stp>
        <tr r="S2" s="2"/>
      </tp>
      <tp t="s">
        <v>#N/A N/A</v>
        <stp/>
        <stp>BDP|2344145469177818124</stp>
        <tr r="O1270" s="2"/>
      </tp>
      <tp t="s">
        <v>#N/A N/A</v>
        <stp/>
        <stp>BDP|4038010873912788217</stp>
        <tr r="K1197" s="2"/>
      </tp>
      <tp t="s">
        <v>#N/A N/A</v>
        <stp/>
        <stp>BDS|3396873095529311869</stp>
        <tr r="I1547" s="2"/>
      </tp>
      <tp t="s">
        <v>#N/A N/A</v>
        <stp/>
        <stp>BDP|3646035667906243048</stp>
        <tr r="R660" s="2"/>
      </tp>
      <tp t="s">
        <v>#N/A N/A</v>
        <stp/>
        <stp>BDP|4706722101764859484</stp>
        <tr r="A1365" s="2"/>
      </tp>
      <tp t="s">
        <v>#N/A N/A</v>
        <stp/>
        <stp>BDP|9083802276126369319</stp>
        <tr r="D1005" s="2"/>
      </tp>
      <tp t="s">
        <v>#N/A N/A</v>
        <stp/>
        <stp>BDP|8458725909548937421</stp>
        <tr r="T804" s="2"/>
      </tp>
      <tp t="s">
        <v>#N/A N/A</v>
        <stp/>
        <stp>BDP|2257270827783464223</stp>
        <tr r="M1590" s="2"/>
      </tp>
      <tp t="s">
        <v>#N/A N/A</v>
        <stp/>
        <stp>BDP|8429822845092455532</stp>
        <tr r="M422" s="2"/>
      </tp>
      <tp t="s">
        <v>#N/A N/A</v>
        <stp/>
        <stp>BDP|7268362841901328228</stp>
        <tr r="M1703" s="2"/>
      </tp>
      <tp t="s">
        <v>#N/A N/A</v>
        <stp/>
        <stp>BDP|5076375061732041127</stp>
        <tr r="D1512" s="2"/>
      </tp>
      <tp t="s">
        <v>#N/A N/A</v>
        <stp/>
        <stp>BDP|9185127297612367039</stp>
        <tr r="Q1398" s="2"/>
      </tp>
      <tp t="s">
        <v>#N/A N/A</v>
        <stp/>
        <stp>BDP|4767772326365210700</stp>
        <tr r="D1621" s="2"/>
      </tp>
      <tp t="s">
        <v>#N/A N/A</v>
        <stp/>
        <stp>BDP|8358711233238587708</stp>
        <tr r="K945" s="2"/>
      </tp>
      <tp t="s">
        <v>#N/A N/A</v>
        <stp/>
        <stp>BDP|2929025617828860810</stp>
        <tr r="K1671" s="2"/>
      </tp>
      <tp t="s">
        <v>#N/A N/A</v>
        <stp/>
        <stp>BDP|3849874108930392819</stp>
        <tr r="A1211" s="2"/>
      </tp>
      <tp t="s">
        <v>#N/A N/A</v>
        <stp/>
        <stp>BDP|3937629998079579635</stp>
        <tr r="Q599" s="2"/>
      </tp>
      <tp t="s">
        <v>#N/A N/A</v>
        <stp/>
        <stp>BDP|4234788601518662880</stp>
        <tr r="J972" s="2"/>
      </tp>
      <tp t="s">
        <v>#N/A N/A</v>
        <stp/>
        <stp>BDP|8355327096593160239</stp>
        <tr r="H178" s="2"/>
      </tp>
      <tp t="s">
        <v>#N/A N/A</v>
        <stp/>
        <stp>BDP|8580396971127822805</stp>
        <tr r="S1507" s="2"/>
      </tp>
      <tp t="s">
        <v>#N/A N/A</v>
        <stp/>
        <stp>BDP|2106219270283116742</stp>
        <tr r="A567" s="2"/>
      </tp>
      <tp t="s">
        <v>#N/A N/A</v>
        <stp/>
        <stp>BDP|4067550106254384657</stp>
        <tr r="G28" s="2"/>
      </tp>
      <tp t="s">
        <v>#N/A N/A</v>
        <stp/>
        <stp>BDP|8594968642654490205</stp>
        <tr r="T786" s="2"/>
      </tp>
      <tp t="s">
        <v>#N/A N/A</v>
        <stp/>
        <stp>BDP|9498294358328751570</stp>
        <tr r="R1414" s="2"/>
      </tp>
      <tp t="s">
        <v>#N/A N/A</v>
        <stp/>
        <stp>BDP|6258233455865123707</stp>
        <tr r="J454" s="2"/>
      </tp>
      <tp t="s">
        <v>#N/A N/A</v>
        <stp/>
        <stp>BDP|3989492097909719458</stp>
        <tr r="H979" s="2"/>
      </tp>
      <tp t="s">
        <v>#N/A N/A</v>
        <stp/>
        <stp>BDP|6210158135005606214</stp>
        <tr r="R1130" s="2"/>
      </tp>
      <tp t="s">
        <v>#N/A N/A</v>
        <stp/>
        <stp>BDP|6841434582811929857</stp>
        <tr r="F38" s="2"/>
      </tp>
      <tp t="s">
        <v>#N/A N/A</v>
        <stp/>
        <stp>BDP|1488525610090561667</stp>
        <tr r="Q1427" s="2"/>
      </tp>
      <tp t="s">
        <v>#N/A N/A</v>
        <stp/>
        <stp>BDP|6458712727986041676</stp>
        <tr r="T202" s="2"/>
      </tp>
      <tp t="s">
        <v>#N/A N/A</v>
        <stp/>
        <stp>BDP|1502035456572586504</stp>
        <tr r="R1213" s="2"/>
      </tp>
      <tp t="s">
        <v>#N/A N/A</v>
        <stp/>
        <stp>BDP|7624079206276553270</stp>
        <tr r="E749" s="2"/>
      </tp>
      <tp t="s">
        <v>#N/A N/A</v>
        <stp/>
        <stp>BDP|2379289147810980702</stp>
        <tr r="E1652" s="2"/>
      </tp>
      <tp t="s">
        <v>#N/A N/A</v>
        <stp/>
        <stp>BDP|6088666160044324100</stp>
        <tr r="D711" s="2"/>
      </tp>
      <tp t="s">
        <v>#N/A N/A</v>
        <stp/>
        <stp>BDP|5474505591533839988</stp>
        <tr r="D1572" s="2"/>
      </tp>
      <tp t="s">
        <v>#N/A N/A</v>
        <stp/>
        <stp>BDP|9581356794451848192</stp>
        <tr r="J1589" s="2"/>
      </tp>
      <tp t="s">
        <v>#N/A N/A</v>
        <stp/>
        <stp>BDP|7761095451986969733</stp>
        <tr r="T541" s="2"/>
      </tp>
      <tp t="s">
        <v>#N/A N/A</v>
        <stp/>
        <stp>BDP|1469527254051179369</stp>
        <tr r="C1525" s="2"/>
      </tp>
      <tp t="s">
        <v>#N/A N/A</v>
        <stp/>
        <stp>BDP|2580610603262750550</stp>
        <tr r="G419" s="2"/>
      </tp>
      <tp t="s">
        <v>#N/A N/A</v>
        <stp/>
        <stp>BDP|1548023440941789759</stp>
        <tr r="J633" s="2"/>
      </tp>
      <tp t="s">
        <v>#N/A N/A</v>
        <stp/>
        <stp>BDP|2777768809493947540</stp>
        <tr r="Q1058" s="2"/>
      </tp>
      <tp t="s">
        <v>#N/A N/A</v>
        <stp/>
        <stp>BDP|5541750173040038668</stp>
        <tr r="M1434" s="2"/>
      </tp>
      <tp t="s">
        <v>#N/A N/A</v>
        <stp/>
        <stp>BDS|1931518441287415484</stp>
        <tr r="I548" s="2"/>
      </tp>
      <tp t="s">
        <v>#N/A N/A</v>
        <stp/>
        <stp>BDP|6996873606794843956</stp>
        <tr r="D1290" s="2"/>
      </tp>
      <tp t="s">
        <v>#N/A N/A</v>
        <stp/>
        <stp>BDP|9633991383802854911</stp>
        <tr r="O338" s="2"/>
      </tp>
      <tp t="s">
        <v>#N/A N/A</v>
        <stp/>
        <stp>BDP|3087280433917973678</stp>
        <tr r="H279" s="2"/>
      </tp>
      <tp t="s">
        <v>#N/A N/A</v>
        <stp/>
        <stp>BDP|5453918310389602760</stp>
        <tr r="O762" s="2"/>
      </tp>
      <tp t="s">
        <v>#N/A N/A</v>
        <stp/>
        <stp>BDP|8165922377476424353</stp>
        <tr r="D948" s="2"/>
      </tp>
      <tp t="s">
        <v>#N/A N/A</v>
        <stp/>
        <stp>BDP|2489078006202363335</stp>
        <tr r="F336" s="2"/>
      </tp>
      <tp t="s">
        <v>#N/A N/A</v>
        <stp/>
        <stp>BDP|6763994142549162181</stp>
        <tr r="H66" s="2"/>
      </tp>
      <tp t="s">
        <v>#N/A N/A</v>
        <stp/>
        <stp>BDP|2440593518913397637</stp>
        <tr r="E1474" s="2"/>
      </tp>
      <tp t="s">
        <v>#N/A N/A</v>
        <stp/>
        <stp>BDP|2113204984662826981</stp>
        <tr r="P3" s="2"/>
      </tp>
      <tp t="s">
        <v>#N/A N/A</v>
        <stp/>
        <stp>BDP|6356607317811310328</stp>
        <tr r="O1579" s="2"/>
      </tp>
      <tp t="s">
        <v>#N/A N/A</v>
        <stp/>
        <stp>BDP|4736453876286370226</stp>
        <tr r="K191" s="2"/>
      </tp>
      <tp t="s">
        <v>#N/A N/A</v>
        <stp/>
        <stp>BDP|8970050301768856306</stp>
        <tr r="T327" s="2"/>
      </tp>
      <tp t="s">
        <v>#N/A N/A</v>
        <stp/>
        <stp>BDS|5106706506567009623</stp>
        <tr r="I600" s="2"/>
      </tp>
      <tp t="s">
        <v>#N/A N/A</v>
        <stp/>
        <stp>BDP|1028651054845716439</stp>
        <tr r="K1530" s="2"/>
      </tp>
      <tp t="s">
        <v>#N/A N/A</v>
        <stp/>
        <stp>BDP|2332462251749940980</stp>
        <tr r="D1010" s="2"/>
      </tp>
      <tp t="s">
        <v>#N/A N/A</v>
        <stp/>
        <stp>BDP|9891891039854419593</stp>
        <tr r="M250" s="2"/>
      </tp>
      <tp t="s">
        <v>#N/A N/A</v>
        <stp/>
        <stp>BDP|5995419977054861124</stp>
        <tr r="O996" s="2"/>
      </tp>
      <tp t="s">
        <v>#N/A N/A</v>
        <stp/>
        <stp>BDP|7292098658348168976</stp>
        <tr r="A1065" s="2"/>
      </tp>
      <tp t="s">
        <v>#N/A N/A</v>
        <stp/>
        <stp>BDP|2911115129104469601</stp>
        <tr r="F1414" s="2"/>
      </tp>
      <tp t="s">
        <v>#N/A N/A</v>
        <stp/>
        <stp>BDP|1580825230609774059</stp>
        <tr r="G256" s="2"/>
      </tp>
      <tp t="s">
        <v>#N/A N/A</v>
        <stp/>
        <stp>BDP|2382325726938380819</stp>
        <tr r="E292" s="2"/>
      </tp>
      <tp t="s">
        <v>#N/A N/A</v>
        <stp/>
        <stp>BDP|6267156940593717351</stp>
        <tr r="S104" s="2"/>
      </tp>
      <tp t="s">
        <v>#N/A N/A</v>
        <stp/>
        <stp>BDP|5645641879503941471</stp>
        <tr r="Q1392" s="2"/>
      </tp>
      <tp t="s">
        <v>#N/A N/A</v>
        <stp/>
        <stp>BDP|7845361107584931356</stp>
        <tr r="N1623" s="2"/>
      </tp>
      <tp t="s">
        <v>#N/A N/A</v>
        <stp/>
        <stp>BDP|9569702315649421515</stp>
        <tr r="N1085" s="2"/>
      </tp>
      <tp t="s">
        <v>#N/A N/A</v>
        <stp/>
        <stp>BDP|7322135511260107451</stp>
        <tr r="M1054" s="2"/>
      </tp>
      <tp t="s">
        <v>#N/A N/A</v>
        <stp/>
        <stp>BDP|4468023124006604311</stp>
        <tr r="T166" s="2"/>
      </tp>
      <tp t="s">
        <v>#N/A N/A</v>
        <stp/>
        <stp>BDP|8839791350619656025</stp>
        <tr r="H682" s="2"/>
      </tp>
      <tp t="s">
        <v>#N/A N/A</v>
        <stp/>
        <stp>BDS|6267205731356733217</stp>
        <tr r="I777" s="2"/>
      </tp>
      <tp t="s">
        <v>#N/A N/A</v>
        <stp/>
        <stp>BDS|1902086766800332419</stp>
        <tr r="I707" s="2"/>
      </tp>
      <tp t="s">
        <v>#N/A N/A</v>
        <stp/>
        <stp>BDP|3898481011574287162</stp>
        <tr r="S1678" s="2"/>
      </tp>
      <tp t="s">
        <v>#N/A N/A</v>
        <stp/>
        <stp>BDP|7552139446351409018</stp>
        <tr r="P10" s="2"/>
      </tp>
      <tp t="s">
        <v>#N/A N/A</v>
        <stp/>
        <stp>BDP|5049246200392949682</stp>
        <tr r="T665" s="2"/>
      </tp>
      <tp t="s">
        <v>#N/A N/A</v>
        <stp/>
        <stp>BDP|4734676460457303067</stp>
        <tr r="J60" s="2"/>
      </tp>
      <tp t="s">
        <v>#N/A N/A</v>
        <stp/>
        <stp>BDP|3058646126595789108</stp>
        <tr r="N287" s="2"/>
      </tp>
      <tp t="s">
        <v>#N/A N/A</v>
        <stp/>
        <stp>BDP|8085845894078280273</stp>
        <tr r="H480" s="2"/>
      </tp>
    </main>
    <main first="bofaddin.rtdserver">
      <tp t="s">
        <v>#N/A N/A</v>
        <stp/>
        <stp>BDP|94019374726650859</stp>
        <tr r="M1549" s="2"/>
      </tp>
      <tp t="s">
        <v>#N/A N/A</v>
        <stp/>
        <stp>BDP|21455905424731959</stp>
        <tr r="D993" s="2"/>
      </tp>
      <tp t="s">
        <v>#N/A N/A</v>
        <stp/>
        <stp>BDP|19984369353825578</stp>
        <tr r="D1331" s="2"/>
      </tp>
      <tp t="s">
        <v>#N/A N/A</v>
        <stp/>
        <stp>BDP|79658198343670555</stp>
        <tr r="H1022" s="2"/>
      </tp>
      <tp t="s">
        <v>#N/A N/A</v>
        <stp/>
        <stp>BDP|76948769991323712</stp>
        <tr r="D313" s="2"/>
      </tp>
      <tp t="s">
        <v>#N/A N/A</v>
        <stp/>
        <stp>BDP|14696624428939589</stp>
        <tr r="R1432" s="2"/>
      </tp>
      <tp t="s">
        <v>#N/A N/A</v>
        <stp/>
        <stp>BDP|76033746025978847</stp>
        <tr r="P1223" s="2"/>
      </tp>
      <tp t="s">
        <v>#N/A N/A</v>
        <stp/>
        <stp>BDP|60883003991880157</stp>
        <tr r="A11" s="2"/>
      </tp>
      <tp t="s">
        <v>#N/A N/A</v>
        <stp/>
        <stp>BDP|14332786034801788</stp>
        <tr r="J1291" s="2"/>
      </tp>
      <tp t="s">
        <v>#N/A N/A</v>
        <stp/>
        <stp>BDP|60238602039471376</stp>
        <tr r="J1392" s="2"/>
      </tp>
      <tp t="s">
        <v>#N/A N/A</v>
        <stp/>
        <stp>BDP|46124022973066836</stp>
        <tr r="F1405" s="2"/>
      </tp>
      <tp t="s">
        <v>#N/A N/A</v>
        <stp/>
        <stp>BDP|72932429625012696</stp>
        <tr r="H1310" s="2"/>
      </tp>
      <tp t="s">
        <v>#N/A N/A</v>
        <stp/>
        <stp>BDP|68688790447000082</stp>
        <tr r="O1394" s="2"/>
      </tp>
      <tp t="s">
        <v>#N/A N/A</v>
        <stp/>
        <stp>BDP|66870143025299196</stp>
        <tr r="P492" s="2"/>
      </tp>
      <tp t="s">
        <v>#N/A N/A</v>
        <stp/>
        <stp>BDP|77390093229806849</stp>
        <tr r="C260" s="2"/>
      </tp>
      <tp t="s">
        <v>#N/A N/A</v>
        <stp/>
        <stp>BDP|90985419270742302</stp>
        <tr r="J431" s="2"/>
      </tp>
      <tp t="s">
        <v>#N/A N/A</v>
        <stp/>
        <stp>BDP|18456485912508523</stp>
        <tr r="A767" s="2"/>
      </tp>
      <tp t="s">
        <v>#N/A N/A</v>
        <stp/>
        <stp>BDP|29756203705133908</stp>
        <tr r="P1696" s="2"/>
      </tp>
      <tp t="s">
        <v>#N/A N/A</v>
        <stp/>
        <stp>BDP|94164825278414073</stp>
        <tr r="F662" s="2"/>
      </tp>
      <tp t="s">
        <v>#N/A N/A</v>
        <stp/>
        <stp>BDP|77306405558343063</stp>
        <tr r="J634" s="2"/>
      </tp>
      <tp t="s">
        <v>#N/A N/A</v>
        <stp/>
        <stp>BDP|54914229528396875</stp>
        <tr r="G1483" s="2"/>
      </tp>
      <tp t="s">
        <v>#N/A N/A</v>
        <stp/>
        <stp>BDP|98762882901121598</stp>
        <tr r="Q493" s="2"/>
      </tp>
      <tp t="s">
        <v>#N/A N/A</v>
        <stp/>
        <stp>BDP|32580228404997801</stp>
        <tr r="A882" s="2"/>
      </tp>
      <tp t="s">
        <v>#N/A N/A</v>
        <stp/>
        <stp>BDP|44465899083675500</stp>
        <tr r="J1180" s="2"/>
      </tp>
      <tp t="s">
        <v>#N/A N/A</v>
        <stp/>
        <stp>BDP|28691601828749496</stp>
        <tr r="J494" s="2"/>
      </tp>
      <tp t="s">
        <v>#N/A N/A</v>
        <stp/>
        <stp>BDP|34886925735120588</stp>
        <tr r="E1161" s="2"/>
      </tp>
      <tp t="s">
        <v>#N/A N/A</v>
        <stp/>
        <stp>BDS|17976807440292001</stp>
        <tr r="I1482" s="2"/>
      </tp>
      <tp t="s">
        <v>#N/A N/A</v>
        <stp/>
        <stp>BDP|56475998297993040</stp>
        <tr r="N917" s="2"/>
      </tp>
      <tp t="s">
        <v>#N/A N/A</v>
        <stp/>
        <stp>BDP|90036484552114063</stp>
        <tr r="E1058" s="2"/>
      </tp>
      <tp t="s">
        <v>#N/A N/A</v>
        <stp/>
        <stp>BDP|39271309601428971</stp>
        <tr r="C1215" s="2"/>
      </tp>
      <tp t="s">
        <v>#N/A N/A</v>
        <stp/>
        <stp>BDP|36905823289278896</stp>
        <tr r="O884" s="2"/>
      </tp>
      <tp t="s">
        <v>#N/A N/A</v>
        <stp/>
        <stp>BDP|52319072371040849</stp>
        <tr r="E89" s="2"/>
      </tp>
      <tp t="s">
        <v>#N/A N/A</v>
        <stp/>
        <stp>BDP|82952973752471168</stp>
        <tr r="P1272" s="2"/>
      </tp>
      <tp t="s">
        <v>#N/A N/A</v>
        <stp/>
        <stp>BDP|15356106929010763</stp>
        <tr r="S1337" s="2"/>
      </tp>
      <tp t="s">
        <v>#N/A N/A</v>
        <stp/>
        <stp>BDS|14621187971104113</stp>
        <tr r="I393" s="2"/>
      </tp>
      <tp t="s">
        <v>#N/A N/A</v>
        <stp/>
        <stp>BDP|14973624337571142</stp>
        <tr r="T206" s="2"/>
      </tp>
      <tp t="s">
        <v>#N/A N/A</v>
        <stp/>
        <stp>BDP|85010091215842177</stp>
        <tr r="N794" s="2"/>
      </tp>
      <tp t="s">
        <v>#N/A N/A</v>
        <stp/>
        <stp>BDS|83580727510244903</stp>
        <tr r="I20" s="2"/>
      </tp>
      <tp t="s">
        <v>#N/A N/A</v>
        <stp/>
        <stp>BDP|40939869144908682</stp>
        <tr r="G1032" s="2"/>
      </tp>
      <tp t="s">
        <v>#N/A N/A</v>
        <stp/>
        <stp>BDP|13375505928066692</stp>
        <tr r="R93" s="2"/>
      </tp>
      <tp t="s">
        <v>#N/A N/A</v>
        <stp/>
        <stp>BDP|41510991113083352</stp>
        <tr r="O1560" s="2"/>
      </tp>
      <tp t="s">
        <v>#N/A N/A</v>
        <stp/>
        <stp>BDP|55187087083768648</stp>
        <tr r="M1199" s="2"/>
      </tp>
      <tp t="s">
        <v>#N/A N/A</v>
        <stp/>
        <stp>BDP|96998038176392097</stp>
        <tr r="O164" s="2"/>
      </tp>
      <tp t="s">
        <v>#N/A N/A</v>
        <stp/>
        <stp>BDP|53883543955677560</stp>
        <tr r="D1142" s="2"/>
      </tp>
      <tp t="s">
        <v>#N/A N/A</v>
        <stp/>
        <stp>BDP|65243027979204656</stp>
        <tr r="K534" s="2"/>
      </tp>
      <tp t="s">
        <v>#N/A N/A</v>
        <stp/>
        <stp>BDP|59161779279934023</stp>
        <tr r="Q1672" s="2"/>
      </tp>
      <tp t="s">
        <v>#N/A N/A</v>
        <stp/>
        <stp>BDP|69215414244970881</stp>
        <tr r="R1601" s="2"/>
      </tp>
      <tp t="s">
        <v>#N/A N/A</v>
        <stp/>
        <stp>BDP|63125997107061000</stp>
        <tr r="H689" s="2"/>
      </tp>
      <tp t="s">
        <v>#N/A N/A</v>
        <stp/>
        <stp>BDP|98159443579170346</stp>
        <tr r="P1564" s="2"/>
      </tp>
      <tp t="s">
        <v>#N/A N/A</v>
        <stp/>
        <stp>BDP|45043527218629561</stp>
        <tr r="K829" s="2"/>
      </tp>
      <tp t="s">
        <v>#N/A N/A</v>
        <stp/>
        <stp>BDP|79641576117017915</stp>
        <tr r="J120" s="2"/>
      </tp>
      <tp t="s">
        <v>#N/A N/A</v>
        <stp/>
        <stp>BDP|82606661398528752</stp>
        <tr r="P1720" s="2"/>
      </tp>
      <tp t="s">
        <v>#N/A N/A</v>
        <stp/>
        <stp>BDP|28533386531030348</stp>
        <tr r="F315" s="2"/>
      </tp>
      <tp t="s">
        <v>#N/A N/A</v>
        <stp/>
        <stp>BDS|28521188084402558</stp>
        <tr r="I1118" s="2"/>
      </tp>
      <tp t="s">
        <v>#N/A N/A</v>
        <stp/>
        <stp>BDP|28794798789905817</stp>
        <tr r="N266" s="2"/>
      </tp>
      <tp t="s">
        <v>#N/A N/A</v>
        <stp/>
        <stp>BDP|37824643723332149</stp>
        <tr r="K1401" s="2"/>
      </tp>
      <tp t="s">
        <v>#N/A N/A</v>
        <stp/>
        <stp>BDP|42910916852458453</stp>
        <tr r="F812" s="2"/>
      </tp>
      <tp t="s">
        <v>#N/A N/A</v>
        <stp/>
        <stp>BDP|21469889800084284</stp>
        <tr r="C1131" s="2"/>
      </tp>
      <tp t="s">
        <v>#N/A N/A</v>
        <stp/>
        <stp>BDP|61680895559315896</stp>
        <tr r="A565" s="2"/>
      </tp>
      <tp t="s">
        <v>#N/A N/A</v>
        <stp/>
        <stp>BDP|46888078263791206</stp>
        <tr r="G1102" s="2"/>
      </tp>
      <tp t="s">
        <v>#N/A N/A</v>
        <stp/>
        <stp>BDP|25562321221183856</stp>
        <tr r="O1085" s="2"/>
      </tp>
      <tp t="s">
        <v>#N/A N/A</v>
        <stp/>
        <stp>BDP|34934930985037130</stp>
        <tr r="A1228" s="2"/>
      </tp>
      <tp t="s">
        <v>#N/A N/A</v>
        <stp/>
        <stp>BDP|88648782384296497</stp>
        <tr r="J788" s="2"/>
      </tp>
      <tp t="s">
        <v>#N/A N/A</v>
        <stp/>
        <stp>BDP|42354375333980935</stp>
        <tr r="K68" s="2"/>
      </tp>
      <tp t="s">
        <v>#N/A N/A</v>
        <stp/>
        <stp>BDP|44296120237585954</stp>
        <tr r="D281" s="2"/>
      </tp>
      <tp t="s">
        <v>#N/A N/A</v>
        <stp/>
        <stp>BDP|98717520656459230</stp>
        <tr r="T489" s="2"/>
      </tp>
      <tp t="s">
        <v>#N/A N/A</v>
        <stp/>
        <stp>BDP|13402942883332271</stp>
        <tr r="M612" s="2"/>
      </tp>
      <tp t="s">
        <v>#N/A N/A</v>
        <stp/>
        <stp>BDP|76952926599646320</stp>
        <tr r="M763" s="2"/>
      </tp>
      <tp t="s">
        <v>#N/A N/A</v>
        <stp/>
        <stp>BDP|40864645815268847</stp>
        <tr r="D159" s="2"/>
      </tp>
      <tp t="s">
        <v>#N/A N/A</v>
        <stp/>
        <stp>BDP|38698460022926353</stp>
        <tr r="P1068" s="2"/>
      </tp>
      <tp t="s">
        <v>#N/A N/A</v>
        <stp/>
        <stp>BDS|91771002972567757</stp>
        <tr r="I381" s="2"/>
      </tp>
      <tp t="s">
        <v>#N/A N/A</v>
        <stp/>
        <stp>BDP|89031521684951794</stp>
        <tr r="G1520" s="2"/>
      </tp>
      <tp t="s">
        <v>#N/A N/A</v>
        <stp/>
        <stp>BDP|21508356448657921</stp>
        <tr r="K1656" s="2"/>
      </tp>
      <tp t="s">
        <v>#N/A N/A</v>
        <stp/>
        <stp>BDP|69757205062463461</stp>
        <tr r="R1120" s="2"/>
      </tp>
      <tp t="s">
        <v>#N/A N/A</v>
        <stp/>
        <stp>BDP|69302471021255401</stp>
        <tr r="D1578" s="2"/>
      </tp>
      <tp t="s">
        <v>#N/A N/A</v>
        <stp/>
        <stp>BDP|96866383067242677</stp>
        <tr r="P218" s="2"/>
      </tp>
      <tp t="s">
        <v>#N/A N/A</v>
        <stp/>
        <stp>BDP|93751555673700068</stp>
        <tr r="N1165" s="2"/>
      </tp>
      <tp t="s">
        <v>#N/A N/A</v>
        <stp/>
        <stp>BDP|51254453117910105</stp>
        <tr r="E836" s="2"/>
      </tp>
      <tp t="s">
        <v>#N/A N/A</v>
        <stp/>
        <stp>BDP|34227519154240656</stp>
        <tr r="M1204" s="2"/>
      </tp>
      <tp t="s">
        <v>#N/A N/A</v>
        <stp/>
        <stp>BDS|63796628051243696</stp>
        <tr r="I56" s="2"/>
      </tp>
      <tp t="s">
        <v>#N/A N/A</v>
        <stp/>
        <stp>BDP|51154771280924761</stp>
        <tr r="H1750" s="2"/>
      </tp>
      <tp t="s">
        <v>#N/A N/A</v>
        <stp/>
        <stp>BDP|57305520985115599</stp>
        <tr r="Q1345" s="2"/>
      </tp>
      <tp t="s">
        <v>#N/A N/A</v>
        <stp/>
        <stp>BDP|73107474002800542</stp>
        <tr r="H1303" s="2"/>
      </tp>
      <tp t="s">
        <v>#N/A N/A</v>
        <stp/>
        <stp>BDP|71247678643316688</stp>
        <tr r="F1747" s="2"/>
      </tp>
      <tp t="s">
        <v>#N/A N/A</v>
        <stp/>
        <stp>BDP|86661966360358034</stp>
        <tr r="P228" s="2"/>
      </tp>
      <tp t="s">
        <v>#N/A N/A</v>
        <stp/>
        <stp>BDP|81001951863330624</stp>
        <tr r="N1245" s="2"/>
      </tp>
      <tp t="s">
        <v>#N/A N/A</v>
        <stp/>
        <stp>BDP|33126455905885130</stp>
        <tr r="C1343" s="2"/>
      </tp>
      <tp t="s">
        <v>#N/A N/A</v>
        <stp/>
        <stp>BDP|56551178237124517</stp>
        <tr r="M738" s="2"/>
      </tp>
      <tp t="s">
        <v>#N/A N/A</v>
        <stp/>
        <stp>BDP|55481449837818722</stp>
        <tr r="C978" s="2"/>
      </tp>
      <tp t="s">
        <v>#N/A N/A</v>
        <stp/>
        <stp>BDP|24605905344529153</stp>
        <tr r="R1378" s="2"/>
      </tp>
      <tp t="s">
        <v>#N/A N/A</v>
        <stp/>
        <stp>BDP|99951485547482561</stp>
        <tr r="P543" s="2"/>
      </tp>
      <tp t="s">
        <v>#N/A N/A</v>
        <stp/>
        <stp>BDP|95464090168119672</stp>
        <tr r="Q1489" s="2"/>
      </tp>
      <tp t="s">
        <v>#N/A N/A</v>
        <stp/>
        <stp>BDP|45265622563391099</stp>
        <tr r="Q177" s="2"/>
      </tp>
      <tp t="s">
        <v>#N/A N/A</v>
        <stp/>
        <stp>BDP|48904410449958266</stp>
        <tr r="M1260" s="2"/>
      </tp>
      <tp t="s">
        <v>#N/A N/A</v>
        <stp/>
        <stp>BDP|92135271154894173</stp>
        <tr r="H172" s="2"/>
      </tp>
      <tp t="s">
        <v>#N/A N/A</v>
        <stp/>
        <stp>BDP|96169925841889112</stp>
        <tr r="H591" s="2"/>
      </tp>
      <tp t="s">
        <v>#N/A N/A</v>
        <stp/>
        <stp>BDP|96014075027580398</stp>
        <tr r="G1330" s="2"/>
      </tp>
      <tp t="s">
        <v>#N/A N/A</v>
        <stp/>
        <stp>BDP|64339620146362564</stp>
        <tr r="H86" s="2"/>
      </tp>
      <tp t="s">
        <v>#N/A N/A</v>
        <stp/>
        <stp>BDP|72378715654017459</stp>
        <tr r="Q780" s="2"/>
      </tp>
      <tp t="s">
        <v>#N/A N/A</v>
        <stp/>
        <stp>BDP|50784569062157150</stp>
        <tr r="S644" s="2"/>
      </tp>
      <tp t="s">
        <v>#N/A N/A</v>
        <stp/>
        <stp>BDP|76820771139362451</stp>
        <tr r="F810" s="2"/>
      </tp>
      <tp t="s">
        <v>#N/A N/A</v>
        <stp/>
        <stp>BDP|91198845933733495</stp>
        <tr r="T179" s="2"/>
      </tp>
      <tp t="s">
        <v>#N/A N/A</v>
        <stp/>
        <stp>BDP|79842453879056643</stp>
        <tr r="N739" s="2"/>
      </tp>
      <tp t="s">
        <v>#N/A N/A</v>
        <stp/>
        <stp>BDP|72572113196473035</stp>
        <tr r="E1683" s="2"/>
      </tp>
      <tp t="s">
        <v>#N/A N/A</v>
        <stp/>
        <stp>BDP|36454420272786628</stp>
        <tr r="O1710" s="2"/>
      </tp>
      <tp t="s">
        <v>#N/A N/A</v>
        <stp/>
        <stp>BDP|92687975827241411</stp>
        <tr r="G628" s="2"/>
      </tp>
      <tp t="s">
        <v>#N/A N/A</v>
        <stp/>
        <stp>BDP|53902888151485236</stp>
        <tr r="J505" s="2"/>
      </tp>
      <tp t="s">
        <v>#N/A N/A</v>
        <stp/>
        <stp>BDP|97071471991439480</stp>
        <tr r="H1300" s="2"/>
      </tp>
      <tp t="s">
        <v>#N/A N/A</v>
        <stp/>
        <stp>BDP|46772041348546992</stp>
        <tr r="A1705" s="2"/>
      </tp>
      <tp t="s">
        <v>#N/A N/A</v>
        <stp/>
        <stp>BDP|68826693992816120</stp>
        <tr r="R593" s="2"/>
      </tp>
      <tp t="s">
        <v>#N/A N/A</v>
        <stp/>
        <stp>BDP|45372479584157274</stp>
        <tr r="D457" s="2"/>
      </tp>
      <tp t="s">
        <v>#N/A N/A</v>
        <stp/>
        <stp>BDP|35721123974063386</stp>
        <tr r="S1032" s="2"/>
      </tp>
      <tp t="s">
        <v>#N/A N/A</v>
        <stp/>
        <stp>BDP|49264776597739715</stp>
        <tr r="O1714" s="2"/>
      </tp>
      <tp t="s">
        <v>#N/A N/A</v>
        <stp/>
        <stp>BDP|11342668147293794</stp>
        <tr r="G1376" s="2"/>
      </tp>
      <tp t="s">
        <v>#N/A N/A</v>
        <stp/>
        <stp>BDP|66123334865128254</stp>
        <tr r="N1366" s="2"/>
      </tp>
      <tp t="s">
        <v>#N/A N/A</v>
        <stp/>
        <stp>BDP|61450200416735706</stp>
        <tr r="M1694" s="2"/>
      </tp>
      <tp t="s">
        <v>#N/A N/A</v>
        <stp/>
        <stp>BDP|86210106977792029</stp>
        <tr r="E1244" s="2"/>
      </tp>
      <tp t="s">
        <v>#N/A N/A</v>
        <stp/>
        <stp>BDP|54307341276132401</stp>
        <tr r="J83" s="2"/>
      </tp>
      <tp t="s">
        <v>#N/A N/A</v>
        <stp/>
        <stp>BDP|73564129194304613</stp>
        <tr r="O1695" s="2"/>
      </tp>
      <tp t="s">
        <v>#N/A N/A</v>
        <stp/>
        <stp>BDP|66229701674339386</stp>
        <tr r="P1661" s="2"/>
      </tp>
      <tp t="s">
        <v>#N/A N/A</v>
        <stp/>
        <stp>BDP|60158179775422609</stp>
        <tr r="G265" s="2"/>
      </tp>
      <tp t="s">
        <v>#N/A N/A</v>
        <stp/>
        <stp>BDP|15721596742552849</stp>
        <tr r="D171" s="2"/>
      </tp>
      <tp t="s">
        <v>#N/A N/A</v>
        <stp/>
        <stp>BDP|91732702357153408</stp>
        <tr r="M196" s="2"/>
      </tp>
      <tp t="s">
        <v>#N/A N/A</v>
        <stp/>
        <stp>BDP|12697443090294697</stp>
        <tr r="P1490" s="2"/>
      </tp>
      <tp t="s">
        <v>#N/A N/A</v>
        <stp/>
        <stp>BDP|21054975093733063</stp>
        <tr r="E938" s="2"/>
      </tp>
      <tp t="s">
        <v>#N/A N/A</v>
        <stp/>
        <stp>BDP|39784674990192420</stp>
        <tr r="F1682" s="2"/>
      </tp>
      <tp t="s">
        <v>#N/A N/A</v>
        <stp/>
        <stp>BDP|87121872663959146</stp>
        <tr r="E1709" s="2"/>
      </tp>
      <tp t="s">
        <v>#N/A N/A</v>
        <stp/>
        <stp>BDP|18098666842356061</stp>
        <tr r="J608" s="2"/>
      </tp>
      <tp t="s">
        <v>#N/A N/A</v>
        <stp/>
        <stp>BDP|90002192349258496</stp>
        <tr r="J127" s="2"/>
      </tp>
      <tp t="s">
        <v>#N/A N/A</v>
        <stp/>
        <stp>BDP|67726635834652763</stp>
        <tr r="O754" s="2"/>
      </tp>
      <tp t="s">
        <v>#N/A N/A</v>
        <stp/>
        <stp>BDP|27852495153089554</stp>
        <tr r="O638" s="2"/>
      </tp>
      <tp t="s">
        <v>#N/A N/A</v>
        <stp/>
        <stp>BDP|62460033903774336</stp>
        <tr r="J803" s="2"/>
      </tp>
      <tp t="s">
        <v>#N/A N/A</v>
        <stp/>
        <stp>BDP|35606396440616819</stp>
        <tr r="E244" s="2"/>
      </tp>
      <tp t="s">
        <v>#N/A N/A</v>
        <stp/>
        <stp>BDP|95411452522324415</stp>
        <tr r="H1735" s="2"/>
      </tp>
      <tp t="s">
        <v>#N/A N/A</v>
        <stp/>
        <stp>BDP|42286333040729639</stp>
        <tr r="N1472" s="2"/>
      </tp>
      <tp t="s">
        <v>#N/A N/A</v>
        <stp/>
        <stp>BDP|29139667493833302</stp>
        <tr r="G211" s="2"/>
      </tp>
      <tp t="s">
        <v>#N/A N/A</v>
        <stp/>
        <stp>BDP|84445221909017892</stp>
        <tr r="F1401" s="2"/>
      </tp>
      <tp t="s">
        <v>#N/A N/A</v>
        <stp/>
        <stp>BDP|94430249584965393</stp>
        <tr r="K1476" s="2"/>
      </tp>
      <tp t="s">
        <v>#N/A N/A</v>
        <stp/>
        <stp>BDP|61755953710580599</stp>
        <tr r="P1265" s="2"/>
      </tp>
      <tp t="s">
        <v>#N/A N/A</v>
        <stp/>
        <stp>BDP|23421487409646291</stp>
        <tr r="M524" s="2"/>
      </tp>
      <tp t="s">
        <v>#N/A N/A</v>
        <stp/>
        <stp>BDP|13100018596514165</stp>
        <tr r="O1039" s="2"/>
      </tp>
      <tp t="s">
        <v>#N/A N/A</v>
        <stp/>
        <stp>BDS|54414554410525599</stp>
        <tr r="I78" s="2"/>
      </tp>
      <tp t="s">
        <v>#N/A N/A</v>
        <stp/>
        <stp>BDP|10358062731782393</stp>
        <tr r="E1635" s="2"/>
      </tp>
    </main>
    <main first="bofaddin.rtdserver">
      <tp t="s">
        <v>#N/A N/A</v>
        <stp/>
        <stp>BDP|92808782723519518</stp>
        <tr r="R1042" s="2"/>
      </tp>
      <tp t="s">
        <v>#N/A N/A</v>
        <stp/>
        <stp>BDP|86687200099805979</stp>
        <tr r="D1151" s="2"/>
      </tp>
      <tp t="s">
        <v>#N/A N/A</v>
        <stp/>
        <stp>BDP|78789865984275380</stp>
        <tr r="O796" s="2"/>
      </tp>
      <tp t="s">
        <v>#N/A N/A</v>
        <stp/>
        <stp>BDP|91166765756714770</stp>
        <tr r="T920" s="2"/>
      </tp>
      <tp t="s">
        <v>#N/A N/A</v>
        <stp/>
        <stp>BDP|28592645227203025</stp>
        <tr r="S1235" s="2"/>
      </tp>
      <tp t="s">
        <v>#N/A N/A</v>
        <stp/>
        <stp>BDP|27994690025101302</stp>
        <tr r="J518" s="2"/>
      </tp>
      <tp t="s">
        <v>#N/A N/A</v>
        <stp/>
        <stp>BDS|833679355231050767</stp>
        <tr r="I990" s="2"/>
      </tp>
      <tp t="s">
        <v>#N/A N/A</v>
        <stp/>
        <stp>BDS|809814882790126568</stp>
        <tr r="I1252" s="2"/>
      </tp>
      <tp t="s">
        <v>#N/A N/A</v>
        <stp/>
        <stp>BDP|515443570523533583</stp>
        <tr r="A18" s="2"/>
      </tp>
      <tp t="s">
        <v>#N/A N/A</v>
        <stp/>
        <stp>BDP|923378704160597635</stp>
        <tr r="F195" s="2"/>
      </tp>
      <tp t="s">
        <v>#N/A N/A</v>
        <stp/>
        <stp>BDP|138574946456918257</stp>
        <tr r="M861" s="2"/>
      </tp>
      <tp t="s">
        <v>#N/A N/A</v>
        <stp/>
        <stp>BDP|565532142035118190</stp>
        <tr r="H1183" s="2"/>
      </tp>
      <tp t="s">
        <v>#N/A N/A</v>
        <stp/>
        <stp>BDP|509440120864858758</stp>
        <tr r="A313" s="2"/>
      </tp>
      <tp t="s">
        <v>#N/A N/A</v>
        <stp/>
        <stp>BDP|929173742769180904</stp>
        <tr r="N1455" s="2"/>
      </tp>
      <tp t="s">
        <v>#N/A N/A</v>
        <stp/>
        <stp>BDP|273765637346618789</stp>
        <tr r="J252" s="2"/>
      </tp>
      <tp t="s">
        <v>#N/A N/A</v>
        <stp/>
        <stp>BDS|873970188005357190</stp>
        <tr r="I1165" s="2"/>
      </tp>
      <tp t="s">
        <v>#N/A N/A</v>
        <stp/>
        <stp>BDP|736527508778412841</stp>
        <tr r="M1483" s="2"/>
      </tp>
      <tp t="s">
        <v>#N/A N/A</v>
        <stp/>
        <stp>BDP|798064018435545125</stp>
        <tr r="K300" s="2"/>
      </tp>
      <tp t="s">
        <v>#N/A N/A</v>
        <stp/>
        <stp>BDP|495459027250967315</stp>
        <tr r="J466" s="2"/>
      </tp>
      <tp t="s">
        <v>#N/A N/A</v>
        <stp/>
        <stp>BDP|401294865058218942</stp>
        <tr r="O788" s="2"/>
      </tp>
      <tp t="s">
        <v>#N/A N/A</v>
        <stp/>
        <stp>BDP|303191936690708753</stp>
        <tr r="T1224" s="2"/>
      </tp>
      <tp t="s">
        <v>#N/A N/A</v>
        <stp/>
        <stp>BDP|853193070326981568</stp>
        <tr r="A21" s="2"/>
      </tp>
      <tp t="s">
        <v>#N/A N/A</v>
        <stp/>
        <stp>BDS|388998223407121974</stp>
        <tr r="I421" s="2"/>
      </tp>
      <tp t="s">
        <v>#N/A N/A</v>
        <stp/>
        <stp>BDP|951263062126602745</stp>
        <tr r="K1467" s="2"/>
      </tp>
      <tp t="s">
        <v>#N/A N/A</v>
        <stp/>
        <stp>BDP|369309723461822579</stp>
        <tr r="C750" s="2"/>
      </tp>
      <tp t="s">
        <v>#N/A N/A</v>
        <stp/>
        <stp>BDP|572382337586083358</stp>
        <tr r="T410" s="2"/>
      </tp>
      <tp t="s">
        <v>#N/A N/A</v>
        <stp/>
        <stp>BDP|670810285323809655</stp>
        <tr r="S960" s="2"/>
      </tp>
      <tp t="s">
        <v>#N/A N/A</v>
        <stp/>
        <stp>BDP|722499160841429657</stp>
        <tr r="M41" s="2"/>
      </tp>
      <tp t="s">
        <v>#N/A N/A</v>
        <stp/>
        <stp>BDP|174073650267873716</stp>
        <tr r="Q586" s="2"/>
      </tp>
      <tp t="s">
        <v>#N/A N/A</v>
        <stp/>
        <stp>BDP|997074013895583107</stp>
        <tr r="F148" s="2"/>
      </tp>
      <tp t="s">
        <v>#N/A N/A</v>
        <stp/>
        <stp>BDP|924615424778096943</stp>
        <tr r="Q754" s="2"/>
      </tp>
      <tp t="s">
        <v>#N/A N/A</v>
        <stp/>
        <stp>BDP|824216247555592634</stp>
        <tr r="Q655" s="2"/>
      </tp>
      <tp t="s">
        <v>#N/A N/A</v>
        <stp/>
        <stp>BDP|613157115194731196</stp>
        <tr r="A501" s="2"/>
      </tp>
      <tp t="s">
        <v>#N/A N/A</v>
        <stp/>
        <stp>BDP|952441540220249573</stp>
        <tr r="O759" s="2"/>
      </tp>
      <tp t="s">
        <v>#N/A N/A</v>
        <stp/>
        <stp>BDP|894438354830194464</stp>
        <tr r="H1020" s="2"/>
      </tp>
      <tp t="s">
        <v>#N/A N/A</v>
        <stp/>
        <stp>BDP|205331915236983140</stp>
        <tr r="Q536" s="2"/>
      </tp>
      <tp t="s">
        <v>#N/A N/A</v>
        <stp/>
        <stp>BDP|381079659659064948</stp>
        <tr r="S1451" s="2"/>
      </tp>
      <tp t="s">
        <v>#N/A N/A</v>
        <stp/>
        <stp>BDP|386667930270466085</stp>
        <tr r="K816" s="2"/>
      </tp>
      <tp t="s">
        <v>#N/A N/A</v>
        <stp/>
        <stp>BDP|781152651468974937</stp>
        <tr r="A669" s="2"/>
      </tp>
      <tp t="s">
        <v>#N/A N/A</v>
        <stp/>
        <stp>BDS|885136550093143235</stp>
        <tr r="I945" s="2"/>
      </tp>
      <tp t="s">
        <v>#N/A N/A</v>
        <stp/>
        <stp>BDP|955400900961865087</stp>
        <tr r="G1057" s="2"/>
      </tp>
      <tp t="s">
        <v>#N/A N/A</v>
        <stp/>
        <stp>BDP|261824928466155901</stp>
        <tr r="M668" s="2"/>
      </tp>
      <tp t="s">
        <v>#N/A N/A</v>
        <stp/>
        <stp>BDP|588516825850834207</stp>
        <tr r="N1031" s="2"/>
      </tp>
      <tp t="s">
        <v>#N/A N/A</v>
        <stp/>
        <stp>BDP|881678312745742731</stp>
        <tr r="P186" s="2"/>
      </tp>
      <tp t="s">
        <v>#N/A N/A</v>
        <stp/>
        <stp>BDP|342459442493938648</stp>
        <tr r="T392" s="2"/>
      </tp>
      <tp t="s">
        <v>#N/A N/A</v>
        <stp/>
        <stp>BDP|752277802571270694</stp>
        <tr r="Q286" s="2"/>
      </tp>
      <tp t="s">
        <v>#N/A N/A</v>
        <stp/>
        <stp>BDP|933198415343580695</stp>
        <tr r="K1392" s="2"/>
      </tp>
      <tp t="s">
        <v>#N/A N/A</v>
        <stp/>
        <stp>BDP|111498764434210347</stp>
        <tr r="E748" s="2"/>
      </tp>
      <tp t="s">
        <v>#N/A N/A</v>
        <stp/>
        <stp>BDP|924176342795399555</stp>
        <tr r="Q1328" s="2"/>
      </tp>
      <tp t="s">
        <v>#N/A N/A</v>
        <stp/>
        <stp>BDP|976705976601186440</stp>
        <tr r="F1416" s="2"/>
      </tp>
      <tp t="s">
        <v>#N/A N/A</v>
        <stp/>
        <stp>BDP|223607108006685561</stp>
        <tr r="C323" s="2"/>
      </tp>
      <tp t="s">
        <v>#N/A N/A</v>
        <stp/>
        <stp>BDS|203196600366015212</stp>
        <tr r="I679" s="2"/>
      </tp>
      <tp t="s">
        <v>#N/A N/A</v>
        <stp/>
        <stp>BDP|417137093749748491</stp>
        <tr r="A1720" s="2"/>
      </tp>
      <tp t="s">
        <v>#N/A N/A</v>
        <stp/>
        <stp>BDP|936232730456078219</stp>
        <tr r="M1408" s="2"/>
      </tp>
      <tp t="s">
        <v>#N/A N/A</v>
        <stp/>
        <stp>BDP|494695566227609266</stp>
        <tr r="O1224" s="2"/>
      </tp>
      <tp t="s">
        <v>#N/A N/A</v>
        <stp/>
        <stp>BDP|517486142197396270</stp>
        <tr r="G1697" s="2"/>
      </tp>
      <tp t="s">
        <v>#N/A N/A</v>
        <stp/>
        <stp>BDP|596714835552255380</stp>
        <tr r="Q1152" s="2"/>
      </tp>
      <tp t="s">
        <v>#N/A N/A</v>
        <stp/>
        <stp>BDP|888346346737476553</stp>
        <tr r="D1468" s="2"/>
      </tp>
      <tp t="s">
        <v>#N/A N/A</v>
        <stp/>
        <stp>BDP|293465549960614506</stp>
        <tr r="P943" s="2"/>
      </tp>
      <tp t="s">
        <v>#N/A N/A</v>
        <stp/>
        <stp>BDP|843701478720285599</stp>
        <tr r="P550" s="2"/>
      </tp>
      <tp t="s">
        <v>#N/A N/A</v>
        <stp/>
        <stp>BDP|840595869115201311</stp>
        <tr r="J1294" s="2"/>
      </tp>
      <tp t="s">
        <v>#N/A N/A</v>
        <stp/>
        <stp>BDP|713641769400851590</stp>
        <tr r="N151" s="2"/>
      </tp>
      <tp t="s">
        <v>#N/A N/A</v>
        <stp/>
        <stp>BDP|901562869511681745</stp>
        <tr r="D688" s="2"/>
      </tp>
      <tp t="s">
        <v>#N/A N/A</v>
        <stp/>
        <stp>BDP|536145432692594527</stp>
        <tr r="T647" s="2"/>
      </tp>
      <tp t="s">
        <v>#N/A N/A</v>
        <stp/>
        <stp>BDP|223014990664595826</stp>
        <tr r="J1640" s="2"/>
      </tp>
      <tp t="s">
        <v>#N/A N/A</v>
        <stp/>
        <stp>BDP|123096369750051359</stp>
        <tr r="O1164" s="2"/>
      </tp>
      <tp t="s">
        <v>#N/A N/A</v>
        <stp/>
        <stp>BDS|343409403567586613</stp>
        <tr r="I1009" s="2"/>
      </tp>
      <tp t="s">
        <v>#N/A N/A</v>
        <stp/>
        <stp>BDP|266342332145039006</stp>
        <tr r="M933" s="2"/>
      </tp>
      <tp t="s">
        <v>#N/A N/A</v>
        <stp/>
        <stp>BDP|751184462506904403</stp>
        <tr r="J1690" s="2"/>
      </tp>
      <tp t="s">
        <v>#N/A N/A</v>
        <stp/>
        <stp>BDP|938114197928840520</stp>
        <tr r="R33" s="2"/>
      </tp>
      <tp t="s">
        <v>#N/A N/A</v>
        <stp/>
        <stp>BDP|150627245767088033</stp>
        <tr r="J1379" s="2"/>
      </tp>
      <tp t="s">
        <v>#N/A N/A</v>
        <stp/>
        <stp>BDP|300415621981491229</stp>
        <tr r="J570" s="2"/>
      </tp>
      <tp t="s">
        <v>#N/A N/A</v>
        <stp/>
        <stp>BDP|780629168056987315</stp>
        <tr r="J1497" s="2"/>
      </tp>
      <tp t="s">
        <v>#N/A N/A</v>
        <stp/>
        <stp>BDP|263470857023704706</stp>
        <tr r="T1325" s="2"/>
      </tp>
      <tp t="s">
        <v>#N/A N/A</v>
        <stp/>
        <stp>BDP|586458512530141066</stp>
        <tr r="S44" s="2"/>
      </tp>
      <tp t="s">
        <v>#N/A N/A</v>
        <stp/>
        <stp>BDP|967323013957518088</stp>
        <tr r="N1635" s="2"/>
      </tp>
      <tp t="s">
        <v>#N/A N/A</v>
        <stp/>
        <stp>BDP|813083833627391167</stp>
        <tr r="K495" s="2"/>
      </tp>
      <tp t="s">
        <v>#N/A N/A</v>
        <stp/>
        <stp>BDP|717394636466771398</stp>
        <tr r="G792" s="2"/>
      </tp>
      <tp t="s">
        <v>#N/A N/A</v>
        <stp/>
        <stp>BDP|751155246689586972</stp>
        <tr r="H399" s="2"/>
      </tp>
      <tp t="s">
        <v>#N/A N/A</v>
        <stp/>
        <stp>BDP|671363075096162721</stp>
        <tr r="F1742" s="2"/>
      </tp>
      <tp t="s">
        <v>#N/A N/A</v>
        <stp/>
        <stp>BDP|820606620182921374</stp>
        <tr r="C1102" s="2"/>
      </tp>
      <tp t="s">
        <v>#N/A N/A</v>
        <stp/>
        <stp>BDP|187275573924273416</stp>
        <tr r="S602" s="2"/>
      </tp>
      <tp t="s">
        <v>#N/A N/A</v>
        <stp/>
        <stp>BDP|685319073623361209</stp>
        <tr r="R205" s="2"/>
      </tp>
      <tp t="s">
        <v>#N/A N/A</v>
        <stp/>
        <stp>BDP|403579305290240031</stp>
        <tr r="D589" s="2"/>
      </tp>
      <tp t="s">
        <v>#N/A N/A</v>
        <stp/>
        <stp>BDS|374605794872458841</stp>
        <tr r="I339" s="2"/>
      </tp>
      <tp t="s">
        <v>#N/A N/A</v>
        <stp/>
        <stp>BDP|792973188437956364</stp>
        <tr r="Q1383" s="2"/>
      </tp>
      <tp t="s">
        <v>#N/A N/A</v>
        <stp/>
        <stp>BDP|770232310914148224</stp>
        <tr r="K354" s="2"/>
      </tp>
      <tp t="s">
        <v>#N/A N/A</v>
        <stp/>
        <stp>BDP|355704753881468633</stp>
        <tr r="P1261" s="2"/>
      </tp>
      <tp t="s">
        <v>#N/A N/A</v>
        <stp/>
        <stp>BDP|609346561325749532</stp>
        <tr r="A968" s="2"/>
      </tp>
      <tp t="s">
        <v>#N/A N/A</v>
        <stp/>
        <stp>BDP|164681938096685609</stp>
        <tr r="F365" s="2"/>
      </tp>
      <tp t="s">
        <v>#N/A N/A</v>
        <stp/>
        <stp>BDP|714524654924039114</stp>
        <tr r="T940" s="2"/>
      </tp>
      <tp t="s">
        <v>#N/A N/A</v>
        <stp/>
        <stp>BDP|403295403261993676</stp>
        <tr r="Q443" s="2"/>
      </tp>
      <tp t="s">
        <v>#N/A N/A</v>
        <stp/>
        <stp>BDP|499556080469681171</stp>
        <tr r="C849" s="2"/>
      </tp>
      <tp t="s">
        <v>#N/A N/A</v>
        <stp/>
        <stp>BDS|731409757790893483</stp>
        <tr r="I1513" s="2"/>
      </tp>
      <tp t="s">
        <v>#N/A N/A</v>
        <stp/>
        <stp>BDP|370674414765779769</stp>
        <tr r="P753" s="2"/>
      </tp>
      <tp t="s">
        <v>#N/A N/A</v>
        <stp/>
        <stp>BDP|321029874885004749</stp>
        <tr r="E1072" s="2"/>
      </tp>
      <tp t="s">
        <v>#N/A N/A</v>
        <stp/>
        <stp>BDP|294903941590767858</stp>
        <tr r="J401" s="2"/>
      </tp>
      <tp t="s">
        <v>#N/A N/A</v>
        <stp/>
        <stp>BDP|646962315069075444</stp>
        <tr r="C1073" s="2"/>
      </tp>
      <tp t="s">
        <v>#N/A N/A</v>
        <stp/>
        <stp>BDP|845281988727212889</stp>
        <tr r="S1731" s="2"/>
      </tp>
      <tp t="s">
        <v>#N/A N/A</v>
        <stp/>
        <stp>BDP|734909742521366942</stp>
        <tr r="J1244" s="2"/>
      </tp>
      <tp t="s">
        <v>#N/A N/A</v>
        <stp/>
        <stp>BDP|953703763522059689</stp>
        <tr r="H673" s="2"/>
      </tp>
      <tp t="s">
        <v>#N/A N/A</v>
        <stp/>
        <stp>BDP|154901087650443407</stp>
        <tr r="E264" s="2"/>
      </tp>
      <tp t="s">
        <v>#N/A N/A</v>
        <stp/>
        <stp>BDP|803536969142052404</stp>
        <tr r="K1014" s="2"/>
      </tp>
      <tp t="s">
        <v>#N/A N/A</v>
        <stp/>
        <stp>BDP|148454513057131747</stp>
        <tr r="F1127" s="2"/>
      </tp>
      <tp t="s">
        <v>#N/A N/A</v>
        <stp/>
        <stp>BDP|155484729485493668</stp>
        <tr r="Q1691" s="2"/>
      </tp>
      <tp t="s">
        <v>#N/A N/A</v>
        <stp/>
        <stp>BDP|651721952751026658</stp>
        <tr r="Q1739" s="2"/>
      </tp>
      <tp t="s">
        <v>#N/A N/A</v>
        <stp/>
        <stp>BDP|268341135013783671</stp>
        <tr r="T595" s="2"/>
      </tp>
      <tp t="s">
        <v>#N/A N/A</v>
        <stp/>
        <stp>BDS|307858784800197504</stp>
        <tr r="I1154" s="2"/>
      </tp>
      <tp t="s">
        <v>#N/A N/A</v>
        <stp/>
        <stp>BDP|941410631027933535</stp>
        <tr r="M1258" s="2"/>
      </tp>
      <tp t="s">
        <v>#N/A N/A</v>
        <stp/>
        <stp>BDP|347272762302175341</stp>
        <tr r="D1383" s="2"/>
      </tp>
      <tp t="s">
        <v>#N/A N/A</v>
        <stp/>
        <stp>BDP|911680522825321438</stp>
        <tr r="T596" s="2"/>
      </tp>
      <tp t="s">
        <v>#N/A N/A</v>
        <stp/>
        <stp>BDP|612834859558821072</stp>
        <tr r="D719" s="2"/>
      </tp>
      <tp t="s">
        <v>#N/A N/A</v>
        <stp/>
        <stp>BDP|410182039364131372</stp>
        <tr r="G1138" s="2"/>
      </tp>
      <tp t="s">
        <v>#N/A N/A</v>
        <stp/>
        <stp>BDP|282433929805909624</stp>
        <tr r="J3" s="2"/>
      </tp>
      <tp t="s">
        <v>#N/A N/A</v>
        <stp/>
        <stp>BDS|929255665074251587</stp>
        <tr r="I931" s="2"/>
      </tp>
      <tp t="s">
        <v>#N/A N/A</v>
        <stp/>
        <stp>BDP|167652946246654089</stp>
        <tr r="N1301" s="2"/>
      </tp>
      <tp t="s">
        <v>#N/A N/A</v>
        <stp/>
        <stp>BDP|833086653834934565</stp>
        <tr r="P1000" s="2"/>
      </tp>
      <tp t="s">
        <v>#N/A N/A</v>
        <stp/>
        <stp>BDP|153033470564689783</stp>
        <tr r="T58" s="2"/>
      </tp>
      <tp t="s">
        <v>#N/A N/A</v>
        <stp/>
        <stp>BDP|711474658960669523</stp>
        <tr r="M476" s="2"/>
      </tp>
      <tp t="s">
        <v>#N/A N/A</v>
        <stp/>
        <stp>BDP|343447766110834658</stp>
        <tr r="N1360" s="2"/>
      </tp>
      <tp t="s">
        <v>#N/A N/A</v>
        <stp/>
        <stp>BDP|547320598938178627</stp>
        <tr r="R306" s="2"/>
      </tp>
      <tp t="s">
        <v>#N/A N/A</v>
        <stp/>
        <stp>BDP|857238029471991576</stp>
        <tr r="F455" s="2"/>
      </tp>
      <tp t="s">
        <v>#N/A N/A</v>
        <stp/>
        <stp>BDP|587068224795360384</stp>
        <tr r="S1162" s="2"/>
      </tp>
      <tp t="s">
        <v>#N/A N/A</v>
        <stp/>
        <stp>BDP|436259369228653835</stp>
        <tr r="O787" s="2"/>
      </tp>
      <tp t="s">
        <v>#N/A N/A</v>
        <stp/>
        <stp>BDP|832450424176544418</stp>
        <tr r="S332" s="2"/>
      </tp>
      <tp t="s">
        <v>#N/A N/A</v>
        <stp/>
        <stp>BDP|966941743850527960</stp>
        <tr r="O650" s="2"/>
      </tp>
      <tp t="s">
        <v>#N/A N/A</v>
        <stp/>
        <stp>BDP|230312168405008467</stp>
        <tr r="A1752" s="2"/>
      </tp>
      <tp t="s">
        <v>#N/A N/A</v>
        <stp/>
        <stp>BDP|726929299907948385</stp>
        <tr r="E48" s="2"/>
      </tp>
      <tp t="s">
        <v>#N/A N/A</v>
        <stp/>
        <stp>BDP|962012657616276704</stp>
        <tr r="G895" s="2"/>
      </tp>
      <tp t="s">
        <v>#N/A N/A</v>
        <stp/>
        <stp>BDP|635150274872363099</stp>
        <tr r="T1190" s="2"/>
      </tp>
      <tp t="s">
        <v>#N/A N/A</v>
        <stp/>
        <stp>BDP|389495945944192038</stp>
        <tr r="D1697" s="2"/>
      </tp>
      <tp t="s">
        <v>#N/A N/A</v>
        <stp/>
        <stp>BDP|465048269145716705</stp>
        <tr r="M66" s="2"/>
      </tp>
      <tp t="s">
        <v>#N/A N/A</v>
        <stp/>
        <stp>BDP|295868706435480983</stp>
        <tr r="P593" s="2"/>
      </tp>
      <tp t="s">
        <v>#N/A N/A</v>
        <stp/>
        <stp>BDP|854780027788197987</stp>
        <tr r="H275" s="2"/>
      </tp>
      <tp t="s">
        <v>#N/A N/A</v>
        <stp/>
        <stp>BDP|866248630064257107</stp>
        <tr r="Q556" s="2"/>
      </tp>
      <tp t="s">
        <v>#N/A N/A</v>
        <stp/>
        <stp>BDP|592747259302176476</stp>
        <tr r="Q957" s="2"/>
      </tp>
      <tp t="s">
        <v>#N/A N/A</v>
        <stp/>
        <stp>BDS|248615182198634290</stp>
        <tr r="I1253" s="2"/>
      </tp>
      <tp t="s">
        <v>#N/A N/A</v>
        <stp/>
        <stp>BDP|533194410582203605</stp>
        <tr r="A1549" s="2"/>
      </tp>
      <tp t="s">
        <v>#N/A N/A</v>
        <stp/>
        <stp>BDP|302530243935548097</stp>
        <tr r="A866" s="2"/>
      </tp>
      <tp t="s">
        <v>#N/A N/A</v>
        <stp/>
        <stp>BDP|735178955252218280</stp>
        <tr r="D297" s="2"/>
      </tp>
      <tp t="s">
        <v>#N/A N/A</v>
        <stp/>
        <stp>BDP|184792337380979097</stp>
        <tr r="P1605" s="2"/>
      </tp>
      <tp t="s">
        <v>#N/A N/A</v>
        <stp/>
        <stp>BDP|265248707872790490</stp>
        <tr r="Q1581" s="2"/>
      </tp>
      <tp t="s">
        <v>#N/A N/A</v>
        <stp/>
        <stp>BDP|271396073665781509</stp>
        <tr r="N1253" s="2"/>
      </tp>
      <tp t="s">
        <v>#N/A N/A</v>
        <stp/>
        <stp>BDP|759227760162278281</stp>
        <tr r="D1431" s="2"/>
      </tp>
      <tp t="s">
        <v>#N/A N/A</v>
        <stp/>
        <stp>BDP|761253935530890572</stp>
        <tr r="D927" s="2"/>
      </tp>
      <tp t="s">
        <v>#N/A N/A</v>
        <stp/>
        <stp>BDP|274290015130386752</stp>
        <tr r="H1544" s="2"/>
      </tp>
      <tp t="s">
        <v>#N/A N/A</v>
        <stp/>
        <stp>BDP|962108951812317237</stp>
        <tr r="S1615" s="2"/>
      </tp>
      <tp t="s">
        <v>#N/A N/A</v>
        <stp/>
        <stp>BDP|664740528315057427</stp>
        <tr r="E694" s="2"/>
      </tp>
      <tp t="s">
        <v>#N/A N/A</v>
        <stp/>
        <stp>BDP|121295483738675647</stp>
        <tr r="O1493" s="2"/>
      </tp>
      <tp t="s">
        <v>#N/A N/A</v>
        <stp/>
        <stp>BDP|727519317932935215</stp>
        <tr r="D15" s="2"/>
      </tp>
      <tp t="s">
        <v>#N/A N/A</v>
        <stp/>
        <stp>BDP|222403858953527656</stp>
        <tr r="O387" s="2"/>
      </tp>
      <tp t="s">
        <v>#N/A N/A</v>
        <stp/>
        <stp>BDP|779649199558209327</stp>
        <tr r="S1217" s="2"/>
      </tp>
      <tp t="s">
        <v>#N/A N/A</v>
        <stp/>
        <stp>BDP|636098514797682272</stp>
        <tr r="P1450" s="2"/>
      </tp>
      <tp t="s">
        <v>#N/A N/A</v>
        <stp/>
        <stp>BDP|881799701181869221</stp>
        <tr r="T490" s="2"/>
      </tp>
      <tp t="s">
        <v>#N/A N/A</v>
        <stp/>
        <stp>BDP|576088345597116721</stp>
        <tr r="Q546" s="2"/>
      </tp>
      <tp t="s">
        <v>#N/A N/A</v>
        <stp/>
        <stp>BDP|212713501997982408</stp>
        <tr r="G1047" s="2"/>
      </tp>
      <tp t="s">
        <v>#N/A N/A</v>
        <stp/>
        <stp>BDP|100027354801838045</stp>
        <tr r="D460" s="2"/>
      </tp>
      <tp t="s">
        <v>#N/A N/A</v>
        <stp/>
        <stp>BDP|833227076863656216</stp>
        <tr r="D1337" s="2"/>
      </tp>
      <tp t="s">
        <v>#N/A N/A</v>
        <stp/>
        <stp>BDP|967616645424178275</stp>
        <tr r="Q738" s="2"/>
      </tp>
      <tp t="s">
        <v>#N/A N/A</v>
        <stp/>
        <stp>BDP|456801688417758301</stp>
        <tr r="H494" s="2"/>
      </tp>
      <tp t="s">
        <v>#N/A N/A</v>
        <stp/>
        <stp>BDP|691065191549274472</stp>
        <tr r="Q1360" s="2"/>
      </tp>
      <tp t="s">
        <v>#N/A N/A</v>
        <stp/>
        <stp>BDP|444039507563420706</stp>
        <tr r="J1019" s="2"/>
      </tp>
      <tp t="s">
        <v>#N/A N/A</v>
        <stp/>
        <stp>BDP|705477523707488535</stp>
        <tr r="E1517" s="2"/>
      </tp>
      <tp t="s">
        <v>#N/A N/A</v>
        <stp/>
        <stp>BDP|558878288545632186</stp>
        <tr r="H1633" s="2"/>
      </tp>
      <tp t="s">
        <v>#N/A N/A</v>
        <stp/>
        <stp>BDP|686865189533817754</stp>
        <tr r="K110" s="2"/>
      </tp>
      <tp t="s">
        <v>#N/A N/A</v>
        <stp/>
        <stp>BDP|751616497129478216</stp>
        <tr r="N479" s="2"/>
      </tp>
      <tp t="s">
        <v>#N/A N/A</v>
        <stp/>
        <stp>BDP|878097014777706266</stp>
        <tr r="E777" s="2"/>
      </tp>
      <tp t="s">
        <v>#N/A N/A</v>
        <stp/>
        <stp>BDP|203551349796900331</stp>
        <tr r="G664" s="2"/>
      </tp>
      <tp t="s">
        <v>#N/A N/A</v>
        <stp/>
        <stp>BDP|912875980770332494</stp>
        <tr r="F537" s="2"/>
      </tp>
      <tp t="s">
        <v>#N/A N/A</v>
        <stp/>
        <stp>BDP|683915767819663227</stp>
        <tr r="N1054" s="2"/>
      </tp>
      <tp t="s">
        <v>#N/A N/A</v>
        <stp/>
        <stp>BDP|419250542031006374</stp>
        <tr r="H779" s="2"/>
      </tp>
      <tp t="s">
        <v>#N/A N/A</v>
        <stp/>
        <stp>BDP|352379244923759028</stp>
        <tr r="A1312" s="2"/>
      </tp>
      <tp t="s">
        <v>#N/A N/A</v>
        <stp/>
        <stp>BDP|172402603982410235</stp>
        <tr r="F450" s="2"/>
      </tp>
      <tp t="s">
        <v>#N/A N/A</v>
        <stp/>
        <stp>BDP|237900524517272813</stp>
        <tr r="D1274" s="2"/>
      </tp>
      <tp t="s">
        <v>#N/A N/A</v>
        <stp/>
        <stp>BDP|565127422446641162</stp>
        <tr r="C392" s="2"/>
      </tp>
      <tp t="s">
        <v>#N/A N/A</v>
        <stp/>
        <stp>BDP|155363246762200165</stp>
        <tr r="K1755" s="2"/>
      </tp>
      <tp t="s">
        <v>#N/A N/A</v>
        <stp/>
        <stp>BDP|558472167467949193</stp>
        <tr r="J1239" s="2"/>
      </tp>
      <tp t="s">
        <v>#N/A N/A</v>
        <stp/>
        <stp>BDP|745689910571073295</stp>
        <tr r="F292" s="2"/>
      </tp>
      <tp t="s">
        <v>#N/A N/A</v>
        <stp/>
        <stp>BDP|389371297039073754</stp>
        <tr r="S1539" s="2"/>
      </tp>
      <tp t="s">
        <v>#N/A N/A</v>
        <stp/>
        <stp>BDP|674580995349523189</stp>
        <tr r="E1107" s="2"/>
      </tp>
      <tp t="s">
        <v>#N/A N/A</v>
        <stp/>
        <stp>BDP|789165350206676615</stp>
        <tr r="T1107" s="2"/>
      </tp>
      <tp t="s">
        <v>#N/A N/A</v>
        <stp/>
        <stp>BDP|562321820056291333</stp>
        <tr r="S1016" s="2"/>
      </tp>
      <tp t="s">
        <v>#N/A N/A</v>
        <stp/>
        <stp>BDP|388054842751412168</stp>
        <tr r="J729" s="2"/>
      </tp>
      <tp t="s">
        <v>#N/A N/A</v>
        <stp/>
        <stp>BDP|856841688581209506</stp>
        <tr r="K1254" s="2"/>
      </tp>
      <tp t="s">
        <v>#N/A N/A</v>
        <stp/>
        <stp>BDP|758828610418625540</stp>
        <tr r="K765" s="2"/>
      </tp>
      <tp t="s">
        <v>#N/A N/A</v>
        <stp/>
        <stp>BDP|602830735868122761</stp>
        <tr r="K792" s="2"/>
      </tp>
      <tp t="s">
        <v>#N/A N/A</v>
        <stp/>
        <stp>BDP|803375140442024188</stp>
        <tr r="O553" s="2"/>
      </tp>
      <tp t="s">
        <v>#N/A N/A</v>
        <stp/>
        <stp>BDP|179375365681285062</stp>
        <tr r="N419" s="2"/>
      </tp>
      <tp t="s">
        <v>#N/A N/A</v>
        <stp/>
        <stp>BDP|389229367263193305</stp>
        <tr r="T528" s="2"/>
      </tp>
      <tp t="s">
        <v>#N/A N/A</v>
        <stp/>
        <stp>BDP|381008067165542769</stp>
        <tr r="R881" s="2"/>
      </tp>
      <tp t="s">
        <v>#N/A N/A</v>
        <stp/>
        <stp>BDP|877181331430012661</stp>
        <tr r="K503" s="2"/>
      </tp>
      <tp t="s">
        <v>#N/A N/A</v>
        <stp/>
        <stp>BDP|126943501395550861</stp>
        <tr r="M1618" s="2"/>
      </tp>
      <tp t="s">
        <v>#N/A N/A</v>
        <stp/>
        <stp>BDP|409553826524924792</stp>
        <tr r="Q517" s="2"/>
      </tp>
      <tp t="s">
        <v>#N/A N/A</v>
        <stp/>
        <stp>BDS|884658143970841666</stp>
        <tr r="I1625" s="2"/>
      </tp>
      <tp t="s">
        <v>#N/A N/A</v>
        <stp/>
        <stp>BDP|759510674857158136</stp>
        <tr r="D148" s="2"/>
      </tp>
      <tp t="s">
        <v>#N/A N/A</v>
        <stp/>
        <stp>BDP|352109378091882338</stp>
        <tr r="N609" s="2"/>
      </tp>
      <tp t="s">
        <v>#N/A N/A</v>
        <stp/>
        <stp>BDP|156237234965549032</stp>
        <tr r="D1377" s="2"/>
      </tp>
      <tp t="s">
        <v>#N/A N/A</v>
        <stp/>
        <stp>BDP|362766702094205753</stp>
        <tr r="S599" s="2"/>
      </tp>
      <tp t="s">
        <v>#N/A N/A</v>
        <stp/>
        <stp>BDP|210000977021741223</stp>
        <tr r="T1605" s="2"/>
      </tp>
      <tp t="s">
        <v>#N/A N/A</v>
        <stp/>
        <stp>BDP|770358237876471217</stp>
        <tr r="R727" s="2"/>
      </tp>
      <tp t="s">
        <v>#N/A N/A</v>
        <stp/>
        <stp>BDP|131229625125552126</stp>
        <tr r="K639" s="2"/>
      </tp>
      <tp t="s">
        <v>#N/A N/A</v>
        <stp/>
        <stp>BDP|160847931017074854</stp>
        <tr r="F460" s="2"/>
      </tp>
      <tp t="s">
        <v>#N/A N/A</v>
        <stp/>
        <stp>BDP|325654872057329266</stp>
        <tr r="M1175" s="2"/>
      </tp>
      <tp t="s">
        <v>#N/A N/A</v>
        <stp/>
        <stp>BDP|157267975022629352</stp>
        <tr r="G676" s="2"/>
      </tp>
      <tp t="s">
        <v>#N/A N/A</v>
        <stp/>
        <stp>BDP|979717963234825123</stp>
        <tr r="J458" s="2"/>
      </tp>
      <tp t="s">
        <v>#N/A N/A</v>
        <stp/>
        <stp>BDP|751178948339880816</stp>
        <tr r="R371" s="2"/>
      </tp>
      <tp t="s">
        <v>#N/A N/A</v>
        <stp/>
        <stp>BDP|742086779307726405</stp>
        <tr r="Q1056" s="2"/>
      </tp>
      <tp t="s">
        <v>#N/A N/A</v>
        <stp/>
        <stp>BDP|340598933617926522</stp>
        <tr r="C553" s="2"/>
      </tp>
      <tp t="s">
        <v>#N/A N/A</v>
        <stp/>
        <stp>BDP|636280699668764728</stp>
        <tr r="R466" s="2"/>
      </tp>
      <tp t="s">
        <v>#N/A N/A</v>
        <stp/>
        <stp>BDP|955795090932250805</stp>
        <tr r="T1573" s="2"/>
      </tp>
      <tp t="s">
        <v>#N/A N/A</v>
        <stp/>
        <stp>BDP|387376933487720324</stp>
        <tr r="Q1334" s="2"/>
      </tp>
      <tp t="s">
        <v>#N/A N/A</v>
        <stp/>
        <stp>BDP|583205035042025729</stp>
        <tr r="G1363" s="2"/>
      </tp>
      <tp t="s">
        <v>#N/A N/A</v>
        <stp/>
        <stp>BDP|980690823895931587</stp>
        <tr r="O1443" s="2"/>
      </tp>
      <tp t="s">
        <v>#N/A N/A</v>
        <stp/>
        <stp>BDP|831520228880425352</stp>
        <tr r="K619" s="2"/>
      </tp>
      <tp t="s">
        <v>#N/A N/A</v>
        <stp/>
        <stp>BDP|906639835172923353</stp>
        <tr r="M62" s="2"/>
      </tp>
      <tp t="s">
        <v>#N/A N/A</v>
        <stp/>
        <stp>BDP|973148279221224356</stp>
        <tr r="C1342" s="2"/>
      </tp>
      <tp t="s">
        <v>#N/A N/A</v>
        <stp/>
        <stp>BDP|794710017774655646</stp>
        <tr r="H1248" s="2"/>
      </tp>
      <tp t="s">
        <v>#N/A N/A</v>
        <stp/>
        <stp>BDP|648044065400370271</stp>
        <tr r="G1302" s="2"/>
      </tp>
      <tp t="s">
        <v>#N/A N/A</v>
        <stp/>
        <stp>BDP|199462167582451478</stp>
        <tr r="Q1163" s="2"/>
      </tp>
      <tp t="s">
        <v>#N/A N/A</v>
        <stp/>
        <stp>BDP|100022464960364279</stp>
        <tr r="R356" s="2"/>
      </tp>
      <tp t="s">
        <v>#N/A N/A</v>
        <stp/>
        <stp>BDP|143509845863358645</stp>
        <tr r="H1710" s="2"/>
      </tp>
      <tp t="s">
        <v>#N/A N/A</v>
        <stp/>
        <stp>BDP|293040137994482091</stp>
        <tr r="C241" s="2"/>
      </tp>
      <tp t="s">
        <v>#N/A N/A</v>
        <stp/>
        <stp>BDP|286492879757617385</stp>
        <tr r="F951" s="2"/>
      </tp>
      <tp t="s">
        <v>#N/A N/A</v>
        <stp/>
        <stp>BDP|317698716534538458</stp>
        <tr r="F445" s="2"/>
      </tp>
      <tp t="s">
        <v>#N/A N/A</v>
        <stp/>
        <stp>BDP|802500454425236222</stp>
        <tr r="O1264" s="2"/>
      </tp>
      <tp t="s">
        <v>#N/A N/A</v>
        <stp/>
        <stp>BDP|127289009031443495</stp>
        <tr r="F622" s="2"/>
      </tp>
      <tp t="s">
        <v>#N/A N/A</v>
        <stp/>
        <stp>BDP|158181722347214348</stp>
        <tr r="S1236" s="2"/>
      </tp>
      <tp t="s">
        <v>#N/A N/A</v>
        <stp/>
        <stp>BDP|881622346993995689</stp>
        <tr r="S1380" s="2"/>
      </tp>
      <tp t="s">
        <v>#N/A N/A</v>
        <stp/>
        <stp>BDP|124057841962123199</stp>
        <tr r="H891" s="2"/>
      </tp>
      <tp t="s">
        <v>#N/A N/A</v>
        <stp/>
        <stp>BDP|683108925245618184</stp>
        <tr r="R266" s="2"/>
      </tp>
      <tp t="s">
        <v>#N/A N/A</v>
        <stp/>
        <stp>BDP|227723038394714726</stp>
        <tr r="H1511" s="2"/>
      </tp>
      <tp t="s">
        <v>#N/A N/A</v>
        <stp/>
        <stp>BDP|946743430203685055</stp>
        <tr r="D1741" s="2"/>
      </tp>
      <tp t="s">
        <v>#N/A N/A</v>
        <stp/>
        <stp>BDP|207683960121791637</stp>
        <tr r="G1280" s="2"/>
      </tp>
      <tp t="s">
        <v>#N/A N/A</v>
        <stp/>
        <stp>BDP|536842501259889667</stp>
        <tr r="D1189" s="2"/>
      </tp>
      <tp t="s">
        <v>#N/A N/A</v>
        <stp/>
        <stp>BDS|561682207132613328</stp>
        <tr r="I684" s="2"/>
      </tp>
      <tp t="s">
        <v>#N/A N/A</v>
        <stp/>
        <stp>BDP|556384087888328479</stp>
        <tr r="P905" s="2"/>
      </tp>
      <tp t="s">
        <v>#N/A N/A</v>
        <stp/>
        <stp>BDS|717089566837569620</stp>
        <tr r="I98" s="2"/>
      </tp>
      <tp t="s">
        <v>#N/A N/A</v>
        <stp/>
        <stp>BDP|411244455981810138</stp>
        <tr r="R531" s="2"/>
      </tp>
      <tp t="s">
        <v>#N/A N/A</v>
        <stp/>
        <stp>BDP|203407922710993162</stp>
        <tr r="P855" s="2"/>
      </tp>
      <tp t="s">
        <v>#N/A N/A</v>
        <stp/>
        <stp>BDP|308127982807870943</stp>
        <tr r="D1438" s="2"/>
      </tp>
      <tp t="s">
        <v>#N/A N/A</v>
        <stp/>
        <stp>BDP|833533926929448964</stp>
        <tr r="A527" s="2"/>
      </tp>
      <tp t="s">
        <v>#N/A N/A</v>
        <stp/>
        <stp>BDP|737093374156446611</stp>
        <tr r="H899" s="2"/>
      </tp>
      <tp t="s">
        <v>#N/A N/A</v>
        <stp/>
        <stp>BDP|119762566256145083</stp>
        <tr r="J37" s="2"/>
      </tp>
      <tp t="s">
        <v>#N/A N/A</v>
        <stp/>
        <stp>BDP|250216450549303983</stp>
        <tr r="K878" s="2"/>
      </tp>
      <tp t="s">
        <v>#N/A N/A</v>
        <stp/>
        <stp>BDP|166764569480353641</stp>
        <tr r="E456" s="2"/>
      </tp>
      <tp t="s">
        <v>#N/A N/A</v>
        <stp/>
        <stp>BDS|806209444884442514</stp>
        <tr r="I1505" s="2"/>
      </tp>
      <tp t="s">
        <v>#N/A N/A</v>
        <stp/>
        <stp>BDP|310553550786644195</stp>
        <tr r="F1202" s="2"/>
      </tp>
      <tp t="s">
        <v>#N/A N/A</v>
        <stp/>
        <stp>BDP|516463042870388788</stp>
        <tr r="S233" s="2"/>
      </tp>
      <tp t="s">
        <v>#N/A N/A</v>
        <stp/>
        <stp>BDP|260728131606907522</stp>
        <tr r="N280" s="2"/>
      </tp>
      <tp t="s">
        <v>#N/A N/A</v>
        <stp/>
        <stp>BDP|315133129901115522</stp>
        <tr r="A838" s="2"/>
      </tp>
      <tp t="s">
        <v>#N/A N/A</v>
        <stp/>
        <stp>BDP|985120327814506039</stp>
        <tr r="Q32" s="2"/>
      </tp>
      <tp t="s">
        <v>#N/A N/A</v>
        <stp/>
        <stp>BDP|425467568263804684</stp>
        <tr r="J1365" s="2"/>
      </tp>
      <tp t="s">
        <v>#N/A N/A</v>
        <stp/>
        <stp>BDP|554862329218000506</stp>
        <tr r="R604" s="2"/>
      </tp>
      <tp t="s">
        <v>#N/A N/A</v>
        <stp/>
        <stp>BDP|723609903924773594</stp>
        <tr r="S68" s="2"/>
      </tp>
      <tp t="s">
        <v>#N/A N/A</v>
        <stp/>
        <stp>BDP|875657001032787303</stp>
        <tr r="T1153" s="2"/>
      </tp>
      <tp t="s">
        <v>#N/A N/A</v>
        <stp/>
        <stp>BDP|228232024885986278</stp>
        <tr r="G353" s="2"/>
      </tp>
      <tp t="s">
        <v>#N/A N/A</v>
        <stp/>
        <stp>BDP|594162322664330097</stp>
        <tr r="R1504" s="2"/>
      </tp>
      <tp t="s">
        <v>#N/A N/A</v>
        <stp/>
        <stp>BDP|518428941456516180</stp>
        <tr r="T172" s="2"/>
      </tp>
      <tp t="s">
        <v>#N/A N/A</v>
        <stp/>
        <stp>BDP|660798662662147470</stp>
        <tr r="M247" s="2"/>
      </tp>
      <tp t="s">
        <v>#N/A N/A</v>
        <stp/>
        <stp>BDP|807936480136265023</stp>
        <tr r="N226" s="2"/>
      </tp>
      <tp t="s">
        <v>#N/A N/A</v>
        <stp/>
        <stp>BDP|290361983725538998</stp>
        <tr r="N131" s="2"/>
      </tp>
      <tp t="s">
        <v>#N/A N/A</v>
        <stp/>
        <stp>BDP|764309495165089893</stp>
        <tr r="O620" s="2"/>
      </tp>
      <tp t="s">
        <v>#N/A N/A</v>
        <stp/>
        <stp>BDP|386412011566404434</stp>
        <tr r="O1310" s="2"/>
      </tp>
      <tp t="s">
        <v>#N/A N/A</v>
        <stp/>
        <stp>BDP|301176224667392371</stp>
        <tr r="Q412" s="2"/>
      </tp>
      <tp t="s">
        <v>#N/A N/A</v>
        <stp/>
        <stp>BDP|561179303570513602</stp>
        <tr r="J218" s="2"/>
      </tp>
      <tp t="s">
        <v>#N/A N/A</v>
        <stp/>
        <stp>BDP|601833590612229439</stp>
        <tr r="J620" s="2"/>
      </tp>
      <tp t="s">
        <v>#N/A N/A</v>
        <stp/>
        <stp>BDP|687627321175181609</stp>
        <tr r="C941" s="2"/>
      </tp>
      <tp t="s">
        <v>#N/A N/A</v>
        <stp/>
        <stp>BDP|501779973946356165</stp>
        <tr r="K814" s="2"/>
      </tp>
      <tp t="s">
        <v>#N/A N/A</v>
        <stp/>
        <stp>BDP|555799669710883693</stp>
        <tr r="G1410" s="2"/>
      </tp>
      <tp t="s">
        <v>#N/A N/A</v>
        <stp/>
        <stp>BDP|499543913667544429</stp>
        <tr r="E582" s="2"/>
      </tp>
      <tp t="s">
        <v>#N/A N/A</v>
        <stp/>
        <stp>BDP|506748695871385839</stp>
        <tr r="N237" s="2"/>
      </tp>
      <tp t="s">
        <v>#N/A N/A</v>
        <stp/>
        <stp>BDP|786353752076696724</stp>
        <tr r="P1328" s="2"/>
      </tp>
      <tp t="s">
        <v>#N/A N/A</v>
        <stp/>
        <stp>BDP|713394301674356090</stp>
        <tr r="S234" s="2"/>
      </tp>
      <tp t="s">
        <v>#N/A N/A</v>
        <stp/>
        <stp>BDP|173171736765512006</stp>
        <tr r="D1213" s="2"/>
      </tp>
      <tp t="s">
        <v>#N/A N/A</v>
        <stp/>
        <stp>BDP|559634044040632516</stp>
        <tr r="P1098" s="2"/>
      </tp>
      <tp t="s">
        <v>#N/A N/A</v>
        <stp/>
        <stp>BDP|768643708904975547</stp>
        <tr r="T761" s="2"/>
      </tp>
      <tp t="s">
        <v>#N/A N/A</v>
        <stp/>
        <stp>BDP|664792335563548096</stp>
        <tr r="F1254" s="2"/>
      </tp>
      <tp t="s">
        <v>#N/A N/A</v>
        <stp/>
        <stp>BDP|750072436171462543</stp>
        <tr r="O668" s="2"/>
      </tp>
      <tp t="s">
        <v>#N/A N/A</v>
        <stp/>
        <stp>BDP|996428445890812709</stp>
        <tr r="C199" s="2"/>
      </tp>
      <tp t="s">
        <v>#N/A N/A</v>
        <stp/>
        <stp>BDP|860713359150562534</stp>
        <tr r="K1168" s="2"/>
      </tp>
      <tp t="s">
        <v>#N/A N/A</v>
        <stp/>
        <stp>BDP|292065071115688552</stp>
        <tr r="G238" s="2"/>
      </tp>
      <tp t="s">
        <v>#N/A N/A</v>
        <stp/>
        <stp>BDP|918499008987710497</stp>
        <tr r="N1700" s="2"/>
      </tp>
      <tp t="s">
        <v>#N/A N/A</v>
        <stp/>
        <stp>BDP|317146404477505107</stp>
        <tr r="K156" s="2"/>
      </tp>
      <tp t="s">
        <v>#N/A N/A</v>
        <stp/>
        <stp>BDP|802339496645882832</stp>
        <tr r="C395" s="2"/>
      </tp>
      <tp t="s">
        <v>#N/A N/A</v>
        <stp/>
        <stp>BDS|206569774562416737</stp>
        <tr r="I1256" s="2"/>
      </tp>
      <tp t="s">
        <v>#N/A N/A</v>
        <stp/>
        <stp>BDP|213453160610348539</stp>
        <tr r="R178" s="2"/>
      </tp>
      <tp t="s">
        <v>#N/A N/A</v>
        <stp/>
        <stp>BDP|893003934121312584</stp>
        <tr r="P496" s="2"/>
      </tp>
      <tp t="s">
        <v>#N/A N/A</v>
        <stp/>
        <stp>BDP|323873687133378479</stp>
        <tr r="F1634" s="2"/>
      </tp>
      <tp t="s">
        <v>#N/A N/A</v>
        <stp/>
        <stp>BDP|325972977580521918</stp>
        <tr r="K1035" s="2"/>
      </tp>
      <tp t="s">
        <v>#N/A N/A</v>
        <stp/>
        <stp>BDP|487509604374193667</stp>
        <tr r="E1428" s="2"/>
      </tp>
      <tp t="s">
        <v>#N/A N/A</v>
        <stp/>
        <stp>BDP|232831205457610855</stp>
        <tr r="N974" s="2"/>
      </tp>
      <tp t="s">
        <v>#N/A N/A</v>
        <stp/>
        <stp>BDP|167903216538271727</stp>
        <tr r="S1355" s="2"/>
      </tp>
      <tp t="s">
        <v>#N/A N/A</v>
        <stp/>
        <stp>BDP|627797858595407041</stp>
        <tr r="P394" s="2"/>
      </tp>
      <tp t="s">
        <v>#N/A N/A</v>
        <stp/>
        <stp>BDP|329114727130625442</stp>
        <tr r="R236" s="2"/>
      </tp>
      <tp t="s">
        <v>#N/A N/A</v>
        <stp/>
        <stp>BDP|254006070365151540</stp>
        <tr r="C923" s="2"/>
      </tp>
      <tp t="s">
        <v>#N/A N/A</v>
        <stp/>
        <stp>BDP|645510424341195127</stp>
        <tr r="S995" s="2"/>
      </tp>
      <tp t="s">
        <v>#N/A N/A</v>
        <stp/>
        <stp>BDP|304089008736438171</stp>
        <tr r="P1157" s="2"/>
      </tp>
      <tp t="s">
        <v>#N/A N/A</v>
        <stp/>
        <stp>BDP|521809601219458600</stp>
        <tr r="N1547" s="2"/>
      </tp>
      <tp t="s">
        <v>#N/A N/A</v>
        <stp/>
        <stp>BDP|789872782680571779</stp>
        <tr r="M1051" s="2"/>
      </tp>
      <tp t="s">
        <v>#N/A N/A</v>
        <stp/>
        <stp>BDP|557261760471575261</stp>
        <tr r="F640" s="2"/>
      </tp>
      <tp t="s">
        <v>#N/A N/A</v>
        <stp/>
        <stp>BDP|500575227387125743</stp>
        <tr r="O1536" s="2"/>
      </tp>
      <tp t="s">
        <v>#N/A N/A</v>
        <stp/>
        <stp>BDP|124128753627717479</stp>
        <tr r="R870" s="2"/>
      </tp>
      <tp t="s">
        <v>#N/A N/A</v>
        <stp/>
        <stp>BDP|917575873473800655</stp>
        <tr r="F839" s="2"/>
      </tp>
      <tp t="s">
        <v>#N/A N/A</v>
        <stp/>
        <stp>BDP|773941632604153900</stp>
        <tr r="G1454" s="2"/>
      </tp>
      <tp t="s">
        <v>#N/A N/A</v>
        <stp/>
        <stp>BDP|277311977026454518</stp>
        <tr r="K755" s="2"/>
      </tp>
      <tp t="s">
        <v>#N/A N/A</v>
        <stp/>
        <stp>BDP|773747781251769948</stp>
        <tr r="P1755" s="2"/>
      </tp>
      <tp t="s">
        <v>#N/A N/A</v>
        <stp/>
        <stp>BDP|130722776713009444</stp>
        <tr r="D1227" s="2"/>
      </tp>
      <tp t="s">
        <v>#N/A N/A</v>
        <stp/>
        <stp>BDP|525216307323207607</stp>
        <tr r="N98" s="2"/>
      </tp>
      <tp t="s">
        <v>#N/A N/A</v>
        <stp/>
        <stp>BDP|482851387482797502</stp>
        <tr r="P707" s="2"/>
      </tp>
      <tp t="s">
        <v>#N/A N/A</v>
        <stp/>
        <stp>BDS|480176678162285381</stp>
        <tr r="I304" s="2"/>
      </tp>
      <tp t="s">
        <v>#N/A N/A</v>
        <stp/>
        <stp>BDP|749010574243615353</stp>
        <tr r="H309" s="2"/>
      </tp>
      <tp t="s">
        <v>#N/A N/A</v>
        <stp/>
        <stp>BDP|151737107123262361</stp>
        <tr r="E12" s="2"/>
      </tp>
      <tp t="s">
        <v>#N/A N/A</v>
        <stp/>
        <stp>BDP|752672522457529464</stp>
        <tr r="G1421" s="2"/>
      </tp>
      <tp t="s">
        <v>#N/A N/A</v>
        <stp/>
        <stp>BDP|868184005882272456</stp>
        <tr r="A808" s="2"/>
      </tp>
      <tp t="s">
        <v>#N/A N/A</v>
        <stp/>
        <stp>BDP|713318253823761204</stp>
        <tr r="Q1438" s="2"/>
      </tp>
      <tp t="s">
        <v>#N/A N/A</v>
        <stp/>
        <stp>BDP|372725341272194639</stp>
        <tr r="A1564" s="2"/>
      </tp>
      <tp t="s">
        <v>#N/A N/A</v>
        <stp/>
        <stp>BDP|445480218305394758</stp>
        <tr r="N336" s="2"/>
      </tp>
      <tp t="s">
        <v>#N/A N/A</v>
        <stp/>
        <stp>BDP|982781711918646940</stp>
        <tr r="P697" s="2"/>
      </tp>
      <tp t="s">
        <v>#N/A N/A</v>
        <stp/>
        <stp>BDP|234555436589609849</stp>
        <tr r="O643" s="2"/>
      </tp>
      <tp t="s">
        <v>#N/A N/A</v>
        <stp/>
        <stp>BDP|143415022130420159</stp>
        <tr r="H252" s="2"/>
      </tp>
      <tp t="s">
        <v>#N/A N/A</v>
        <stp/>
        <stp>BDP|546376723744495263</stp>
        <tr r="J768" s="2"/>
      </tp>
      <tp t="s">
        <v>#N/A N/A</v>
        <stp/>
        <stp>BDP|322678847796578359</stp>
        <tr r="C970" s="2"/>
      </tp>
      <tp t="s">
        <v>#N/A N/A</v>
        <stp/>
        <stp>BDP|264094937333627795</stp>
        <tr r="P387" s="2"/>
      </tp>
      <tp t="s">
        <v>#N/A N/A</v>
        <stp/>
        <stp>BDP|387680444935936054</stp>
        <tr r="T875" s="2"/>
      </tp>
      <tp t="s">
        <v>#N/A N/A</v>
        <stp/>
        <stp>BDP|764705319453508379</stp>
        <tr r="H1489" s="2"/>
      </tp>
      <tp t="s">
        <v>#N/A N/A</v>
        <stp/>
        <stp>BDP|919749847385273042</stp>
        <tr r="F1558" s="2"/>
      </tp>
      <tp t="s">
        <v>#N/A N/A</v>
        <stp/>
        <stp>BDP|216588536128019806</stp>
        <tr r="E293" s="2"/>
      </tp>
      <tp t="s">
        <v>#N/A N/A</v>
        <stp/>
        <stp>BDP|109853486751862760</stp>
        <tr r="Q1245" s="2"/>
      </tp>
      <tp t="s">
        <v>#N/A N/A</v>
        <stp/>
        <stp>BDP|852597550476583088</stp>
        <tr r="O368" s="2"/>
      </tp>
      <tp t="s">
        <v>#N/A N/A</v>
        <stp/>
        <stp>BDS|898614888930523880</stp>
        <tr r="I302" s="2"/>
      </tp>
      <tp t="s">
        <v>#N/A N/A</v>
        <stp/>
        <stp>BDP|791255748344100465</stp>
        <tr r="J1127" s="2"/>
      </tp>
      <tp t="s">
        <v>#N/A N/A</v>
        <stp/>
        <stp>BDP|827230846802030208</stp>
        <tr r="O969" s="2"/>
      </tp>
      <tp t="s">
        <v>#N/A N/A</v>
        <stp/>
        <stp>BDP|968202109821757596</stp>
        <tr r="M640" s="2"/>
      </tp>
      <tp t="s">
        <v>#N/A N/A</v>
        <stp/>
        <stp>BDP|642437258607088031</stp>
        <tr r="N221" s="2"/>
      </tp>
      <tp t="s">
        <v>#N/A N/A</v>
        <stp/>
        <stp>BDP|346243478993991087</stp>
        <tr r="A1358" s="2"/>
      </tp>
      <tp t="s">
        <v>#N/A N/A</v>
        <stp/>
        <stp>BDP|945545830756161625</stp>
        <tr r="T1500" s="2"/>
      </tp>
      <tp t="s">
        <v>#N/A N/A</v>
        <stp/>
        <stp>BDS|810598019520066274</stp>
        <tr r="I855" s="2"/>
      </tp>
      <tp t="s">
        <v>#N/A N/A</v>
        <stp/>
        <stp>BDP|366479823195941517</stp>
        <tr r="E670" s="2"/>
      </tp>
      <tp t="s">
        <v>#N/A N/A</v>
        <stp/>
        <stp>BDP|713997244749173244</stp>
        <tr r="M964" s="2"/>
      </tp>
      <tp t="s">
        <v>#N/A N/A</v>
        <stp/>
        <stp>BDP|350595475387787378</stp>
        <tr r="Q687" s="2"/>
      </tp>
      <tp t="s">
        <v>#N/A N/A</v>
        <stp/>
        <stp>BDS|853124707081453665</stp>
        <tr r="I88" s="2"/>
      </tp>
      <tp t="s">
        <v>#N/A N/A</v>
        <stp/>
        <stp>BDP|282799936512055025</stp>
        <tr r="C1573" s="2"/>
      </tp>
      <tp t="s">
        <v>#N/A N/A</v>
        <stp/>
        <stp>BDP|925298300853833775</stp>
        <tr r="Q1244" s="2"/>
      </tp>
      <tp t="s">
        <v>#N/A N/A</v>
        <stp/>
        <stp>BDS|895330442497983686</stp>
        <tr r="I576" s="2"/>
      </tp>
      <tp t="s">
        <v>#N/A N/A</v>
        <stp/>
        <stp>BDP|694608569133738519</stp>
        <tr r="Q1139" s="2"/>
      </tp>
      <tp t="s">
        <v>#N/A N/A</v>
        <stp/>
        <stp>BDP|372931899480991695</stp>
        <tr r="A406" s="2"/>
      </tp>
      <tp t="s">
        <v>#N/A N/A</v>
        <stp/>
        <stp>BDP|859568796929048311</stp>
        <tr r="C177" s="2"/>
      </tp>
      <tp t="s">
        <v>#N/A N/A</v>
        <stp/>
        <stp>BDP|903013066049709904</stp>
        <tr r="R1350" s="2"/>
      </tp>
      <tp t="s">
        <v>#N/A N/A</v>
        <stp/>
        <stp>BDP|206185262647335624</stp>
        <tr r="F1402" s="2"/>
      </tp>
      <tp t="s">
        <v>#N/A N/A</v>
        <stp/>
        <stp>BDP|199309515955879163</stp>
        <tr r="Q674" s="2"/>
      </tp>
      <tp t="s">
        <v>#N/A N/A</v>
        <stp/>
        <stp>BDP|247162179402255256</stp>
        <tr r="N539" s="2"/>
      </tp>
      <tp t="s">
        <v>#N/A N/A</v>
        <stp/>
        <stp>BDP|709882482895380343</stp>
        <tr r="T1228" s="2"/>
      </tp>
      <tp t="s">
        <v>#N/A N/A</v>
        <stp/>
        <stp>BDP|324793084061623825</stp>
        <tr r="F828" s="2"/>
      </tp>
      <tp t="s">
        <v>#N/A N/A</v>
        <stp/>
        <stp>BDP|695739078217335145</stp>
        <tr r="R545" s="2"/>
      </tp>
      <tp t="s">
        <v>#N/A N/A</v>
        <stp/>
        <stp>BDP|826126319881007787</stp>
        <tr r="R714" s="2"/>
      </tp>
      <tp t="s">
        <v>#N/A N/A</v>
        <stp/>
        <stp>BDP|744495350821392662</stp>
        <tr r="T1423" s="2"/>
      </tp>
      <tp t="s">
        <v>#N/A N/A</v>
        <stp/>
        <stp>BDP|983468411605176647</stp>
        <tr r="C1127" s="2"/>
      </tp>
      <tp t="s">
        <v>#N/A N/A</v>
        <stp/>
        <stp>BDP|844992106266319909</stp>
        <tr r="S458" s="2"/>
      </tp>
      <tp t="s">
        <v>#N/A N/A</v>
        <stp/>
        <stp>BDP|451687168272173414</stp>
        <tr r="R492" s="2"/>
      </tp>
      <tp t="s">
        <v>#N/A N/A</v>
        <stp/>
        <stp>BDP|878959710398180683</stp>
        <tr r="T525" s="2"/>
      </tp>
      <tp t="s">
        <v>#N/A N/A</v>
        <stp/>
        <stp>BDP|748217028406287088</stp>
        <tr r="S635" s="2"/>
      </tp>
      <tp t="s">
        <v>#N/A N/A</v>
        <stp/>
        <stp>BDP|229314317457186302</stp>
        <tr r="E1572" s="2"/>
      </tp>
      <tp t="s">
        <v>#N/A N/A</v>
        <stp/>
        <stp>BDP|937664305421781183</stp>
        <tr r="N501" s="2"/>
      </tp>
      <tp t="s">
        <v>#N/A N/A</v>
        <stp/>
        <stp>BDP|630525230035961589</stp>
        <tr r="J424" s="2"/>
      </tp>
      <tp t="s">
        <v>#N/A N/A</v>
        <stp/>
        <stp>BDP|500634321966250404</stp>
        <tr r="H862" s="2"/>
      </tp>
      <tp t="s">
        <v>#N/A N/A</v>
        <stp/>
        <stp>BDP|281209397385471846</stp>
        <tr r="P1436" s="2"/>
      </tp>
      <tp t="s">
        <v>#N/A N/A</v>
        <stp/>
        <stp>BDP|865876184077798199</stp>
        <tr r="P1456" s="2"/>
      </tp>
      <tp t="s">
        <v>#N/A N/A</v>
        <stp/>
        <stp>BDP|499691289968836096</stp>
        <tr r="G1648" s="2"/>
      </tp>
      <tp t="s">
        <v>#N/A N/A</v>
        <stp/>
        <stp>BDP|406672200206467622</stp>
        <tr r="E657" s="2"/>
      </tp>
      <tp t="s">
        <v>#N/A N/A</v>
        <stp/>
        <stp>BDP|647277414145189022</stp>
        <tr r="T1697" s="2"/>
      </tp>
      <tp t="s">
        <v>#N/A N/A</v>
        <stp/>
        <stp>BDP|457659315361262001</stp>
        <tr r="P1030" s="2"/>
      </tp>
      <tp t="s">
        <v>#N/A N/A</v>
        <stp/>
        <stp>BDP|689669822745295761</stp>
        <tr r="T481" s="2"/>
      </tp>
      <tp t="s">
        <v>#N/A N/A</v>
        <stp/>
        <stp>BDP|856543751301343782</stp>
        <tr r="N1371" s="2"/>
      </tp>
      <tp t="s">
        <v>#N/A N/A</v>
        <stp/>
        <stp>BDP|113424775353979696</stp>
        <tr r="H1617" s="2"/>
      </tp>
      <tp t="s">
        <v>#N/A N/A</v>
        <stp/>
        <stp>BDP|539065630942711734</stp>
        <tr r="K965" s="2"/>
      </tp>
      <tp t="s">
        <v>#N/A N/A</v>
        <stp/>
        <stp>BDP|497431239307028693</stp>
        <tr r="Q995" s="2"/>
      </tp>
      <tp t="s">
        <v>#N/A N/A</v>
        <stp/>
        <stp>BDP|243408617184126734</stp>
        <tr r="Q407" s="2"/>
      </tp>
      <tp t="s">
        <v>#N/A N/A</v>
        <stp/>
        <stp>BDP|487915133039422554</stp>
        <tr r="J274" s="2"/>
      </tp>
      <tp t="s">
        <v>#N/A N/A</v>
        <stp/>
        <stp>BDP|138837657919362213</stp>
        <tr r="H195" s="2"/>
      </tp>
      <tp t="s">
        <v>#N/A N/A</v>
        <stp/>
        <stp>BDP|323954657978714216</stp>
        <tr r="K181" s="2"/>
      </tp>
      <tp t="s">
        <v>#N/A N/A</v>
        <stp/>
        <stp>BDS|224700246765236014</stp>
        <tr r="I353" s="2"/>
      </tp>
      <tp t="s">
        <v>#N/A N/A</v>
        <stp/>
        <stp>BDP|668006639441866402</stp>
        <tr r="N1218" s="2"/>
      </tp>
      <tp t="s">
        <v>#N/A N/A</v>
        <stp/>
        <stp>BDP|755350102570406534</stp>
        <tr r="P1627" s="2"/>
      </tp>
      <tp t="s">
        <v>#N/A N/A</v>
        <stp/>
        <stp>BDP|816191740146824599</stp>
        <tr r="D878" s="2"/>
      </tp>
      <tp t="s">
        <v>#N/A N/A</v>
        <stp/>
        <stp>BDP|102444114141574249</stp>
        <tr r="E903" s="2"/>
      </tp>
      <tp t="s">
        <v>#N/A N/A</v>
        <stp/>
        <stp>BDP|574117364590552158</stp>
        <tr r="T390" s="2"/>
      </tp>
      <tp t="s">
        <v>#N/A N/A</v>
        <stp/>
        <stp>BDP|610223205943440756</stp>
        <tr r="A410" s="2"/>
      </tp>
      <tp t="s">
        <v>#N/A N/A</v>
        <stp/>
        <stp>BDP|716626821575073748</stp>
        <tr r="M1167" s="2"/>
      </tp>
      <tp t="s">
        <v>#N/A N/A</v>
        <stp/>
        <stp>BDP|273665184748140014</stp>
        <tr r="O1379" s="2"/>
      </tp>
      <tp t="s">
        <v>#N/A N/A</v>
        <stp/>
        <stp>BDP|310468188842887843</stp>
        <tr r="O1383" s="2"/>
      </tp>
      <tp t="s">
        <v>#N/A N/A</v>
        <stp/>
        <stp>BDP|157829092611250627</stp>
        <tr r="J1159" s="2"/>
      </tp>
      <tp t="s">
        <v>#N/A N/A</v>
        <stp/>
        <stp>BDP|804010976764889566</stp>
        <tr r="M566" s="2"/>
      </tp>
      <tp t="s">
        <v>#N/A N/A</v>
        <stp/>
        <stp>BDP|468476866827576316</stp>
        <tr r="G1344" s="2"/>
      </tp>
      <tp t="s">
        <v>#N/A N/A</v>
        <stp/>
        <stp>BDP|545137353446611429</stp>
        <tr r="P252" s="2"/>
      </tp>
      <tp t="s">
        <v>#N/A N/A</v>
        <stp/>
        <stp>BDP|388675923230562235</stp>
        <tr r="Q54" s="2"/>
      </tp>
      <tp t="s">
        <v>#N/A N/A</v>
        <stp/>
        <stp>BDP|365745810584121476</stp>
        <tr r="R1484" s="2"/>
      </tp>
      <tp t="s">
        <v>#N/A N/A</v>
        <stp/>
        <stp>BDP|373457702406319466</stp>
        <tr r="Q105" s="2"/>
      </tp>
      <tp t="s">
        <v>#N/A N/A</v>
        <stp/>
        <stp>BDP|606423187158506271</stp>
        <tr r="M1109" s="2"/>
      </tp>
      <tp t="s">
        <v>#N/A N/A</v>
        <stp/>
        <stp>BDP|900992534488030455</stp>
        <tr r="K317" s="2"/>
      </tp>
      <tp t="s">
        <v>#N/A N/A</v>
        <stp/>
        <stp>BDP|861686749477855306</stp>
        <tr r="J1530" s="2"/>
      </tp>
      <tp t="s">
        <v>#N/A N/A</v>
        <stp/>
        <stp>BDP|948778559770550405</stp>
        <tr r="J1311" s="2"/>
      </tp>
      <tp t="s">
        <v>#N/A N/A</v>
        <stp/>
        <stp>BDS|213599252700329682</stp>
        <tr r="I1437" s="2"/>
      </tp>
      <tp t="s">
        <v>#N/A N/A</v>
        <stp/>
        <stp>BDP|910963799904326274</stp>
        <tr r="D1525" s="2"/>
      </tp>
      <tp t="s">
        <v>#N/A N/A</v>
        <stp/>
        <stp>BDP|371517597852714804</stp>
        <tr r="Q263" s="2"/>
      </tp>
      <tp t="s">
        <v>#N/A N/A</v>
        <stp/>
        <stp>BDP|778729651817658302</stp>
        <tr r="E356" s="2"/>
      </tp>
      <tp t="s">
        <v>#N/A N/A</v>
        <stp/>
        <stp>BDP|270795402432382389</stp>
        <tr r="A691" s="2"/>
      </tp>
      <tp t="s">
        <v>#N/A N/A</v>
        <stp/>
        <stp>BDP|939383962233310027</stp>
        <tr r="P133" s="2"/>
      </tp>
      <tp t="s">
        <v>#N/A N/A</v>
        <stp/>
        <stp>BDP|565624694820658960</stp>
        <tr r="M1346" s="2"/>
      </tp>
      <tp t="s">
        <v>#N/A N/A</v>
        <stp/>
        <stp>BDP|793541893298620257</stp>
        <tr r="D271" s="2"/>
      </tp>
      <tp t="s">
        <v>#N/A N/A</v>
        <stp/>
        <stp>BDP|436856631018005530</stp>
        <tr r="O1620" s="2"/>
      </tp>
      <tp t="s">
        <v>#N/A N/A</v>
        <stp/>
        <stp>BDP|101697015042280435</stp>
        <tr r="F416" s="2"/>
      </tp>
      <tp t="s">
        <v>#N/A N/A</v>
        <stp/>
        <stp>BDP|154068352235018192</stp>
        <tr r="P118" s="2"/>
      </tp>
      <tp t="s">
        <v>#N/A N/A</v>
        <stp/>
        <stp>BDP|452944047728376482</stp>
        <tr r="J1312" s="2"/>
      </tp>
      <tp t="s">
        <v>#N/A N/A</v>
        <stp/>
        <stp>BDP|797469666307855430</stp>
        <tr r="G26" s="2"/>
      </tp>
      <tp t="s">
        <v>#N/A N/A</v>
        <stp/>
        <stp>BDP|187949749675463946</stp>
        <tr r="H2" s="2"/>
      </tp>
      <tp t="s">
        <v>#N/A N/A</v>
        <stp/>
        <stp>BDP|205144957766800357</stp>
        <tr r="E833" s="2"/>
      </tp>
      <tp t="s">
        <v>#N/A N/A</v>
        <stp/>
        <stp>BDP|797040029277405430</stp>
        <tr r="R791" s="2"/>
      </tp>
      <tp t="s">
        <v>#N/A N/A</v>
        <stp/>
        <stp>BDP|766393921299790955</stp>
        <tr r="G49" s="2"/>
      </tp>
      <tp t="s">
        <v>#N/A N/A</v>
        <stp/>
        <stp>BDP|393874289018308934</stp>
        <tr r="N572" s="2"/>
      </tp>
      <tp t="s">
        <v>#N/A N/A</v>
        <stp/>
        <stp>BDP|195751172965292497</stp>
        <tr r="N629" s="2"/>
      </tp>
      <tp t="s">
        <v>#N/A N/A</v>
        <stp/>
        <stp>BDP|226915285495203592</stp>
        <tr r="K1494" s="2"/>
      </tp>
      <tp t="s">
        <v>#N/A N/A</v>
        <stp/>
        <stp>BDP|948970321219216303</stp>
        <tr r="K1084" s="2"/>
      </tp>
      <tp t="s">
        <v>#N/A N/A</v>
        <stp/>
        <stp>BDP|772204041244859330</stp>
        <tr r="M1654" s="2"/>
      </tp>
      <tp t="s">
        <v>#N/A N/A</v>
        <stp/>
        <stp>BDP|971042336271504333</stp>
        <tr r="A914" s="2"/>
      </tp>
      <tp t="s">
        <v>#N/A N/A</v>
        <stp/>
        <stp>BDP|677006340757966212</stp>
        <tr r="A152" s="2"/>
      </tp>
      <tp t="s">
        <v>#N/A N/A</v>
        <stp/>
        <stp>BDP|279798902293437539</stp>
        <tr r="M168" s="2"/>
      </tp>
      <tp t="s">
        <v>#N/A N/A</v>
        <stp/>
        <stp>BDP|231774168931637159</stp>
        <tr r="J1664" s="2"/>
      </tp>
      <tp t="s">
        <v>#N/A N/A</v>
        <stp/>
        <stp>BDP|674504872491354288</stp>
        <tr r="E131" s="2"/>
      </tp>
      <tp t="s">
        <v>#N/A N/A</v>
        <stp/>
        <stp>BDP|680778263032493293</stp>
        <tr r="Q102" s="2"/>
      </tp>
      <tp t="s">
        <v>#N/A N/A</v>
        <stp/>
        <stp>BDP|570578399078512514</stp>
        <tr r="E709" s="2"/>
      </tp>
      <tp t="s">
        <v>#N/A N/A</v>
        <stp/>
        <stp>BDP|903299387013919816</stp>
        <tr r="N6" s="2"/>
      </tp>
      <tp t="s">
        <v>#N/A N/A</v>
        <stp/>
        <stp>BDP|150339418152643135</stp>
        <tr r="K799" s="2"/>
      </tp>
      <tp t="s">
        <v>#N/A N/A</v>
        <stp/>
        <stp>BDP|326542702467201387</stp>
        <tr r="E1188" s="2"/>
      </tp>
      <tp t="s">
        <v>#N/A N/A</v>
        <stp/>
        <stp>BDP|748993789839991917</stp>
        <tr r="O337" s="2"/>
      </tp>
      <tp t="s">
        <v>#N/A N/A</v>
        <stp/>
        <stp>BDP|955610518562644492</stp>
        <tr r="M922" s="2"/>
      </tp>
      <tp t="s">
        <v>#N/A N/A</v>
        <stp/>
        <stp>BDP|996467819297722394</stp>
        <tr r="S1230" s="2"/>
      </tp>
      <tp t="s">
        <v>#N/A N/A</v>
        <stp/>
        <stp>BDP|759258136147548794</stp>
        <tr r="M1224" s="2"/>
      </tp>
      <tp t="s">
        <v>#N/A N/A</v>
        <stp/>
        <stp>BDP|942212350912536451</stp>
        <tr r="Q1503" s="2"/>
      </tp>
      <tp t="s">
        <v>#N/A N/A</v>
        <stp/>
        <stp>BDP|833291359263628567</stp>
        <tr r="P915" s="2"/>
      </tp>
      <tp t="s">
        <v>#N/A N/A</v>
        <stp/>
        <stp>BDP|909444232440031669</stp>
        <tr r="A872" s="2"/>
      </tp>
      <tp t="s">
        <v>#N/A N/A</v>
        <stp/>
        <stp>BDP|884318730964742577</stp>
        <tr r="F402" s="2"/>
      </tp>
      <tp t="s">
        <v>#N/A N/A</v>
        <stp/>
        <stp>BDP|309231414826873450</stp>
        <tr r="S1000" s="2"/>
      </tp>
      <tp t="s">
        <v>#N/A N/A</v>
        <stp/>
        <stp>BDP|405552648081869188</stp>
        <tr r="J532" s="2"/>
      </tp>
      <tp t="s">
        <v>#N/A N/A</v>
        <stp/>
        <stp>BDP|358361737665327482</stp>
        <tr r="G708" s="2"/>
      </tp>
      <tp t="s">
        <v>#N/A N/A</v>
        <stp/>
        <stp>BDP|816138376477285067</stp>
        <tr r="K124" s="2"/>
      </tp>
      <tp t="s">
        <v>#N/A N/A</v>
        <stp/>
        <stp>BDP|292713308674512242</stp>
        <tr r="G1652" s="2"/>
      </tp>
      <tp t="s">
        <v>#N/A N/A</v>
        <stp/>
        <stp>BDP|166047553631952557</stp>
        <tr r="C924" s="2"/>
      </tp>
      <tp t="s">
        <v>#N/A N/A</v>
        <stp/>
        <stp>BDP|212416466753679088</stp>
        <tr r="C942" s="2"/>
      </tp>
      <tp t="s">
        <v>#N/A N/A</v>
        <stp/>
        <stp>BDP|240599404600255461</stp>
        <tr r="R361" s="2"/>
      </tp>
      <tp t="s">
        <v>#N/A N/A</v>
        <stp/>
        <stp>BDP|490527202443997764</stp>
        <tr r="O1269" s="2"/>
      </tp>
      <tp t="s">
        <v>#N/A N/A</v>
        <stp/>
        <stp>BDP|629220995999492318</stp>
        <tr r="F446" s="2"/>
      </tp>
      <tp t="s">
        <v>#N/A N/A</v>
        <stp/>
        <stp>BDP|320399240044842263</stp>
        <tr r="D1237" s="2"/>
      </tp>
      <tp t="s">
        <v>#N/A N/A</v>
        <stp/>
        <stp>BDP|407224875711199568</stp>
        <tr r="M724" s="2"/>
      </tp>
      <tp t="s">
        <v>#N/A N/A</v>
        <stp/>
        <stp>BDP|653111076827482015</stp>
        <tr r="Q221" s="2"/>
      </tp>
      <tp t="s">
        <v>#N/A N/A</v>
        <stp/>
        <stp>BDP|427522538993866429</stp>
        <tr r="P1283" s="2"/>
      </tp>
      <tp t="s">
        <v>#N/A N/A</v>
        <stp/>
        <stp>BDP|653270142407566039</stp>
        <tr r="G1531" s="2"/>
      </tp>
      <tp t="s">
        <v>#N/A N/A</v>
        <stp/>
        <stp>BDP|473819380837861683</stp>
        <tr r="R1340" s="2"/>
      </tp>
      <tp t="s">
        <v>#N/A N/A</v>
        <stp/>
        <stp>BDP|990444805070514589</stp>
        <tr r="S31" s="2"/>
      </tp>
      <tp t="s">
        <v>#N/A N/A</v>
        <stp/>
        <stp>BDP|643719975513357248</stp>
        <tr r="O1283" s="2"/>
      </tp>
      <tp t="s">
        <v>#N/A N/A</v>
        <stp/>
        <stp>BDP|298331167820282422</stp>
        <tr r="D756" s="2"/>
      </tp>
      <tp t="s">
        <v>#N/A N/A</v>
        <stp/>
        <stp>BDP|196934480024478404</stp>
        <tr r="N1501" s="2"/>
      </tp>
      <tp t="s">
        <v>#N/A N/A</v>
        <stp/>
        <stp>BDP|175769493477205805</stp>
        <tr r="A272" s="2"/>
      </tp>
      <tp t="s">
        <v>#N/A N/A</v>
        <stp/>
        <stp>BDP|269757660326674678</stp>
        <tr r="R680" s="2"/>
      </tp>
      <tp t="s">
        <v>#N/A N/A</v>
        <stp/>
        <stp>BDP|763470296055822989</stp>
        <tr r="S184" s="2"/>
      </tp>
      <tp t="s">
        <v>#N/A N/A</v>
        <stp/>
        <stp>BDS|374844405158071147</stp>
        <tr r="I1438" s="2"/>
      </tp>
      <tp t="s">
        <v>#N/A N/A</v>
        <stp/>
        <stp>BDP|507155445987683357</stp>
        <tr r="K1740" s="2"/>
      </tp>
      <tp t="s">
        <v>#N/A N/A</v>
        <stp/>
        <stp>BDP|672321302592746074</stp>
        <tr r="S607" s="2"/>
      </tp>
      <tp t="s">
        <v>#N/A N/A</v>
        <stp/>
        <stp>BDP|620742460137148755</stp>
        <tr r="G661" s="2"/>
      </tp>
      <tp t="s">
        <v>#N/A N/A</v>
        <stp/>
        <stp>BDP|938402095169950532</stp>
        <tr r="D1560" s="2"/>
      </tp>
      <tp t="s">
        <v>#N/A N/A</v>
        <stp/>
        <stp>BDP|720769724433125736</stp>
        <tr r="T1703" s="2"/>
      </tp>
      <tp t="s">
        <v>#N/A N/A</v>
        <stp/>
        <stp>BDP|808891894154536478</stp>
        <tr r="N1486" s="2"/>
      </tp>
      <tp t="s">
        <v>#N/A N/A</v>
        <stp/>
        <stp>BDP|796701377262417330</stp>
        <tr r="C843" s="2"/>
      </tp>
      <tp t="s">
        <v>#N/A N/A</v>
        <stp/>
        <stp>BDP|224461621276349118</stp>
        <tr r="N102" s="2"/>
      </tp>
      <tp t="s">
        <v>#N/A N/A</v>
        <stp/>
        <stp>BDP|708235251874131233</stp>
        <tr r="R1164" s="2"/>
      </tp>
      <tp t="s">
        <v>#N/A N/A</v>
        <stp/>
        <stp>BDP|613463177246825481</stp>
        <tr r="O828" s="2"/>
      </tp>
      <tp t="s">
        <v>#N/A N/A</v>
        <stp/>
        <stp>BDP|686058970162474407</stp>
        <tr r="O804" s="2"/>
      </tp>
      <tp t="s">
        <v>#N/A N/A</v>
        <stp/>
        <stp>BDP|834699660775757419</stp>
        <tr r="O364" s="2"/>
      </tp>
      <tp t="s">
        <v>#N/A N/A</v>
        <stp/>
        <stp>BDP|314723322995338179</stp>
        <tr r="D1522" s="2"/>
      </tp>
      <tp t="s">
        <v>#N/A N/A</v>
        <stp/>
        <stp>BDP|623707365724163453</stp>
        <tr r="R664" s="2"/>
      </tp>
      <tp t="s">
        <v>#N/A N/A</v>
        <stp/>
        <stp>BDP|543739024660040425</stp>
        <tr r="G1341" s="2"/>
      </tp>
      <tp t="s">
        <v>#N/A N/A</v>
        <stp/>
        <stp>BDP|760734090857043845</stp>
        <tr r="D1103" s="2"/>
      </tp>
      <tp t="s">
        <v>#N/A N/A</v>
        <stp/>
        <stp>BDP|720355721241357109</stp>
        <tr r="O892" s="2"/>
      </tp>
      <tp t="s">
        <v>#N/A N/A</v>
        <stp/>
        <stp>BDP|317277174593990798</stp>
        <tr r="D328" s="2"/>
      </tp>
      <tp t="s">
        <v>#N/A N/A</v>
        <stp/>
        <stp>BDP|419913781033153356</stp>
        <tr r="S289" s="2"/>
      </tp>
      <tp t="s">
        <v>#N/A N/A</v>
        <stp/>
        <stp>BDP|327847722423774827</stp>
        <tr r="S998" s="2"/>
      </tp>
      <tp t="s">
        <v>#N/A N/A</v>
        <stp/>
        <stp>BDP|342482348498042931</stp>
        <tr r="A265" s="2"/>
      </tp>
      <tp t="s">
        <v>#N/A N/A</v>
        <stp/>
        <stp>BDP|297046356952702673</stp>
        <tr r="N841" s="2"/>
      </tp>
      <tp t="s">
        <v>#N/A N/A</v>
        <stp/>
        <stp>BDP|172407062173220016</stp>
        <tr r="E295" s="2"/>
      </tp>
      <tp t="s">
        <v>#N/A N/A</v>
        <stp/>
        <stp>BDP|981713518785049210</stp>
        <tr r="M711" s="2"/>
      </tp>
      <tp t="s">
        <v>#N/A N/A</v>
        <stp/>
        <stp>BDP|901609814693966556</stp>
        <tr r="C231" s="2"/>
      </tp>
      <tp t="s">
        <v>#N/A N/A</v>
        <stp/>
        <stp>BDP|591049141066874397</stp>
        <tr r="D1206" s="2"/>
      </tp>
      <tp t="s">
        <v>#N/A N/A</v>
        <stp/>
        <stp>BDP|390333948561876719</stp>
        <tr r="E476" s="2"/>
      </tp>
      <tp t="s">
        <v>#N/A N/A</v>
        <stp/>
        <stp>BDP|984898618859007199</stp>
        <tr r="K598" s="2"/>
      </tp>
      <tp t="s">
        <v>#N/A N/A</v>
        <stp/>
        <stp>BDP|445925761977785916</stp>
        <tr r="F463" s="2"/>
      </tp>
      <tp t="s">
        <v>#N/A N/A</v>
        <stp/>
        <stp>BDP|751513588464805848</stp>
        <tr r="Q505" s="2"/>
      </tp>
      <tp t="s">
        <v>#N/A N/A</v>
        <stp/>
        <stp>BDP|503552700924627041</stp>
        <tr r="K1216" s="2"/>
      </tp>
      <tp t="s">
        <v>#N/A N/A</v>
        <stp/>
        <stp>BDS|578129947395249101</stp>
        <tr r="I1026" s="2"/>
      </tp>
      <tp t="s">
        <v>#N/A N/A</v>
        <stp/>
        <stp>BDP|135602517260282662</stp>
        <tr r="G1702" s="2"/>
      </tp>
      <tp t="s">
        <v>#N/A N/A</v>
        <stp/>
        <stp>BDP|240514257626680702</stp>
        <tr r="C1624" s="2"/>
      </tp>
      <tp t="s">
        <v>#N/A N/A</v>
        <stp/>
        <stp>BDP|667721977286715766</stp>
        <tr r="O515" s="2"/>
      </tp>
      <tp t="s">
        <v>#N/A N/A</v>
        <stp/>
        <stp>BDP|391382658102181500</stp>
        <tr r="A360" s="2"/>
      </tp>
      <tp t="s">
        <v>#N/A N/A</v>
        <stp/>
        <stp>BDP|243972407068217026</stp>
        <tr r="D233" s="2"/>
      </tp>
      <tp t="s">
        <v>#N/A N/A</v>
        <stp/>
        <stp>BDP|109924286168310843</stp>
        <tr r="K1307" s="2"/>
      </tp>
      <tp t="s">
        <v>#N/A N/A</v>
        <stp/>
        <stp>BDP|867291279645372193</stp>
        <tr r="D1076" s="2"/>
      </tp>
      <tp t="s">
        <v>#N/A N/A</v>
        <stp/>
        <stp>BDP|660518287429719541</stp>
        <tr r="S182" s="2"/>
      </tp>
      <tp t="s">
        <v>#N/A N/A</v>
        <stp/>
        <stp>BDP|909109967517978143</stp>
        <tr r="R1528" s="2"/>
      </tp>
      <tp t="s">
        <v>#N/A N/A</v>
        <stp/>
        <stp>BDP|506221733769567929</stp>
        <tr r="S1654" s="2"/>
      </tp>
      <tp t="s">
        <v>#N/A N/A</v>
        <stp/>
        <stp>BDP|141271816601360309</stp>
        <tr r="A813" s="2"/>
      </tp>
      <tp t="s">
        <v>#N/A N/A</v>
        <stp/>
        <stp>BDP|162783444023686181</stp>
        <tr r="H600" s="2"/>
      </tp>
      <tp t="s">
        <v>#N/A N/A</v>
        <stp/>
        <stp>BDP|130918882536557646</stp>
        <tr r="G590" s="2"/>
      </tp>
      <tp t="s">
        <v>#N/A N/A</v>
        <stp/>
        <stp>BDP|250174421164531622</stp>
        <tr r="E301" s="2"/>
      </tp>
      <tp t="s">
        <v>#N/A N/A</v>
        <stp/>
        <stp>BDP|510261769126104387</stp>
        <tr r="M984" s="2"/>
      </tp>
      <tp t="s">
        <v>#N/A N/A</v>
        <stp/>
        <stp>BDP|440548223853624561</stp>
        <tr r="F413" s="2"/>
      </tp>
      <tp t="s">
        <v>#N/A N/A</v>
        <stp/>
        <stp>BDP|185523317292250758</stp>
        <tr r="M1099" s="2"/>
      </tp>
      <tp t="s">
        <v>#N/A N/A</v>
        <stp/>
        <stp>BDP|242483523371183745</stp>
        <tr r="T1432" s="2"/>
      </tp>
      <tp t="s">
        <v>#N/A N/A</v>
        <stp/>
        <stp>BDP|664414640181852134</stp>
        <tr r="N1558" s="2"/>
      </tp>
      <tp t="s">
        <v>#N/A N/A</v>
        <stp/>
        <stp>BDP|432698275870362177</stp>
        <tr r="Q999" s="2"/>
      </tp>
      <tp t="s">
        <v>#N/A N/A</v>
        <stp/>
        <stp>BDP|314585581429147474</stp>
        <tr r="N881" s="2"/>
      </tp>
      <tp t="s">
        <v>#N/A N/A</v>
        <stp/>
        <stp>BDP|177983050414406808</stp>
        <tr r="M904" s="2"/>
      </tp>
      <tp t="s">
        <v>#N/A N/A</v>
        <stp/>
        <stp>BDP|195568315256689294</stp>
        <tr r="T1436" s="2"/>
      </tp>
      <tp t="s">
        <v>#N/A N/A</v>
        <stp/>
        <stp>BDP|547888401928411058</stp>
        <tr r="Q1180" s="2"/>
      </tp>
      <tp t="s">
        <v>#N/A N/A</v>
        <stp/>
        <stp>BDP|367858718439747043</stp>
        <tr r="G1715" s="2"/>
      </tp>
      <tp t="s">
        <v>#N/A N/A</v>
        <stp/>
        <stp>BDP|807288837221318099</stp>
        <tr r="Q883" s="2"/>
      </tp>
      <tp t="s">
        <v>#N/A N/A</v>
        <stp/>
        <stp>BDP|569520638625279305</stp>
        <tr r="C435" s="2"/>
      </tp>
      <tp t="s">
        <v>#N/A N/A</v>
        <stp/>
        <stp>BDP|144237129682013267</stp>
        <tr r="F1563" s="2"/>
      </tp>
      <tp t="s">
        <v>#N/A N/A</v>
        <stp/>
        <stp>BDP|655058313458871959</stp>
        <tr r="E592" s="2"/>
      </tp>
      <tp t="s">
        <v>#N/A N/A</v>
        <stp/>
        <stp>BDP|419668239946633306</stp>
        <tr r="H1687" s="2"/>
      </tp>
      <tp t="s">
        <v>#N/A N/A</v>
        <stp/>
        <stp>BDP|783371451607704184</stp>
        <tr r="M1676" s="2"/>
      </tp>
      <tp t="s">
        <v>#N/A N/A</v>
        <stp/>
        <stp>BDP|607799975467334771</stp>
        <tr r="E152" s="2"/>
      </tp>
      <tp t="s">
        <v>#N/A N/A</v>
        <stp/>
        <stp>BDP|239613108427788123</stp>
        <tr r="N50" s="2"/>
      </tp>
      <tp t="s">
        <v>#N/A N/A</v>
        <stp/>
        <stp>BDP|165881183289419909</stp>
        <tr r="J1455" s="2"/>
      </tp>
      <tp t="s">
        <v>#N/A N/A</v>
        <stp/>
        <stp>BDP|108153565836990165</stp>
        <tr r="C643" s="2"/>
      </tp>
      <tp t="s">
        <v>#N/A N/A</v>
        <stp/>
        <stp>BDP|541956977557930900</stp>
        <tr r="O215" s="2"/>
      </tp>
      <tp t="s">
        <v>#N/A N/A</v>
        <stp/>
        <stp>BDP|667062703997516797</stp>
        <tr r="M1573" s="2"/>
      </tp>
      <tp t="s">
        <v>#N/A N/A</v>
        <stp/>
        <stp>BDP|982748172841917191</stp>
        <tr r="D119" s="2"/>
      </tp>
      <tp t="s">
        <v>#N/A N/A</v>
        <stp/>
        <stp>BDP|156381526206800788</stp>
        <tr r="R1492" s="2"/>
      </tp>
      <tp t="s">
        <v>#N/A N/A</v>
        <stp/>
        <stp>BDP|764686896409065660</stp>
        <tr r="M1010" s="2"/>
      </tp>
      <tp t="s">
        <v>#N/A N/A</v>
        <stp/>
        <stp>BDP|292799037207392309</stp>
        <tr r="F794" s="2"/>
      </tp>
      <tp t="s">
        <v>#N/A N/A</v>
        <stp/>
        <stp>BDP|534749782348598793</stp>
        <tr r="M400" s="2"/>
      </tp>
      <tp t="s">
        <v>#N/A N/A</v>
        <stp/>
        <stp>BDP|650828291128989932</stp>
        <tr r="R1201" s="2"/>
      </tp>
      <tp t="s">
        <v>#N/A N/A</v>
        <stp/>
        <stp>BDP|451482626686015056</stp>
        <tr r="K344" s="2"/>
      </tp>
      <tp t="s">
        <v>#N/A N/A</v>
        <stp/>
        <stp>BDP|157002220064761697</stp>
        <tr r="K650" s="2"/>
      </tp>
      <tp t="s">
        <v>#N/A N/A</v>
        <stp/>
        <stp>BDP|357301351012991437</stp>
        <tr r="J1286" s="2"/>
      </tp>
      <tp t="s">
        <v>#N/A N/A</v>
        <stp/>
        <stp>BDP|849019126182121066</stp>
        <tr r="G1158" s="2"/>
      </tp>
      <tp t="s">
        <v>#N/A N/A</v>
        <stp/>
        <stp>BDP|409339510292965064</stp>
        <tr r="A22" s="2"/>
      </tp>
      <tp t="s">
        <v>#N/A N/A</v>
        <stp/>
        <stp>BDP|865007150383081604</stp>
        <tr r="G1354" s="2"/>
      </tp>
      <tp t="s">
        <v>#N/A N/A</v>
        <stp/>
        <stp>BDP|421694405612156418</stp>
        <tr r="O142" s="2"/>
      </tp>
      <tp t="s">
        <v>#N/A N/A</v>
        <stp/>
        <stp>BDP|426226253077816058</stp>
        <tr r="A1353" s="2"/>
      </tp>
      <tp t="s">
        <v>#N/A N/A</v>
        <stp/>
        <stp>BDP|766081801705746517</stp>
        <tr r="O1252" s="2"/>
      </tp>
      <tp t="s">
        <v>#N/A N/A</v>
        <stp/>
        <stp>BDP|880543704397594257</stp>
        <tr r="M205" s="2"/>
      </tp>
      <tp t="s">
        <v>#N/A N/A</v>
        <stp/>
        <stp>BDP|914749278770985040</stp>
        <tr r="G1177" s="2"/>
      </tp>
      <tp t="s">
        <v>#N/A N/A</v>
        <stp/>
        <stp>BDP|748962068107755867</stp>
        <tr r="J687" s="2"/>
      </tp>
      <tp t="s">
        <v>#N/A N/A</v>
        <stp/>
        <stp>BDP|494124140867978268</stp>
        <tr r="H909" s="2"/>
      </tp>
      <tp t="s">
        <v>#N/A N/A</v>
        <stp/>
        <stp>BDP|236688362016422652</stp>
        <tr r="D464" s="2"/>
      </tp>
      <tp t="s">
        <v>#N/A N/A</v>
        <stp/>
        <stp>BDP|241099216650432107</stp>
        <tr r="R1043" s="2"/>
      </tp>
      <tp t="s">
        <v>#N/A N/A</v>
        <stp/>
        <stp>BDP|628988153934465807</stp>
        <tr r="A1061" s="2"/>
      </tp>
      <tp t="s">
        <v>#N/A N/A</v>
        <stp/>
        <stp>BDP|407257571643161686</stp>
        <tr r="O1086" s="2"/>
      </tp>
      <tp t="s">
        <v>#N/A N/A</v>
        <stp/>
        <stp>BDP|980365257642366428</stp>
        <tr r="R627" s="2"/>
      </tp>
      <tp t="s">
        <v>#N/A N/A</v>
        <stp/>
        <stp>BDP|232181551262207632</stp>
        <tr r="D1355" s="2"/>
      </tp>
      <tp t="s">
        <v>#N/A N/A</v>
        <stp/>
        <stp>BDP|778097529916498491</stp>
        <tr r="N427" s="2"/>
      </tp>
      <tp t="s">
        <v>#N/A N/A</v>
        <stp/>
        <stp>BDP|525196774895288302</stp>
        <tr r="H249" s="2"/>
      </tp>
      <tp t="s">
        <v>#N/A N/A</v>
        <stp/>
        <stp>BDP|262633303331168797</stp>
        <tr r="Q1562" s="2"/>
      </tp>
      <tp t="s">
        <v>#N/A N/A</v>
        <stp/>
        <stp>BDP|253182261983776470</stp>
        <tr r="E1169" s="2"/>
      </tp>
      <tp t="s">
        <v>#N/A N/A</v>
        <stp/>
        <stp>BDP|997577075555079702</stp>
        <tr r="D268" s="2"/>
      </tp>
      <tp t="s">
        <v>#N/A N/A</v>
        <stp/>
        <stp>BDP|305588612525170137</stp>
        <tr r="H1477" s="2"/>
      </tp>
      <tp t="s">
        <v>#N/A N/A</v>
        <stp/>
        <stp>BDP|364044885351057996</stp>
        <tr r="S1190" s="2"/>
      </tp>
      <tp t="s">
        <v>#N/A N/A</v>
        <stp/>
        <stp>BDS|414464319454461145</stp>
        <tr r="I961" s="2"/>
      </tp>
      <tp t="s">
        <v>#N/A N/A</v>
        <stp/>
        <stp>BDP|633313878166573215</stp>
        <tr r="J193" s="2"/>
      </tp>
      <tp t="s">
        <v>#N/A N/A</v>
        <stp/>
        <stp>BDP|554017645272865625</stp>
        <tr r="C639" s="2"/>
      </tp>
      <tp t="s">
        <v>#N/A N/A</v>
        <stp/>
        <stp>BDP|940776520510449517</stp>
        <tr r="O1007" s="2"/>
      </tp>
      <tp t="s">
        <v>#N/A N/A</v>
        <stp/>
        <stp>BDP|638313961113683643</stp>
        <tr r="N983" s="2"/>
      </tp>
      <tp t="s">
        <v>#N/A N/A</v>
        <stp/>
        <stp>BDP|686062956724342110</stp>
        <tr r="Q55" s="2"/>
      </tp>
      <tp t="s">
        <v>#N/A N/A</v>
        <stp/>
        <stp>BDP|445125003919967887</stp>
        <tr r="R665" s="2"/>
      </tp>
      <tp t="s">
        <v>#N/A N/A</v>
        <stp/>
        <stp>BDP|991306639379664925</stp>
        <tr r="Q561" s="2"/>
      </tp>
      <tp t="s">
        <v>#N/A N/A</v>
        <stp/>
        <stp>BDP|311813571489367644</stp>
        <tr r="S909" s="2"/>
      </tp>
      <tp t="s">
        <v>#N/A N/A</v>
        <stp/>
        <stp>BDP|754336645095426215</stp>
        <tr r="A1249" s="2"/>
      </tp>
      <tp t="s">
        <v>#N/A N/A</v>
        <stp/>
        <stp>BDP|450962696261369128</stp>
        <tr r="D1430" s="2"/>
      </tp>
      <tp t="s">
        <v>#N/A N/A</v>
        <stp/>
        <stp>BDP|458881075019528697</stp>
        <tr r="R1570" s="2"/>
      </tp>
      <tp t="s">
        <v>#N/A N/A</v>
        <stp/>
        <stp>BDP|990315805451856208</stp>
        <tr r="A271" s="2"/>
      </tp>
      <tp t="s">
        <v>#N/A N/A</v>
        <stp/>
        <stp>BDP|365635979116782782</stp>
        <tr r="S1078" s="2"/>
      </tp>
      <tp t="s">
        <v>#N/A N/A</v>
        <stp/>
        <stp>BDP|836192460103697416</stp>
        <tr r="G599" s="2"/>
      </tp>
      <tp t="s">
        <v>#N/A N/A</v>
        <stp/>
        <stp>BDP|599547116341034513</stp>
        <tr r="G704" s="2"/>
      </tp>
      <tp t="s">
        <v>#N/A N/A</v>
        <stp/>
        <stp>BDP|773664964897753743</stp>
        <tr r="H1592" s="2"/>
      </tp>
      <tp t="s">
        <v>#N/A N/A</v>
        <stp/>
        <stp>BDP|726627262446688679</stp>
        <tr r="P1289" s="2"/>
      </tp>
      <tp t="s">
        <v>#N/A N/A</v>
        <stp/>
        <stp>BDP|989242166426492297</stp>
        <tr r="K618" s="2"/>
      </tp>
      <tp t="s">
        <v>#N/A N/A</v>
        <stp/>
        <stp>BDP|642167257622403652</stp>
        <tr r="S1418" s="2"/>
      </tp>
      <tp t="s">
        <v>#N/A N/A</v>
        <stp/>
        <stp>BDP|528630141807462547</stp>
        <tr r="Q280" s="2"/>
      </tp>
      <tp t="s">
        <v>#N/A N/A</v>
        <stp/>
        <stp>BDP|336003085400642878</stp>
        <tr r="D1439" s="2"/>
      </tp>
      <tp t="s">
        <v>#N/A N/A</v>
        <stp/>
        <stp>BDP|463427916995416030</stp>
        <tr r="G166" s="2"/>
      </tp>
      <tp t="s">
        <v>#N/A N/A</v>
        <stp/>
        <stp>BDP|645743236621374509</stp>
        <tr r="H898" s="2"/>
      </tp>
      <tp t="s">
        <v>#N/A N/A</v>
        <stp/>
        <stp>BDP|880514961393965066</stp>
        <tr r="S942" s="2"/>
      </tp>
      <tp t="s">
        <v>#N/A N/A</v>
        <stp/>
        <stp>BDP|521367915756527447</stp>
        <tr r="T1271" s="2"/>
      </tp>
      <tp t="s">
        <v>#N/A N/A</v>
        <stp/>
        <stp>BDP|833124177970969643</stp>
        <tr r="S460" s="2"/>
      </tp>
      <tp t="s">
        <v>#N/A N/A</v>
        <stp/>
        <stp>BDP|657519591858395455</stp>
        <tr r="D1178" s="2"/>
      </tp>
      <tp t="s">
        <v>#N/A N/A</v>
        <stp/>
        <stp>BDS|727215114363696045</stp>
        <tr r="I846" s="2"/>
      </tp>
      <tp t="s">
        <v>#N/A N/A</v>
        <stp/>
        <stp>BDP|816590210964658073</stp>
        <tr r="H1012" s="2"/>
      </tp>
      <tp t="s">
        <v>#N/A N/A</v>
        <stp/>
        <stp>BDP|393726184739465611</stp>
        <tr r="J1411" s="2"/>
      </tp>
      <tp t="s">
        <v>#N/A N/A</v>
        <stp/>
        <stp>BDP|631879810840393928</stp>
        <tr r="M1422" s="2"/>
      </tp>
      <tp t="s">
        <v>#N/A N/A</v>
        <stp/>
        <stp>BDP|406710114572310427</stp>
        <tr r="G249" s="2"/>
      </tp>
      <tp t="s">
        <v>#N/A N/A</v>
        <stp/>
        <stp>BDP|335914210978253008</stp>
        <tr r="R1347" s="2"/>
      </tp>
      <tp t="s">
        <v>#N/A N/A</v>
        <stp/>
        <stp>BDP|737683852036917547</stp>
        <tr r="P1751" s="2"/>
      </tp>
      <tp t="s">
        <v>#N/A N/A</v>
        <stp/>
        <stp>BDP|116338133421824198</stp>
        <tr r="Q971" s="2"/>
      </tp>
      <tp t="s">
        <v>#N/A N/A</v>
        <stp/>
        <stp>BDP|719753952254257621</stp>
        <tr r="M1312" s="2"/>
      </tp>
      <tp t="s">
        <v>#N/A N/A</v>
        <stp/>
        <stp>BDP|183970212410272871</stp>
        <tr r="Q1708" s="2"/>
      </tp>
      <tp t="s">
        <v>#N/A N/A</v>
        <stp/>
        <stp>BDP|323087960617237188</stp>
        <tr r="K986" s="2"/>
      </tp>
      <tp t="s">
        <v>#N/A N/A</v>
        <stp/>
        <stp>BDP|242520419810119494</stp>
        <tr r="F682" s="2"/>
      </tp>
      <tp t="s">
        <v>#N/A N/A</v>
        <stp/>
        <stp>BDP|254499753104116585</stp>
        <tr r="D1072" s="2"/>
      </tp>
      <tp t="s">
        <v>#N/A N/A</v>
        <stp/>
        <stp>BDP|780370514214562605</stp>
        <tr r="G1623" s="2"/>
      </tp>
      <tp t="s">
        <v>#N/A N/A</v>
        <stp/>
        <stp>BDP|807269616007169481</stp>
        <tr r="P1201" s="2"/>
      </tp>
      <tp t="s">
        <v>#N/A N/A</v>
        <stp/>
        <stp>BDP|648896348809148570</stp>
        <tr r="J1744" s="2"/>
      </tp>
      <tp t="s">
        <v>#N/A N/A</v>
        <stp/>
        <stp>BDP|525664364548781814</stp>
        <tr r="R399" s="2"/>
      </tp>
      <tp t="s">
        <v>#N/A N/A</v>
        <stp/>
        <stp>BDP|651321328868460995</stp>
        <tr r="M279" s="2"/>
      </tp>
      <tp t="s">
        <v>#N/A N/A</v>
        <stp/>
        <stp>BDP|601670003106328001</stp>
        <tr r="A578" s="2"/>
      </tp>
      <tp t="s">
        <v>#N/A N/A</v>
        <stp/>
        <stp>BDP|550578736063298572</stp>
        <tr r="T1109" s="2"/>
      </tp>
      <tp t="s">
        <v>#N/A N/A</v>
        <stp/>
        <stp>BDP|553773749564939736</stp>
        <tr r="O1274" s="2"/>
      </tp>
      <tp t="s">
        <v>#N/A N/A</v>
        <stp/>
        <stp>BDP|353938157299137579</stp>
        <tr r="O1326" s="2"/>
      </tp>
      <tp t="s">
        <v>#N/A N/A</v>
        <stp/>
        <stp>BDP|345535462061219228</stp>
        <tr r="Q287" s="2"/>
      </tp>
      <tp t="s">
        <v>#N/A N/A</v>
        <stp/>
        <stp>BDP|262628236733215665</stp>
        <tr r="A1241" s="2"/>
      </tp>
      <tp t="s">
        <v>#N/A N/A</v>
        <stp/>
        <stp>BDP|884754568009151868</stp>
        <tr r="K97" s="2"/>
      </tp>
      <tp t="s">
        <v>#N/A N/A</v>
        <stp/>
        <stp>BDP|331357806593633043</stp>
        <tr r="D769" s="2"/>
      </tp>
      <tp t="s">
        <v>#N/A N/A</v>
        <stp/>
        <stp>BDP|130240967794612063</stp>
        <tr r="T1719" s="2"/>
      </tp>
      <tp t="s">
        <v>#N/A N/A</v>
        <stp/>
        <stp>BDP|108654841242539021</stp>
        <tr r="O799" s="2"/>
      </tp>
      <tp t="s">
        <v>#N/A N/A</v>
        <stp/>
        <stp>BDP|158830394386037740</stp>
        <tr r="P990" s="2"/>
      </tp>
      <tp t="s">
        <v>#N/A N/A</v>
        <stp/>
        <stp>BDP|725809384532775271</stp>
        <tr r="N1562" s="2"/>
      </tp>
      <tp t="s">
        <v>#N/A N/A</v>
        <stp/>
        <stp>BDP|360673577959304834</stp>
        <tr r="O1267" s="2"/>
      </tp>
      <tp t="s">
        <v>#N/A N/A</v>
        <stp/>
        <stp>BDP|296581759321531151</stp>
        <tr r="R944" s="2"/>
      </tp>
      <tp t="s">
        <v>#N/A N/A</v>
        <stp/>
        <stp>BDP|703717404491948688</stp>
        <tr r="J1541" s="2"/>
      </tp>
      <tp t="s">
        <v>#N/A N/A</v>
        <stp/>
        <stp>BDP|732832077369378638</stp>
        <tr r="H926" s="2"/>
      </tp>
      <tp t="s">
        <v>#N/A N/A</v>
        <stp/>
        <stp>BDP|496551501621675454</stp>
        <tr r="C601" s="2"/>
      </tp>
      <tp t="s">
        <v>#N/A N/A</v>
        <stp/>
        <stp>BDP|910081314524217545</stp>
        <tr r="M319" s="2"/>
      </tp>
      <tp t="s">
        <v>#N/A N/A</v>
        <stp/>
        <stp>BDP|176576880304477913</stp>
        <tr r="Q1523" s="2"/>
      </tp>
      <tp t="s">
        <v>#N/A N/A</v>
        <stp/>
        <stp>BDP|735176454044268055</stp>
        <tr r="Q1516" s="2"/>
      </tp>
      <tp t="s">
        <v>#N/A N/A</v>
        <stp/>
        <stp>BDP|333842782373226346</stp>
        <tr r="G992" s="2"/>
      </tp>
      <tp t="s">
        <v>#N/A N/A</v>
        <stp/>
        <stp>BDP|238351805453074014</stp>
        <tr r="D1311" s="2"/>
      </tp>
      <tp t="s">
        <v>#N/A N/A</v>
        <stp/>
        <stp>BDP|814902007168026233</stp>
        <tr r="E730" s="2"/>
      </tp>
      <tp t="s">
        <v>#N/A N/A</v>
        <stp/>
        <stp>BDP|636271774586953005</stp>
        <tr r="E1046" s="2"/>
      </tp>
      <tp t="s">
        <v>#N/A N/A</v>
        <stp/>
        <stp>BDP|802520207052837497</stp>
        <tr r="G1641" s="2"/>
      </tp>
      <tp t="s">
        <v>#N/A N/A</v>
        <stp/>
        <stp>BDP|746411285029775698</stp>
        <tr r="E1641" s="2"/>
      </tp>
      <tp t="s">
        <v>#N/A N/A</v>
        <stp/>
        <stp>BDP|478398947861791505</stp>
        <tr r="P929" s="2"/>
      </tp>
      <tp t="s">
        <v>#N/A N/A</v>
        <stp/>
        <stp>BDS|313531161716856649</stp>
        <tr r="I699" s="2"/>
      </tp>
      <tp t="s">
        <v>#N/A N/A</v>
        <stp/>
        <stp>BDP|294811792214571694</stp>
        <tr r="F100" s="2"/>
      </tp>
      <tp t="s">
        <v>#N/A N/A</v>
        <stp/>
        <stp>BDP|595113478081413455</stp>
        <tr r="M1262" s="2"/>
      </tp>
      <tp t="s">
        <v>#N/A N/A</v>
        <stp/>
        <stp>BDP|634378017158929928</stp>
        <tr r="S270" s="2"/>
      </tp>
      <tp t="s">
        <v>#N/A N/A</v>
        <stp/>
        <stp>BDP|779268619214741429</stp>
        <tr r="G1699" s="2"/>
      </tp>
      <tp t="s">
        <v>#N/A N/A</v>
        <stp/>
        <stp>BDP|483528700651822734</stp>
        <tr r="S984" s="2"/>
      </tp>
      <tp t="s">
        <v>#N/A N/A</v>
        <stp/>
        <stp>BDP|247389413518301979</stp>
        <tr r="C1669" s="2"/>
      </tp>
      <tp t="s">
        <v>#N/A N/A</v>
        <stp/>
        <stp>BDP|712499953783758140</stp>
        <tr r="E1448" s="2"/>
      </tp>
      <tp t="s">
        <v>#N/A N/A</v>
        <stp/>
        <stp>BDP|536239288128565157</stp>
        <tr r="N1654" s="2"/>
      </tp>
      <tp t="s">
        <v>#N/A N/A</v>
        <stp/>
        <stp>BDP|520718650733941231</stp>
        <tr r="S847" s="2"/>
      </tp>
      <tp t="s">
        <v>#N/A N/A</v>
        <stp/>
        <stp>BDP|312653216153642789</stp>
        <tr r="O452" s="2"/>
      </tp>
      <tp t="s">
        <v>#N/A N/A</v>
        <stp/>
        <stp>BDP|695325018041663047</stp>
        <tr r="C511" s="2"/>
      </tp>
      <tp t="s">
        <v>#N/A N/A</v>
        <stp/>
        <stp>BDP|820908956939337632</stp>
        <tr r="F145" s="2"/>
      </tp>
      <tp t="s">
        <v>#N/A N/A</v>
        <stp/>
        <stp>BDP|586068145396831101</stp>
        <tr r="F1649" s="2"/>
      </tp>
      <tp t="s">
        <v>#N/A N/A</v>
        <stp/>
        <stp>BDP|977747107093565712</stp>
        <tr r="Q1366" s="2"/>
      </tp>
      <tp t="s">
        <v>#N/A N/A</v>
        <stp/>
        <stp>BDP|429171732616658789</stp>
        <tr r="A1018" s="2"/>
      </tp>
      <tp t="s">
        <v>#N/A N/A</v>
        <stp/>
        <stp>BDP|888341411224649541</stp>
        <tr r="E1707" s="2"/>
      </tp>
      <tp t="s">
        <v>#N/A N/A</v>
        <stp/>
        <stp>BDP|763112879814801180</stp>
        <tr r="M970" s="2"/>
      </tp>
      <tp t="s">
        <v>#N/A N/A</v>
        <stp/>
        <stp>BDP|197030950734565285</stp>
        <tr r="Q1020" s="2"/>
      </tp>
      <tp t="s">
        <v>#N/A N/A</v>
        <stp/>
        <stp>BDP|905245467243324468</stp>
        <tr r="C1265" s="2"/>
      </tp>
      <tp t="s">
        <v>#N/A N/A</v>
        <stp/>
        <stp>BDS|272722071470777390</stp>
        <tr r="I614" s="2"/>
      </tp>
      <tp t="s">
        <v>#N/A N/A</v>
        <stp/>
        <stp>BDP|789072661061817417</stp>
        <tr r="T429" s="2"/>
      </tp>
      <tp t="s">
        <v>#N/A N/A</v>
        <stp/>
        <stp>BDP|712384716710650175</stp>
        <tr r="G261" s="2"/>
      </tp>
      <tp t="s">
        <v>#N/A N/A</v>
        <stp/>
        <stp>BDP|657781451249300845</stp>
        <tr r="N1492" s="2"/>
      </tp>
      <tp t="s">
        <v>#N/A N/A</v>
        <stp/>
        <stp>BDP|380178764447029381</stp>
        <tr r="O995" s="2"/>
      </tp>
      <tp t="s">
        <v>#N/A N/A</v>
        <stp/>
        <stp>BDP|499695667671032232</stp>
        <tr r="N822" s="2"/>
      </tp>
      <tp t="s">
        <v>#N/A N/A</v>
        <stp/>
        <stp>BDP|663510506127191195</stp>
        <tr r="H1233" s="2"/>
      </tp>
      <tp t="s">
        <v>#N/A N/A</v>
        <stp/>
        <stp>BDP|279223304353435298</stp>
        <tr r="G1139" s="2"/>
      </tp>
      <tp t="s">
        <v>#N/A N/A</v>
        <stp/>
        <stp>BDP|361522634624568198</stp>
        <tr r="C159" s="2"/>
      </tp>
      <tp t="s">
        <v>#N/A N/A</v>
        <stp/>
        <stp>BDP|630582367276067608</stp>
        <tr r="D991" s="2"/>
      </tp>
      <tp t="s">
        <v>#N/A N/A</v>
        <stp/>
        <stp>BDP|633682694729028508</stp>
        <tr r="M260" s="2"/>
      </tp>
      <tp t="s">
        <v>#N/A N/A</v>
        <stp/>
        <stp>BDS|806419727982675724</stp>
        <tr r="I386" s="2"/>
      </tp>
      <tp t="s">
        <v>#N/A N/A</v>
        <stp/>
        <stp>BDS|994118295323065875</stp>
        <tr r="I313" s="2"/>
      </tp>
      <tp t="s">
        <v>#N/A N/A</v>
        <stp/>
        <stp>BDP|313810598334050601</stp>
        <tr r="F689" s="2"/>
      </tp>
      <tp t="s">
        <v>#N/A N/A</v>
        <stp/>
        <stp>BDS|734429769826250743</stp>
        <tr r="I861" s="2"/>
      </tp>
      <tp t="s">
        <v>#N/A N/A</v>
        <stp/>
        <stp>BDP|783520829945038167</stp>
        <tr r="C668" s="2"/>
      </tp>
      <tp t="s">
        <v>#N/A N/A</v>
        <stp/>
        <stp>BDP|130585927596485210</stp>
        <tr r="N1446" s="2"/>
      </tp>
      <tp t="s">
        <v>#N/A N/A</v>
        <stp/>
        <stp>BDP|672339442195513198</stp>
        <tr r="J531" s="2"/>
      </tp>
      <tp t="s">
        <v>#N/A N/A</v>
        <stp/>
        <stp>BDP|886981431321283884</stp>
        <tr r="P862" s="2"/>
      </tp>
      <tp t="s">
        <v>#N/A N/A</v>
        <stp/>
        <stp>BDP|229392110564547556</stp>
        <tr r="F1338" s="2"/>
      </tp>
      <tp t="s">
        <v>#N/A N/A</v>
        <stp/>
        <stp>BDP|972575112875599226</stp>
        <tr r="D52" s="2"/>
      </tp>
      <tp t="s">
        <v>#N/A N/A</v>
        <stp/>
        <stp>BDS|395028100852405112</stp>
        <tr r="I1223" s="2"/>
      </tp>
      <tp t="s">
        <v>#N/A N/A</v>
        <stp/>
        <stp>BDP|490762866410201226</stp>
        <tr r="N766" s="2"/>
      </tp>
      <tp t="s">
        <v>#N/A N/A</v>
        <stp/>
        <stp>BDP|792179437210747149</stp>
        <tr r="K1526" s="2"/>
      </tp>
      <tp t="s">
        <v>#N/A N/A</v>
        <stp/>
        <stp>BDP|816475872347132788</stp>
        <tr r="F1168" s="2"/>
      </tp>
      <tp t="s">
        <v>#N/A N/A</v>
        <stp/>
        <stp>BDP|569613928912088586</stp>
        <tr r="E845" s="2"/>
      </tp>
      <tp t="s">
        <v>#N/A N/A</v>
        <stp/>
        <stp>BDP|948777950891225089</stp>
        <tr r="T1375" s="2"/>
      </tp>
      <tp t="s">
        <v>#N/A N/A</v>
        <stp/>
        <stp>BDP|282102712141555218</stp>
        <tr r="P1024" s="2"/>
      </tp>
      <tp t="s">
        <v>#N/A N/A</v>
        <stp/>
        <stp>BDP|415199759145991288</stp>
        <tr r="C2" s="2"/>
      </tp>
      <tp t="s">
        <v>#N/A N/A</v>
        <stp/>
        <stp>BDP|155679813476867280</stp>
        <tr r="T988" s="2"/>
      </tp>
      <tp t="s">
        <v>#N/A N/A</v>
        <stp/>
        <stp>BDP|949542118235700279</stp>
        <tr r="E713" s="2"/>
      </tp>
      <tp t="s">
        <v>#N/A N/A</v>
        <stp/>
        <stp>BDP|644684738282668459</stp>
        <tr r="J533" s="2"/>
      </tp>
      <tp t="s">
        <v>#N/A N/A</v>
        <stp/>
        <stp>BDP|650268549507500299</stp>
        <tr r="P1342" s="2"/>
      </tp>
      <tp t="s">
        <v>#N/A N/A</v>
        <stp/>
        <stp>BDP|648509769962338291</stp>
        <tr r="Q1688" s="2"/>
      </tp>
      <tp t="s">
        <v>#N/A N/A</v>
        <stp/>
        <stp>BDP|363642171206318400</stp>
        <tr r="J1225" s="2"/>
      </tp>
      <tp t="s">
        <v>#N/A N/A</v>
        <stp/>
        <stp>BDP|754495062843857224</stp>
        <tr r="E1277" s="2"/>
      </tp>
      <tp t="s">
        <v>#N/A N/A</v>
        <stp/>
        <stp>BDP|399613175366831497</stp>
        <tr r="M578" s="2"/>
      </tp>
      <tp t="s">
        <v>#N/A N/A</v>
        <stp/>
        <stp>BDP|600844162874270949</stp>
        <tr r="K931" s="2"/>
      </tp>
      <tp t="s">
        <v>#N/A N/A</v>
        <stp/>
        <stp>BDP|810447009982562569</stp>
        <tr r="G521" s="2"/>
      </tp>
      <tp t="s">
        <v>#N/A N/A</v>
        <stp/>
        <stp>BDP|616199779431788470</stp>
        <tr r="R1001" s="2"/>
      </tp>
      <tp t="s">
        <v>#N/A N/A</v>
        <stp/>
        <stp>BDP|841156968201607554</stp>
        <tr r="D1275" s="2"/>
      </tp>
      <tp t="s">
        <v>#N/A N/A</v>
        <stp/>
        <stp>BDP|663918257029553621</stp>
        <tr r="F1353" s="2"/>
      </tp>
      <tp t="s">
        <v>#N/A N/A</v>
        <stp/>
        <stp>BDS|391644936552729416</stp>
        <tr r="I1445" s="2"/>
      </tp>
      <tp t="s">
        <v>#N/A N/A</v>
        <stp/>
        <stp>BDP|620140543264554237</stp>
        <tr r="K238" s="2"/>
      </tp>
      <tp t="s">
        <v>#N/A N/A</v>
        <stp/>
        <stp>BDP|909637035797126190</stp>
        <tr r="S776" s="2"/>
      </tp>
      <tp t="s">
        <v>#N/A N/A</v>
        <stp/>
        <stp>BDP|549151111156035566</stp>
        <tr r="M521" s="2"/>
      </tp>
      <tp t="s">
        <v>#N/A N/A</v>
        <stp/>
        <stp>BDP|909569141966904404</stp>
        <tr r="T1724" s="2"/>
      </tp>
      <tp t="s">
        <v>#N/A N/A</v>
        <stp/>
        <stp>BDP|785762068712069091</stp>
        <tr r="S1716" s="2"/>
      </tp>
      <tp t="s">
        <v>#N/A N/A</v>
        <stp/>
        <stp>BDP|922182561312392632</stp>
        <tr r="M1697" s="2"/>
      </tp>
      <tp t="s">
        <v>#N/A N/A</v>
        <stp/>
        <stp>BDP|556054182253658849</stp>
        <tr r="G409" s="2"/>
      </tp>
      <tp t="s">
        <v>#N/A N/A</v>
        <stp/>
        <stp>BDP|770714675007059439</stp>
        <tr r="A324" s="2"/>
      </tp>
      <tp t="s">
        <v>#N/A N/A</v>
        <stp/>
        <stp>BDP|685139820477644736</stp>
        <tr r="G1012" s="2"/>
      </tp>
      <tp t="s">
        <v>#N/A N/A</v>
        <stp/>
        <stp>BDP|994128320741230191</stp>
        <tr r="M3" s="2"/>
      </tp>
      <tp t="s">
        <v>#N/A N/A</v>
        <stp/>
        <stp>BDP|736853115013721918</stp>
        <tr r="Q199" s="2"/>
      </tp>
      <tp t="s">
        <v>#N/A N/A</v>
        <stp/>
        <stp>BDP|334706375344368749</stp>
        <tr r="O1149" s="2"/>
      </tp>
      <tp t="s">
        <v>#N/A N/A</v>
        <stp/>
        <stp>BDP|418722214685416078</stp>
        <tr r="G723" s="2"/>
      </tp>
      <tp t="s">
        <v>#N/A N/A</v>
        <stp/>
        <stp>BDP|707465327780236551</stp>
        <tr r="R1173" s="2"/>
      </tp>
      <tp t="s">
        <v>#N/A N/A</v>
        <stp/>
        <stp>BDP|500317854625630077</stp>
        <tr r="D1412" s="2"/>
      </tp>
      <tp t="s">
        <v>#N/A N/A</v>
        <stp/>
        <stp>BDP|740514941855142779</stp>
        <tr r="N476" s="2"/>
      </tp>
      <tp t="s">
        <v>#N/A N/A</v>
        <stp/>
        <stp>BDP|107693244136639789</stp>
        <tr r="M1528" s="2"/>
      </tp>
      <tp t="s">
        <v>#N/A N/A</v>
        <stp/>
        <stp>BDP|831427165596475798</stp>
        <tr r="Q737" s="2"/>
      </tp>
      <tp t="s">
        <v>#N/A N/A</v>
        <stp/>
        <stp>BDP|321843093875075760</stp>
        <tr r="M755" s="2"/>
      </tp>
      <tp t="s">
        <v>#N/A N/A</v>
        <stp/>
        <stp>BDP|243659930126478016</stp>
        <tr r="H1332" s="2"/>
      </tp>
      <tp t="s">
        <v>#N/A N/A</v>
        <stp/>
        <stp>BDP|203543549365973745</stp>
        <tr r="E1420" s="2"/>
      </tp>
      <tp t="s">
        <v>#N/A N/A</v>
        <stp/>
        <stp>BDP|643303874047462042</stp>
        <tr r="Q69" s="2"/>
      </tp>
      <tp t="s">
        <v>#N/A N/A</v>
        <stp/>
        <stp>BDP|572308413965014447</stp>
        <tr r="F841" s="2"/>
      </tp>
      <tp t="s">
        <v>#N/A N/A</v>
        <stp/>
        <stp>BDP|563363199209865001</stp>
        <tr r="S1348" s="2"/>
      </tp>
      <tp t="s">
        <v>#N/A N/A</v>
        <stp/>
        <stp>BDP|321245524406570545</stp>
        <tr r="J681" s="2"/>
      </tp>
      <tp t="s">
        <v>#N/A N/A</v>
        <stp/>
        <stp>BDP|786562913956825186</stp>
        <tr r="C1072" s="2"/>
      </tp>
      <tp t="s">
        <v>#N/A N/A</v>
        <stp/>
        <stp>BDP|198165658535453298</stp>
        <tr r="F709" s="2"/>
      </tp>
      <tp t="s">
        <v>#N/A N/A</v>
        <stp/>
        <stp>BDP|630575282817696972</stp>
        <tr r="T1712" s="2"/>
      </tp>
      <tp t="s">
        <v>#N/A N/A</v>
        <stp/>
        <stp>BDP|765133606516293431</stp>
        <tr r="C579" s="2"/>
      </tp>
      <tp t="s">
        <v>#N/A N/A</v>
        <stp/>
        <stp>BDP|308152776831753446</stp>
        <tr r="Q495" s="2"/>
      </tp>
      <tp t="s">
        <v>#N/A N/A</v>
        <stp/>
        <stp>BDS|451251812268091801</stp>
        <tr r="I1139" s="2"/>
      </tp>
      <tp t="s">
        <v>#N/A N/A</v>
        <stp/>
        <stp>BDP|122815151887535972</stp>
        <tr r="C655" s="2"/>
      </tp>
      <tp t="s">
        <v>#N/A N/A</v>
        <stp/>
        <stp>BDP|723319827875337711</stp>
        <tr r="D456" s="2"/>
      </tp>
      <tp t="s">
        <v>#N/A N/A</v>
        <stp/>
        <stp>BDP|108028638523077271</stp>
        <tr r="D1013" s="2"/>
      </tp>
      <tp t="s">
        <v>#N/A N/A</v>
        <stp/>
        <stp>BDP|762646425946343095</stp>
        <tr r="O949" s="2"/>
      </tp>
      <tp t="s">
        <v>#N/A N/A</v>
        <stp/>
        <stp>BDP|791621079234425746</stp>
        <tr r="D404" s="2"/>
      </tp>
      <tp t="s">
        <v>#N/A N/A</v>
        <stp/>
        <stp>BDP|182432079760697118</stp>
        <tr r="G905" s="2"/>
      </tp>
      <tp t="s">
        <v>#N/A N/A</v>
        <stp/>
        <stp>BDP|510549810164592280</stp>
        <tr r="E334" s="2"/>
      </tp>
      <tp t="s">
        <v>#N/A N/A</v>
        <stp/>
        <stp>BDP|198268924587634591</stp>
        <tr r="A580" s="2"/>
      </tp>
      <tp t="s">
        <v>#N/A N/A</v>
        <stp/>
        <stp>BDP|862185512175669780</stp>
        <tr r="F1436" s="2"/>
      </tp>
      <tp t="s">
        <v>#N/A N/A</v>
        <stp/>
        <stp>BDP|125960052539862715</stp>
        <tr r="A1647" s="2"/>
      </tp>
      <tp t="s">
        <v>#N/A N/A</v>
        <stp/>
        <stp>BDP|983623492849005456</stp>
        <tr r="R905" s="2"/>
      </tp>
      <tp t="s">
        <v>#N/A N/A</v>
        <stp/>
        <stp>BDP|498452683738971661</stp>
        <tr r="D16" s="2"/>
      </tp>
      <tp t="s">
        <v>#N/A N/A</v>
        <stp/>
        <stp>BDP|757202337903462090</stp>
        <tr r="F1753" s="2"/>
      </tp>
      <tp t="s">
        <v>#N/A N/A</v>
        <stp/>
        <stp>BDP|461200875752492584</stp>
        <tr r="A869" s="2"/>
      </tp>
      <tp t="s">
        <v>#N/A N/A</v>
        <stp/>
        <stp>BDS|535764255037934728</stp>
        <tr r="I1409" s="2"/>
      </tp>
      <tp t="s">
        <v>#N/A N/A</v>
        <stp/>
        <stp>BDP|525034217246915558</stp>
        <tr r="J387" s="2"/>
      </tp>
      <tp t="s">
        <v>#N/A N/A</v>
        <stp/>
        <stp>BDP|960233871244511334</stp>
        <tr r="O1374" s="2"/>
      </tp>
      <tp t="s">
        <v>#N/A N/A</v>
        <stp/>
        <stp>BDP|624593930531477565</stp>
        <tr r="A23" s="2"/>
      </tp>
      <tp t="s">
        <v>#N/A N/A</v>
        <stp/>
        <stp>BDP|693200629262856095</stp>
        <tr r="E1555" s="2"/>
      </tp>
      <tp t="s">
        <v>#N/A N/A</v>
        <stp/>
        <stp>BDP|584616831073902426</stp>
        <tr r="F586" s="2"/>
      </tp>
      <tp t="s">
        <v>#N/A N/A</v>
        <stp/>
        <stp>BDP|302089009875483781</stp>
        <tr r="G1548" s="2"/>
      </tp>
      <tp t="s">
        <v>#N/A N/A</v>
        <stp/>
        <stp>BDP|354296735833429056</stp>
        <tr r="S1752" s="2"/>
      </tp>
      <tp t="s">
        <v>#N/A N/A</v>
        <stp/>
        <stp>BDP|507583639874963032</stp>
        <tr r="Q520" s="2"/>
      </tp>
      <tp t="s">
        <v>#N/A N/A</v>
        <stp/>
        <stp>BDP|170891486516591456</stp>
        <tr r="O1381" s="2"/>
      </tp>
      <tp t="s">
        <v>#N/A N/A</v>
        <stp/>
        <stp>BDP|570798232563222524</stp>
        <tr r="E291" s="2"/>
      </tp>
      <tp t="s">
        <v>#N/A N/A</v>
        <stp/>
        <stp>BDP|648181243876293114</stp>
        <tr r="C1511" s="2"/>
      </tp>
      <tp t="s">
        <v>#N/A N/A</v>
        <stp/>
        <stp>BDP|343200738642032155</stp>
        <tr r="F1018" s="2"/>
      </tp>
      <tp t="s">
        <v>#N/A N/A</v>
        <stp/>
        <stp>BDP|263429909922776404</stp>
        <tr r="E1435" s="2"/>
      </tp>
      <tp t="s">
        <v>#N/A N/A</v>
        <stp/>
        <stp>BDP|963324867617195026</stp>
        <tr r="C966" s="2"/>
      </tp>
      <tp t="s">
        <v>#N/A N/A</v>
        <stp/>
        <stp>BDP|649375809434412532</stp>
        <tr r="M947" s="2"/>
      </tp>
      <tp t="s">
        <v>#N/A N/A</v>
        <stp/>
        <stp>BDP|861831393076312540</stp>
        <tr r="F1690" s="2"/>
      </tp>
      <tp t="s">
        <v>#N/A N/A</v>
        <stp/>
        <stp>BDP|448361308011762026</stp>
        <tr r="G795" s="2"/>
      </tp>
      <tp t="s">
        <v>#N/A N/A</v>
        <stp/>
        <stp>BDP|313499252502813184</stp>
        <tr r="C1212" s="2"/>
      </tp>
      <tp t="s">
        <v>#N/A N/A</v>
        <stp/>
        <stp>BDP|609860805282858855</stp>
        <tr r="G367" s="2"/>
      </tp>
      <tp t="s">
        <v>#N/A N/A</v>
        <stp/>
        <stp>BDP|482068440636955031</stp>
        <tr r="S463" s="2"/>
      </tp>
      <tp t="s">
        <v>#N/A N/A</v>
        <stp/>
        <stp>BDP|654736626960913729</stp>
        <tr r="M1075" s="2"/>
      </tp>
      <tp t="s">
        <v>#N/A N/A</v>
        <stp/>
        <stp>BDP|275534177020633084</stp>
        <tr r="E1051" s="2"/>
      </tp>
      <tp t="s">
        <v>#N/A N/A</v>
        <stp/>
        <stp>BDP|998630446079190955</stp>
        <tr r="S743" s="2"/>
      </tp>
      <tp t="s">
        <v>#N/A N/A</v>
        <stp/>
        <stp>BDP|556722448139240857</stp>
        <tr r="M1534" s="2"/>
      </tp>
      <tp t="s">
        <v>#N/A N/A</v>
        <stp/>
        <stp>BDP|535572028665104028</stp>
        <tr r="R81" s="2"/>
      </tp>
      <tp t="s">
        <v>#N/A N/A</v>
        <stp/>
        <stp>BDP|892582097106647883</stp>
        <tr r="D909" s="2"/>
      </tp>
      <tp t="s">
        <v>#N/A N/A</v>
        <stp/>
        <stp>BDP|717514835323937732</stp>
        <tr r="Q1626" s="2"/>
      </tp>
      <tp t="s">
        <v>#N/A N/A</v>
        <stp/>
        <stp>BDP|956391218105416553</stp>
        <tr r="T1195" s="2"/>
      </tp>
      <tp t="s">
        <v>#N/A N/A</v>
        <stp/>
        <stp>BDP|120152988743023851</stp>
        <tr r="H182" s="2"/>
      </tp>
      <tp t="s">
        <v>#N/A N/A</v>
        <stp/>
        <stp>BDP|927736476254112679</stp>
        <tr r="K1100" s="2"/>
      </tp>
      <tp t="s">
        <v>#N/A N/A</v>
        <stp/>
        <stp>BDP|532274662114313298</stp>
        <tr r="T1236" s="2"/>
      </tp>
      <tp t="s">
        <v>#N/A N/A</v>
        <stp/>
        <stp>BDP|956010429871805130</stp>
        <tr r="N276" s="2"/>
      </tp>
      <tp t="s">
        <v>#N/A N/A</v>
        <stp/>
        <stp>BDP|438046159071413676</stp>
        <tr r="N692" s="2"/>
      </tp>
      <tp t="s">
        <v>#N/A N/A</v>
        <stp/>
        <stp>BDP|539295712069246862</stp>
        <tr r="N1494" s="2"/>
      </tp>
      <tp t="s">
        <v>#N/A N/A</v>
        <stp/>
        <stp>BDS|206340537042354085</stp>
        <tr r="I53" s="2"/>
      </tp>
      <tp t="s">
        <v>#N/A N/A</v>
        <stp/>
        <stp>BDP|184534667746875779</stp>
        <tr r="Q550" s="2"/>
      </tp>
      <tp t="s">
        <v>#N/A N/A</v>
        <stp/>
        <stp>BDP|419899431291016873</stp>
        <tr r="E1543" s="2"/>
      </tp>
      <tp t="s">
        <v>#N/A N/A</v>
        <stp/>
        <stp>BDP|862228516149611811</stp>
        <tr r="F1691" s="2"/>
      </tp>
      <tp t="s">
        <v>#N/A N/A</v>
        <stp/>
        <stp>BDP|110225926954761696</stp>
        <tr r="N1092" s="2"/>
      </tp>
      <tp t="s">
        <v>#N/A N/A</v>
        <stp/>
        <stp>BDP|662893157818122722</stp>
        <tr r="F809" s="2"/>
      </tp>
      <tp t="s">
        <v>#N/A N/A</v>
        <stp/>
        <stp>BDP|940342857016331223</stp>
        <tr r="F286" s="2"/>
      </tp>
      <tp t="s">
        <v>#N/A N/A</v>
        <stp/>
        <stp>BDP|875867856759467677</stp>
        <tr r="P1175" s="2"/>
      </tp>
      <tp t="s">
        <v>#N/A N/A</v>
        <stp/>
        <stp>BDP|878567402796519122</stp>
        <tr r="T962" s="2"/>
      </tp>
      <tp t="s">
        <v>#N/A N/A</v>
        <stp/>
        <stp>BDP|708930888253054072</stp>
        <tr r="Q1615" s="2"/>
      </tp>
      <tp t="s">
        <v>#N/A N/A</v>
        <stp/>
        <stp>BDP|725907735911029964</stp>
        <tr r="F1146" s="2"/>
      </tp>
      <tp t="s">
        <v>#N/A N/A</v>
        <stp/>
        <stp>BDP|242657915046606308</stp>
        <tr r="T1324" s="2"/>
      </tp>
      <tp t="s">
        <v>#N/A N/A</v>
        <stp/>
        <stp>BDP|641166769004904149</stp>
        <tr r="C1307" s="2"/>
      </tp>
      <tp t="s">
        <v>#N/A N/A</v>
        <stp/>
        <stp>BDP|855054130162182380</stp>
        <tr r="N865" s="2"/>
      </tp>
      <tp t="s">
        <v>#N/A N/A</v>
        <stp/>
        <stp>BDP|693883411218320384</stp>
        <tr r="Q525" s="2"/>
      </tp>
      <tp t="s">
        <v>#N/A N/A</v>
        <stp/>
        <stp>BDP|344314307530793160</stp>
        <tr r="S1275" s="2"/>
      </tp>
      <tp t="s">
        <v>#N/A N/A</v>
        <stp/>
        <stp>BDP|437480719947729068</stp>
        <tr r="M83" s="2"/>
      </tp>
      <tp t="s">
        <v>#N/A N/A</v>
        <stp/>
        <stp>BDP|541128042363296430</stp>
        <tr r="S1084" s="2"/>
      </tp>
      <tp t="s">
        <v>#N/A N/A</v>
        <stp/>
        <stp>BDP|654369728456580596</stp>
        <tr r="H927" s="2"/>
      </tp>
      <tp t="s">
        <v>#N/A N/A</v>
        <stp/>
        <stp>BDP|975695562035534736</stp>
        <tr r="E531" s="2"/>
      </tp>
      <tp t="s">
        <v>#N/A N/A</v>
        <stp/>
        <stp>BDP|169359283401296816</stp>
        <tr r="M419" s="2"/>
      </tp>
      <tp t="s">
        <v>#N/A N/A</v>
        <stp/>
        <stp>BDS|969799395545708970</stp>
        <tr r="I604" s="2"/>
      </tp>
      <tp t="s">
        <v>#N/A N/A</v>
        <stp/>
        <stp>BDP|845150001802163180</stp>
        <tr r="F1676" s="2"/>
      </tp>
      <tp t="s">
        <v>#N/A N/A</v>
        <stp/>
        <stp>BDP|507035835946658700</stp>
        <tr r="Q133" s="2"/>
      </tp>
      <tp t="s">
        <v>#N/A N/A</v>
        <stp/>
        <stp>BDP|944992957127096920</stp>
        <tr r="R1308" s="2"/>
      </tp>
      <tp t="s">
        <v>#N/A N/A</v>
        <stp/>
        <stp>BDP|554635232384584346</stp>
        <tr r="H69" s="2"/>
      </tp>
      <tp t="s">
        <v>#N/A N/A</v>
        <stp/>
        <stp>BDP|736844201458279254</stp>
        <tr r="M1739" s="2"/>
      </tp>
      <tp t="s">
        <v>#N/A N/A</v>
        <stp/>
        <stp>BDP|479735891199709544</stp>
        <tr r="R1108" s="2"/>
      </tp>
      <tp t="s">
        <v>#N/A N/A</v>
        <stp/>
        <stp>BDP|628471728124657099</stp>
        <tr r="C1299" s="2"/>
      </tp>
      <tp t="s">
        <v>#N/A N/A</v>
        <stp/>
        <stp>BDP|490455665768619845</stp>
        <tr r="T469" s="2"/>
      </tp>
      <tp t="s">
        <v>#N/A N/A</v>
        <stp/>
        <stp>BDP|678636154346029773</stp>
        <tr r="F1063" s="2"/>
      </tp>
      <tp t="s">
        <v>#N/A N/A</v>
        <stp/>
        <stp>BDP|808241667500453691</stp>
        <tr r="O630" s="2"/>
      </tp>
      <tp t="s">
        <v>#N/A N/A</v>
        <stp/>
        <stp>BDS|137683059444012565</stp>
        <tr r="I1740" s="2"/>
      </tp>
      <tp t="s">
        <v>#N/A N/A</v>
        <stp/>
        <stp>BDP|203705005787076212</stp>
        <tr r="E890" s="2"/>
      </tp>
      <tp t="s">
        <v>#N/A N/A</v>
        <stp/>
        <stp>BDP|879830585274996601</stp>
        <tr r="S1658" s="2"/>
      </tp>
      <tp t="s">
        <v>#N/A N/A</v>
        <stp/>
        <stp>BDP|258470783226341821</stp>
        <tr r="F498" s="2"/>
      </tp>
      <tp t="s">
        <v>#N/A N/A</v>
        <stp/>
        <stp>BDP|658191324852860348</stp>
        <tr r="J480" s="2"/>
      </tp>
      <tp t="s">
        <v>#N/A N/A</v>
        <stp/>
        <stp>BDP|126008186949774376</stp>
        <tr r="G1184" s="2"/>
      </tp>
      <tp t="s">
        <v>#N/A N/A</v>
        <stp/>
        <stp>BDP|266047880672765862</stp>
        <tr r="C1749" s="2"/>
      </tp>
      <tp t="s">
        <v>#N/A N/A</v>
        <stp/>
        <stp>BDP|854362070237848114</stp>
        <tr r="T1028" s="2"/>
      </tp>
      <tp t="s">
        <v>#N/A N/A</v>
        <stp/>
        <stp>BDP|929175436523142394</stp>
        <tr r="N1304" s="2"/>
      </tp>
      <tp t="s">
        <v>#N/A N/A</v>
        <stp/>
        <stp>BDP|347473124152154615</stp>
        <tr r="C1042" s="2"/>
      </tp>
      <tp t="s">
        <v>#N/A N/A</v>
        <stp/>
        <stp>BDP|281754368166701596</stp>
        <tr r="M214" s="2"/>
      </tp>
      <tp t="s">
        <v>#N/A N/A</v>
        <stp/>
        <stp>BDP|282207724234575627</stp>
        <tr r="K1082" s="2"/>
      </tp>
      <tp t="s">
        <v>#N/A N/A</v>
        <stp/>
        <stp>BDP|638037510131077242</stp>
        <tr r="C133" s="2"/>
      </tp>
      <tp t="s">
        <v>#N/A N/A</v>
        <stp/>
        <stp>BDP|111326313680446055</stp>
        <tr r="Q1148" s="2"/>
      </tp>
      <tp t="s">
        <v>#N/A N/A</v>
        <stp/>
        <stp>BDP|319190979034041025</stp>
        <tr r="Q5" s="2"/>
      </tp>
      <tp t="s">
        <v>#N/A N/A</v>
        <stp/>
        <stp>BDP|754691563656441487</stp>
        <tr r="H104" s="2"/>
      </tp>
      <tp t="s">
        <v>#N/A N/A</v>
        <stp/>
        <stp>BDP|730860711538694379</stp>
        <tr r="C1425" s="2"/>
      </tp>
      <tp t="s">
        <v>#N/A N/A</v>
        <stp/>
        <stp>BDP|835293648241107596</stp>
        <tr r="M377" s="2"/>
      </tp>
      <tp t="s">
        <v>#N/A N/A</v>
        <stp/>
        <stp>BDP|185457702596627022</stp>
        <tr r="H348" s="2"/>
      </tp>
      <tp t="s">
        <v>#N/A N/A</v>
        <stp/>
        <stp>BDP|239959755098765677</stp>
        <tr r="J202" s="2"/>
      </tp>
      <tp t="s">
        <v>#N/A N/A</v>
        <stp/>
        <stp>BDP|189967557106306816</stp>
        <tr r="R1102" s="2"/>
      </tp>
      <tp t="s">
        <v>#N/A N/A</v>
        <stp/>
        <stp>BDS|248258701680434007</stp>
        <tr r="I371" s="2"/>
      </tp>
      <tp t="s">
        <v>#N/A N/A</v>
        <stp/>
        <stp>BDP|665850793592272108</stp>
        <tr r="G286" s="2"/>
      </tp>
      <tp t="s">
        <v>#N/A N/A</v>
        <stp/>
        <stp>BDP|656270434493400033</stp>
        <tr r="O103" s="2"/>
      </tp>
      <tp t="s">
        <v>#N/A N/A</v>
        <stp/>
        <stp>BDP|999965629938127156</stp>
        <tr r="A114" s="2"/>
      </tp>
      <tp t="s">
        <v>#N/A N/A</v>
        <stp/>
        <stp>BDP|370177454510730650</stp>
        <tr r="S996" s="2"/>
      </tp>
      <tp t="s">
        <v>#N/A N/A</v>
        <stp/>
        <stp>BDP|776473772900508146</stp>
        <tr r="F1282" s="2"/>
      </tp>
      <tp t="s">
        <v>#N/A N/A</v>
        <stp/>
        <stp>BDP|999897023019502151</stp>
        <tr r="J64" s="2"/>
      </tp>
      <tp t="s">
        <v>#N/A N/A</v>
        <stp/>
        <stp>BDS|699089204556811418</stp>
        <tr r="I1635" s="2"/>
      </tp>
      <tp t="s">
        <v>#N/A N/A</v>
        <stp/>
        <stp>BDP|723025874215720055</stp>
        <tr r="T1196" s="2"/>
      </tp>
      <tp t="s">
        <v>#N/A N/A</v>
        <stp/>
        <stp>BDP|405414133617579206</stp>
        <tr r="D1023" s="2"/>
      </tp>
      <tp t="s">
        <v>#N/A N/A</v>
        <stp/>
        <stp>BDP|776583784009134696</stp>
        <tr r="K289" s="2"/>
      </tp>
      <tp t="s">
        <v>#N/A N/A</v>
        <stp/>
        <stp>BDP|403683749435792519</stp>
        <tr r="G713" s="2"/>
      </tp>
      <tp t="s">
        <v>#N/A N/A</v>
        <stp/>
        <stp>BDP|136439488527007660</stp>
        <tr r="Q108" s="2"/>
      </tp>
      <tp t="s">
        <v>#N/A N/A</v>
        <stp/>
        <stp>BDP|987832170922393055</stp>
        <tr r="G1023" s="2"/>
      </tp>
      <tp t="s">
        <v>#N/A N/A</v>
        <stp/>
        <stp>BDP|219586428442850861</stp>
        <tr r="K1752" s="2"/>
      </tp>
      <tp t="s">
        <v>#N/A N/A</v>
        <stp/>
        <stp>BDP|880047164572693939</stp>
        <tr r="T1100" s="2"/>
      </tp>
      <tp t="s">
        <v>#N/A N/A</v>
        <stp/>
        <stp>BDP|182402001590979941</stp>
        <tr r="J775" s="2"/>
      </tp>
      <tp t="s">
        <v>#N/A N/A</v>
        <stp/>
        <stp>BDS|303830584699191481</stp>
        <tr r="I1013" s="2"/>
      </tp>
      <tp t="s">
        <v>#N/A N/A</v>
        <stp/>
        <stp>BDP|919171544739705101</stp>
        <tr r="Q904" s="2"/>
      </tp>
      <tp t="s">
        <v>#N/A N/A</v>
        <stp/>
        <stp>BDP|689319070511825820</stp>
        <tr r="A1672" s="2"/>
      </tp>
      <tp t="s">
        <v>#N/A N/A</v>
        <stp/>
        <stp>BDP|892845235234387271</stp>
        <tr r="J257" s="2"/>
      </tp>
      <tp t="s">
        <v>#N/A N/A</v>
        <stp/>
        <stp>BDP|298770057989747683</stp>
        <tr r="F1336" s="2"/>
      </tp>
      <tp t="s">
        <v>#N/A N/A</v>
        <stp/>
        <stp>BDP|820216424218470544</stp>
        <tr r="G815" s="2"/>
      </tp>
      <tp t="s">
        <v>#N/A N/A</v>
        <stp/>
        <stp>BDP|131283097950033600</stp>
        <tr r="D848" s="2"/>
      </tp>
      <tp t="s">
        <v>#N/A N/A</v>
        <stp/>
        <stp>BDP|783978718125513038</stp>
        <tr r="C361" s="2"/>
      </tp>
      <tp t="s">
        <v>#N/A N/A</v>
        <stp/>
        <stp>BDP|995149542100181807</stp>
        <tr r="M164" s="2"/>
      </tp>
      <tp t="s">
        <v>#N/A N/A</v>
        <stp/>
        <stp>BDP|883667276675161972</stp>
        <tr r="J1437" s="2"/>
      </tp>
      <tp t="s">
        <v>#N/A N/A</v>
        <stp/>
        <stp>BDP|137887276572241036</stp>
        <tr r="A1700" s="2"/>
      </tp>
      <tp t="s">
        <v>#N/A N/A</v>
        <stp/>
        <stp>BDP|882538907549129136</stp>
        <tr r="Q1487" s="2"/>
      </tp>
      <tp t="s">
        <v>#N/A N/A</v>
        <stp/>
        <stp>BDP|543795925658559026</stp>
        <tr r="C1386" s="2"/>
      </tp>
      <tp t="s">
        <v>#N/A N/A</v>
        <stp/>
        <stp>BDP|935131484221858580</stp>
        <tr r="N17" s="2"/>
      </tp>
      <tp t="s">
        <v>#N/A N/A</v>
        <stp/>
        <stp>BDP|386562485413932366</stp>
        <tr r="S280" s="2"/>
      </tp>
      <tp t="s">
        <v>#N/A N/A</v>
        <stp/>
        <stp>BDP|493798623629100107</stp>
        <tr r="N1482" s="2"/>
      </tp>
      <tp t="s">
        <v>#N/A N/A</v>
        <stp/>
        <stp>BDP|513236828148976587</stp>
        <tr r="A1316" s="2"/>
      </tp>
      <tp t="s">
        <v>#N/A N/A</v>
        <stp/>
        <stp>BDP|982622873195550954</stp>
        <tr r="F1090" s="2"/>
      </tp>
      <tp t="s">
        <v>#N/A N/A</v>
        <stp/>
        <stp>BDP|246889799635972925</stp>
        <tr r="S692" s="2"/>
      </tp>
      <tp t="s">
        <v>#N/A N/A</v>
        <stp/>
        <stp>BDP|312928468364173604</stp>
        <tr r="Q1498" s="2"/>
      </tp>
      <tp t="s">
        <v>#N/A N/A</v>
        <stp/>
        <stp>BDP|969670775894632852</stp>
        <tr r="O906" s="2"/>
      </tp>
      <tp t="s">
        <v>#N/A N/A</v>
        <stp/>
        <stp>BDS|914563884576485672</stp>
        <tr r="I28" s="2"/>
      </tp>
      <tp t="s">
        <v>#N/A N/A</v>
        <stp/>
        <stp>BDP|990944757239005822</stp>
        <tr r="S1382" s="2"/>
      </tp>
      <tp t="s">
        <v>#N/A N/A</v>
        <stp/>
        <stp>BDP|142634388421519276</stp>
        <tr r="A1434" s="2"/>
      </tp>
      <tp t="s">
        <v>#N/A N/A</v>
        <stp/>
        <stp>BDP|216938279064660769</stp>
        <tr r="S552" s="2"/>
      </tp>
      <tp t="s">
        <v>#N/A N/A</v>
        <stp/>
        <stp>BDS|125421978627390908</stp>
        <tr r="I1554" s="2"/>
      </tp>
      <tp t="s">
        <v>#N/A N/A</v>
        <stp/>
        <stp>BDP|518677759577602956</stp>
        <tr r="H377" s="2"/>
      </tp>
      <tp t="s">
        <v>#N/A N/A</v>
        <stp/>
        <stp>BDP|105982303547392304</stp>
        <tr r="Q513" s="2"/>
      </tp>
      <tp t="s">
        <v>#N/A N/A</v>
        <stp/>
        <stp>BDP|564427330953930973</stp>
        <tr r="Q511" s="2"/>
      </tp>
      <tp t="s">
        <v>#N/A N/A</v>
        <stp/>
        <stp>BDP|358805390945836924</stp>
        <tr r="E1365" s="2"/>
      </tp>
      <tp t="s">
        <v>#N/A N/A</v>
        <stp/>
        <stp>BDP|286955765891223399</stp>
        <tr r="G1507" s="2"/>
      </tp>
      <tp t="s">
        <v>#N/A N/A</v>
        <stp/>
        <stp>BDP|596445648705997891</stp>
        <tr r="M568" s="2"/>
      </tp>
      <tp t="s">
        <v>#N/A N/A</v>
        <stp/>
        <stp>BDP|188430086820980149</stp>
        <tr r="S1629" s="2"/>
      </tp>
      <tp t="s">
        <v>#N/A N/A</v>
        <stp/>
        <stp>BDP|598550260649220787</stp>
        <tr r="O893" s="2"/>
      </tp>
      <tp t="s">
        <v>#N/A N/A</v>
        <stp/>
        <stp>BDP|123396527235160949</stp>
        <tr r="A947" s="2"/>
      </tp>
      <tp t="s">
        <v>#N/A N/A</v>
        <stp/>
        <stp>BDS|631528278577115873</stp>
        <tr r="I827" s="2"/>
      </tp>
      <tp t="s">
        <v>#N/A N/A</v>
        <stp/>
        <stp>BDP|901809572002376034</stp>
        <tr r="E1028" s="2"/>
      </tp>
      <tp t="s">
        <v>#N/A N/A</v>
        <stp/>
        <stp>BDP|256109349188524051</stp>
        <tr r="E1463" s="2"/>
      </tp>
      <tp t="s">
        <v>#N/A N/A</v>
        <stp/>
        <stp>BDP|796731247547859906</stp>
        <tr r="S281" s="2"/>
      </tp>
      <tp t="s">
        <v>#N/A N/A</v>
        <stp/>
        <stp>BDP|197657884802242193</stp>
        <tr r="R1381" s="2"/>
      </tp>
      <tp t="s">
        <v>#N/A N/A</v>
        <stp/>
        <stp>BDP|905443941679230450</stp>
        <tr r="N1083" s="2"/>
      </tp>
      <tp t="s">
        <v>#N/A N/A</v>
        <stp/>
        <stp>BDP|228173525326231897</stp>
        <tr r="T1613" s="2"/>
      </tp>
      <tp t="s">
        <v>#N/A N/A</v>
        <stp/>
        <stp>BDP|494335749658255284</stp>
        <tr r="K371" s="2"/>
      </tp>
      <tp t="s">
        <v>#N/A N/A</v>
        <stp/>
        <stp>BDP|831368093467862010</stp>
        <tr r="Q1275" s="2"/>
      </tp>
      <tp t="s">
        <v>#N/A N/A</v>
        <stp/>
        <stp>BDP|323357558648911330</stp>
        <tr r="R260" s="2"/>
      </tp>
      <tp t="s">
        <v>#N/A N/A</v>
        <stp/>
        <stp>BDP|458000926309174672</stp>
        <tr r="J1045" s="2"/>
      </tp>
      <tp t="s">
        <v>#N/A N/A</v>
        <stp/>
        <stp>BDP|154406464156234930</stp>
        <tr r="K1389" s="2"/>
      </tp>
      <tp t="s">
        <v>#N/A N/A</v>
        <stp/>
        <stp>BDP|101873544235450420</stp>
        <tr r="N1564" s="2"/>
      </tp>
      <tp t="s">
        <v>#N/A N/A</v>
        <stp/>
        <stp>BDP|295030947639388012</stp>
        <tr r="D534" s="2"/>
      </tp>
      <tp t="s">
        <v>#N/A N/A</v>
        <stp/>
        <stp>BDP|196282799507072152</stp>
        <tr r="J347" s="2"/>
      </tp>
      <tp t="s">
        <v>#N/A N/A</v>
        <stp/>
        <stp>BDP|555381664909552190</stp>
        <tr r="M683" s="2"/>
      </tp>
      <tp t="s">
        <v>#N/A N/A</v>
        <stp/>
        <stp>BDP|324575511820973996</stp>
        <tr r="N1725" s="2"/>
      </tp>
      <tp t="s">
        <v>#N/A N/A</v>
        <stp/>
        <stp>BDP|953973434322745580</stp>
        <tr r="F888" s="2"/>
      </tp>
      <tp t="s">
        <v>#N/A N/A</v>
        <stp/>
        <stp>BDP|187167627656237845</stp>
        <tr r="Q992" s="2"/>
      </tp>
      <tp t="s">
        <v>#N/A N/A</v>
        <stp/>
        <stp>BDP|311635024311794851</stp>
        <tr r="Q553" s="2"/>
      </tp>
      <tp t="s">
        <v>#N/A N/A</v>
        <stp/>
        <stp>BDP|516434199612966208</stp>
        <tr r="M1634" s="2"/>
      </tp>
      <tp t="s">
        <v>#N/A N/A</v>
        <stp/>
        <stp>BDP|310020587631383439</stp>
        <tr r="K1487" s="2"/>
      </tp>
      <tp t="s">
        <v>#N/A N/A</v>
        <stp/>
        <stp>BDP|772814300311535454</stp>
        <tr r="P358" s="2"/>
      </tp>
      <tp t="s">
        <v>#N/A N/A</v>
        <stp/>
        <stp>BDP|983064885843556694</stp>
        <tr r="C253" s="2"/>
      </tp>
      <tp t="s">
        <v>#N/A N/A</v>
        <stp/>
        <stp>BDP|988693290047511520</stp>
        <tr r="T336" s="2"/>
      </tp>
      <tp t="s">
        <v>#N/A N/A</v>
        <stp/>
        <stp>BDP|757092729807833885</stp>
        <tr r="A52" s="2"/>
      </tp>
      <tp t="s">
        <v>#N/A N/A</v>
        <stp/>
        <stp>BDP|406779988435872747</stp>
        <tr r="P980" s="2"/>
      </tp>
      <tp t="s">
        <v>#N/A N/A</v>
        <stp/>
        <stp>BDP|315190967973380992</stp>
        <tr r="T1051" s="2"/>
      </tp>
      <tp t="s">
        <v>#N/A N/A</v>
        <stp/>
        <stp>BDP|455266785795564252</stp>
        <tr r="J953" s="2"/>
      </tp>
      <tp t="s">
        <v>#N/A N/A</v>
        <stp/>
        <stp>BDP|459118802155740978</stp>
        <tr r="K1259" s="2"/>
      </tp>
      <tp t="s">
        <v>#N/A N/A</v>
        <stp/>
        <stp>BDP|334571691549010821</stp>
        <tr r="J1532" s="2"/>
      </tp>
      <tp t="s">
        <v>#N/A N/A</v>
        <stp/>
        <stp>BDS|440820545158711931</stp>
        <tr r="I839" s="2"/>
      </tp>
      <tp t="s">
        <v>#N/A N/A</v>
        <stp/>
        <stp>BDP|300953056012977397</stp>
        <tr r="R523" s="2"/>
      </tp>
      <tp t="s">
        <v>#N/A N/A</v>
        <stp/>
        <stp>BDP|131219071118926089</stp>
        <tr r="G1269" s="2"/>
      </tp>
      <tp t="s">
        <v>#N/A N/A</v>
        <stp/>
        <stp>BDP|371374986703161534</stp>
        <tr r="N1441" s="2"/>
      </tp>
      <tp t="s">
        <v>#N/A N/A</v>
        <stp/>
        <stp>BDP|327119629729889733</stp>
        <tr r="A603" s="2"/>
      </tp>
      <tp t="s">
        <v>#N/A N/A</v>
        <stp/>
        <stp>BDP|778449902081334835</stp>
        <tr r="C1177" s="2"/>
      </tp>
      <tp t="s">
        <v>#N/A N/A</v>
        <stp/>
        <stp>BDP|478906563003398151</stp>
        <tr r="G1276" s="2"/>
      </tp>
      <tp t="s">
        <v>#N/A N/A</v>
        <stp/>
        <stp>BDP|339768155339313629</stp>
        <tr r="A493" s="2"/>
      </tp>
      <tp t="s">
        <v>#N/A N/A</v>
        <stp/>
        <stp>BDP|517537865068240606</stp>
        <tr r="F613" s="2"/>
      </tp>
      <tp t="s">
        <v>#N/A N/A</v>
        <stp/>
        <stp>BDS|541876255574775414</stp>
        <tr r="I689" s="2"/>
      </tp>
      <tp t="s">
        <v>#N/A N/A</v>
        <stp/>
        <stp>BDP|114021931707159919</stp>
        <tr r="Q1745" s="2"/>
      </tp>
      <tp t="s">
        <v>#N/A N/A</v>
        <stp/>
        <stp>BDP|482860008597870204</stp>
        <tr r="C1744" s="2"/>
      </tp>
      <tp t="s">
        <v>#N/A N/A</v>
        <stp/>
        <stp>BDP|969788395165409620</stp>
        <tr r="A1612" s="2"/>
      </tp>
      <tp t="s">
        <v>#N/A N/A</v>
        <stp/>
        <stp>BDP|355823137174130257</stp>
        <tr r="M770" s="2"/>
      </tp>
      <tp t="s">
        <v>#N/A N/A</v>
        <stp/>
        <stp>BDP|431026937747065934</stp>
        <tr r="N436" s="2"/>
      </tp>
      <tp t="s">
        <v>#N/A N/A</v>
        <stp/>
        <stp>BDP|370264210798543626</stp>
        <tr r="K251" s="2"/>
      </tp>
      <tp t="s">
        <v>#N/A N/A</v>
        <stp/>
        <stp>BDP|438796038389446034</stp>
        <tr r="G287" s="2"/>
      </tp>
      <tp t="s">
        <v>#N/A N/A</v>
        <stp/>
        <stp>BDP|892289706836329965</stp>
        <tr r="G516" s="2"/>
      </tp>
      <tp t="s">
        <v>#N/A N/A</v>
        <stp/>
        <stp>BDP|886913922513144596</stp>
        <tr r="O498" s="2"/>
      </tp>
      <tp t="s">
        <v>#N/A N/A</v>
        <stp/>
        <stp>BDP|575832757367154737</stp>
        <tr r="M481" s="2"/>
      </tp>
      <tp t="s">
        <v>#N/A N/A</v>
        <stp/>
        <stp>BDP|589232816659281710</stp>
        <tr r="F304" s="2"/>
      </tp>
      <tp t="s">
        <v>#N/A N/A</v>
        <stp/>
        <stp>BDP|868011325516803889</stp>
        <tr r="E615" s="2"/>
      </tp>
      <tp t="s">
        <v>#N/A N/A</v>
        <stp/>
        <stp>BDP|110311949008280370</stp>
        <tr r="E711" s="2"/>
      </tp>
      <tp t="s">
        <v>#N/A N/A</v>
        <stp/>
        <stp>BDP|614789683206445551</stp>
        <tr r="J945" s="2"/>
      </tp>
      <tp t="s">
        <v>#N/A N/A</v>
        <stp/>
        <stp>BDP|158194611038373467</stp>
        <tr r="A931" s="2"/>
      </tp>
      <tp t="s">
        <v>#N/A N/A</v>
        <stp/>
        <stp>BDS|779870842752636286</stp>
        <tr r="I1287" s="2"/>
      </tp>
      <tp t="s">
        <v>#N/A N/A</v>
        <stp/>
        <stp>BDP|943511936919457373</stp>
        <tr r="H471" s="2"/>
      </tp>
      <tp t="s">
        <v>#N/A N/A</v>
        <stp/>
        <stp>BDP|626082041381382913</stp>
        <tr r="Q370" s="2"/>
      </tp>
      <tp t="s">
        <v>#N/A N/A</v>
        <stp/>
        <stp>BDP|791789270685728952</stp>
        <tr r="K1062" s="2"/>
      </tp>
      <tp t="s">
        <v>#N/A N/A</v>
        <stp/>
        <stp>BDP|463096295045702026</stp>
        <tr r="S1555" s="2"/>
      </tp>
      <tp t="s">
        <v>#N/A N/A</v>
        <stp/>
        <stp>BDP|438851372200610384</stp>
        <tr r="Q215" s="2"/>
      </tp>
      <tp t="s">
        <v>#N/A N/A</v>
        <stp/>
        <stp>BDP|203491890922137340</stp>
        <tr r="P664" s="2"/>
      </tp>
      <tp t="s">
        <v>#N/A N/A</v>
        <stp/>
        <stp>BDP|705684196093082074</stp>
        <tr r="J1025" s="2"/>
      </tp>
      <tp t="s">
        <v>#N/A N/A</v>
        <stp/>
        <stp>BDP|859551186339789827</stp>
        <tr r="G731" s="2"/>
      </tp>
      <tp t="s">
        <v>#N/A N/A</v>
        <stp/>
        <stp>BDP|768624087954446686</stp>
        <tr r="G790" s="2"/>
      </tp>
      <tp t="s">
        <v>#N/A N/A</v>
        <stp/>
        <stp>BDP|262764582870069381</stp>
        <tr r="N1704" s="2"/>
      </tp>
      <tp t="s">
        <v>#N/A N/A</v>
        <stp/>
        <stp>BDP|220226073681414891</stp>
        <tr r="O157" s="2"/>
      </tp>
      <tp t="s">
        <v>#N/A N/A</v>
        <stp/>
        <stp>BDP|798080833397601849</stp>
        <tr r="N1294" s="2"/>
      </tp>
      <tp t="s">
        <v>#N/A N/A</v>
        <stp/>
        <stp>BDP|121448903370056897</stp>
        <tr r="J179" s="2"/>
      </tp>
      <tp t="s">
        <v>#N/A N/A</v>
        <stp/>
        <stp>BDP|280939659628080871</stp>
        <tr r="S3" s="2"/>
      </tp>
      <tp t="s">
        <v>#N/A N/A</v>
        <stp/>
        <stp>BDP|389731689606330550</stp>
        <tr r="T1569" s="2"/>
      </tp>
      <tp t="s">
        <v>#N/A N/A</v>
        <stp/>
        <stp>BDP|535787700782650946</stp>
        <tr r="R1581" s="2"/>
      </tp>
      <tp t="s">
        <v>#N/A N/A</v>
        <stp/>
        <stp>BDP|401582796374432412</stp>
        <tr r="E65" s="2"/>
      </tp>
      <tp t="s">
        <v>#N/A N/A</v>
        <stp/>
        <stp>BDP|172010281734975072</stp>
        <tr r="F1590" s="2"/>
      </tp>
      <tp t="s">
        <v>#N/A N/A</v>
        <stp/>
        <stp>BDP|266165018318100452</stp>
        <tr r="O931" s="2"/>
      </tp>
      <tp t="s">
        <v>#N/A N/A</v>
        <stp/>
        <stp>BDP|840848711485184043</stp>
        <tr r="H1705" s="2"/>
      </tp>
      <tp t="s">
        <v>#N/A N/A</v>
        <stp/>
        <stp>BDP|379866464632103083</stp>
        <tr r="A187" s="2"/>
      </tp>
      <tp t="s">
        <v>#N/A N/A</v>
        <stp/>
        <stp>BDP|389898366133144151</stp>
        <tr r="Q818" s="2"/>
      </tp>
      <tp t="s">
        <v>#N/A N/A</v>
        <stp/>
        <stp>BDP|548509488928772939</stp>
        <tr r="R851" s="2"/>
      </tp>
      <tp t="s">
        <v>#N/A N/A</v>
        <stp/>
        <stp>BDP|754581089629832879</stp>
        <tr r="O1431" s="2"/>
      </tp>
      <tp t="s">
        <v>#N/A N/A</v>
        <stp/>
        <stp>BDP|888594111251014993</stp>
        <tr r="G851" s="2"/>
      </tp>
      <tp t="s">
        <v>#N/A N/A</v>
        <stp/>
        <stp>BDP|649955275823829179</stp>
        <tr r="H1694" s="2"/>
      </tp>
      <tp t="s">
        <v>#N/A N/A</v>
        <stp/>
        <stp>BDP|601147929428039720</stp>
        <tr r="O1123" s="2"/>
      </tp>
      <tp t="s">
        <v>#N/A N/A</v>
        <stp/>
        <stp>BDP|597415868958742624</stp>
        <tr r="Q1673" s="2"/>
      </tp>
      <tp t="s">
        <v>#N/A N/A</v>
        <stp/>
        <stp>BDP|956274942593697902</stp>
        <tr r="H1755" s="2"/>
      </tp>
      <tp t="s">
        <v>#N/A N/A</v>
        <stp/>
        <stp>BDP|788880804723753766</stp>
        <tr r="E184" s="2"/>
      </tp>
      <tp t="s">
        <v>#N/A N/A</v>
        <stp/>
        <stp>BDP|373757489590524307</stp>
        <tr r="O1491" s="2"/>
      </tp>
      <tp t="s">
        <v>#N/A N/A</v>
        <stp/>
        <stp>BDP|513923000580526580</stp>
        <tr r="D28" s="2"/>
      </tp>
      <tp t="s">
        <v>#N/A N/A</v>
        <stp/>
        <stp>BDP|367356298663111552</stp>
        <tr r="K743" s="2"/>
      </tp>
      <tp t="s">
        <v>#N/A N/A</v>
        <stp/>
        <stp>BDP|338474237028086385</stp>
        <tr r="P1563" s="2"/>
      </tp>
      <tp t="s">
        <v>#N/A N/A</v>
        <stp/>
        <stp>BDP|494862259296125713</stp>
        <tr r="P1611" s="2"/>
      </tp>
      <tp t="s">
        <v>#N/A N/A</v>
        <stp/>
        <stp>BDP|290625367645981957</stp>
        <tr r="R858" s="2"/>
      </tp>
      <tp t="s">
        <v>#N/A N/A</v>
        <stp/>
        <stp>BDP|928086794077851299</stp>
        <tr r="J1324" s="2"/>
      </tp>
      <tp t="s">
        <v>#N/A N/A</v>
        <stp/>
        <stp>BDP|663189598154701050</stp>
        <tr r="D626" s="2"/>
      </tp>
      <tp t="s">
        <v>#N/A N/A</v>
        <stp/>
        <stp>BDP|160348711896899882</stp>
        <tr r="S1131" s="2"/>
      </tp>
      <tp t="s">
        <v>#N/A N/A</v>
        <stp/>
        <stp>BDP|277807125721563762</stp>
        <tr r="P912" s="2"/>
      </tp>
      <tp t="s">
        <v>#N/A N/A</v>
        <stp/>
        <stp>BDP|651472080730228076</stp>
        <tr r="A881" s="2"/>
      </tp>
      <tp t="s">
        <v>#N/A N/A</v>
        <stp/>
        <stp>BDP|411123274408215242</stp>
        <tr r="S1074" s="2"/>
      </tp>
      <tp t="s">
        <v>#N/A N/A</v>
        <stp/>
        <stp>BDP|648223892746389101</stp>
        <tr r="K1057" s="2"/>
      </tp>
      <tp t="s">
        <v>#N/A N/A</v>
        <stp/>
        <stp>BDS|992807389454639835</stp>
        <tr r="I1680" s="2"/>
      </tp>
      <tp t="s">
        <v>#N/A N/A</v>
        <stp/>
        <stp>BDP|769717197906095441</stp>
        <tr r="P1558" s="2"/>
      </tp>
      <tp t="s">
        <v>#N/A N/A</v>
        <stp/>
        <stp>BDP|838338373840535881</stp>
        <tr r="T37" s="2"/>
      </tp>
      <tp t="s">
        <v>#N/A N/A</v>
        <stp/>
        <stp>BDP|228894304816882220</stp>
        <tr r="O1615" s="2"/>
      </tp>
      <tp t="s">
        <v>#N/A N/A</v>
        <stp/>
        <stp>BDP|399280025389869538</stp>
        <tr r="E912" s="2"/>
      </tp>
      <tp t="s">
        <v>#N/A N/A</v>
        <stp/>
        <stp>BDP|191890255652929324</stp>
        <tr r="O519" s="2"/>
      </tp>
      <tp t="s">
        <v>#N/A N/A</v>
        <stp/>
        <stp>BDP|269124122887603827</stp>
        <tr r="N294" s="2"/>
      </tp>
      <tp t="s">
        <v>#N/A N/A</v>
        <stp/>
        <stp>BDP|354906250351740127</stp>
        <tr r="P699" s="2"/>
      </tp>
      <tp t="s">
        <v>#N/A N/A</v>
        <stp/>
        <stp>BDP|907960724243832450</stp>
        <tr r="T1635" s="2"/>
      </tp>
      <tp t="s">
        <v>#N/A N/A</v>
        <stp/>
        <stp>BDP|147423895410322135</stp>
        <tr r="N1231" s="2"/>
      </tp>
      <tp t="s">
        <v>#N/A N/A</v>
        <stp/>
        <stp>BDP|791848907346031224</stp>
        <tr r="R1372" s="2"/>
      </tp>
      <tp t="s">
        <v>#N/A N/A</v>
        <stp/>
        <stp>BDP|960889603360664433</stp>
        <tr r="N1386" s="2"/>
      </tp>
      <tp t="s">
        <v>#N/A N/A</v>
        <stp/>
        <stp>BDP|234522293537716737</stp>
        <tr r="O838" s="2"/>
      </tp>
      <tp t="s">
        <v>#N/A N/A</v>
        <stp/>
        <stp>BDP|452960352760191069</stp>
        <tr r="R1014" s="2"/>
      </tp>
      <tp t="s">
        <v>#N/A N/A</v>
        <stp/>
        <stp>BDP|369806572365171672</stp>
        <tr r="K1447" s="2"/>
      </tp>
      <tp t="s">
        <v>#N/A N/A</v>
        <stp/>
        <stp>BDP|204850310223974691</stp>
        <tr r="K1411" s="2"/>
      </tp>
      <tp t="s">
        <v>#N/A N/A</v>
        <stp/>
        <stp>BDP|872964461581843207</stp>
        <tr r="N1158" s="2"/>
      </tp>
      <tp t="s">
        <v>#N/A N/A</v>
        <stp/>
        <stp>BDP|186925182405418851</stp>
        <tr r="M582" s="2"/>
      </tp>
      <tp t="s">
        <v>#N/A N/A</v>
        <stp/>
        <stp>BDP|516853414953006642</stp>
        <tr r="M325" s="2"/>
      </tp>
      <tp t="s">
        <v>#N/A N/A</v>
        <stp/>
        <stp>BDP|701588519789067166</stp>
        <tr r="O87" s="2"/>
      </tp>
      <tp t="s">
        <v>#N/A N/A</v>
        <stp/>
        <stp>BDP|325982494769620599</stp>
        <tr r="N1474" s="2"/>
      </tp>
      <tp t="s">
        <v>#N/A N/A</v>
        <stp/>
        <stp>BDP|737208647553370934</stp>
        <tr r="P137" s="2"/>
      </tp>
      <tp t="s">
        <v>#N/A N/A</v>
        <stp/>
        <stp>BDP|341253585944011239</stp>
        <tr r="F1560" s="2"/>
      </tp>
      <tp t="s">
        <v>#N/A N/A</v>
        <stp/>
        <stp>BDP|877259067621918922</stp>
        <tr r="P15" s="2"/>
      </tp>
      <tp t="s">
        <v>#N/A N/A</v>
        <stp/>
        <stp>BDP|723385277510833818</stp>
        <tr r="K142" s="2"/>
      </tp>
      <tp t="s">
        <v>#N/A N/A</v>
        <stp/>
        <stp>BDP|659979610171545555</stp>
        <tr r="H555" s="2"/>
      </tp>
      <tp t="s">
        <v>#N/A N/A</v>
        <stp/>
        <stp>BDP|957164721466976962</stp>
        <tr r="G398" s="2"/>
      </tp>
      <tp t="s">
        <v>#N/A N/A</v>
        <stp/>
        <stp>BDP|554902741655415411</stp>
        <tr r="P573" s="2"/>
      </tp>
      <tp t="s">
        <v>#N/A N/A</v>
        <stp/>
        <stp>BDP|838234473290146980</stp>
        <tr r="N817" s="2"/>
      </tp>
      <tp t="s">
        <v>#N/A N/A</v>
        <stp/>
        <stp>BDP|667222263398291049</stp>
        <tr r="R751" s="2"/>
      </tp>
      <tp t="s">
        <v>#N/A N/A</v>
        <stp/>
        <stp>BDP|646701400323037871</stp>
        <tr r="A1393" s="2"/>
      </tp>
      <tp t="s">
        <v>#N/A N/A</v>
        <stp/>
        <stp>BDP|294724016973442935</stp>
        <tr r="E930" s="2"/>
      </tp>
      <tp t="s">
        <v>#N/A N/A</v>
        <stp/>
        <stp>BDP|233569670847000969</stp>
        <tr r="F618" s="2"/>
      </tp>
      <tp t="s">
        <v>#N/A N/A</v>
        <stp/>
        <stp>BDP|322687518368892396</stp>
        <tr r="K1722" s="2"/>
      </tp>
      <tp t="s">
        <v>#N/A N/A</v>
        <stp/>
        <stp>BDP|724660824259691115</stp>
        <tr r="Q180" s="2"/>
      </tp>
      <tp t="s">
        <v>#N/A N/A</v>
        <stp/>
        <stp>BDP|522636811278255370</stp>
        <tr r="K937" s="2"/>
      </tp>
      <tp t="s">
        <v>#N/A N/A</v>
        <stp/>
        <stp>BDS|335608176178223558</stp>
        <tr r="I486" s="2"/>
      </tp>
      <tp t="s">
        <v>#N/A N/A</v>
        <stp/>
        <stp>BDP|428215780540033677</stp>
        <tr r="C844" s="2"/>
      </tp>
      <tp t="s">
        <v>#N/A N/A</v>
        <stp/>
        <stp>BDP|817227589236574053</stp>
        <tr r="C205" s="2"/>
      </tp>
      <tp t="s">
        <v>#N/A N/A</v>
        <stp/>
        <stp>BDP|892106895267176002</stp>
        <tr r="C1625" s="2"/>
      </tp>
      <tp t="s">
        <v>#N/A N/A</v>
        <stp/>
        <stp>BDP|303969258202466152</stp>
        <tr r="F229" s="2"/>
      </tp>
      <tp t="s">
        <v>#N/A N/A</v>
        <stp/>
        <stp>BDP|436711379799402649</stp>
        <tr r="A613" s="2"/>
      </tp>
      <tp t="s">
        <v>#N/A N/A</v>
        <stp/>
        <stp>BDP|649882406496498109</stp>
        <tr r="T1679" s="2"/>
      </tp>
      <tp t="s">
        <v>#N/A N/A</v>
        <stp/>
        <stp>BDP|495476311552992871</stp>
        <tr r="M1284" s="2"/>
      </tp>
      <tp t="s">
        <v>#N/A N/A</v>
        <stp/>
        <stp>BDP|661441308149627205</stp>
        <tr r="F1588" s="2"/>
      </tp>
      <tp t="s">
        <v>#N/A N/A</v>
        <stp/>
        <stp>BDP|838742380633120310</stp>
        <tr r="P1281" s="2"/>
      </tp>
      <tp t="s">
        <v>#N/A N/A</v>
        <stp/>
        <stp>BDP|506421168074742940</stp>
        <tr r="M1239" s="2"/>
      </tp>
      <tp t="s">
        <v>#N/A N/A</v>
        <stp/>
        <stp>BDP|611911909344286210</stp>
        <tr r="S1746" s="2"/>
      </tp>
      <tp t="s">
        <v>#N/A N/A</v>
        <stp/>
        <stp>BDP|884328706409346529</stp>
        <tr r="Q1117" s="2"/>
      </tp>
      <tp t="s">
        <v>#N/A N/A</v>
        <stp/>
        <stp>BDP|539563086220895207</stp>
        <tr r="S800" s="2"/>
      </tp>
      <tp t="s">
        <v>#N/A N/A</v>
        <stp/>
        <stp>BDP|929946315513708420</stp>
        <tr r="T417" s="2"/>
      </tp>
      <tp t="s">
        <v>#N/A N/A</v>
        <stp/>
        <stp>BDP|611859607654039398</stp>
        <tr r="K382" s="2"/>
      </tp>
      <tp t="s">
        <v>#N/A N/A</v>
        <stp/>
        <stp>BDP|365614945488063598</stp>
        <tr r="H1526" s="2"/>
      </tp>
      <tp t="s">
        <v>#N/A N/A</v>
        <stp/>
        <stp>BDP|532967538931001451</stp>
        <tr r="A1388" s="2"/>
      </tp>
      <tp t="s">
        <v>#N/A N/A</v>
        <stp/>
        <stp>BDP|721699784815725434</stp>
        <tr r="N1739" s="2"/>
      </tp>
      <tp t="s">
        <v>#N/A N/A</v>
        <stp/>
        <stp>BDP|151332776869879231</stp>
        <tr r="J1711" s="2"/>
      </tp>
      <tp t="s">
        <v>#N/A N/A</v>
        <stp/>
        <stp>BDP|909042936618282465</stp>
        <tr r="P630" s="2"/>
      </tp>
      <tp t="s">
        <v>#N/A N/A</v>
        <stp/>
        <stp>BDP|153859815043703591</stp>
        <tr r="S93" s="2"/>
      </tp>
      <tp t="s">
        <v>#N/A N/A</v>
        <stp/>
        <stp>BDP|700794274748420711</stp>
        <tr r="D1080" s="2"/>
      </tp>
      <tp t="s">
        <v>#N/A N/A</v>
        <stp/>
        <stp>BDP|214585370288219576</stp>
        <tr r="D1312" s="2"/>
      </tp>
      <tp t="s">
        <v>#N/A N/A</v>
        <stp/>
        <stp>BDP|664424545107749890</stp>
        <tr r="A1156" s="2"/>
      </tp>
      <tp t="s">
        <v>#N/A N/A</v>
        <stp/>
        <stp>BDP|521590060995764936</stp>
        <tr r="J181" s="2"/>
      </tp>
      <tp t="s">
        <v>#N/A N/A</v>
        <stp/>
        <stp>BDP|723281469528938378</stp>
        <tr r="J1222" s="2"/>
      </tp>
      <tp t="s">
        <v>#N/A N/A</v>
        <stp/>
        <stp>BDP|572266288303583669</stp>
        <tr r="S1611" s="2"/>
      </tp>
      <tp t="s">
        <v>#N/A N/A</v>
        <stp/>
        <stp>BDP|833153861400193846</stp>
        <tr r="N1659" s="2"/>
      </tp>
      <tp t="s">
        <v>#N/A N/A</v>
        <stp/>
        <stp>BDP|215561418523496810</stp>
        <tr r="G1453" s="2"/>
      </tp>
      <tp t="s">
        <v>#N/A N/A</v>
        <stp/>
        <stp>BDP|843406503748533377</stp>
        <tr r="A1321" s="2"/>
      </tp>
      <tp t="s">
        <v>#N/A N/A</v>
        <stp/>
        <stp>BDP|765895526042673775</stp>
        <tr r="R1564" s="2"/>
      </tp>
      <tp t="s">
        <v>#N/A N/A</v>
        <stp/>
        <stp>BDP|591419376149825535</stp>
        <tr r="E1613" s="2"/>
      </tp>
      <tp t="s">
        <v>#N/A N/A</v>
        <stp/>
        <stp>BDP|291386090961682465</stp>
        <tr r="D248" s="2"/>
      </tp>
      <tp t="s">
        <v>#N/A N/A</v>
        <stp/>
        <stp>BDP|122508887361832346</stp>
        <tr r="P246" s="2"/>
      </tp>
      <tp t="s">
        <v>#N/A N/A</v>
        <stp/>
        <stp>BDP|120860906500370786</stp>
        <tr r="H278" s="2"/>
      </tp>
      <tp t="s">
        <v>#N/A N/A</v>
        <stp/>
        <stp>BDP|595475889905523641</stp>
        <tr r="T691" s="2"/>
      </tp>
      <tp t="s">
        <v>#N/A N/A</v>
        <stp/>
        <stp>BDP|878063581714572302</stp>
        <tr r="D549" s="2"/>
      </tp>
      <tp t="s">
        <v>#N/A N/A</v>
        <stp/>
        <stp>BDP|603800572119854963</stp>
        <tr r="C421" s="2"/>
      </tp>
      <tp t="s">
        <v>#N/A N/A</v>
        <stp/>
        <stp>BDP|979628777989729711</stp>
        <tr r="F1309" s="2"/>
      </tp>
      <tp t="s">
        <v>#N/A N/A</v>
        <stp/>
        <stp>BDP|308817489836134916</stp>
        <tr r="K472" s="2"/>
      </tp>
      <tp t="s">
        <v>#N/A N/A</v>
        <stp/>
        <stp>BDP|929827661910357122</stp>
        <tr r="C226" s="2"/>
      </tp>
      <tp t="s">
        <v>#N/A N/A</v>
        <stp/>
        <stp>BDP|235901526213893772</stp>
        <tr r="C816" s="2"/>
      </tp>
      <tp t="s">
        <v>#N/A N/A</v>
        <stp/>
        <stp>BDP|826924376037593624</stp>
        <tr r="P322" s="2"/>
      </tp>
      <tp t="s">
        <v>#N/A N/A</v>
        <stp/>
        <stp>BDP|149525249408591641</stp>
        <tr r="E802" s="2"/>
      </tp>
      <tp t="s">
        <v>#N/A N/A</v>
        <stp/>
        <stp>BDP|189074415749166790</stp>
        <tr r="H1192" s="2"/>
      </tp>
      <tp t="s">
        <v>#N/A N/A</v>
        <stp/>
        <stp>BDP|578929702222923478</stp>
        <tr r="F288" s="2"/>
      </tp>
      <tp t="s">
        <v>#N/A N/A</v>
        <stp/>
        <stp>BDP|706533568605550926</stp>
        <tr r="S1004" s="2"/>
      </tp>
      <tp t="s">
        <v>#N/A N/A</v>
        <stp/>
        <stp>BDP|170715196299479864</stp>
        <tr r="J1237" s="2"/>
      </tp>
      <tp t="s">
        <v>#N/A N/A</v>
        <stp/>
        <stp>BDP|156854672004537471</stp>
        <tr r="A286" s="2"/>
      </tp>
      <tp t="s">
        <v>#N/A N/A</v>
        <stp/>
        <stp>BDP|478726282508566848</stp>
        <tr r="A46" s="2"/>
      </tp>
      <tp t="s">
        <v>#N/A N/A</v>
        <stp/>
        <stp>BDP|206959371922792342</stp>
        <tr r="S1632" s="2"/>
      </tp>
      <tp t="s">
        <v>#N/A N/A</v>
        <stp/>
        <stp>BDS|339681948419460428</stp>
        <tr r="I1506" s="2"/>
      </tp>
      <tp t="s">
        <v>#N/A N/A</v>
        <stp/>
        <stp>BDP|282679485863277277</stp>
        <tr r="M1503" s="2"/>
      </tp>
      <tp t="s">
        <v>#N/A N/A</v>
        <stp/>
        <stp>BDP|427943947475379711</stp>
        <tr r="D655" s="2"/>
      </tp>
      <tp t="s">
        <v>#N/A N/A</v>
        <stp/>
        <stp>BDP|167136611236546935</stp>
        <tr r="J658" s="2"/>
      </tp>
      <tp t="s">
        <v>#N/A N/A</v>
        <stp/>
        <stp>BDP|218386462028902246</stp>
        <tr r="G54" s="2"/>
      </tp>
      <tp t="s">
        <v>#N/A N/A</v>
        <stp/>
        <stp>BDP|303116296354530341</stp>
        <tr r="N682" s="2"/>
      </tp>
      <tp t="s">
        <v>#N/A N/A</v>
        <stp/>
        <stp>BDP|624993059485659654</stp>
        <tr r="H990" s="2"/>
      </tp>
      <tp t="s">
        <v>#N/A N/A</v>
        <stp/>
        <stp>BDP|517995978733580271</stp>
        <tr r="J847" s="2"/>
      </tp>
      <tp t="s">
        <v>#N/A N/A</v>
        <stp/>
        <stp>BDP|830224736589894723</stp>
        <tr r="T655" s="2"/>
      </tp>
      <tp t="s">
        <v>#N/A N/A</v>
        <stp/>
        <stp>BDP|182342485914129079</stp>
        <tr r="M589" s="2"/>
      </tp>
      <tp t="s">
        <v>#N/A N/A</v>
        <stp/>
        <stp>BDP|550262592933119762</stp>
        <tr r="E367" s="2"/>
      </tp>
      <tp t="s">
        <v>#N/A N/A</v>
        <stp/>
        <stp>BDP|433808133867649375</stp>
        <tr r="S1540" s="2"/>
      </tp>
      <tp t="s">
        <v>#N/A N/A</v>
        <stp/>
        <stp>BDP|146278893171098536</stp>
        <tr r="G1018" s="2"/>
      </tp>
      <tp t="s">
        <v>#N/A N/A</v>
        <stp/>
        <stp>BDP|897995355465729659</stp>
        <tr r="T623" s="2"/>
      </tp>
      <tp t="s">
        <v>#N/A N/A</v>
        <stp/>
        <stp>BDP|513971155826382525</stp>
        <tr r="M192" s="2"/>
      </tp>
      <tp t="s">
        <v>#N/A N/A</v>
        <stp/>
        <stp>BDP|701633395111191176</stp>
        <tr r="D124" s="2"/>
      </tp>
      <tp t="s">
        <v>#N/A N/A</v>
        <stp/>
        <stp>BDP|623752590288761936</stp>
        <tr r="D1223" s="2"/>
      </tp>
      <tp t="s">
        <v>#N/A N/A</v>
        <stp/>
        <stp>BDP|559555862494060852</stp>
        <tr r="O991" s="2"/>
      </tp>
      <tp t="s">
        <v>#N/A N/A</v>
        <stp/>
        <stp>BDP|745645081362501305</stp>
        <tr r="F1109" s="2"/>
      </tp>
      <tp t="s">
        <v>#N/A N/A</v>
        <stp/>
        <stp>BDP|671163940699515327</stp>
        <tr r="K146" s="2"/>
      </tp>
      <tp t="s">
        <v>#N/A N/A</v>
        <stp/>
        <stp>BDP|367206521698249777</stp>
        <tr r="Q879" s="2"/>
      </tp>
      <tp t="s">
        <v>#N/A N/A</v>
        <stp/>
        <stp>BDP|102711894678134956</stp>
        <tr r="Q1084" s="2"/>
      </tp>
      <tp t="s">
        <v>#N/A N/A</v>
        <stp/>
        <stp>BDP|504536897070112307</stp>
        <tr r="E1738" s="2"/>
      </tp>
      <tp t="s">
        <v>#N/A N/A</v>
        <stp/>
        <stp>BDP|113944462475367547</stp>
        <tr r="P392" s="2"/>
      </tp>
      <tp t="s">
        <v>#N/A N/A</v>
        <stp/>
        <stp>BDP|540677533902352829</stp>
        <tr r="K1623" s="2"/>
      </tp>
      <tp t="s">
        <v>#N/A N/A</v>
        <stp/>
        <stp>BDP|161555294297930484</stp>
        <tr r="R1467" s="2"/>
      </tp>
      <tp t="s">
        <v>#N/A N/A</v>
        <stp/>
        <stp>BDP|571879920321961492</stp>
        <tr r="O1635" s="2"/>
      </tp>
      <tp t="s">
        <v>#N/A N/A</v>
        <stp/>
        <stp>BDP|593403997361543352</stp>
        <tr r="M782" s="2"/>
      </tp>
      <tp t="s">
        <v>#N/A N/A</v>
        <stp/>
        <stp>BDP|194326920926101809</stp>
        <tr r="G693" s="2"/>
      </tp>
      <tp t="s">
        <v>#N/A N/A</v>
        <stp/>
        <stp>BDP|282148194912277523</stp>
        <tr r="C333" s="2"/>
      </tp>
      <tp t="s">
        <v>#N/A N/A</v>
        <stp/>
        <stp>BDS|439805075737764745</stp>
        <tr r="I1651" s="2"/>
      </tp>
      <tp t="s">
        <v>#N/A N/A</v>
        <stp/>
        <stp>BDP|449532536319203009</stp>
        <tr r="Q820" s="2"/>
      </tp>
      <tp t="s">
        <v>#N/A N/A</v>
        <stp/>
        <stp>BDS|568009886535584251</stp>
        <tr r="I950" s="2"/>
      </tp>
      <tp t="s">
        <v>#N/A N/A</v>
        <stp/>
        <stp>BDP|962961730280961554</stp>
        <tr r="M1354" s="2"/>
      </tp>
      <tp t="s">
        <v>#N/A N/A</v>
        <stp/>
        <stp>BDP|480387057878191065</stp>
        <tr r="J139" s="2"/>
      </tp>
      <tp t="s">
        <v>#N/A N/A</v>
        <stp/>
        <stp>BDP|419204429089986785</stp>
        <tr r="F1624" s="2"/>
      </tp>
      <tp t="s">
        <v>#N/A N/A</v>
        <stp/>
        <stp>BDP|177862208741151727</stp>
        <tr r="P916" s="2"/>
      </tp>
      <tp t="s">
        <v>#N/A N/A</v>
        <stp/>
        <stp>BDP|515463754486843928</stp>
        <tr r="F160" s="2"/>
      </tp>
      <tp t="s">
        <v>#N/A N/A</v>
        <stp/>
        <stp>BDP|953433919242989977</stp>
        <tr r="H1611" s="2"/>
      </tp>
      <tp t="s">
        <v>#N/A N/A</v>
        <stp/>
        <stp>BDP|478778005778912121</stp>
        <tr r="M784" s="2"/>
      </tp>
      <tp t="s">
        <v>#N/A N/A</v>
        <stp/>
        <stp>BDP|161679263549901714</stp>
        <tr r="H211" s="2"/>
      </tp>
      <tp t="s">
        <v>#N/A N/A</v>
        <stp/>
        <stp>BDP|698776248759228468</stp>
        <tr r="N905" s="2"/>
      </tp>
      <tp t="s">
        <v>#N/A N/A</v>
        <stp/>
        <stp>BDP|435341719768175451</stp>
        <tr r="E1582" s="2"/>
      </tp>
      <tp t="s">
        <v>#N/A N/A</v>
        <stp/>
        <stp>BDP|213913287098874713</stp>
        <tr r="S162" s="2"/>
      </tp>
      <tp t="s">
        <v>#N/A N/A</v>
        <stp/>
        <stp>BDP|724469619659366250</stp>
        <tr r="E231" s="2"/>
      </tp>
      <tp t="s">
        <v>#N/A N/A</v>
        <stp/>
        <stp>BDP|273679118171573864</stp>
        <tr r="J512" s="2"/>
      </tp>
      <tp t="s">
        <v>#N/A N/A</v>
        <stp/>
        <stp>BDS|752747860446469993</stp>
        <tr r="I932" s="2"/>
      </tp>
      <tp t="s">
        <v>#N/A N/A</v>
        <stp/>
        <stp>BDP|758107259352470846</stp>
        <tr r="A1509" s="2"/>
      </tp>
      <tp t="s">
        <v>#N/A N/A</v>
        <stp/>
        <stp>BDP|898298581277725391</stp>
        <tr r="E1642" s="2"/>
      </tp>
      <tp t="s">
        <v>#N/A N/A</v>
        <stp/>
        <stp>BDP|718769937313940919</stp>
        <tr r="K1395" s="2"/>
      </tp>
      <tp t="s">
        <v>#N/A N/A</v>
        <stp/>
        <stp>BDP|958380983342845744</stp>
        <tr r="J221" s="2"/>
      </tp>
      <tp t="s">
        <v>#N/A N/A</v>
        <stp/>
        <stp>BDP|301823605271357790</stp>
        <tr r="M38" s="2"/>
      </tp>
      <tp t="s">
        <v>#N/A N/A</v>
        <stp/>
        <stp>BDS|607232253570113989</stp>
        <tr r="I740" s="2"/>
      </tp>
      <tp t="s">
        <v>#N/A N/A</v>
        <stp/>
        <stp>BDP|941325651339199147</stp>
        <tr r="O489" s="2"/>
      </tp>
      <tp t="s">
        <v>#N/A N/A</v>
        <stp/>
        <stp>BDP|153727780972369384</stp>
        <tr r="G231" s="2"/>
      </tp>
      <tp t="s">
        <v>#N/A N/A</v>
        <stp/>
        <stp>BDP|223350034916327880</stp>
        <tr r="H202" s="2"/>
      </tp>
      <tp t="s">
        <v>#N/A N/A</v>
        <stp/>
        <stp>BDP|419987963770430133</stp>
        <tr r="O608" s="2"/>
      </tp>
      <tp t="s">
        <v>#N/A N/A</v>
        <stp/>
        <stp>BDP|887927358360955238</stp>
        <tr r="H1647" s="2"/>
      </tp>
      <tp t="s">
        <v>#N/A N/A</v>
        <stp/>
        <stp>BDP|462964130834259089</stp>
        <tr r="Q1122" s="2"/>
      </tp>
      <tp t="s">
        <v>#N/A N/A</v>
        <stp/>
        <stp>BDP|862814352586210510</stp>
        <tr r="A1719" s="2"/>
      </tp>
      <tp t="s">
        <v>#N/A N/A</v>
        <stp/>
        <stp>BDP|232895513596801199</stp>
        <tr r="H1222" s="2"/>
      </tp>
      <tp t="s">
        <v>#N/A N/A</v>
        <stp/>
        <stp>BDP|677789626499873290</stp>
        <tr r="S1736" s="2"/>
      </tp>
      <tp t="s">
        <v>#N/A N/A</v>
        <stp/>
        <stp>BDP|880304781850052507</stp>
        <tr r="K1337" s="2"/>
      </tp>
      <tp t="s">
        <v>#N/A N/A</v>
        <stp/>
        <stp>BDP|748746998500399027</stp>
        <tr r="J27" s="2"/>
      </tp>
      <tp t="s">
        <v>#N/A N/A</v>
        <stp/>
        <stp>BDP|213883486097298947</stp>
        <tr r="F574" s="2"/>
      </tp>
      <tp t="s">
        <v>#N/A N/A</v>
        <stp/>
        <stp>BDP|178499584722076063</stp>
        <tr r="P166" s="2"/>
      </tp>
      <tp t="s">
        <v>#N/A N/A</v>
        <stp/>
        <stp>BDP|923966806203047430</stp>
        <tr r="C1488" s="2"/>
      </tp>
      <tp t="s">
        <v>#N/A N/A</v>
        <stp/>
        <stp>BDP|938014891547134026</stp>
        <tr r="J1072" s="2"/>
      </tp>
      <tp t="s">
        <v>#N/A N/A</v>
        <stp/>
        <stp>BDP|719399116694510864</stp>
        <tr r="T635" s="2"/>
      </tp>
      <tp t="s">
        <v>#N/A N/A</v>
        <stp/>
        <stp>BDP|229308298673525740</stp>
        <tr r="G141" s="2"/>
      </tp>
      <tp t="s">
        <v>#N/A N/A</v>
        <stp/>
        <stp>BDP|801539434941771939</stp>
        <tr r="Q1102" s="2"/>
      </tp>
      <tp t="s">
        <v>#N/A N/A</v>
        <stp/>
        <stp>BDP|585188143992468911</stp>
        <tr r="T368" s="2"/>
      </tp>
      <tp t="s">
        <v>#N/A N/A</v>
        <stp/>
        <stp>BDP|364298994094106141</stp>
        <tr r="O614" s="2"/>
      </tp>
      <tp t="s">
        <v>#N/A N/A</v>
        <stp/>
        <stp>BDP|594801125954219092</stp>
        <tr r="D1674" s="2"/>
      </tp>
      <tp t="s">
        <v>#N/A N/A</v>
        <stp/>
        <stp>BDP|352582298021914314</stp>
        <tr r="F287" s="2"/>
      </tp>
      <tp t="s">
        <v>#N/A N/A</v>
        <stp/>
        <stp>BDP|517470798043786069</stp>
        <tr r="D1114" s="2"/>
      </tp>
      <tp t="s">
        <v>#N/A N/A</v>
        <stp/>
        <stp>BDP|338440491376814557</stp>
        <tr r="C1194" s="2"/>
      </tp>
      <tp t="s">
        <v>#N/A N/A</v>
        <stp/>
        <stp>BDP|222876844333194144</stp>
        <tr r="C563" s="2"/>
      </tp>
      <tp t="s">
        <v>#N/A N/A</v>
        <stp/>
        <stp>BDP|619337920999067610</stp>
        <tr r="T1715" s="2"/>
      </tp>
      <tp t="s">
        <v>#N/A N/A</v>
        <stp/>
        <stp>BDP|751576024660942998</stp>
        <tr r="C688" s="2"/>
      </tp>
      <tp t="s">
        <v>#N/A N/A</v>
        <stp/>
        <stp>BDS|232205356619389037</stp>
        <tr r="I507" s="2"/>
      </tp>
      <tp t="s">
        <v>#N/A N/A</v>
        <stp/>
        <stp>BDP|853949172168361894</stp>
        <tr r="S1481" s="2"/>
      </tp>
      <tp t="s">
        <v>#N/A N/A</v>
        <stp/>
        <stp>BDP|112687679639622622</stp>
        <tr r="Q322" s="2"/>
      </tp>
      <tp t="s">
        <v>#N/A N/A</v>
        <stp/>
        <stp>BDP|753402006603078951</stp>
        <tr r="D135" s="2"/>
      </tp>
      <tp t="s">
        <v>#N/A N/A</v>
        <stp/>
        <stp>BDP|735970322986689306</stp>
        <tr r="G338" s="2"/>
      </tp>
      <tp t="s">
        <v>#N/A N/A</v>
        <stp/>
        <stp>BDP|146554660768101512</stp>
        <tr r="G479" s="2"/>
      </tp>
      <tp t="s">
        <v>#N/A N/A</v>
        <stp/>
        <stp>BDP|353105763611613822</stp>
        <tr r="F904" s="2"/>
      </tp>
      <tp t="s">
        <v>#N/A N/A</v>
        <stp/>
        <stp>BDP|889460133978887100</stp>
        <tr r="S1693" s="2"/>
      </tp>
      <tp t="s">
        <v>#N/A N/A</v>
        <stp/>
        <stp>BDP|535781698808377833</stp>
        <tr r="T1437" s="2"/>
      </tp>
      <tp t="s">
        <v>#N/A N/A</v>
        <stp/>
        <stp>BDS|208443689785350797</stp>
        <tr r="I1723" s="2"/>
      </tp>
      <tp t="s">
        <v>#N/A N/A</v>
        <stp/>
        <stp>BDP|866922759463032164</stp>
        <tr r="F81" s="2"/>
      </tp>
      <tp t="s">
        <v>#N/A N/A</v>
        <stp/>
        <stp>BDP|316249584370134441</stp>
        <tr r="C1007" s="2"/>
      </tp>
      <tp t="s">
        <v>#N/A N/A</v>
        <stp/>
        <stp>BDS|587106275589368153</stp>
        <tr r="I857" s="2"/>
      </tp>
      <tp t="s">
        <v>#N/A N/A</v>
        <stp/>
        <stp>BDP|824229996142367790</stp>
        <tr r="G582" s="2"/>
      </tp>
      <tp t="s">
        <v>#N/A N/A</v>
        <stp/>
        <stp>BDP|189658428152363895</stp>
        <tr r="G629" s="2"/>
      </tp>
      <tp t="s">
        <v>#N/A N/A</v>
        <stp/>
        <stp>BDP|592541986902123103</stp>
        <tr r="O318" s="2"/>
      </tp>
      <tp t="s">
        <v>#N/A N/A</v>
        <stp/>
        <stp>BDP|751557764755812883</stp>
        <tr r="D1587" s="2"/>
      </tp>
      <tp t="s">
        <v>#N/A N/A</v>
        <stp/>
        <stp>BDP|221623566837173901</stp>
        <tr r="F513" s="2"/>
      </tp>
      <tp t="s">
        <v>#N/A N/A</v>
        <stp/>
        <stp>BDP|501747711501180966</stp>
        <tr r="F572" s="2"/>
      </tp>
      <tp t="s">
        <v>#N/A N/A</v>
        <stp/>
        <stp>BDP|499118350309734353</stp>
        <tr r="F191" s="2"/>
      </tp>
      <tp t="s">
        <v>#N/A N/A</v>
        <stp/>
        <stp>BDP|778105848482012984</stp>
        <tr r="S1403" s="2"/>
      </tp>
      <tp t="s">
        <v>#N/A N/A</v>
        <stp/>
        <stp>BDP|793402956096584932</stp>
        <tr r="R1212" s="2"/>
      </tp>
      <tp t="s">
        <v>#N/A N/A</v>
        <stp/>
        <stp>BDP|532838864979361961</stp>
        <tr r="D558" s="2"/>
      </tp>
      <tp t="s">
        <v>#N/A N/A</v>
        <stp/>
        <stp>BDP|620467667384550829</stp>
        <tr r="M84" s="2"/>
      </tp>
      <tp t="s">
        <v>#N/A N/A</v>
        <stp/>
        <stp>BDP|990962272201535184</stp>
        <tr r="K1122" s="2"/>
      </tp>
      <tp t="s">
        <v>#N/A N/A</v>
        <stp/>
        <stp>BDP|618911757127552556</stp>
        <tr r="P1581" s="2"/>
      </tp>
      <tp t="s">
        <v>#N/A N/A</v>
        <stp/>
        <stp>BDP|460802332632542735</stp>
        <tr r="J1198" s="2"/>
      </tp>
      <tp t="s">
        <v>#N/A N/A</v>
        <stp/>
        <stp>BDP|760643038159307287</stp>
        <tr r="R1488" s="2"/>
      </tp>
      <tp t="s">
        <v>#N/A N/A</v>
        <stp/>
        <stp>BDP|568702083692433326</stp>
        <tr r="Q633" s="2"/>
      </tp>
      <tp t="s">
        <v>#N/A N/A</v>
        <stp/>
        <stp>BDP|127694521353893904</stp>
        <tr r="E597" s="2"/>
      </tp>
      <tp t="s">
        <v>#N/A N/A</v>
        <stp/>
        <stp>BDP|188592228748780168</stp>
        <tr r="Q768" s="2"/>
      </tp>
      <tp t="s">
        <v>#N/A N/A</v>
        <stp/>
        <stp>BDP|496298915394891919</stp>
        <tr r="N466" s="2"/>
      </tp>
      <tp t="s">
        <v>#N/A N/A</v>
        <stp/>
        <stp>BDP|529234711204334956</stp>
        <tr r="J1300" s="2"/>
      </tp>
      <tp t="s">
        <v>#N/A N/A</v>
        <stp/>
        <stp>BDP|879804661199135990</stp>
        <tr r="M1013" s="2"/>
      </tp>
      <tp t="s">
        <v>#N/A N/A</v>
        <stp/>
        <stp>BDP|878154559922282874</stp>
        <tr r="H1754" s="2"/>
      </tp>
      <tp t="s">
        <v>#N/A N/A</v>
        <stp/>
        <stp>BDP|148937165754277544</stp>
        <tr r="N467" s="2"/>
      </tp>
      <tp t="s">
        <v>#N/A N/A</v>
        <stp/>
        <stp>BDP|122068610137261875</stp>
        <tr r="R18" s="2"/>
      </tp>
      <tp t="s">
        <v>#N/A N/A</v>
        <stp/>
        <stp>BDP|391850040986609422</stp>
        <tr r="K1180" s="2"/>
      </tp>
      <tp t="s">
        <v>#N/A N/A</v>
        <stp/>
        <stp>BDP|138550688492944171</stp>
        <tr r="H1696" s="2"/>
      </tp>
      <tp t="s">
        <v>#N/A N/A</v>
        <stp/>
        <stp>BDP|384437393437488453</stp>
        <tr r="Q1317" s="2"/>
      </tp>
      <tp t="s">
        <v>#N/A N/A</v>
        <stp/>
        <stp>BDP|664252211958231529</stp>
        <tr r="E276" s="2"/>
      </tp>
      <tp t="s">
        <v>#N/A N/A</v>
        <stp/>
        <stp>BDP|313167084300127723</stp>
        <tr r="C1039" s="2"/>
      </tp>
      <tp t="s">
        <v>#N/A N/A</v>
        <stp/>
        <stp>BDP|759806333776445325</stp>
        <tr r="S1176" s="2"/>
      </tp>
      <tp t="s">
        <v>#N/A N/A</v>
        <stp/>
        <stp>BDP|316824383076711871</stp>
        <tr r="H451" s="2"/>
      </tp>
      <tp t="s">
        <v>#N/A N/A</v>
        <stp/>
        <stp>BDP|355801380768657668</stp>
        <tr r="R826" s="2"/>
      </tp>
      <tp t="s">
        <v>#N/A N/A</v>
        <stp/>
        <stp>BDS|871750366678985714</stp>
        <tr r="I1750" s="2"/>
      </tp>
      <tp t="s">
        <v>#N/A N/A</v>
        <stp/>
        <stp>BDP|436318173988064254</stp>
        <tr r="P800" s="2"/>
      </tp>
      <tp t="s">
        <v>#N/A N/A</v>
        <stp/>
        <stp>BDP|778575565139438421</stp>
        <tr r="S1732" s="2"/>
      </tp>
      <tp t="s">
        <v>#N/A N/A</v>
        <stp/>
        <stp>BDP|350711701461904897</stp>
        <tr r="P1567" s="2"/>
      </tp>
      <tp t="s">
        <v>#N/A N/A</v>
        <stp/>
        <stp>BDP|642188076657065840</stp>
        <tr r="G1240" s="2"/>
      </tp>
      <tp t="s">
        <v>#N/A N/A</v>
        <stp/>
        <stp>BDP|715583240011006931</stp>
        <tr r="P927" s="2"/>
      </tp>
      <tp t="s">
        <v>#N/A N/A</v>
        <stp/>
        <stp>BDP|748105367496869843</stp>
        <tr r="G1587" s="2"/>
      </tp>
      <tp t="s">
        <v>#N/A N/A</v>
        <stp/>
        <stp>BDP|275919801441692184</stp>
        <tr r="G171" s="2"/>
      </tp>
      <tp t="s">
        <v>#N/A N/A</v>
        <stp/>
        <stp>BDP|689682059683878923</stp>
        <tr r="T953" s="2"/>
      </tp>
      <tp t="s">
        <v>#N/A N/A</v>
        <stp/>
        <stp>BDP|190610183760671786</stp>
        <tr r="E316" s="2"/>
      </tp>
      <tp t="s">
        <v>#N/A N/A</v>
        <stp/>
        <stp>BDP|905848082380480963</stp>
        <tr r="J497" s="2"/>
      </tp>
      <tp t="s">
        <v>#N/A N/A</v>
        <stp/>
        <stp>BDP|622249069229097464</stp>
        <tr r="T521" s="2"/>
      </tp>
      <tp t="s">
        <v>#N/A N/A</v>
        <stp/>
        <stp>BDP|848753542462735855</stp>
        <tr r="A1037" s="2"/>
      </tp>
      <tp t="s">
        <v>#N/A N/A</v>
        <stp/>
        <stp>BDP|281387280415534711</stp>
        <tr r="S423" s="2"/>
      </tp>
      <tp t="s">
        <v>#N/A N/A</v>
        <stp/>
        <stp>BDP|466069359405797920</stp>
        <tr r="N715" s="2"/>
      </tp>
      <tp t="s">
        <v>#N/A N/A</v>
        <stp/>
        <stp>BDP|223030449624174970</stp>
        <tr r="R169" s="2"/>
      </tp>
      <tp t="s">
        <v>#N/A N/A</v>
        <stp/>
        <stp>BDP|561788974840730902</stp>
        <tr r="S1171" s="2"/>
      </tp>
      <tp t="s">
        <v>#N/A N/A</v>
        <stp/>
        <stp>BDP|618431919889715540</stp>
        <tr r="J409" s="2"/>
      </tp>
      <tp t="s">
        <v>#N/A N/A</v>
        <stp/>
        <stp>BDP|249961448503378705</stp>
        <tr r="O1250" s="2"/>
      </tp>
      <tp t="s">
        <v>#N/A N/A</v>
        <stp/>
        <stp>BDP|919960179394840315</stp>
        <tr r="G329" s="2"/>
      </tp>
      <tp t="s">
        <v>#N/A N/A</v>
        <stp/>
        <stp>BDP|507145996421877003</stp>
        <tr r="C1085" s="2"/>
      </tp>
      <tp t="s">
        <v>#N/A N/A</v>
        <stp/>
        <stp>BDP|872504732779038628</stp>
        <tr r="Q585" s="2"/>
      </tp>
      <tp t="s">
        <v>#N/A N/A</v>
        <stp/>
        <stp>BDP|551889570711418718</stp>
        <tr r="G1381" s="2"/>
      </tp>
      <tp t="s">
        <v>#N/A N/A</v>
        <stp/>
        <stp>BDP|182929716791573082</stp>
        <tr r="P437" s="2"/>
      </tp>
      <tp t="s">
        <v>#N/A N/A</v>
        <stp/>
        <stp>BDP|962801273100235603</stp>
        <tr r="K1710" s="2"/>
      </tp>
      <tp t="s">
        <v>#N/A N/A</v>
        <stp/>
        <stp>BDP|658495986755819092</stp>
        <tr r="O1470" s="2"/>
      </tp>
      <tp t="s">
        <v>#N/A N/A</v>
        <stp/>
        <stp>BDP|896540997137641258</stp>
        <tr r="T1215" s="2"/>
      </tp>
      <tp t="s">
        <v>#N/A N/A</v>
        <stp/>
        <stp>BDP|841008228128062397</stp>
        <tr r="M1516" s="2"/>
      </tp>
      <tp t="s">
        <v>#N/A N/A</v>
        <stp/>
        <stp>BDP|522447698413412770</stp>
        <tr r="J1652" s="2"/>
      </tp>
      <tp t="s">
        <v>#N/A N/A</v>
        <stp/>
        <stp>BDP|563107389991792110</stp>
        <tr r="M1754" s="2"/>
      </tp>
      <tp t="s">
        <v>#N/A N/A</v>
        <stp/>
        <stp>BDP|921632193291712746</stp>
        <tr r="P1710" s="2"/>
      </tp>
      <tp t="s">
        <v>#N/A N/A</v>
        <stp/>
        <stp>BDP|830885220413852035</stp>
        <tr r="K513" s="2"/>
      </tp>
      <tp t="s">
        <v>#N/A N/A</v>
        <stp/>
        <stp>BDP|162403387007837254</stp>
        <tr r="G943" s="2"/>
      </tp>
      <tp t="s">
        <v>#N/A N/A</v>
        <stp/>
        <stp>BDP|305587764798651224</stp>
        <tr r="J1517" s="2"/>
      </tp>
      <tp t="s">
        <v>#N/A N/A</v>
        <stp/>
        <stp>BDP|452947968022139420</stp>
        <tr r="A1631" s="2"/>
      </tp>
      <tp t="s">
        <v>#N/A N/A</v>
        <stp/>
        <stp>BDP|883957777006986180</stp>
        <tr r="Q1209" s="2"/>
      </tp>
      <tp t="s">
        <v>#N/A N/A</v>
        <stp/>
        <stp>BDP|431876085320427991</stp>
        <tr r="F57" s="2"/>
      </tp>
      <tp t="s">
        <v>#N/A N/A</v>
        <stp/>
        <stp>BDP|111241993856066426</stp>
        <tr r="M1136" s="2"/>
      </tp>
      <tp t="s">
        <v>#N/A N/A</v>
        <stp/>
        <stp>BDP|567260040248198764</stp>
        <tr r="O1295" s="2"/>
      </tp>
      <tp t="s">
        <v>#N/A N/A</v>
        <stp/>
        <stp>BDP|335007291075310558</stp>
        <tr r="T1296" s="2"/>
      </tp>
      <tp t="s">
        <v>#N/A N/A</v>
        <stp/>
        <stp>BDP|388941145772043669</stp>
        <tr r="P212" s="2"/>
      </tp>
      <tp t="s">
        <v>#N/A N/A</v>
        <stp/>
        <stp>BDP|780416667349258262</stp>
        <tr r="P124" s="2"/>
      </tp>
      <tp t="s">
        <v>#N/A N/A</v>
        <stp/>
        <stp>BDP|829780624985006914</stp>
        <tr r="N215" s="2"/>
      </tp>
      <tp t="s">
        <v>#N/A N/A</v>
        <stp/>
        <stp>BDP|411468960388449338</stp>
        <tr r="J1124" s="2"/>
      </tp>
      <tp t="s">
        <v>#N/A N/A</v>
        <stp/>
        <stp>BDP|190077343085986890</stp>
        <tr r="H1453" s="2"/>
      </tp>
      <tp t="s">
        <v>#N/A N/A</v>
        <stp/>
        <stp>BDP|594347324900889888</stp>
        <tr r="F1380" s="2"/>
      </tp>
      <tp t="s">
        <v>#N/A N/A</v>
        <stp/>
        <stp>BDP|986311580942860052</stp>
        <tr r="O55" s="2"/>
      </tp>
      <tp t="s">
        <v>#N/A N/A</v>
        <stp/>
        <stp>BDP|303726956619557270</stp>
        <tr r="S945" s="2"/>
      </tp>
      <tp t="s">
        <v>#N/A N/A</v>
        <stp/>
        <stp>BDP|161605075939133135</stp>
        <tr r="F991" s="2"/>
      </tp>
      <tp t="s">
        <v>#N/A N/A</v>
        <stp/>
        <stp>BDP|939580969078783297</stp>
        <tr r="G1313" s="2"/>
      </tp>
      <tp t="s">
        <v>#N/A N/A</v>
        <stp/>
        <stp>BDP|778768782573463511</stp>
        <tr r="Q162" s="2"/>
      </tp>
      <tp t="s">
        <v>#N/A N/A</v>
        <stp/>
        <stp>BDP|258964084198520034</stp>
        <tr r="O924" s="2"/>
      </tp>
      <tp t="s">
        <v>#N/A N/A</v>
        <stp/>
        <stp>BDP|744062585121524072</stp>
        <tr r="Q261" s="2"/>
      </tp>
      <tp t="s">
        <v>#N/A N/A</v>
        <stp/>
        <stp>BDP|190924572991006670</stp>
        <tr r="T1505" s="2"/>
      </tp>
      <tp t="s">
        <v>#N/A N/A</v>
        <stp/>
        <stp>BDP|484920297850061973</stp>
        <tr r="N745" s="2"/>
      </tp>
      <tp t="s">
        <v>#N/A N/A</v>
        <stp/>
        <stp>BDP|221868356506639237</stp>
        <tr r="A1399" s="2"/>
      </tp>
      <tp t="s">
        <v>#N/A N/A</v>
        <stp/>
        <stp>BDS|904292288637788484</stp>
        <tr r="I694" s="2"/>
      </tp>
      <tp t="s">
        <v>#N/A N/A</v>
        <stp/>
        <stp>BDP|706975970485766209</stp>
        <tr r="J124" s="2"/>
      </tp>
      <tp t="s">
        <v>#N/A N/A</v>
        <stp/>
        <stp>BDP|224141690766743760</stp>
        <tr r="S1369" s="2"/>
      </tp>
      <tp t="s">
        <v>#N/A N/A</v>
        <stp/>
        <stp>BDP|790055780869440811</stp>
        <tr r="D1304" s="2"/>
      </tp>
      <tp t="s">
        <v>#N/A N/A</v>
        <stp/>
        <stp>BDP|332434796834088010</stp>
        <tr r="J913" s="2"/>
      </tp>
      <tp t="s">
        <v>#N/A N/A</v>
        <stp/>
        <stp>BDP|155040793859215939</stp>
        <tr r="G1192" s="2"/>
      </tp>
      <tp t="s">
        <v>#N/A N/A</v>
        <stp/>
        <stp>BDP|322735530758523559</stp>
        <tr r="S562" s="2"/>
      </tp>
      <tp t="s">
        <v>#N/A N/A</v>
        <stp/>
        <stp>BDP|453530852259299076</stp>
        <tr r="N1072" s="2"/>
      </tp>
      <tp t="s">
        <v>#N/A N/A</v>
        <stp/>
        <stp>BDS|390463296382051635</stp>
        <tr r="I29" s="2"/>
      </tp>
      <tp t="s">
        <v>#N/A N/A</v>
        <stp/>
        <stp>BDP|619340356896756932</stp>
        <tr r="O17" s="2"/>
      </tp>
      <tp t="s">
        <v>#N/A N/A</v>
        <stp/>
        <stp>BDP|698615511747239947</stp>
        <tr r="C1001" s="2"/>
      </tp>
      <tp t="s">
        <v>#N/A N/A</v>
        <stp/>
        <stp>BDP|186745852682429935</stp>
        <tr r="S1433" s="2"/>
      </tp>
      <tp t="s">
        <v>#N/A N/A</v>
        <stp/>
        <stp>BDP|122636346503241864</stp>
        <tr r="G1471" s="2"/>
      </tp>
      <tp t="s">
        <v>#N/A N/A</v>
        <stp/>
        <stp>BDP|617807564420366712</stp>
        <tr r="G1137" s="2"/>
      </tp>
      <tp t="s">
        <v>#N/A N/A</v>
        <stp/>
        <stp>BDP|559817424605588658</stp>
        <tr r="J178" s="2"/>
      </tp>
      <tp t="s">
        <v>#N/A N/A</v>
        <stp/>
        <stp>BDP|342478384191090418</stp>
        <tr r="T599" s="2"/>
      </tp>
      <tp t="s">
        <v>#N/A N/A</v>
        <stp/>
        <stp>BDS|786831338532428093</stp>
        <tr r="I470" s="2"/>
      </tp>
      <tp t="s">
        <v>#N/A N/A</v>
        <stp/>
        <stp>BDP|888373178254601909</stp>
        <tr r="N1662" s="2"/>
      </tp>
      <tp t="s">
        <v>#N/A N/A</v>
        <stp/>
        <stp>BDP|999730186156999046</stp>
        <tr r="K544" s="2"/>
      </tp>
      <tp t="s">
        <v>#N/A N/A</v>
        <stp/>
        <stp>BDP|695863072364979290</stp>
        <tr r="A1373" s="2"/>
      </tp>
      <tp t="s">
        <v>#N/A N/A</v>
        <stp/>
        <stp>BDP|405082936998153290</stp>
        <tr r="S1534" s="2"/>
      </tp>
      <tp t="s">
        <v>#N/A N/A</v>
        <stp/>
        <stp>BDP|935919207483411390</stp>
        <tr r="J693" s="2"/>
      </tp>
      <tp t="s">
        <v>#N/A N/A</v>
        <stp/>
        <stp>BDP|316375615919610258</stp>
        <tr r="M1182" s="2"/>
      </tp>
      <tp t="s">
        <v>#N/A N/A</v>
        <stp/>
        <stp>BDP|760061020912523968</stp>
        <tr r="M479" s="2"/>
      </tp>
      <tp t="s">
        <v>#N/A N/A</v>
        <stp/>
        <stp>BDP|890938568970172616</stp>
        <tr r="J498" s="2"/>
      </tp>
      <tp t="s">
        <v>#N/A N/A</v>
        <stp/>
        <stp>BDP|592901916304520556</stp>
        <tr r="H889" s="2"/>
      </tp>
      <tp t="s">
        <v>#N/A N/A</v>
        <stp/>
        <stp>BDP|341515081261675568</stp>
        <tr r="T1341" s="2"/>
      </tp>
      <tp t="s">
        <v>#N/A N/A</v>
        <stp/>
        <stp>BDP|252614082163166430</stp>
        <tr r="T1317" s="2"/>
      </tp>
      <tp t="s">
        <v>#N/A N/A</v>
        <stp/>
        <stp>BDP|228077232638269398</stp>
        <tr r="F1454" s="2"/>
      </tp>
      <tp t="s">
        <v>#N/A N/A</v>
        <stp/>
        <stp>BDP|983631090687717005</stp>
        <tr r="H1744" s="2"/>
      </tp>
      <tp t="s">
        <v>#N/A N/A</v>
        <stp/>
        <stp>BDP|384610886596078092</stp>
        <tr r="N1414" s="2"/>
      </tp>
      <tp t="s">
        <v>#N/A N/A</v>
        <stp/>
        <stp>BDP|167360770279857529</stp>
        <tr r="T201" s="2"/>
      </tp>
      <tp t="s">
        <v>#N/A N/A</v>
        <stp/>
        <stp>BDP|958414520997200971</stp>
        <tr r="J860" s="2"/>
      </tp>
      <tp t="s">
        <v>#N/A N/A</v>
        <stp/>
        <stp>BDP|263439917995938825</stp>
        <tr r="H218" s="2"/>
      </tp>
      <tp t="s">
        <v>#N/A N/A</v>
        <stp/>
        <stp>BDP|311360471438004493</stp>
        <tr r="O711" s="2"/>
      </tp>
      <tp t="s">
        <v>#N/A N/A</v>
        <stp/>
        <stp>BDP|637251899861332272</stp>
        <tr r="E1267" s="2"/>
      </tp>
      <tp t="s">
        <v>#N/A N/A</v>
        <stp/>
        <stp>BDP|758269775705359891</stp>
        <tr r="J303" s="2"/>
      </tp>
      <tp t="s">
        <v>#N/A N/A</v>
        <stp/>
        <stp>BDP|942223446168448672</stp>
        <tr r="A83" s="2"/>
      </tp>
      <tp t="s">
        <v>#N/A N/A</v>
        <stp/>
        <stp>BDP|699282455356731931</stp>
        <tr r="H7" s="2"/>
      </tp>
      <tp t="s">
        <v>#N/A N/A</v>
        <stp/>
        <stp>BDP|973771917666338858</stp>
        <tr r="H459" s="2"/>
      </tp>
      <tp t="s">
        <v>#N/A N/A</v>
        <stp/>
        <stp>BDP|892809702361795124</stp>
        <tr r="E787" s="2"/>
      </tp>
      <tp t="s">
        <v>#N/A N/A</v>
        <stp/>
        <stp>BDP|232849238174552742</stp>
        <tr r="S1007" s="2"/>
      </tp>
      <tp t="s">
        <v>#N/A N/A</v>
        <stp/>
        <stp>BDP|528627539915484859</stp>
        <tr r="A1420" s="2"/>
      </tp>
      <tp t="s">
        <v>#N/A N/A</v>
        <stp/>
        <stp>BDP|870754893074218230</stp>
        <tr r="T1396" s="2"/>
      </tp>
      <tp t="s">
        <v>#N/A N/A</v>
        <stp/>
        <stp>BDP|547695405099025711</stp>
        <tr r="T874" s="2"/>
      </tp>
      <tp t="s">
        <v>#N/A N/A</v>
        <stp/>
        <stp>BDP|618231693542671182</stp>
        <tr r="S272" s="2"/>
      </tp>
      <tp t="s">
        <v>#N/A N/A</v>
        <stp/>
        <stp>BDP|617666559049776266</stp>
        <tr r="R1743" s="2"/>
      </tp>
      <tp t="s">
        <v>#N/A N/A</v>
        <stp/>
        <stp>BDP|995939603944742569</stp>
        <tr r="G1228" s="2"/>
      </tp>
      <tp t="s">
        <v>#N/A N/A</v>
        <stp/>
        <stp>BDP|296237819533634871</stp>
        <tr r="Q1631" s="2"/>
      </tp>
      <tp t="s">
        <v>#N/A N/A</v>
        <stp/>
        <stp>BDP|698724924564842913</stp>
        <tr r="P733" s="2"/>
      </tp>
      <tp t="s">
        <v>#N/A N/A</v>
        <stp/>
        <stp>BDP|136768090444723290</stp>
        <tr r="C331" s="2"/>
      </tp>
      <tp t="s">
        <v>#N/A N/A</v>
        <stp/>
        <stp>BDP|278248518488591320</stp>
        <tr r="H434" s="2"/>
      </tp>
      <tp t="s">
        <v>#N/A N/A</v>
        <stp/>
        <stp>BDP|701837843066985245</stp>
        <tr r="M1114" s="2"/>
      </tp>
      <tp t="s">
        <v>#N/A N/A</v>
        <stp/>
        <stp>BDP|996807734266042571</stp>
        <tr r="K1042" s="2"/>
      </tp>
      <tp t="s">
        <v>#N/A N/A</v>
        <stp/>
        <stp>BDP|217168559848619412</stp>
        <tr r="S477" s="2"/>
      </tp>
      <tp t="s">
        <v>#N/A N/A</v>
        <stp/>
        <stp>BDP|128198591859451977</stp>
        <tr r="J1696" s="2"/>
      </tp>
      <tp t="s">
        <v>#N/A N/A</v>
        <stp/>
        <stp>BDP|552033566157946933</stp>
        <tr r="P636" s="2"/>
      </tp>
      <tp t="s">
        <v>#N/A N/A</v>
        <stp/>
        <stp>BDP|238692991914879388</stp>
        <tr r="S1164" s="2"/>
      </tp>
      <tp t="s">
        <v>#N/A N/A</v>
        <stp/>
        <stp>BDP|992914575841622712</stp>
        <tr r="G375" s="2"/>
      </tp>
      <tp t="s">
        <v>#N/A N/A</v>
        <stp/>
        <stp>BDP|605247496561186213</stp>
        <tr r="K1569" s="2"/>
      </tp>
      <tp t="s">
        <v>#N/A N/A</v>
        <stp/>
        <stp>BDP|997381480707005456</stp>
        <tr r="D1230" s="2"/>
      </tp>
      <tp t="s">
        <v>#N/A N/A</v>
        <stp/>
        <stp>BDP|163999920392495187</stp>
        <tr r="D317" s="2"/>
      </tp>
      <tp t="s">
        <v>#N/A N/A</v>
        <stp/>
        <stp>BDP|156050777387641813</stp>
        <tr r="C356" s="2"/>
      </tp>
      <tp t="s">
        <v>#N/A N/A</v>
        <stp/>
        <stp>BDP|781000712261396825</stp>
        <tr r="M1325" s="2"/>
      </tp>
      <tp t="s">
        <v>#N/A N/A</v>
        <stp/>
        <stp>BDP|122329242019173657</stp>
        <tr r="H144" s="2"/>
      </tp>
      <tp t="s">
        <v>#N/A N/A</v>
        <stp/>
        <stp>BDP|387935975563730575</stp>
        <tr r="G1115" s="2"/>
      </tp>
      <tp t="s">
        <v>#N/A N/A</v>
        <stp/>
        <stp>BDP|881414977932992920</stp>
        <tr r="C971" s="2"/>
      </tp>
      <tp t="s">
        <v>#N/A N/A</v>
        <stp/>
        <stp>BDP|835988660585746229</stp>
        <tr r="G1710" s="2"/>
      </tp>
      <tp t="s">
        <v>#N/A N/A</v>
        <stp/>
        <stp>BDP|684029725732328871</stp>
        <tr r="Q1280" s="2"/>
      </tp>
      <tp t="s">
        <v>#N/A N/A</v>
        <stp/>
        <stp>BDP|299951806846233766</stp>
        <tr r="H706" s="2"/>
      </tp>
      <tp t="s">
        <v>#N/A N/A</v>
        <stp/>
        <stp>BDP|766229561279703557</stp>
        <tr r="T1745" s="2"/>
      </tp>
      <tp t="s">
        <v>#N/A N/A</v>
        <stp/>
        <stp>BDP|388753094757464101</stp>
        <tr r="S275" s="2"/>
      </tp>
      <tp t="s">
        <v>#N/A N/A</v>
        <stp/>
        <stp>BDP|966784046922934985</stp>
        <tr r="P1314" s="2"/>
      </tp>
      <tp t="s">
        <v>#N/A N/A</v>
        <stp/>
        <stp>BDP|271985570370401682</stp>
        <tr r="C985" s="2"/>
      </tp>
      <tp t="s">
        <v>#N/A N/A</v>
        <stp/>
        <stp>BDP|940983487951868889</stp>
        <tr r="H273" s="2"/>
      </tp>
      <tp t="s">
        <v>#N/A N/A</v>
        <stp/>
        <stp>BDP|576433964958227269</stp>
        <tr r="A321" s="2"/>
      </tp>
      <tp t="s">
        <v>#N/A N/A</v>
        <stp/>
        <stp>BDP|600202181114608676</stp>
        <tr r="Q1484" s="2"/>
      </tp>
      <tp t="s">
        <v>#N/A N/A</v>
        <stp/>
        <stp>BDP|641607792574613342</stp>
        <tr r="J1704" s="2"/>
      </tp>
      <tp t="s">
        <v>#N/A N/A</v>
        <stp/>
        <stp>BDP|401758805878586762</stp>
        <tr r="E147" s="2"/>
      </tp>
      <tp t="s">
        <v>#N/A N/A</v>
        <stp/>
        <stp>BDP|131818008062796288</stp>
        <tr r="J330" s="2"/>
      </tp>
      <tp t="s">
        <v>#N/A N/A</v>
        <stp/>
        <stp>BDP|100542096306235268</stp>
        <tr r="H938" s="2"/>
      </tp>
      <tp t="s">
        <v>#N/A N/A</v>
        <stp/>
        <stp>BDP|729661206527867988</stp>
        <tr r="R1170" s="2"/>
      </tp>
      <tp t="s">
        <v>#N/A N/A</v>
        <stp/>
        <stp>BDP|936692756072496950</stp>
        <tr r="G32" s="2"/>
      </tp>
      <tp t="s">
        <v>#N/A N/A</v>
        <stp/>
        <stp>BDP|701952133885574732</stp>
        <tr r="G574" s="2"/>
      </tp>
      <tp t="s">
        <v>#N/A N/A</v>
        <stp/>
        <stp>BDP|396093829343611924</stp>
        <tr r="K717" s="2"/>
      </tp>
      <tp t="s">
        <v>#N/A N/A</v>
        <stp/>
        <stp>BDP|472954385791301809</stp>
        <tr r="N554" s="2"/>
      </tp>
      <tp t="s">
        <v>#N/A N/A</v>
        <stp/>
        <stp>BDP|210961303318421941</stp>
        <tr r="K96" s="2"/>
      </tp>
      <tp t="s">
        <v>#N/A N/A</v>
        <stp/>
        <stp>BDP|641471477942920988</stp>
        <tr r="G1416" s="2"/>
      </tp>
      <tp t="s">
        <v>#N/A N/A</v>
        <stp/>
        <stp>BDP|192830042926274251</stp>
        <tr r="T1754" s="2"/>
      </tp>
      <tp t="s">
        <v>#N/A N/A</v>
        <stp/>
        <stp>BDP|425438103795594963</stp>
        <tr r="F462" s="2"/>
      </tp>
      <tp t="s">
        <v>#N/A N/A</v>
        <stp/>
        <stp>BDP|196449431128616757</stp>
        <tr r="S1253" s="2"/>
      </tp>
      <tp t="s">
        <v>#N/A N/A</v>
        <stp/>
        <stp>BDP|238655120235257925</stp>
        <tr r="C1048" s="2"/>
      </tp>
      <tp t="s">
        <v>#N/A N/A</v>
        <stp/>
        <stp>BDP|604148726363203864</stp>
        <tr r="N115" s="2"/>
      </tp>
      <tp t="s">
        <v>#N/A N/A</v>
        <stp/>
        <stp>BDP|969150581598869946</stp>
        <tr r="P715" s="2"/>
      </tp>
      <tp t="s">
        <v>#N/A N/A</v>
        <stp/>
        <stp>BDP|760642389442966426</stp>
        <tr r="J1634" s="2"/>
      </tp>
      <tp t="s">
        <v>#N/A N/A</v>
        <stp/>
        <stp>BDP|789324573358074479</stp>
        <tr r="N1367" s="2"/>
      </tp>
      <tp t="s">
        <v>#N/A N/A</v>
        <stp/>
        <stp>BDP|645520825667354836</stp>
        <tr r="T1106" s="2"/>
      </tp>
      <tp t="s">
        <v>#N/A N/A</v>
        <stp/>
        <stp>BDP|977915414992852259</stp>
        <tr r="M1021" s="2"/>
      </tp>
      <tp t="s">
        <v>#N/A N/A</v>
        <stp/>
        <stp>BDP|710346388721895217</stp>
        <tr r="C789" s="2"/>
      </tp>
      <tp t="s">
        <v>#N/A N/A</v>
        <stp/>
        <stp>BDP|995161582737717682</stp>
        <tr r="E897" s="2"/>
      </tp>
      <tp t="s">
        <v>#N/A N/A</v>
        <stp/>
        <stp>BDP|780152377689756709</stp>
        <tr r="T440" s="2"/>
      </tp>
      <tp t="s">
        <v>#N/A N/A</v>
        <stp/>
        <stp>BDP|503332998103571193</stp>
        <tr r="C165" s="2"/>
      </tp>
      <tp t="s">
        <v>#N/A N/A</v>
        <stp/>
        <stp>BDP|528698934974853923</stp>
        <tr r="H707" s="2"/>
      </tp>
      <tp t="s">
        <v>#N/A N/A</v>
        <stp/>
        <stp>BDS|296283709488955292</stp>
        <tr r="I252" s="2"/>
      </tp>
      <tp t="s">
        <v>#N/A N/A</v>
        <stp/>
        <stp>BDP|183646894584523375</stp>
        <tr r="A879" s="2"/>
      </tp>
      <tp t="s">
        <v>#N/A N/A</v>
        <stp/>
        <stp>BDP|648027893373629222</stp>
        <tr r="D1418" s="2"/>
      </tp>
      <tp t="s">
        <v>#N/A N/A</v>
        <stp/>
        <stp>BDP|365942464324776377</stp>
        <tr r="Q964" s="2"/>
      </tp>
      <tp t="s">
        <v>#N/A N/A</v>
        <stp/>
        <stp>BDP|570260903469151322</stp>
        <tr r="G979" s="2"/>
      </tp>
      <tp t="s">
        <v>#N/A N/A</v>
        <stp/>
        <stp>BDP|897093756418252691</stp>
        <tr r="H762" s="2"/>
      </tp>
      <tp t="s">
        <v>#N/A N/A</v>
        <stp/>
        <stp>BDP|678283790613589371</stp>
        <tr r="D417" s="2"/>
      </tp>
      <tp t="s">
        <v>#N/A N/A</v>
        <stp/>
        <stp>BDS|940293511809976148</stp>
        <tr r="I731" s="2"/>
      </tp>
      <tp t="s">
        <v>#N/A N/A</v>
        <stp/>
        <stp>BDP|359203794831992123</stp>
        <tr r="J376" s="2"/>
      </tp>
      <tp t="s">
        <v>#N/A N/A</v>
        <stp/>
        <stp>BDP|644346702620493893</stp>
        <tr r="F1310" s="2"/>
      </tp>
      <tp t="s">
        <v>#N/A N/A</v>
        <stp/>
        <stp>BDS|587344603439890170</stp>
        <tr r="I369" s="2"/>
      </tp>
      <tp t="s">
        <v>#N/A N/A</v>
        <stp/>
        <stp>BDP|581178488661025375</stp>
        <tr r="P1203" s="2"/>
      </tp>
      <tp t="s">
        <v>#N/A N/A</v>
        <stp/>
        <stp>BDP|821090788336784502</stp>
        <tr r="Q1190" s="2"/>
      </tp>
      <tp t="s">
        <v>#N/A N/A</v>
        <stp/>
        <stp>BDP|455422508736599957</stp>
        <tr r="K833" s="2"/>
      </tp>
      <tp t="s">
        <v>#N/A N/A</v>
        <stp/>
        <stp>BDP|744899558281098789</stp>
        <tr r="G510" s="2"/>
      </tp>
      <tp t="s">
        <v>#N/A N/A</v>
        <stp/>
        <stp>BDP|890913383489544316</stp>
        <tr r="H733" s="2"/>
      </tp>
      <tp t="s">
        <v>#N/A N/A</v>
        <stp/>
        <stp>BDP|114868467485799093</stp>
        <tr r="C1413" s="2"/>
      </tp>
      <tp t="s">
        <v>#N/A N/A</v>
        <stp/>
        <stp>BDP|960942183108573255</stp>
        <tr r="E834" s="2"/>
      </tp>
      <tp t="s">
        <v>#N/A N/A</v>
        <stp/>
        <stp>BDP|768281782222393314</stp>
        <tr r="Q122" s="2"/>
      </tp>
      <tp t="s">
        <v>#N/A N/A</v>
        <stp/>
        <stp>BDP|625634491883270799</stp>
        <tr r="G826" s="2"/>
      </tp>
      <tp t="s">
        <v>#N/A N/A</v>
        <stp/>
        <stp>BDP|515805906271545294</stp>
        <tr r="P914" s="2"/>
      </tp>
      <tp t="s">
        <v>#N/A N/A</v>
        <stp/>
        <stp>BDP|673785066993511952</stp>
        <tr r="J890" s="2"/>
      </tp>
      <tp t="s">
        <v>#N/A N/A</v>
        <stp/>
        <stp>BDP|645103780613823165</stp>
        <tr r="A100" s="2"/>
      </tp>
      <tp t="s">
        <v>#N/A N/A</v>
        <stp/>
        <stp>BDP|113455402399918670</stp>
        <tr r="K1373" s="2"/>
      </tp>
      <tp t="s">
        <v>#N/A N/A</v>
        <stp/>
        <stp>BDP|837856654936580040</stp>
        <tr r="E1564" s="2"/>
      </tp>
      <tp t="s">
        <v>#N/A N/A</v>
        <stp/>
        <stp>BDS|795645015735780996</stp>
        <tr r="I171" s="2"/>
      </tp>
      <tp t="s">
        <v>#N/A N/A</v>
        <stp/>
        <stp>BDP|958132432870069916</stp>
        <tr r="C25" s="2"/>
      </tp>
      <tp t="s">
        <v>#N/A N/A</v>
        <stp/>
        <stp>BDP|931883600220806303</stp>
        <tr r="O1243" s="2"/>
      </tp>
      <tp t="s">
        <v>#N/A N/A</v>
        <stp/>
        <stp>BDP|171308418551342800</stp>
        <tr r="P489" s="2"/>
      </tp>
      <tp t="s">
        <v>#N/A N/A</v>
        <stp/>
        <stp>BDP|818436241583748877</stp>
        <tr r="K167" s="2"/>
      </tp>
      <tp t="s">
        <v>#N/A N/A</v>
        <stp/>
        <stp>BDP|146937718154478741</stp>
        <tr r="T1619" s="2"/>
      </tp>
      <tp t="s">
        <v>#N/A N/A</v>
        <stp/>
        <stp>BDP|674661807669531499</stp>
        <tr r="O1444" s="2"/>
      </tp>
      <tp t="s">
        <v>#N/A N/A</v>
        <stp/>
        <stp>BDP|582006857678061697</stp>
        <tr r="A1054" s="2"/>
      </tp>
      <tp t="s">
        <v>#N/A N/A</v>
        <stp/>
        <stp>BDP|407971373124958128</stp>
        <tr r="Q1157" s="2"/>
      </tp>
      <tp t="s">
        <v>#N/A N/A</v>
        <stp/>
        <stp>BDP|426022577299951536</stp>
        <tr r="P132" s="2"/>
      </tp>
      <tp t="s">
        <v>#N/A N/A</v>
        <stp/>
        <stp>BDP|162895176297146344</stp>
        <tr r="Q1681" s="2"/>
      </tp>
      <tp t="s">
        <v>#N/A N/A</v>
        <stp/>
        <stp>BDP|842332778199972611</stp>
        <tr r="O1507" s="2"/>
      </tp>
      <tp t="s">
        <v>#N/A N/A</v>
        <stp/>
        <stp>BDP|150820910714941610</stp>
        <tr r="E1466" s="2"/>
      </tp>
      <tp t="s">
        <v>#N/A N/A</v>
        <stp/>
        <stp>BDP|270574599893174469</stp>
        <tr r="S725" s="2"/>
      </tp>
      <tp t="s">
        <v>#N/A N/A</v>
        <stp/>
        <stp>BDP|238869326478605907</stp>
        <tr r="H1569" s="2"/>
      </tp>
      <tp t="s">
        <v>#N/A N/A</v>
        <stp/>
        <stp>BDP|953052128400517957</stp>
        <tr r="S1475" s="2"/>
      </tp>
      <tp t="s">
        <v>#N/A N/A</v>
        <stp/>
        <stp>BDP|965917323836745696</stp>
        <tr r="R928" s="2"/>
      </tp>
      <tp t="s">
        <v>#N/A N/A</v>
        <stp/>
        <stp>BDP|664450415017000930</stp>
        <tr r="J994" s="2"/>
      </tp>
      <tp t="s">
        <v>#N/A N/A</v>
        <stp/>
        <stp>BDP|698661962668397341</stp>
        <tr r="N285" s="2"/>
      </tp>
      <tp t="s">
        <v>#N/A N/A</v>
        <stp/>
        <stp>BDP|457230340749230406</stp>
        <tr r="F1115" s="2"/>
      </tp>
      <tp t="s">
        <v>#N/A N/A</v>
        <stp/>
        <stp>BDP|436531995873558416</stp>
        <tr r="S591" s="2"/>
      </tp>
      <tp t="s">
        <v>#N/A N/A</v>
        <stp/>
        <stp>BDP|795347103498575024</stp>
        <tr r="T187" s="2"/>
      </tp>
      <tp t="s">
        <v>#N/A N/A</v>
        <stp/>
        <stp>BDP|824131488720244269</stp>
        <tr r="D762" s="2"/>
      </tp>
      <tp t="s">
        <v>#N/A N/A</v>
        <stp/>
        <stp>BDP|914893362977024257</stp>
        <tr r="C1516" s="2"/>
      </tp>
      <tp t="s">
        <v>#N/A N/A</v>
        <stp/>
        <stp>BDP|286247477038653608</stp>
        <tr r="G1638" s="2"/>
      </tp>
      <tp t="s">
        <v>#N/A N/A</v>
        <stp/>
        <stp>BDP|373747661358284239</stp>
        <tr r="C179" s="2"/>
      </tp>
      <tp t="s">
        <v>#N/A N/A</v>
        <stp/>
        <stp>BDP|181938766962183622</stp>
        <tr r="S629" s="2"/>
      </tp>
      <tp t="s">
        <v>#N/A N/A</v>
        <stp/>
        <stp>BDS|246257205788354160</stp>
        <tr r="I416" s="2"/>
      </tp>
      <tp t="s">
        <v>#N/A N/A</v>
        <stp/>
        <stp>BDP|528384088441449167</stp>
        <tr r="Q1601" s="2"/>
      </tp>
      <tp t="s">
        <v>#N/A N/A</v>
        <stp/>
        <stp>BDP|419336595376697738</stp>
        <tr r="A1067" s="2"/>
      </tp>
      <tp t="s">
        <v>#N/A N/A</v>
        <stp/>
        <stp>BDP|812838454674827208</stp>
        <tr r="Q161" s="2"/>
      </tp>
      <tp t="s">
        <v>#N/A N/A</v>
        <stp/>
        <stp>BDP|651299632668908240</stp>
        <tr r="F746" s="2"/>
      </tp>
      <tp t="s">
        <v>#N/A N/A</v>
        <stp/>
        <stp>BDP|505101483896304450</stp>
        <tr r="O1275" s="2"/>
      </tp>
      <tp t="s">
        <v>#N/A N/A</v>
        <stp/>
        <stp>BDP|719161073905726855</stp>
        <tr r="O213" s="2"/>
      </tp>
      <tp t="s">
        <v>#N/A N/A</v>
        <stp/>
        <stp>BDP|313186280823241196</stp>
        <tr r="A1511" s="2"/>
      </tp>
      <tp t="s">
        <v>#N/A N/A</v>
        <stp/>
        <stp>BDP|101776592302365771</stp>
        <tr r="P88" s="2"/>
      </tp>
      <tp t="s">
        <v>#N/A N/A</v>
        <stp/>
        <stp>BDP|651157378219800430</stp>
        <tr r="O686" s="2"/>
      </tp>
      <tp t="s">
        <v>#N/A N/A</v>
        <stp/>
        <stp>BDS|540848729581923004</stp>
        <tr r="I607" s="2"/>
      </tp>
      <tp t="s">
        <v>#N/A N/A</v>
        <stp/>
        <stp>BDP|647063004982092956</stp>
        <tr r="M556" s="2"/>
      </tp>
      <tp t="s">
        <v>#N/A N/A</v>
        <stp/>
        <stp>BDP|623363222509610354</stp>
        <tr r="T321" s="2"/>
      </tp>
      <tp t="s">
        <v>#N/A N/A</v>
        <stp/>
        <stp>BDP|942191186354245657</stp>
        <tr r="G1335" s="2"/>
      </tp>
      <tp t="s">
        <v>#N/A N/A</v>
        <stp/>
        <stp>BDP|376938455996045179</stp>
        <tr r="E1504" s="2"/>
      </tp>
      <tp t="s">
        <v>#N/A N/A</v>
        <stp/>
        <stp>BDP|438788853468477193</stp>
        <tr r="Q1362" s="2"/>
      </tp>
      <tp t="s">
        <v>#N/A N/A</v>
        <stp/>
        <stp>BDP|169769634707358824</stp>
        <tr r="D806" s="2"/>
      </tp>
      <tp t="s">
        <v>#N/A N/A</v>
        <stp/>
        <stp>BDP|767073384170551333</stp>
        <tr r="G1426" s="2"/>
      </tp>
      <tp t="s">
        <v>#N/A N/A</v>
        <stp/>
        <stp>BDP|766272661158161720</stp>
        <tr r="A597" s="2"/>
      </tp>
      <tp t="s">
        <v>#N/A N/A</v>
        <stp/>
        <stp>BDP|730807218903586185</stp>
        <tr r="D601" s="2"/>
      </tp>
      <tp t="s">
        <v>#N/A N/A</v>
        <stp/>
        <stp>BDP|231561880157774115</stp>
        <tr r="D896" s="2"/>
      </tp>
      <tp t="s">
        <v>#N/A N/A</v>
        <stp/>
        <stp>BDP|581909241341313755</stp>
        <tr r="C464" s="2"/>
      </tp>
      <tp t="s">
        <v>#N/A N/A</v>
        <stp/>
        <stp>BDP|176176126429331112</stp>
        <tr r="H1730" s="2"/>
      </tp>
      <tp t="s">
        <v>#N/A N/A</v>
        <stp/>
        <stp>BDP|720333693660657128</stp>
        <tr r="J55" s="2"/>
      </tp>
      <tp t="s">
        <v>#N/A N/A</v>
        <stp/>
        <stp>BDP|476550004338445628</stp>
        <tr r="O910" s="2"/>
      </tp>
      <tp t="s">
        <v>#N/A N/A</v>
        <stp/>
        <stp>BDP|970360490022287215</stp>
        <tr r="G1216" s="2"/>
      </tp>
      <tp t="s">
        <v>#N/A N/A</v>
        <stp/>
        <stp>BDP|917920259821963776</stp>
        <tr r="N1673" s="2"/>
      </tp>
      <tp t="s">
        <v>#N/A N/A</v>
        <stp/>
        <stp>BDP|790984470082738643</stp>
        <tr r="S846" s="2"/>
      </tp>
      <tp t="s">
        <v>#N/A N/A</v>
        <stp/>
        <stp>BDP|385006839650445936</stp>
        <tr r="J393" s="2"/>
      </tp>
      <tp t="s">
        <v>#N/A N/A</v>
        <stp/>
        <stp>BDP|823972642232888586</stp>
        <tr r="A339" s="2"/>
      </tp>
      <tp t="s">
        <v>#N/A N/A</v>
        <stp/>
        <stp>BDP|810969353026627069</stp>
        <tr r="F990" s="2"/>
      </tp>
      <tp t="s">
        <v>#N/A N/A</v>
        <stp/>
        <stp>BDP|909937615624231606</stp>
        <tr r="P616" s="2"/>
      </tp>
      <tp t="s">
        <v>#N/A N/A</v>
        <stp/>
        <stp>BDP|753033898764444762</stp>
        <tr r="C113" s="2"/>
      </tp>
      <tp t="s">
        <v>#N/A N/A</v>
        <stp/>
        <stp>BDP|433905964186744394</stp>
        <tr r="A1707" s="2"/>
      </tp>
      <tp t="s">
        <v>#N/A N/A</v>
        <stp/>
        <stp>BDP|459447581152830474</stp>
        <tr r="G667" s="2"/>
      </tp>
      <tp t="s">
        <v>#N/A N/A</v>
        <stp/>
        <stp>BDP|714886037713790203</stp>
        <tr r="S688" s="2"/>
      </tp>
      <tp t="s">
        <v>#N/A N/A</v>
        <stp/>
        <stp>BDP|766706044301489880</stp>
        <tr r="K318" s="2"/>
      </tp>
      <tp t="s">
        <v>#N/A N/A</v>
        <stp/>
        <stp>BDP|928741673318317228</stp>
        <tr r="Q246" s="2"/>
      </tp>
      <tp t="s">
        <v>#N/A N/A</v>
        <stp/>
        <stp>BDP|733575859539138370</stp>
        <tr r="J568" s="2"/>
      </tp>
      <tp t="s">
        <v>#N/A N/A</v>
        <stp/>
        <stp>BDP|698859648620072640</stp>
        <tr r="O1623" s="2"/>
      </tp>
      <tp t="s">
        <v>#N/A N/A</v>
        <stp/>
        <stp>BDS|406278239473050821</stp>
        <tr r="I1037" s="2"/>
      </tp>
      <tp t="s">
        <v>#N/A N/A</v>
        <stp/>
        <stp>BDP|866483054928906355</stp>
        <tr r="K287" s="2"/>
      </tp>
      <tp t="s">
        <v>#N/A N/A</v>
        <stp/>
        <stp>BDP|715868159553773474</stp>
        <tr r="Q743" s="2"/>
      </tp>
      <tp t="s">
        <v>#N/A N/A</v>
        <stp/>
        <stp>BDP|705653057068524185</stp>
        <tr r="C987" s="2"/>
      </tp>
      <tp t="s">
        <v>#N/A N/A</v>
        <stp/>
        <stp>BDP|726784350009412132</stp>
        <tr r="O942" s="2"/>
      </tp>
      <tp t="s">
        <v>#N/A N/A</v>
        <stp/>
        <stp>BDP|383837746953643598</stp>
        <tr r="R877" s="2"/>
      </tp>
      <tp t="s">
        <v>#N/A N/A</v>
        <stp/>
        <stp>BDP|333115169438196530</stp>
        <tr r="H138" s="2"/>
      </tp>
      <tp t="s">
        <v>#N/A N/A</v>
        <stp/>
        <stp>BDS|970964517124529649</stp>
        <tr r="I459" s="2"/>
      </tp>
      <tp t="s">
        <v>#N/A N/A</v>
        <stp/>
        <stp>BDP|381471919136523916</stp>
        <tr r="M1723" s="2"/>
      </tp>
      <tp t="s">
        <v>#N/A N/A</v>
        <stp/>
        <stp>BDP|439551389616131101</stp>
        <tr r="J285" s="2"/>
      </tp>
      <tp t="s">
        <v>#N/A N/A</v>
        <stp/>
        <stp>BDP|307207244225988978</stp>
        <tr r="A954" s="2"/>
      </tp>
      <tp t="s">
        <v>#N/A N/A</v>
        <stp/>
        <stp>BDP|797931341452853572</stp>
        <tr r="J697" s="2"/>
      </tp>
      <tp t="s">
        <v>#N/A N/A</v>
        <stp/>
        <stp>BDP|818820573872054735</stp>
        <tr r="T713" s="2"/>
      </tp>
      <tp t="s">
        <v>#N/A N/A</v>
        <stp/>
        <stp>BDP|117491464489403126</stp>
        <tr r="K36" s="2"/>
      </tp>
      <tp t="s">
        <v>#N/A N/A</v>
        <stp/>
        <stp>BDP|540683380656730200</stp>
        <tr r="H1142" s="2"/>
      </tp>
      <tp t="s">
        <v>#N/A N/A</v>
        <stp/>
        <stp>BDP|168150109612028971</stp>
        <tr r="Q249" s="2"/>
      </tp>
      <tp t="s">
        <v>#N/A N/A</v>
        <stp/>
        <stp>BDP|307455478638739130</stp>
        <tr r="O39" s="2"/>
      </tp>
      <tp t="s">
        <v>#N/A N/A</v>
        <stp/>
        <stp>BDP|719184224338406156</stp>
        <tr r="S1095" s="2"/>
      </tp>
      <tp t="s">
        <v>#N/A N/A</v>
        <stp/>
        <stp>BDP|823898217603480084</stp>
        <tr r="M1433" s="2"/>
      </tp>
      <tp t="s">
        <v>#N/A N/A</v>
        <stp/>
        <stp>BDP|194984379943942734</stp>
        <tr r="F1052" s="2"/>
      </tp>
      <tp t="s">
        <v>#N/A N/A</v>
        <stp/>
        <stp>BDP|213268358334734903</stp>
        <tr r="J1434" s="2"/>
      </tp>
      <tp t="s">
        <v>#N/A N/A</v>
        <stp/>
        <stp>BDP|656084592924461738</stp>
        <tr r="H1424" s="2"/>
      </tp>
      <tp t="s">
        <v>#N/A N/A</v>
        <stp/>
        <stp>BDP|549246886010462082</stp>
        <tr r="P1055" s="2"/>
      </tp>
      <tp t="s">
        <v>#N/A N/A</v>
        <stp/>
        <stp>BDP|135871429857964725</stp>
        <tr r="C125" s="2"/>
      </tp>
      <tp t="s">
        <v>#N/A N/A</v>
        <stp/>
        <stp>BDP|715848161071706514</stp>
        <tr r="T923" s="2"/>
      </tp>
      <tp t="s">
        <v>#N/A N/A</v>
        <stp/>
        <stp>BDP|215979521189482843</stp>
        <tr r="D130" s="2"/>
      </tp>
      <tp t="s">
        <v>#N/A N/A</v>
        <stp/>
        <stp>BDP|581757154218480045</stp>
        <tr r="A229" s="2"/>
      </tp>
      <tp t="s">
        <v>#N/A N/A</v>
        <stp/>
        <stp>BDP|291045346548384671</stp>
        <tr r="K158" s="2"/>
      </tp>
      <tp t="s">
        <v>#N/A N/A</v>
        <stp/>
        <stp>BDP|757827629718173895</stp>
        <tr r="N1716" s="2"/>
      </tp>
      <tp t="s">
        <v>#N/A N/A</v>
        <stp/>
        <stp>BDP|229077616872076961</stp>
        <tr r="J1004" s="2"/>
      </tp>
      <tp t="s">
        <v>#N/A N/A</v>
        <stp/>
        <stp>BDP|342479821874083802</stp>
        <tr r="S1201" s="2"/>
      </tp>
      <tp t="s">
        <v>#N/A N/A</v>
        <stp/>
        <stp>BDP|603522241402118915</stp>
        <tr r="E81" s="2"/>
      </tp>
      <tp t="s">
        <v>#N/A N/A</v>
        <stp/>
        <stp>BDP|641110507353565801</stp>
        <tr r="C335" s="2"/>
      </tp>
      <tp t="s">
        <v>#N/A N/A</v>
        <stp/>
        <stp>BDP|979595187563467466</stp>
        <tr r="K788" s="2"/>
      </tp>
      <tp t="s">
        <v>#N/A N/A</v>
        <stp/>
        <stp>BDP|519640543658252068</stp>
        <tr r="N350" s="2"/>
      </tp>
      <tp t="s">
        <v>#N/A N/A</v>
        <stp/>
        <stp>BDP|355845275356393378</stp>
        <tr r="H358" s="2"/>
      </tp>
      <tp t="s">
        <v>#N/A N/A</v>
        <stp/>
        <stp>BDP|899459498451579666</stp>
        <tr r="A253" s="2"/>
      </tp>
      <tp t="s">
        <v>#N/A N/A</v>
        <stp/>
        <stp>BDP|790329986167326679</stp>
        <tr r="D1386" s="2"/>
      </tp>
      <tp t="s">
        <v>#N/A N/A</v>
        <stp/>
        <stp>BDP|997791235566072823</stp>
        <tr r="D940" s="2"/>
      </tp>
      <tp t="s">
        <v>#N/A N/A</v>
        <stp/>
        <stp>BDP|252356798295897504</stp>
        <tr r="G1380" s="2"/>
      </tp>
      <tp t="s">
        <v>#N/A N/A</v>
        <stp/>
        <stp>BDP|958137083460999372</stp>
        <tr r="O282" s="2"/>
      </tp>
      <tp t="s">
        <v>#N/A N/A</v>
        <stp/>
        <stp>BDP|135041205702515826</stp>
        <tr r="H312" s="2"/>
      </tp>
      <tp t="s">
        <v>#N/A N/A</v>
        <stp/>
        <stp>BDP|527569597862383409</stp>
        <tr r="Q189" s="2"/>
      </tp>
      <tp t="s">
        <v>#N/A N/A</v>
        <stp/>
        <stp>BDP|338215005688743077</stp>
        <tr r="S290" s="2"/>
      </tp>
      <tp t="s">
        <v>#N/A N/A</v>
        <stp/>
        <stp>BDP|444953274847247371</stp>
        <tr r="O459" s="2"/>
      </tp>
      <tp t="s">
        <v>#N/A N/A</v>
        <stp/>
        <stp>BDP|956413467559620198</stp>
        <tr r="Q1520" s="2"/>
      </tp>
      <tp t="s">
        <v>#N/A N/A</v>
        <stp/>
        <stp>BDP|277966049504903346</stp>
        <tr r="S718" s="2"/>
      </tp>
      <tp t="s">
        <v>#N/A N/A</v>
        <stp/>
        <stp>BDP|609846511013777042</stp>
        <tr r="A774" s="2"/>
      </tp>
      <tp t="s">
        <v>#N/A N/A</v>
        <stp/>
        <stp>BDP|274035658227063897</stp>
        <tr r="J372" s="2"/>
      </tp>
      <tp t="s">
        <v>#N/A N/A</v>
        <stp/>
        <stp>BDP|459953023489522877</stp>
        <tr r="H1689" s="2"/>
      </tp>
      <tp t="s">
        <v>#N/A N/A</v>
        <stp/>
        <stp>BDP|181788593502313690</stp>
        <tr r="R1391" s="2"/>
      </tp>
      <tp t="s">
        <v>#N/A N/A</v>
        <stp/>
        <stp>BDP|460784699777272369</stp>
        <tr r="N641" s="2"/>
      </tp>
      <tp t="s">
        <v>#N/A N/A</v>
        <stp/>
        <stp>BDP|202936004894734735</stp>
        <tr r="F1153" s="2"/>
      </tp>
      <tp t="s">
        <v>#N/A N/A</v>
        <stp/>
        <stp>BDP|561339071777056963</stp>
        <tr r="R1469" s="2"/>
      </tp>
      <tp t="s">
        <v>#N/A N/A</v>
        <stp/>
        <stp>BDP|318974762473096674</stp>
        <tr r="H1546" s="2"/>
      </tp>
      <tp t="s">
        <v>#N/A N/A</v>
        <stp/>
        <stp>BDP|102831150074145328</stp>
        <tr r="A1739" s="2"/>
      </tp>
      <tp t="s">
        <v>#N/A N/A</v>
        <stp/>
        <stp>BDP|882911508641788274</stp>
        <tr r="O1575" s="2"/>
      </tp>
      <tp t="s">
        <v>#N/A N/A</v>
        <stp/>
        <stp>BDP|467180648057745825</stp>
        <tr r="K1167" s="2"/>
      </tp>
      <tp t="s">
        <v>#N/A N/A</v>
        <stp/>
        <stp>BDP|251400580263712543</stp>
        <tr r="J1349" s="2"/>
      </tp>
      <tp t="s">
        <v>#N/A N/A</v>
        <stp/>
        <stp>BDP|491312693331543116</stp>
        <tr r="H972" s="2"/>
      </tp>
      <tp t="s">
        <v>#N/A N/A</v>
        <stp/>
        <stp>BDP|122331767879061672</stp>
        <tr r="G1503" s="2"/>
      </tp>
      <tp t="s">
        <v>#N/A N/A</v>
        <stp/>
        <stp>BDP|332656062889087368</stp>
        <tr r="T1484" s="2"/>
      </tp>
      <tp t="s">
        <v>#N/A N/A</v>
        <stp/>
        <stp>BDP|769963007100038345</stp>
        <tr r="C1440" s="2"/>
      </tp>
      <tp t="s">
        <v>#N/A N/A</v>
        <stp/>
        <stp>BDP|184510296162194452</stp>
        <tr r="O1076" s="2"/>
      </tp>
      <tp t="s">
        <v>#N/A N/A</v>
        <stp/>
        <stp>BDP|361549588203969448</stp>
        <tr r="T1387" s="2"/>
      </tp>
      <tp t="s">
        <v>#N/A N/A</v>
        <stp/>
        <stp>BDP|763936646986698163</stp>
        <tr r="F159" s="2"/>
      </tp>
      <tp t="s">
        <v>#N/A N/A</v>
        <stp/>
        <stp>BDP|654951361295363036</stp>
        <tr r="R884" s="2"/>
      </tp>
      <tp t="s">
        <v>#N/A N/A</v>
        <stp/>
        <stp>BDP|902542973689492189</stp>
        <tr r="H411" s="2"/>
      </tp>
      <tp t="s">
        <v>#N/A N/A</v>
        <stp/>
        <stp>BDS|661389591735511591</stp>
        <tr r="I1035" s="2"/>
      </tp>
      <tp t="s">
        <v>#N/A N/A</v>
        <stp/>
        <stp>BDP|423807282229687337</stp>
        <tr r="G1315" s="2"/>
      </tp>
      <tp t="s">
        <v>#N/A N/A</v>
        <stp/>
        <stp>BDP|549830370807610232</stp>
        <tr r="T834" s="2"/>
      </tp>
      <tp t="s">
        <v>#N/A N/A</v>
        <stp/>
        <stp>BDP|640933595243605951</stp>
        <tr r="J204" s="2"/>
      </tp>
      <tp t="s">
        <v>#N/A N/A</v>
        <stp/>
        <stp>BDP|798223890843302257</stp>
        <tr r="O1376" s="2"/>
      </tp>
      <tp t="s">
        <v>#N/A N/A</v>
        <stp/>
        <stp>BDP|775734518854449</stp>
        <tr r="E1146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55"/>
  <sheetViews>
    <sheetView tabSelected="1" workbookViewId="0"/>
  </sheetViews>
  <sheetFormatPr defaultRowHeight="15" x14ac:dyDescent="0.25"/>
  <cols>
    <col min="1" max="20" width="9.140625" bestFit="1" customWidth="1"/>
  </cols>
  <sheetData>
    <row r="1" spans="1:2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pans="1:20" x14ac:dyDescent="0.25">
      <c r="A2" t="str">
        <f>_xll.BDP("575829BU Muni","ID_CUSIP")</f>
        <v>#N/A Requesting Data...</v>
      </c>
      <c r="B2" t="s">
        <v>20</v>
      </c>
      <c r="C2" t="str">
        <f>_xll.BDP("575829BU Muni","INSURANCE_STATUS")</f>
        <v>#N/A Requesting Data...</v>
      </c>
      <c r="D2" t="str">
        <f>_xll.BDP("575829BU Muni","STATE_CODE")</f>
        <v>#N/A Requesting Data...</v>
      </c>
      <c r="E2" t="str">
        <f>_xll.BDP("575829BU Muni","COUNTY_LOCATION_ISSUER")</f>
        <v>#N/A Requesting Data...</v>
      </c>
      <c r="F2" t="str">
        <f>_xll.BDP("575829BU Muni","DUR_ADJ_MID")</f>
        <v>#N/A Requesting Data...</v>
      </c>
      <c r="G2" t="str">
        <f>_xll.BDP("575829BU Muni","SPREAD_AT_ISSUANCE_TO_WORST")</f>
        <v>#N/A Requesting Data...</v>
      </c>
      <c r="H2" t="str">
        <f>_xll.BDP("575829BU Muni","ISSUE_DT")</f>
        <v>#N/A Requesting Data...</v>
      </c>
      <c r="I2" t="str">
        <f>_xll.BDS("575829BU Muni","MUNI_PURPOSE_SCHED", "aggregate=y")</f>
        <v>#N/A Review</v>
      </c>
      <c r="J2" t="str">
        <f>_xll.BDP("575829BU Muni","CPN")</f>
        <v>#N/A Requesting Data...</v>
      </c>
      <c r="K2" t="str">
        <f>_xll.BDP("575829BU Muni","MATURITY")</f>
        <v>#N/A Requesting Data...</v>
      </c>
      <c r="L2">
        <v>10450000</v>
      </c>
      <c r="M2" t="str">
        <f>_xll.BDP("575829BU Muni","YIELD_ON_ISSUE_DATE")</f>
        <v>#N/A Requesting Data...</v>
      </c>
      <c r="N2" t="str">
        <f>_xll.BDP("575829BU Muni","YTW_SPREAD_TO_MATURITY_AT_ISSU")</f>
        <v>#N/A Requesting Data...</v>
      </c>
      <c r="O2" t="str">
        <f>_xll.BDP("575829BU Muni","BVAL_MID_YTM")</f>
        <v>#N/A Requesting Data...</v>
      </c>
      <c r="P2" t="str">
        <f>_xll.BDP("575829BU Muni","MUNI_TAX_PROV")</f>
        <v>#N/A Requesting Data...</v>
      </c>
      <c r="Q2" t="str">
        <f>_xll.BDP("575829BU Muni","MUNI_FED_TAX")</f>
        <v>#N/A Requesting Data...</v>
      </c>
      <c r="R2" t="str">
        <f>_xll.BDP("575829BU Muni","MUNI_MSRB_VOLUME")</f>
        <v>#N/A Requesting Data...</v>
      </c>
      <c r="S2" t="str">
        <f>_xll.BDP("575829BU Muni","BB_COMPOSITE")</f>
        <v>#N/A Requesting Data...</v>
      </c>
      <c r="T2" t="str">
        <f>_xll.BDP("575829BU Muni","LQA_LIQUIDITY_SCORE")</f>
        <v>#N/A Requesting Data...</v>
      </c>
    </row>
    <row r="3" spans="1:20" x14ac:dyDescent="0.25">
      <c r="A3" t="str">
        <f>_xll.BDP("13063CV4 Muni","ID_CUSIP")</f>
        <v>#N/A Requesting Data...</v>
      </c>
      <c r="B3" t="s">
        <v>21</v>
      </c>
      <c r="C3" t="str">
        <f>_xll.BDP("13063CV4 Muni","INSURANCE_STATUS")</f>
        <v>#N/A Requesting Data...</v>
      </c>
      <c r="D3" t="str">
        <f>_xll.BDP("13063CV4 Muni","STATE_CODE")</f>
        <v>#N/A Requesting Data...</v>
      </c>
      <c r="E3" t="str">
        <f>_xll.BDP("13063CV4 Muni","COUNTY_LOCATION_ISSUER")</f>
        <v>#N/A Requesting Data...</v>
      </c>
      <c r="F3" t="str">
        <f>_xll.BDP("13063CV4 Muni","DUR_ADJ_MID")</f>
        <v>#N/A Requesting Data...</v>
      </c>
      <c r="G3" t="str">
        <f>_xll.BDP("13063CV4 Muni","SPREAD_AT_ISSUANCE_TO_WORST")</f>
        <v>#N/A Requesting Data...</v>
      </c>
      <c r="H3" t="str">
        <f>_xll.BDP("13063CV4 Muni","ISSUE_DT")</f>
        <v>#N/A Requesting Data...</v>
      </c>
      <c r="I3" t="str">
        <f>_xll.BDS("13063CV4 Muni","MUNI_PURPOSE_SCHED", "aggregate=y")</f>
        <v>#N/A Review</v>
      </c>
      <c r="J3" t="str">
        <f>_xll.BDP("13063CV4 Muni","CPN")</f>
        <v>#N/A Requesting Data...</v>
      </c>
      <c r="K3" t="str">
        <f>_xll.BDP("13063CV4 Muni","MATURITY")</f>
        <v>#N/A Requesting Data...</v>
      </c>
      <c r="L3">
        <v>78870000</v>
      </c>
      <c r="M3" t="str">
        <f>_xll.BDP("13063CV4 Muni","YIELD_ON_ISSUE_DATE")</f>
        <v>#N/A Requesting Data...</v>
      </c>
      <c r="N3" t="str">
        <f>_xll.BDP("13063CV4 Muni","YTW_SPREAD_TO_MATURITY_AT_ISSU")</f>
        <v>#N/A Requesting Data...</v>
      </c>
      <c r="O3" t="str">
        <f>_xll.BDP("13063CV4 Muni","BVAL_MID_YTM")</f>
        <v>#N/A Requesting Data...</v>
      </c>
      <c r="P3" t="str">
        <f>_xll.BDP("13063CV4 Muni","MUNI_TAX_PROV")</f>
        <v>#N/A Requesting Data...</v>
      </c>
      <c r="Q3" t="str">
        <f>_xll.BDP("13063CV4 Muni","MUNI_FED_TAX")</f>
        <v>#N/A Requesting Data...</v>
      </c>
      <c r="R3" t="str">
        <f>_xll.BDP("13063CV4 Muni","MUNI_MSRB_VOLUME")</f>
        <v>#N/A Requesting Data...</v>
      </c>
      <c r="S3" t="str">
        <f>_xll.BDP("13063CV4 Muni","BB_COMPOSITE")</f>
        <v>#N/A Requesting Data...</v>
      </c>
      <c r="T3" t="str">
        <f>_xll.BDP("13063CV4 Muni","LQA_LIQUIDITY_SCORE")</f>
        <v>#N/A Requesting Data...</v>
      </c>
    </row>
    <row r="4" spans="1:20" x14ac:dyDescent="0.25">
      <c r="A4" t="str">
        <f>_xll.BDP("13067WLU Muni","ID_CUSIP")</f>
        <v>#N/A Requesting Data...</v>
      </c>
      <c r="B4" t="s">
        <v>22</v>
      </c>
      <c r="C4" t="str">
        <f>_xll.BDP("13067WLU Muni","INSURANCE_STATUS")</f>
        <v>#N/A Requesting Data...</v>
      </c>
      <c r="D4" t="str">
        <f>_xll.BDP("13067WLU Muni","STATE_CODE")</f>
        <v>#N/A Requesting Data...</v>
      </c>
      <c r="E4" t="str">
        <f>_xll.BDP("13067WLU Muni","COUNTY_LOCATION_ISSUER")</f>
        <v>#N/A Requesting Data...</v>
      </c>
      <c r="F4" t="str">
        <f>_xll.BDP("13067WLU Muni","DUR_ADJ_MID")</f>
        <v>#N/A Requesting Data...</v>
      </c>
      <c r="G4" t="str">
        <f>_xll.BDP("13067WLU Muni","SPREAD_AT_ISSUANCE_TO_WORST")</f>
        <v>#N/A Requesting Data...</v>
      </c>
      <c r="H4" t="str">
        <f>_xll.BDP("13067WLU Muni","ISSUE_DT")</f>
        <v>#N/A Requesting Data...</v>
      </c>
      <c r="I4" t="str">
        <f>_xll.BDS("13067WLU Muni","MUNI_PURPOSE_SCHED", "aggregate=y")</f>
        <v>#N/A Review</v>
      </c>
      <c r="J4" t="str">
        <f>_xll.BDP("13067WLU Muni","CPN")</f>
        <v>#N/A Requesting Data...</v>
      </c>
      <c r="K4" t="str">
        <f>_xll.BDP("13067WLU Muni","MATURITY")</f>
        <v>#N/A Requesting Data...</v>
      </c>
      <c r="L4">
        <v>22915000</v>
      </c>
      <c r="M4" t="str">
        <f>_xll.BDP("13067WLU Muni","YIELD_ON_ISSUE_DATE")</f>
        <v>#N/A Requesting Data...</v>
      </c>
      <c r="N4" t="str">
        <f>_xll.BDP("13067WLU Muni","YTW_SPREAD_TO_MATURITY_AT_ISSU")</f>
        <v>#N/A Requesting Data...</v>
      </c>
      <c r="O4" t="str">
        <f>_xll.BDP("13067WLU Muni","BVAL_MID_YTM")</f>
        <v>#N/A Requesting Data...</v>
      </c>
      <c r="P4" t="str">
        <f>_xll.BDP("13067WLU Muni","MUNI_TAX_PROV")</f>
        <v>#N/A Requesting Data...</v>
      </c>
      <c r="Q4" t="str">
        <f>_xll.BDP("13067WLU Muni","MUNI_FED_TAX")</f>
        <v>#N/A Requesting Data...</v>
      </c>
      <c r="R4" t="str">
        <f>_xll.BDP("13067WLU Muni","MUNI_MSRB_VOLUME")</f>
        <v>#N/A Requesting Data...</v>
      </c>
      <c r="S4" t="str">
        <f>_xll.BDP("13067WLU Muni","BB_COMPOSITE")</f>
        <v>#N/A Requesting Data...</v>
      </c>
      <c r="T4" t="str">
        <f>_xll.BDP("13067WLU Muni","LQA_LIQUIDITY_SCORE")</f>
        <v>#N/A Requesting Data...</v>
      </c>
    </row>
    <row r="5" spans="1:20" x14ac:dyDescent="0.25">
      <c r="A5" t="str">
        <f>_xll.BDP("882854YC Muni","ID_CUSIP")</f>
        <v>#N/A Requesting Data...</v>
      </c>
      <c r="B5" t="s">
        <v>23</v>
      </c>
      <c r="C5" t="str">
        <f>_xll.BDP("882854YC Muni","INSURANCE_STATUS")</f>
        <v>#N/A Requesting Data...</v>
      </c>
      <c r="D5" t="str">
        <f>_xll.BDP("882854YC Muni","STATE_CODE")</f>
        <v>#N/A Requesting Data...</v>
      </c>
      <c r="E5" t="str">
        <f>_xll.BDP("882854YC Muni","COUNTY_LOCATION_ISSUER")</f>
        <v>#N/A Requesting Data...</v>
      </c>
      <c r="F5" t="str">
        <f>_xll.BDP("882854YC Muni","DUR_ADJ_MID")</f>
        <v>#N/A Requesting Data...</v>
      </c>
      <c r="G5" t="str">
        <f>_xll.BDP("882854YC Muni","SPREAD_AT_ISSUANCE_TO_WORST")</f>
        <v>#N/A Requesting Data...</v>
      </c>
      <c r="H5" t="str">
        <f>_xll.BDP("882854YC Muni","ISSUE_DT")</f>
        <v>#N/A Requesting Data...</v>
      </c>
      <c r="I5" t="str">
        <f>_xll.BDS("882854YC Muni","MUNI_PURPOSE_SCHED", "aggregate=y")</f>
        <v>#N/A Review</v>
      </c>
      <c r="J5" t="str">
        <f>_xll.BDP("882854YC Muni","CPN")</f>
        <v>#N/A Requesting Data...</v>
      </c>
      <c r="K5" t="str">
        <f>_xll.BDP("882854YC Muni","MATURITY")</f>
        <v>#N/A Requesting Data...</v>
      </c>
      <c r="L5">
        <v>12700000</v>
      </c>
      <c r="M5" t="str">
        <f>_xll.BDP("882854YC Muni","YIELD_ON_ISSUE_DATE")</f>
        <v>#N/A Requesting Data...</v>
      </c>
      <c r="N5" t="str">
        <f>_xll.BDP("882854YC Muni","YTW_SPREAD_TO_MATURITY_AT_ISSU")</f>
        <v>#N/A Requesting Data...</v>
      </c>
      <c r="O5" t="str">
        <f>_xll.BDP("882854YC Muni","BVAL_MID_YTM")</f>
        <v>#N/A Requesting Data...</v>
      </c>
      <c r="P5" t="str">
        <f>_xll.BDP("882854YC Muni","MUNI_TAX_PROV")</f>
        <v>#N/A Requesting Data...</v>
      </c>
      <c r="Q5" t="str">
        <f>_xll.BDP("882854YC Muni","MUNI_FED_TAX")</f>
        <v>#N/A Requesting Data...</v>
      </c>
      <c r="R5" t="str">
        <f>_xll.BDP("882854YC Muni","MUNI_MSRB_VOLUME")</f>
        <v>#N/A Requesting Data...</v>
      </c>
      <c r="S5" t="str">
        <f>_xll.BDP("882854YC Muni","BB_COMPOSITE")</f>
        <v>#N/A Requesting Data...</v>
      </c>
      <c r="T5" t="str">
        <f>_xll.BDP("882854YC Muni","LQA_LIQUIDITY_SCORE")</f>
        <v>#N/A Requesting Data...</v>
      </c>
    </row>
    <row r="6" spans="1:20" x14ac:dyDescent="0.25">
      <c r="A6" t="str">
        <f>_xll.BDP("837838AL Muni","ID_CUSIP")</f>
        <v>#N/A Requesting Data...</v>
      </c>
      <c r="B6" t="s">
        <v>24</v>
      </c>
      <c r="C6" t="str">
        <f>_xll.BDP("837838AL Muni","INSURANCE_STATUS")</f>
        <v>#N/A Requesting Data...</v>
      </c>
      <c r="D6" t="str">
        <f>_xll.BDP("837838AL Muni","STATE_CODE")</f>
        <v>#N/A Requesting Data...</v>
      </c>
      <c r="E6" t="str">
        <f>_xll.BDP("837838AL Muni","COUNTY_LOCATION_ISSUER")</f>
        <v>#N/A Requesting Data...</v>
      </c>
      <c r="F6" t="str">
        <f>_xll.BDP("837838AL Muni","DUR_ADJ_MID")</f>
        <v>#N/A Requesting Data...</v>
      </c>
      <c r="G6" t="str">
        <f>_xll.BDP("837838AL Muni","SPREAD_AT_ISSUANCE_TO_WORST")</f>
        <v>#N/A Requesting Data...</v>
      </c>
      <c r="H6" t="str">
        <f>_xll.BDP("837838AL Muni","ISSUE_DT")</f>
        <v>#N/A Requesting Data...</v>
      </c>
      <c r="I6" t="str">
        <f>_xll.BDS("837838AL Muni","MUNI_PURPOSE_SCHED", "aggregate=y")</f>
        <v>#N/A Review</v>
      </c>
      <c r="J6" t="str">
        <f>_xll.BDP("837838AL Muni","CPN")</f>
        <v>#N/A Requesting Data...</v>
      </c>
      <c r="K6" t="str">
        <f>_xll.BDP("837838AL Muni","MATURITY")</f>
        <v>#N/A Requesting Data...</v>
      </c>
      <c r="L6">
        <v>695000</v>
      </c>
      <c r="M6" t="str">
        <f>_xll.BDP("837838AL Muni","YIELD_ON_ISSUE_DATE")</f>
        <v>#N/A Requesting Data...</v>
      </c>
      <c r="N6" t="str">
        <f>_xll.BDP("837838AL Muni","YTW_SPREAD_TO_MATURITY_AT_ISSU")</f>
        <v>#N/A Requesting Data...</v>
      </c>
      <c r="O6" t="str">
        <f>_xll.BDP("837838AL Muni","BVAL_MID_YTM")</f>
        <v>#N/A Requesting Data...</v>
      </c>
      <c r="P6" t="str">
        <f>_xll.BDP("837838AL Muni","MUNI_TAX_PROV")</f>
        <v>#N/A Requesting Data...</v>
      </c>
      <c r="Q6" t="str">
        <f>_xll.BDP("837838AL Muni","MUNI_FED_TAX")</f>
        <v>#N/A Requesting Data...</v>
      </c>
      <c r="R6" t="str">
        <f>_xll.BDP("837838AL Muni","MUNI_MSRB_VOLUME")</f>
        <v>#N/A Requesting Data...</v>
      </c>
      <c r="S6" t="str">
        <f>_xll.BDP("837838AL Muni","BB_COMPOSITE")</f>
        <v>#N/A Requesting Data...</v>
      </c>
      <c r="T6" t="str">
        <f>_xll.BDP("837838AL Muni","LQA_LIQUIDITY_SCORE")</f>
        <v>#N/A Requesting Data...</v>
      </c>
    </row>
    <row r="7" spans="1:20" x14ac:dyDescent="0.25">
      <c r="A7" t="str">
        <f>_xll.BDP("160028FB Muni","ID_CUSIP")</f>
        <v>#N/A Requesting Data...</v>
      </c>
      <c r="B7" t="s">
        <v>25</v>
      </c>
      <c r="C7" t="str">
        <f>_xll.BDP("160028FB Muni","INSURANCE_STATUS")</f>
        <v>#N/A Requesting Data...</v>
      </c>
      <c r="D7" t="str">
        <f>_xll.BDP("160028FB Muni","STATE_CODE")</f>
        <v>#N/A Requesting Data...</v>
      </c>
      <c r="E7" t="str">
        <f>_xll.BDP("160028FB Muni","COUNTY_LOCATION_ISSUER")</f>
        <v>#N/A Requesting Data...</v>
      </c>
      <c r="F7" t="str">
        <f>_xll.BDP("160028FB Muni","DUR_ADJ_MID")</f>
        <v>#N/A Requesting Data...</v>
      </c>
      <c r="G7" t="str">
        <f>_xll.BDP("160028FB Muni","SPREAD_AT_ISSUANCE_TO_WORST")</f>
        <v>#N/A Requesting Data...</v>
      </c>
      <c r="H7" t="str">
        <f>_xll.BDP("160028FB Muni","ISSUE_DT")</f>
        <v>#N/A Requesting Data...</v>
      </c>
      <c r="I7" t="str">
        <f>_xll.BDS("160028FB Muni","MUNI_PURPOSE_SCHED", "aggregate=y")</f>
        <v>#N/A Review</v>
      </c>
      <c r="J7" t="str">
        <f>_xll.BDP("160028FB Muni","CPN")</f>
        <v>#N/A Requesting Data...</v>
      </c>
      <c r="K7" t="str">
        <f>_xll.BDP("160028FB Muni","MATURITY")</f>
        <v>#N/A Requesting Data...</v>
      </c>
      <c r="L7">
        <v>190000</v>
      </c>
      <c r="M7" t="str">
        <f>_xll.BDP("160028FB Muni","YIELD_ON_ISSUE_DATE")</f>
        <v>#N/A Requesting Data...</v>
      </c>
      <c r="N7" t="str">
        <f>_xll.BDP("160028FB Muni","YTW_SPREAD_TO_MATURITY_AT_ISSU")</f>
        <v>#N/A Requesting Data...</v>
      </c>
      <c r="O7" t="str">
        <f>_xll.BDP("160028FB Muni","BVAL_MID_YTM")</f>
        <v>#N/A Requesting Data...</v>
      </c>
      <c r="P7" t="str">
        <f>_xll.BDP("160028FB Muni","MUNI_TAX_PROV")</f>
        <v>#N/A Requesting Data...</v>
      </c>
      <c r="Q7" t="str">
        <f>_xll.BDP("160028FB Muni","MUNI_FED_TAX")</f>
        <v>#N/A Requesting Data...</v>
      </c>
      <c r="R7" t="str">
        <f>_xll.BDP("160028FB Muni","MUNI_MSRB_VOLUME")</f>
        <v>#N/A Requesting Data...</v>
      </c>
      <c r="S7" t="str">
        <f>_xll.BDP("160028FB Muni","BB_COMPOSITE")</f>
        <v>#N/A Requesting Data...</v>
      </c>
      <c r="T7" t="str">
        <f>_xll.BDP("160028FB Muni","LQA_LIQUIDITY_SCORE")</f>
        <v>#N/A Requesting Data...</v>
      </c>
    </row>
    <row r="8" spans="1:20" x14ac:dyDescent="0.25">
      <c r="A8" t="str">
        <f>_xll.BDP("463641CB Muni","ID_CUSIP")</f>
        <v>#N/A Requesting Data...</v>
      </c>
      <c r="B8" t="s">
        <v>26</v>
      </c>
      <c r="C8" t="str">
        <f>_xll.BDP("463641CB Muni","INSURANCE_STATUS")</f>
        <v>#N/A Requesting Data...</v>
      </c>
      <c r="D8" t="str">
        <f>_xll.BDP("463641CB Muni","STATE_CODE")</f>
        <v>#N/A Requesting Data...</v>
      </c>
      <c r="E8" t="str">
        <f>_xll.BDP("463641CB Muni","COUNTY_LOCATION_ISSUER")</f>
        <v>#N/A Requesting Data...</v>
      </c>
      <c r="F8" t="str">
        <f>_xll.BDP("463641CB Muni","DUR_ADJ_MID")</f>
        <v>#N/A Requesting Data...</v>
      </c>
      <c r="G8" t="str">
        <f>_xll.BDP("463641CB Muni","SPREAD_AT_ISSUANCE_TO_WORST")</f>
        <v>#N/A Requesting Data...</v>
      </c>
      <c r="H8" t="str">
        <f>_xll.BDP("463641CB Muni","ISSUE_DT")</f>
        <v>#N/A Requesting Data...</v>
      </c>
      <c r="I8" t="str">
        <f>_xll.BDS("463641CB Muni","MUNI_PURPOSE_SCHED", "aggregate=y")</f>
        <v>#N/A Review</v>
      </c>
      <c r="J8" t="str">
        <f>_xll.BDP("463641CB Muni","CPN")</f>
        <v>#N/A Requesting Data...</v>
      </c>
      <c r="K8" t="str">
        <f>_xll.BDP("463641CB Muni","MATURITY")</f>
        <v>#N/A Requesting Data...</v>
      </c>
      <c r="L8">
        <v>4220000</v>
      </c>
      <c r="M8" t="str">
        <f>_xll.BDP("463641CB Muni","YIELD_ON_ISSUE_DATE")</f>
        <v>#N/A Requesting Data...</v>
      </c>
      <c r="N8" t="str">
        <f>_xll.BDP("463641CB Muni","YTW_SPREAD_TO_MATURITY_AT_ISSU")</f>
        <v>#N/A Requesting Data...</v>
      </c>
      <c r="O8" t="str">
        <f>_xll.BDP("463641CB Muni","BVAL_MID_YTM")</f>
        <v>#N/A Requesting Data...</v>
      </c>
      <c r="P8" t="str">
        <f>_xll.BDP("463641CB Muni","MUNI_TAX_PROV")</f>
        <v>#N/A Requesting Data...</v>
      </c>
      <c r="Q8" t="str">
        <f>_xll.BDP("463641CB Muni","MUNI_FED_TAX")</f>
        <v>#N/A Requesting Data...</v>
      </c>
      <c r="R8" t="str">
        <f>_xll.BDP("463641CB Muni","MUNI_MSRB_VOLUME")</f>
        <v>#N/A Requesting Data...</v>
      </c>
      <c r="S8" t="str">
        <f>_xll.BDP("463641CB Muni","BB_COMPOSITE")</f>
        <v>#N/A Requesting Data...</v>
      </c>
      <c r="T8" t="str">
        <f>_xll.BDP("463641CB Muni","LQA_LIQUIDITY_SCORE")</f>
        <v>#N/A Requesting Data...</v>
      </c>
    </row>
    <row r="9" spans="1:20" x14ac:dyDescent="0.25">
      <c r="A9" t="str">
        <f>_xll.BDP("03588HNB Muni","ID_CUSIP")</f>
        <v>#N/A Requesting Data...</v>
      </c>
      <c r="B9" t="s">
        <v>27</v>
      </c>
      <c r="C9" t="str">
        <f>_xll.BDP("03588HNB Muni","INSURANCE_STATUS")</f>
        <v>#N/A Requesting Data...</v>
      </c>
      <c r="D9" t="str">
        <f>_xll.BDP("03588HNB Muni","STATE_CODE")</f>
        <v>#N/A Requesting Data...</v>
      </c>
      <c r="E9" t="str">
        <f>_xll.BDP("03588HNB Muni","COUNTY_LOCATION_ISSUER")</f>
        <v>#N/A Requesting Data...</v>
      </c>
      <c r="F9" t="str">
        <f>_xll.BDP("03588HNB Muni","DUR_ADJ_MID")</f>
        <v>#N/A Requesting Data...</v>
      </c>
      <c r="G9" t="str">
        <f>_xll.BDP("03588HNB Muni","SPREAD_AT_ISSUANCE_TO_WORST")</f>
        <v>#N/A Requesting Data...</v>
      </c>
      <c r="H9" t="str">
        <f>_xll.BDP("03588HNB Muni","ISSUE_DT")</f>
        <v>#N/A Requesting Data...</v>
      </c>
      <c r="I9" t="str">
        <f>_xll.BDS("03588HNB Muni","MUNI_PURPOSE_SCHED", "aggregate=y")</f>
        <v>#N/A Review</v>
      </c>
      <c r="J9" t="str">
        <f>_xll.BDP("03588HNB Muni","CPN")</f>
        <v>#N/A Requesting Data...</v>
      </c>
      <c r="K9" t="str">
        <f>_xll.BDP("03588HNB Muni","MATURITY")</f>
        <v>#N/A Requesting Data...</v>
      </c>
      <c r="L9">
        <v>1455000</v>
      </c>
      <c r="M9" t="str">
        <f>_xll.BDP("03588HNB Muni","YIELD_ON_ISSUE_DATE")</f>
        <v>#N/A Requesting Data...</v>
      </c>
      <c r="N9" t="str">
        <f>_xll.BDP("03588HNB Muni","YTW_SPREAD_TO_MATURITY_AT_ISSU")</f>
        <v>#N/A Requesting Data...</v>
      </c>
      <c r="O9" t="str">
        <f>_xll.BDP("03588HNB Muni","BVAL_MID_YTM")</f>
        <v>#N/A Requesting Data...</v>
      </c>
      <c r="P9" t="str">
        <f>_xll.BDP("03588HNB Muni","MUNI_TAX_PROV")</f>
        <v>#N/A Requesting Data...</v>
      </c>
      <c r="Q9" t="str">
        <f>_xll.BDP("03588HNB Muni","MUNI_FED_TAX")</f>
        <v>#N/A Requesting Data...</v>
      </c>
      <c r="R9" t="str">
        <f>_xll.BDP("03588HNB Muni","MUNI_MSRB_VOLUME")</f>
        <v>#N/A Requesting Data...</v>
      </c>
      <c r="S9" t="str">
        <f>_xll.BDP("03588HNB Muni","BB_COMPOSITE")</f>
        <v>#N/A Requesting Data...</v>
      </c>
      <c r="T9" t="str">
        <f>_xll.BDP("03588HNB Muni","LQA_LIQUIDITY_SCORE")</f>
        <v>#N/A Requesting Data...</v>
      </c>
    </row>
    <row r="10" spans="1:20" x14ac:dyDescent="0.25">
      <c r="A10" t="str">
        <f>_xll.BDP("4636324Z Muni","ID_CUSIP")</f>
        <v>#N/A Requesting Data...</v>
      </c>
      <c r="B10" t="s">
        <v>26</v>
      </c>
      <c r="C10" t="str">
        <f>_xll.BDP("4636324Z Muni","INSURANCE_STATUS")</f>
        <v>#N/A Requesting Data...</v>
      </c>
      <c r="D10" t="str">
        <f>_xll.BDP("4636324Z Muni","STATE_CODE")</f>
        <v>#N/A Requesting Data...</v>
      </c>
      <c r="E10" t="str">
        <f>_xll.BDP("4636324Z Muni","COUNTY_LOCATION_ISSUER")</f>
        <v>#N/A Requesting Data...</v>
      </c>
      <c r="F10" t="str">
        <f>_xll.BDP("4636324Z Muni","DUR_ADJ_MID")</f>
        <v>#N/A Requesting Data...</v>
      </c>
      <c r="G10" t="str">
        <f>_xll.BDP("4636324Z Muni","SPREAD_AT_ISSUANCE_TO_WORST")</f>
        <v>#N/A Requesting Data...</v>
      </c>
      <c r="H10" t="str">
        <f>_xll.BDP("4636324Z Muni","ISSUE_DT")</f>
        <v>#N/A Requesting Data...</v>
      </c>
      <c r="I10" t="str">
        <f>_xll.BDS("4636324Z Muni","MUNI_PURPOSE_SCHED", "aggregate=y")</f>
        <v>#N/A Review</v>
      </c>
      <c r="J10" t="str">
        <f>_xll.BDP("4636324Z Muni","CPN")</f>
        <v>#N/A Requesting Data...</v>
      </c>
      <c r="K10" t="str">
        <f>_xll.BDP("4636324Z Muni","MATURITY")</f>
        <v>#N/A Requesting Data...</v>
      </c>
      <c r="L10">
        <v>2620000</v>
      </c>
      <c r="M10" t="str">
        <f>_xll.BDP("4636324Z Muni","YIELD_ON_ISSUE_DATE")</f>
        <v>#N/A Requesting Data...</v>
      </c>
      <c r="N10" t="str">
        <f>_xll.BDP("4636324Z Muni","YTW_SPREAD_TO_MATURITY_AT_ISSU")</f>
        <v>#N/A Requesting Data...</v>
      </c>
      <c r="O10" t="str">
        <f>_xll.BDP("4636324Z Muni","BVAL_MID_YTM")</f>
        <v>#N/A Requesting Data...</v>
      </c>
      <c r="P10" t="str">
        <f>_xll.BDP("4636324Z Muni","MUNI_TAX_PROV")</f>
        <v>#N/A Requesting Data...</v>
      </c>
      <c r="Q10" t="str">
        <f>_xll.BDP("4636324Z Muni","MUNI_FED_TAX")</f>
        <v>#N/A Requesting Data...</v>
      </c>
      <c r="R10" t="str">
        <f>_xll.BDP("4636324Z Muni","MUNI_MSRB_VOLUME")</f>
        <v>#N/A Requesting Data...</v>
      </c>
      <c r="S10" t="str">
        <f>_xll.BDP("4636324Z Muni","BB_COMPOSITE")</f>
        <v>#N/A Requesting Data...</v>
      </c>
      <c r="T10" t="str">
        <f>_xll.BDP("4636324Z Muni","LQA_LIQUIDITY_SCORE")</f>
        <v>#N/A Requesting Data...</v>
      </c>
    </row>
    <row r="11" spans="1:20" x14ac:dyDescent="0.25">
      <c r="A11" t="str">
        <f>_xll.BDP("961017QL Muni","ID_CUSIP")</f>
        <v>#N/A Requesting Data...</v>
      </c>
      <c r="B11" t="s">
        <v>28</v>
      </c>
      <c r="C11" t="str">
        <f>_xll.BDP("961017QL Muni","INSURANCE_STATUS")</f>
        <v>#N/A Requesting Data...</v>
      </c>
      <c r="D11" t="str">
        <f>_xll.BDP("961017QL Muni","STATE_CODE")</f>
        <v>#N/A Requesting Data...</v>
      </c>
      <c r="E11" t="str">
        <f>_xll.BDP("961017QL Muni","COUNTY_LOCATION_ISSUER")</f>
        <v>#N/A Requesting Data...</v>
      </c>
      <c r="F11" t="str">
        <f>_xll.BDP("961017QL Muni","DUR_ADJ_MID")</f>
        <v>#N/A Requesting Data...</v>
      </c>
      <c r="G11" t="str">
        <f>_xll.BDP("961017QL Muni","SPREAD_AT_ISSUANCE_TO_WORST")</f>
        <v>#N/A Requesting Data...</v>
      </c>
      <c r="H11" t="str">
        <f>_xll.BDP("961017QL Muni","ISSUE_DT")</f>
        <v>#N/A Requesting Data...</v>
      </c>
      <c r="I11" t="str">
        <f>_xll.BDS("961017QL Muni","MUNI_PURPOSE_SCHED", "aggregate=y")</f>
        <v>#N/A Review</v>
      </c>
      <c r="J11" t="str">
        <f>_xll.BDP("961017QL Muni","CPN")</f>
        <v>#N/A Requesting Data...</v>
      </c>
      <c r="K11" t="str">
        <f>_xll.BDP("961017QL Muni","MATURITY")</f>
        <v>#N/A Requesting Data...</v>
      </c>
      <c r="L11">
        <v>11785000</v>
      </c>
      <c r="M11" t="str">
        <f>_xll.BDP("961017QL Muni","YIELD_ON_ISSUE_DATE")</f>
        <v>#N/A Requesting Data...</v>
      </c>
      <c r="N11" t="str">
        <f>_xll.BDP("961017QL Muni","YTW_SPREAD_TO_MATURITY_AT_ISSU")</f>
        <v>#N/A Requesting Data...</v>
      </c>
      <c r="O11" t="str">
        <f>_xll.BDP("961017QL Muni","BVAL_MID_YTM")</f>
        <v>#N/A Requesting Data...</v>
      </c>
      <c r="P11" t="str">
        <f>_xll.BDP("961017QL Muni","MUNI_TAX_PROV")</f>
        <v>#N/A Requesting Data...</v>
      </c>
      <c r="Q11" t="str">
        <f>_xll.BDP("961017QL Muni","MUNI_FED_TAX")</f>
        <v>#N/A Requesting Data...</v>
      </c>
      <c r="R11" t="str">
        <f>_xll.BDP("961017QL Muni","MUNI_MSRB_VOLUME")</f>
        <v>#N/A Requesting Data...</v>
      </c>
      <c r="S11" t="str">
        <f>_xll.BDP("961017QL Muni","BB_COMPOSITE")</f>
        <v>#N/A Requesting Data...</v>
      </c>
      <c r="T11" t="str">
        <f>_xll.BDP("961017QL Muni","LQA_LIQUIDITY_SCORE")</f>
        <v>#N/A Requesting Data...</v>
      </c>
    </row>
    <row r="12" spans="1:20" x14ac:dyDescent="0.25">
      <c r="A12" t="str">
        <f>_xll.BDP("91529NFE Muni","ID_CUSIP")</f>
        <v>#N/A Requesting Data...</v>
      </c>
      <c r="B12" t="s">
        <v>29</v>
      </c>
      <c r="C12" t="str">
        <f>_xll.BDP("91529NFE Muni","INSURANCE_STATUS")</f>
        <v>#N/A Requesting Data...</v>
      </c>
      <c r="D12" t="str">
        <f>_xll.BDP("91529NFE Muni","STATE_CODE")</f>
        <v>#N/A Requesting Data...</v>
      </c>
      <c r="E12" t="str">
        <f>_xll.BDP("91529NFE Muni","COUNTY_LOCATION_ISSUER")</f>
        <v>#N/A Requesting Data...</v>
      </c>
      <c r="F12" t="str">
        <f>_xll.BDP("91529NFE Muni","DUR_ADJ_MID")</f>
        <v>#N/A Requesting Data...</v>
      </c>
      <c r="G12" t="str">
        <f>_xll.BDP("91529NFE Muni","SPREAD_AT_ISSUANCE_TO_WORST")</f>
        <v>#N/A Requesting Data...</v>
      </c>
      <c r="H12" t="str">
        <f>_xll.BDP("91529NFE Muni","ISSUE_DT")</f>
        <v>#N/A Requesting Data...</v>
      </c>
      <c r="I12" t="str">
        <f>_xll.BDS("91529NFE Muni","MUNI_PURPOSE_SCHED", "aggregate=y")</f>
        <v>#N/A Review</v>
      </c>
      <c r="J12" t="str">
        <f>_xll.BDP("91529NFE Muni","CPN")</f>
        <v>#N/A Requesting Data...</v>
      </c>
      <c r="K12" t="str">
        <f>_xll.BDP("91529NFE Muni","MATURITY")</f>
        <v>#N/A Requesting Data...</v>
      </c>
      <c r="L12">
        <v>225000</v>
      </c>
      <c r="M12" t="str">
        <f>_xll.BDP("91529NFE Muni","YIELD_ON_ISSUE_DATE")</f>
        <v>#N/A Requesting Data...</v>
      </c>
      <c r="N12" t="str">
        <f>_xll.BDP("91529NFE Muni","YTW_SPREAD_TO_MATURITY_AT_ISSU")</f>
        <v>#N/A Requesting Data...</v>
      </c>
      <c r="O12" t="str">
        <f>_xll.BDP("91529NFE Muni","BVAL_MID_YTM")</f>
        <v>#N/A Requesting Data...</v>
      </c>
      <c r="P12" t="str">
        <f>_xll.BDP("91529NFE Muni","MUNI_TAX_PROV")</f>
        <v>#N/A Requesting Data...</v>
      </c>
      <c r="Q12" t="str">
        <f>_xll.BDP("91529NFE Muni","MUNI_FED_TAX")</f>
        <v>#N/A Requesting Data...</v>
      </c>
      <c r="R12" t="str">
        <f>_xll.BDP("91529NFE Muni","MUNI_MSRB_VOLUME")</f>
        <v>#N/A Requesting Data...</v>
      </c>
      <c r="S12" t="str">
        <f>_xll.BDP("91529NFE Muni","BB_COMPOSITE")</f>
        <v>#N/A Requesting Data...</v>
      </c>
      <c r="T12" t="str">
        <f>_xll.BDP("91529NFE Muni","LQA_LIQUIDITY_SCORE")</f>
        <v>#N/A Requesting Data...</v>
      </c>
    </row>
    <row r="13" spans="1:20" x14ac:dyDescent="0.25">
      <c r="A13" t="str">
        <f>_xll.BDP("463641CD Muni","ID_CUSIP")</f>
        <v>#N/A Requesting Data...</v>
      </c>
      <c r="B13" t="s">
        <v>26</v>
      </c>
      <c r="C13" t="str">
        <f>_xll.BDP("463641CD Muni","INSURANCE_STATUS")</f>
        <v>#N/A Requesting Data...</v>
      </c>
      <c r="D13" t="str">
        <f>_xll.BDP("463641CD Muni","STATE_CODE")</f>
        <v>#N/A Requesting Data...</v>
      </c>
      <c r="E13" t="str">
        <f>_xll.BDP("463641CD Muni","COUNTY_LOCATION_ISSUER")</f>
        <v>#N/A Requesting Data...</v>
      </c>
      <c r="F13" t="str">
        <f>_xll.BDP("463641CD Muni","DUR_ADJ_MID")</f>
        <v>#N/A Requesting Data...</v>
      </c>
      <c r="G13" t="str">
        <f>_xll.BDP("463641CD Muni","SPREAD_AT_ISSUANCE_TO_WORST")</f>
        <v>#N/A Requesting Data...</v>
      </c>
      <c r="H13" t="str">
        <f>_xll.BDP("463641CD Muni","ISSUE_DT")</f>
        <v>#N/A Requesting Data...</v>
      </c>
      <c r="I13" t="str">
        <f>_xll.BDS("463641CD Muni","MUNI_PURPOSE_SCHED", "aggregate=y")</f>
        <v>#N/A Review</v>
      </c>
      <c r="J13" t="str">
        <f>_xll.BDP("463641CD Muni","CPN")</f>
        <v>#N/A Requesting Data...</v>
      </c>
      <c r="K13" t="str">
        <f>_xll.BDP("463641CD Muni","MATURITY")</f>
        <v>#N/A Requesting Data...</v>
      </c>
      <c r="L13">
        <v>4905000</v>
      </c>
      <c r="M13" t="str">
        <f>_xll.BDP("463641CD Muni","YIELD_ON_ISSUE_DATE")</f>
        <v>#N/A Requesting Data...</v>
      </c>
      <c r="N13" t="str">
        <f>_xll.BDP("463641CD Muni","YTW_SPREAD_TO_MATURITY_AT_ISSU")</f>
        <v>#N/A Requesting Data...</v>
      </c>
      <c r="O13" t="str">
        <f>_xll.BDP("463641CD Muni","BVAL_MID_YTM")</f>
        <v>#N/A Requesting Data...</v>
      </c>
      <c r="P13" t="str">
        <f>_xll.BDP("463641CD Muni","MUNI_TAX_PROV")</f>
        <v>#N/A Requesting Data...</v>
      </c>
      <c r="Q13" t="str">
        <f>_xll.BDP("463641CD Muni","MUNI_FED_TAX")</f>
        <v>#N/A Requesting Data...</v>
      </c>
      <c r="R13" t="str">
        <f>_xll.BDP("463641CD Muni","MUNI_MSRB_VOLUME")</f>
        <v>#N/A Requesting Data...</v>
      </c>
      <c r="S13" t="str">
        <f>_xll.BDP("463641CD Muni","BB_COMPOSITE")</f>
        <v>#N/A Requesting Data...</v>
      </c>
      <c r="T13" t="str">
        <f>_xll.BDP("463641CD Muni","LQA_LIQUIDITY_SCORE")</f>
        <v>#N/A Requesting Data...</v>
      </c>
    </row>
    <row r="14" spans="1:20" x14ac:dyDescent="0.25">
      <c r="A14" t="str">
        <f>_xll.BDP("70914PD8 Muni","ID_CUSIP")</f>
        <v>#N/A Requesting Data...</v>
      </c>
      <c r="B14" t="s">
        <v>30</v>
      </c>
      <c r="C14" t="str">
        <f>_xll.BDP("70914PD8 Muni","INSURANCE_STATUS")</f>
        <v>#N/A Requesting Data...</v>
      </c>
      <c r="D14" t="str">
        <f>_xll.BDP("70914PD8 Muni","STATE_CODE")</f>
        <v>#N/A Requesting Data...</v>
      </c>
      <c r="E14" t="str">
        <f>_xll.BDP("70914PD8 Muni","COUNTY_LOCATION_ISSUER")</f>
        <v>#N/A Requesting Data...</v>
      </c>
      <c r="F14" t="str">
        <f>_xll.BDP("70914PD8 Muni","DUR_ADJ_MID")</f>
        <v>#N/A Requesting Data...</v>
      </c>
      <c r="G14" t="str">
        <f>_xll.BDP("70914PD8 Muni","SPREAD_AT_ISSUANCE_TO_WORST")</f>
        <v>#N/A Requesting Data...</v>
      </c>
      <c r="H14" t="str">
        <f>_xll.BDP("70914PD8 Muni","ISSUE_DT")</f>
        <v>#N/A Requesting Data...</v>
      </c>
      <c r="I14" t="str">
        <f>_xll.BDS("70914PD8 Muni","MUNI_PURPOSE_SCHED", "aggregate=y")</f>
        <v>#N/A Review</v>
      </c>
      <c r="J14" t="str">
        <f>_xll.BDP("70914PD8 Muni","CPN")</f>
        <v>#N/A Requesting Data...</v>
      </c>
      <c r="K14" t="str">
        <f>_xll.BDP("70914PD8 Muni","MATURITY")</f>
        <v>#N/A Requesting Data...</v>
      </c>
      <c r="L14">
        <v>51180000</v>
      </c>
      <c r="M14" t="str">
        <f>_xll.BDP("70914PD8 Muni","YIELD_ON_ISSUE_DATE")</f>
        <v>#N/A Requesting Data...</v>
      </c>
      <c r="N14" t="str">
        <f>_xll.BDP("70914PD8 Muni","YTW_SPREAD_TO_MATURITY_AT_ISSU")</f>
        <v>#N/A Requesting Data...</v>
      </c>
      <c r="O14" t="str">
        <f>_xll.BDP("70914PD8 Muni","BVAL_MID_YTM")</f>
        <v>#N/A Requesting Data...</v>
      </c>
      <c r="P14" t="str">
        <f>_xll.BDP("70914PD8 Muni","MUNI_TAX_PROV")</f>
        <v>#N/A Requesting Data...</v>
      </c>
      <c r="Q14" t="str">
        <f>_xll.BDP("70914PD8 Muni","MUNI_FED_TAX")</f>
        <v>#N/A Requesting Data...</v>
      </c>
      <c r="R14" t="str">
        <f>_xll.BDP("70914PD8 Muni","MUNI_MSRB_VOLUME")</f>
        <v>#N/A Requesting Data...</v>
      </c>
      <c r="S14" t="str">
        <f>_xll.BDP("70914PD8 Muni","BB_COMPOSITE")</f>
        <v>#N/A Requesting Data...</v>
      </c>
      <c r="T14" t="str">
        <f>_xll.BDP("70914PD8 Muni","LQA_LIQUIDITY_SCORE")</f>
        <v>#N/A Requesting Data...</v>
      </c>
    </row>
    <row r="15" spans="1:20" x14ac:dyDescent="0.25">
      <c r="A15" t="str">
        <f>_xll.BDP("13067WLT Muni","ID_CUSIP")</f>
        <v>#N/A Requesting Data...</v>
      </c>
      <c r="B15" t="s">
        <v>22</v>
      </c>
      <c r="C15" t="str">
        <f>_xll.BDP("13067WLT Muni","INSURANCE_STATUS")</f>
        <v>#N/A Requesting Data...</v>
      </c>
      <c r="D15" t="str">
        <f>_xll.BDP("13067WLT Muni","STATE_CODE")</f>
        <v>#N/A Requesting Data...</v>
      </c>
      <c r="E15" t="str">
        <f>_xll.BDP("13067WLT Muni","COUNTY_LOCATION_ISSUER")</f>
        <v>#N/A Requesting Data...</v>
      </c>
      <c r="F15" t="str">
        <f>_xll.BDP("13067WLT Muni","DUR_ADJ_MID")</f>
        <v>#N/A Requesting Data...</v>
      </c>
      <c r="G15" t="str">
        <f>_xll.BDP("13067WLT Muni","SPREAD_AT_ISSUANCE_TO_WORST")</f>
        <v>#N/A Requesting Data...</v>
      </c>
      <c r="H15" t="str">
        <f>_xll.BDP("13067WLT Muni","ISSUE_DT")</f>
        <v>#N/A Requesting Data...</v>
      </c>
      <c r="I15" t="str">
        <f>_xll.BDS("13067WLT Muni","MUNI_PURPOSE_SCHED", "aggregate=y")</f>
        <v>#N/A Review</v>
      </c>
      <c r="J15" t="str">
        <f>_xll.BDP("13067WLT Muni","CPN")</f>
        <v>#N/A Requesting Data...</v>
      </c>
      <c r="K15" t="str">
        <f>_xll.BDP("13067WLT Muni","MATURITY")</f>
        <v>#N/A Requesting Data...</v>
      </c>
      <c r="L15">
        <v>20260000</v>
      </c>
      <c r="M15" t="str">
        <f>_xll.BDP("13067WLT Muni","YIELD_ON_ISSUE_DATE")</f>
        <v>#N/A Requesting Data...</v>
      </c>
      <c r="N15" t="str">
        <f>_xll.BDP("13067WLT Muni","YTW_SPREAD_TO_MATURITY_AT_ISSU")</f>
        <v>#N/A Requesting Data...</v>
      </c>
      <c r="O15" t="str">
        <f>_xll.BDP("13067WLT Muni","BVAL_MID_YTM")</f>
        <v>#N/A Requesting Data...</v>
      </c>
      <c r="P15" t="str">
        <f>_xll.BDP("13067WLT Muni","MUNI_TAX_PROV")</f>
        <v>#N/A Requesting Data...</v>
      </c>
      <c r="Q15" t="str">
        <f>_xll.BDP("13067WLT Muni","MUNI_FED_TAX")</f>
        <v>#N/A Requesting Data...</v>
      </c>
      <c r="R15" t="str">
        <f>_xll.BDP("13067WLT Muni","MUNI_MSRB_VOLUME")</f>
        <v>#N/A Requesting Data...</v>
      </c>
      <c r="S15" t="str">
        <f>_xll.BDP("13067WLT Muni","BB_COMPOSITE")</f>
        <v>#N/A Requesting Data...</v>
      </c>
      <c r="T15" t="str">
        <f>_xll.BDP("13067WLT Muni","LQA_LIQUIDITY_SCORE")</f>
        <v>#N/A Requesting Data...</v>
      </c>
    </row>
    <row r="16" spans="1:20" x14ac:dyDescent="0.25">
      <c r="A16" t="str">
        <f>_xll.BDP("6041785J Muni","ID_CUSIP")</f>
        <v>#N/A Requesting Data...</v>
      </c>
      <c r="B16" t="s">
        <v>31</v>
      </c>
      <c r="C16" t="str">
        <f>_xll.BDP("6041785J Muni","INSURANCE_STATUS")</f>
        <v>#N/A Requesting Data...</v>
      </c>
      <c r="D16" t="str">
        <f>_xll.BDP("6041785J Muni","STATE_CODE")</f>
        <v>#N/A Requesting Data...</v>
      </c>
      <c r="E16" t="str">
        <f>_xll.BDP("6041785J Muni","COUNTY_LOCATION_ISSUER")</f>
        <v>#N/A Requesting Data...</v>
      </c>
      <c r="F16" t="str">
        <f>_xll.BDP("6041785J Muni","DUR_ADJ_MID")</f>
        <v>#N/A Requesting Data...</v>
      </c>
      <c r="G16" t="str">
        <f>_xll.BDP("6041785J Muni","SPREAD_AT_ISSUANCE_TO_WORST")</f>
        <v>#N/A Requesting Data...</v>
      </c>
      <c r="H16" t="str">
        <f>_xll.BDP("6041785J Muni","ISSUE_DT")</f>
        <v>#N/A Requesting Data...</v>
      </c>
      <c r="I16" t="str">
        <f>_xll.BDS("6041785J Muni","MUNI_PURPOSE_SCHED", "aggregate=y")</f>
        <v>#N/A Review</v>
      </c>
      <c r="J16" t="str">
        <f>_xll.BDP("6041785J Muni","CPN")</f>
        <v>#N/A Requesting Data...</v>
      </c>
      <c r="K16" t="str">
        <f>_xll.BDP("6041785J Muni","MATURITY")</f>
        <v>#N/A Requesting Data...</v>
      </c>
      <c r="L16">
        <v>625000</v>
      </c>
      <c r="M16" t="str">
        <f>_xll.BDP("6041785J Muni","YIELD_ON_ISSUE_DATE")</f>
        <v>#N/A Requesting Data...</v>
      </c>
      <c r="N16" t="str">
        <f>_xll.BDP("6041785J Muni","YTW_SPREAD_TO_MATURITY_AT_ISSU")</f>
        <v>#N/A Requesting Data...</v>
      </c>
      <c r="O16" t="str">
        <f>_xll.BDP("6041785J Muni","BVAL_MID_YTM")</f>
        <v>#N/A Requesting Data...</v>
      </c>
      <c r="P16" t="str">
        <f>_xll.BDP("6041785J Muni","MUNI_TAX_PROV")</f>
        <v>#N/A Requesting Data...</v>
      </c>
      <c r="Q16" t="str">
        <f>_xll.BDP("6041785J Muni","MUNI_FED_TAX")</f>
        <v>#N/A Requesting Data...</v>
      </c>
      <c r="R16" t="str">
        <f>_xll.BDP("6041785J Muni","MUNI_MSRB_VOLUME")</f>
        <v>#N/A Requesting Data...</v>
      </c>
      <c r="S16" t="str">
        <f>_xll.BDP("6041785J Muni","BB_COMPOSITE")</f>
        <v>#N/A Requesting Data...</v>
      </c>
      <c r="T16" t="str">
        <f>_xll.BDP("6041785J Muni","LQA_LIQUIDITY_SCORE")</f>
        <v>#N/A Requesting Data...</v>
      </c>
    </row>
    <row r="17" spans="1:20" x14ac:dyDescent="0.25">
      <c r="A17" t="str">
        <f>_xll.BDP("67765QDL Muni","ID_CUSIP")</f>
        <v>#N/A Requesting Data...</v>
      </c>
      <c r="B17" t="s">
        <v>32</v>
      </c>
      <c r="C17" t="str">
        <f>_xll.BDP("67765QDL Muni","INSURANCE_STATUS")</f>
        <v>#N/A Requesting Data...</v>
      </c>
      <c r="D17" t="str">
        <f>_xll.BDP("67765QDL Muni","STATE_CODE")</f>
        <v>#N/A Requesting Data...</v>
      </c>
      <c r="E17" t="str">
        <f>_xll.BDP("67765QDL Muni","COUNTY_LOCATION_ISSUER")</f>
        <v>#N/A Requesting Data...</v>
      </c>
      <c r="F17" t="str">
        <f>_xll.BDP("67765QDL Muni","DUR_ADJ_MID")</f>
        <v>#N/A Requesting Data...</v>
      </c>
      <c r="G17" t="str">
        <f>_xll.BDP("67765QDL Muni","SPREAD_AT_ISSUANCE_TO_WORST")</f>
        <v>#N/A Requesting Data...</v>
      </c>
      <c r="H17" t="str">
        <f>_xll.BDP("67765QDL Muni","ISSUE_DT")</f>
        <v>#N/A Requesting Data...</v>
      </c>
      <c r="I17" t="str">
        <f>_xll.BDS("67765QDL Muni","MUNI_PURPOSE_SCHED", "aggregate=y")</f>
        <v>#N/A Review</v>
      </c>
      <c r="J17" t="str">
        <f>_xll.BDP("67765QDL Muni","CPN")</f>
        <v>#N/A Requesting Data...</v>
      </c>
      <c r="K17" t="str">
        <f>_xll.BDP("67765QDL Muni","MATURITY")</f>
        <v>#N/A Requesting Data...</v>
      </c>
      <c r="L17">
        <v>4000000</v>
      </c>
      <c r="M17" t="str">
        <f>_xll.BDP("67765QDL Muni","YIELD_ON_ISSUE_DATE")</f>
        <v>#N/A Requesting Data...</v>
      </c>
      <c r="N17" t="str">
        <f>_xll.BDP("67765QDL Muni","YTW_SPREAD_TO_MATURITY_AT_ISSU")</f>
        <v>#N/A Requesting Data...</v>
      </c>
      <c r="O17" t="str">
        <f>_xll.BDP("67765QDL Muni","BVAL_MID_YTM")</f>
        <v>#N/A Requesting Data...</v>
      </c>
      <c r="P17" t="str">
        <f>_xll.BDP("67765QDL Muni","MUNI_TAX_PROV")</f>
        <v>#N/A Requesting Data...</v>
      </c>
      <c r="Q17" t="str">
        <f>_xll.BDP("67765QDL Muni","MUNI_FED_TAX")</f>
        <v>#N/A Requesting Data...</v>
      </c>
      <c r="R17" t="str">
        <f>_xll.BDP("67765QDL Muni","MUNI_MSRB_VOLUME")</f>
        <v>#N/A Requesting Data...</v>
      </c>
      <c r="S17" t="str">
        <f>_xll.BDP("67765QDL Muni","BB_COMPOSITE")</f>
        <v>#N/A Requesting Data...</v>
      </c>
      <c r="T17" t="str">
        <f>_xll.BDP("67765QDL Muni","LQA_LIQUIDITY_SCORE")</f>
        <v>#N/A Requesting Data...</v>
      </c>
    </row>
    <row r="18" spans="1:20" x14ac:dyDescent="0.25">
      <c r="A18" t="str">
        <f>_xll.BDP("517845AG Muni","ID_CUSIP")</f>
        <v>#N/A Requesting Data...</v>
      </c>
      <c r="B18" t="s">
        <v>33</v>
      </c>
      <c r="C18" t="str">
        <f>_xll.BDP("517845AG Muni","INSURANCE_STATUS")</f>
        <v>#N/A Requesting Data...</v>
      </c>
      <c r="D18" t="str">
        <f>_xll.BDP("517845AG Muni","STATE_CODE")</f>
        <v>#N/A Requesting Data...</v>
      </c>
      <c r="E18" t="str">
        <f>_xll.BDP("517845AG Muni","COUNTY_LOCATION_ISSUER")</f>
        <v>#N/A Requesting Data...</v>
      </c>
      <c r="F18" t="str">
        <f>_xll.BDP("517845AG Muni","DUR_ADJ_MID")</f>
        <v>#N/A Requesting Data...</v>
      </c>
      <c r="G18" t="str">
        <f>_xll.BDP("517845AG Muni","SPREAD_AT_ISSUANCE_TO_WORST")</f>
        <v>#N/A Requesting Data...</v>
      </c>
      <c r="H18" t="str">
        <f>_xll.BDP("517845AG Muni","ISSUE_DT")</f>
        <v>#N/A Requesting Data...</v>
      </c>
      <c r="I18" t="str">
        <f>_xll.BDS("517845AG Muni","MUNI_PURPOSE_SCHED", "aggregate=y")</f>
        <v>#N/A Review</v>
      </c>
      <c r="J18" t="str">
        <f>_xll.BDP("517845AG Muni","CPN")</f>
        <v>#N/A Requesting Data...</v>
      </c>
      <c r="K18" t="str">
        <f>_xll.BDP("517845AG Muni","MATURITY")</f>
        <v>#N/A Requesting Data...</v>
      </c>
      <c r="L18">
        <v>17325000</v>
      </c>
      <c r="M18" t="str">
        <f>_xll.BDP("517845AG Muni","YIELD_ON_ISSUE_DATE")</f>
        <v>#N/A Requesting Data...</v>
      </c>
      <c r="N18" t="str">
        <f>_xll.BDP("517845AG Muni","YTW_SPREAD_TO_MATURITY_AT_ISSU")</f>
        <v>#N/A Requesting Data...</v>
      </c>
      <c r="O18" t="str">
        <f>_xll.BDP("517845AG Muni","BVAL_MID_YTM")</f>
        <v>#N/A Requesting Data...</v>
      </c>
      <c r="P18" t="str">
        <f>_xll.BDP("517845AG Muni","MUNI_TAX_PROV")</f>
        <v>#N/A Requesting Data...</v>
      </c>
      <c r="Q18" t="str">
        <f>_xll.BDP("517845AG Muni","MUNI_FED_TAX")</f>
        <v>#N/A Requesting Data...</v>
      </c>
      <c r="R18" t="str">
        <f>_xll.BDP("517845AG Muni","MUNI_MSRB_VOLUME")</f>
        <v>#N/A Requesting Data...</v>
      </c>
      <c r="S18" t="str">
        <f>_xll.BDP("517845AG Muni","BB_COMPOSITE")</f>
        <v>#N/A Requesting Data...</v>
      </c>
      <c r="T18" t="str">
        <f>_xll.BDP("517845AG Muni","LQA_LIQUIDITY_SCORE")</f>
        <v>#N/A Requesting Data...</v>
      </c>
    </row>
    <row r="19" spans="1:20" x14ac:dyDescent="0.25">
      <c r="A19" t="str">
        <f>_xll.BDP("544525TS Muni","ID_CUSIP")</f>
        <v>#N/A Requesting Data...</v>
      </c>
      <c r="B19" t="s">
        <v>34</v>
      </c>
      <c r="C19" t="str">
        <f>_xll.BDP("544525TS Muni","INSURANCE_STATUS")</f>
        <v>#N/A Requesting Data...</v>
      </c>
      <c r="D19" t="str">
        <f>_xll.BDP("544525TS Muni","STATE_CODE")</f>
        <v>#N/A Requesting Data...</v>
      </c>
      <c r="E19" t="str">
        <f>_xll.BDP("544525TS Muni","COUNTY_LOCATION_ISSUER")</f>
        <v>#N/A Requesting Data...</v>
      </c>
      <c r="F19" t="str">
        <f>_xll.BDP("544525TS Muni","DUR_ADJ_MID")</f>
        <v>#N/A Requesting Data...</v>
      </c>
      <c r="G19" t="str">
        <f>_xll.BDP("544525TS Muni","SPREAD_AT_ISSUANCE_TO_WORST")</f>
        <v>#N/A Requesting Data...</v>
      </c>
      <c r="H19" t="str">
        <f>_xll.BDP("544525TS Muni","ISSUE_DT")</f>
        <v>#N/A Requesting Data...</v>
      </c>
      <c r="I19" t="str">
        <f>_xll.BDS("544525TS Muni","MUNI_PURPOSE_SCHED", "aggregate=y")</f>
        <v>#N/A Review</v>
      </c>
      <c r="J19" t="str">
        <f>_xll.BDP("544525TS Muni","CPN")</f>
        <v>#N/A Requesting Data...</v>
      </c>
      <c r="K19" t="str">
        <f>_xll.BDP("544525TS Muni","MATURITY")</f>
        <v>#N/A Requesting Data...</v>
      </c>
      <c r="L19">
        <v>10985000</v>
      </c>
      <c r="M19" t="str">
        <f>_xll.BDP("544525TS Muni","YIELD_ON_ISSUE_DATE")</f>
        <v>#N/A Requesting Data...</v>
      </c>
      <c r="N19" t="str">
        <f>_xll.BDP("544525TS Muni","YTW_SPREAD_TO_MATURITY_AT_ISSU")</f>
        <v>#N/A Requesting Data...</v>
      </c>
      <c r="O19" t="str">
        <f>_xll.BDP("544525TS Muni","BVAL_MID_YTM")</f>
        <v>#N/A Requesting Data...</v>
      </c>
      <c r="P19" t="str">
        <f>_xll.BDP("544525TS Muni","MUNI_TAX_PROV")</f>
        <v>#N/A Requesting Data...</v>
      </c>
      <c r="Q19" t="str">
        <f>_xll.BDP("544525TS Muni","MUNI_FED_TAX")</f>
        <v>#N/A Requesting Data...</v>
      </c>
      <c r="R19" t="str">
        <f>_xll.BDP("544525TS Muni","MUNI_MSRB_VOLUME")</f>
        <v>#N/A Requesting Data...</v>
      </c>
      <c r="S19" t="str">
        <f>_xll.BDP("544525TS Muni","BB_COMPOSITE")</f>
        <v>#N/A Requesting Data...</v>
      </c>
      <c r="T19" t="str">
        <f>_xll.BDP("544525TS Muni","LQA_LIQUIDITY_SCORE")</f>
        <v>#N/A Requesting Data...</v>
      </c>
    </row>
    <row r="20" spans="1:20" x14ac:dyDescent="0.25">
      <c r="A20" t="str">
        <f>_xll.BDP("13067WLS Muni","ID_CUSIP")</f>
        <v>#N/A Requesting Data...</v>
      </c>
      <c r="B20" t="s">
        <v>22</v>
      </c>
      <c r="C20" t="str">
        <f>_xll.BDP("13067WLS Muni","INSURANCE_STATUS")</f>
        <v>#N/A Requesting Data...</v>
      </c>
      <c r="D20" t="str">
        <f>_xll.BDP("13067WLS Muni","STATE_CODE")</f>
        <v>#N/A Requesting Data...</v>
      </c>
      <c r="E20" t="str">
        <f>_xll.BDP("13067WLS Muni","COUNTY_LOCATION_ISSUER")</f>
        <v>#N/A Requesting Data...</v>
      </c>
      <c r="F20" t="str">
        <f>_xll.BDP("13067WLS Muni","DUR_ADJ_MID")</f>
        <v>#N/A Requesting Data...</v>
      </c>
      <c r="G20" t="str">
        <f>_xll.BDP("13067WLS Muni","SPREAD_AT_ISSUANCE_TO_WORST")</f>
        <v>#N/A Requesting Data...</v>
      </c>
      <c r="H20" t="str">
        <f>_xll.BDP("13067WLS Muni","ISSUE_DT")</f>
        <v>#N/A Requesting Data...</v>
      </c>
      <c r="I20" t="str">
        <f>_xll.BDS("13067WLS Muni","MUNI_PURPOSE_SCHED", "aggregate=y")</f>
        <v>#N/A Review</v>
      </c>
      <c r="J20" t="str">
        <f>_xll.BDP("13067WLS Muni","CPN")</f>
        <v>#N/A Requesting Data...</v>
      </c>
      <c r="K20" t="str">
        <f>_xll.BDP("13067WLS Muni","MATURITY")</f>
        <v>#N/A Requesting Data...</v>
      </c>
      <c r="L20">
        <v>18155000</v>
      </c>
      <c r="M20" t="str">
        <f>_xll.BDP("13067WLS Muni","YIELD_ON_ISSUE_DATE")</f>
        <v>#N/A Requesting Data...</v>
      </c>
      <c r="N20" t="str">
        <f>_xll.BDP("13067WLS Muni","YTW_SPREAD_TO_MATURITY_AT_ISSU")</f>
        <v>#N/A Requesting Data...</v>
      </c>
      <c r="O20" t="str">
        <f>_xll.BDP("13067WLS Muni","BVAL_MID_YTM")</f>
        <v>#N/A Requesting Data...</v>
      </c>
      <c r="P20" t="str">
        <f>_xll.BDP("13067WLS Muni","MUNI_TAX_PROV")</f>
        <v>#N/A Requesting Data...</v>
      </c>
      <c r="Q20" t="str">
        <f>_xll.BDP("13067WLS Muni","MUNI_FED_TAX")</f>
        <v>#N/A Requesting Data...</v>
      </c>
      <c r="R20" t="str">
        <f>_xll.BDP("13067WLS Muni","MUNI_MSRB_VOLUME")</f>
        <v>#N/A Requesting Data...</v>
      </c>
      <c r="S20" t="str">
        <f>_xll.BDP("13067WLS Muni","BB_COMPOSITE")</f>
        <v>#N/A Requesting Data...</v>
      </c>
      <c r="T20" t="str">
        <f>_xll.BDP("13067WLS Muni","LQA_LIQUIDITY_SCORE")</f>
        <v>#N/A Requesting Data...</v>
      </c>
    </row>
    <row r="21" spans="1:20" x14ac:dyDescent="0.25">
      <c r="A21" t="str">
        <f>_xll.BDP("70914PF8 Muni","ID_CUSIP")</f>
        <v>#N/A Requesting Data...</v>
      </c>
      <c r="B21" t="s">
        <v>30</v>
      </c>
      <c r="C21" t="str">
        <f>_xll.BDP("70914PF8 Muni","INSURANCE_STATUS")</f>
        <v>#N/A Requesting Data...</v>
      </c>
      <c r="D21" t="str">
        <f>_xll.BDP("70914PF8 Muni","STATE_CODE")</f>
        <v>#N/A Requesting Data...</v>
      </c>
      <c r="E21" t="str">
        <f>_xll.BDP("70914PF8 Muni","COUNTY_LOCATION_ISSUER")</f>
        <v>#N/A Requesting Data...</v>
      </c>
      <c r="F21" t="str">
        <f>_xll.BDP("70914PF8 Muni","DUR_ADJ_MID")</f>
        <v>#N/A Requesting Data...</v>
      </c>
      <c r="G21" t="str">
        <f>_xll.BDP("70914PF8 Muni","SPREAD_AT_ISSUANCE_TO_WORST")</f>
        <v>#N/A Requesting Data...</v>
      </c>
      <c r="H21" t="str">
        <f>_xll.BDP("70914PF8 Muni","ISSUE_DT")</f>
        <v>#N/A Requesting Data...</v>
      </c>
      <c r="I21" t="str">
        <f>_xll.BDS("70914PF8 Muni","MUNI_PURPOSE_SCHED", "aggregate=y")</f>
        <v>#N/A Review</v>
      </c>
      <c r="J21" t="str">
        <f>_xll.BDP("70914PF8 Muni","CPN")</f>
        <v>#N/A Requesting Data...</v>
      </c>
      <c r="K21" t="str">
        <f>_xll.BDP("70914PF8 Muni","MATURITY")</f>
        <v>#N/A Requesting Data...</v>
      </c>
      <c r="M21" t="str">
        <f>_xll.BDP("70914PF8 Muni","YIELD_ON_ISSUE_DATE")</f>
        <v>#N/A Requesting Data...</v>
      </c>
      <c r="N21" t="str">
        <f>_xll.BDP("70914PF8 Muni","YTW_SPREAD_TO_MATURITY_AT_ISSU")</f>
        <v>#N/A Requesting Data...</v>
      </c>
      <c r="O21" t="str">
        <f>_xll.BDP("70914PF8 Muni","BVAL_MID_YTM")</f>
        <v>#N/A Requesting Data...</v>
      </c>
      <c r="P21" t="str">
        <f>_xll.BDP("70914PF8 Muni","MUNI_TAX_PROV")</f>
        <v>#N/A Requesting Data...</v>
      </c>
      <c r="Q21" t="str">
        <f>_xll.BDP("70914PF8 Muni","MUNI_FED_TAX")</f>
        <v>#N/A Requesting Data...</v>
      </c>
      <c r="R21" t="str">
        <f>_xll.BDP("70914PF8 Muni","MUNI_MSRB_VOLUME")</f>
        <v>#N/A Requesting Data...</v>
      </c>
      <c r="S21" t="str">
        <f>_xll.BDP("70914PF8 Muni","BB_COMPOSITE")</f>
        <v>#N/A Requesting Data...</v>
      </c>
      <c r="T21" t="str">
        <f>_xll.BDP("70914PF8 Muni","LQA_LIQUIDITY_SCORE")</f>
        <v>#N/A Requesting Data...</v>
      </c>
    </row>
    <row r="22" spans="1:20" x14ac:dyDescent="0.25">
      <c r="A22" t="str">
        <f>_xll.BDP("432347MA Muni","ID_CUSIP")</f>
        <v>#N/A Requesting Data...</v>
      </c>
      <c r="B22" t="s">
        <v>35</v>
      </c>
      <c r="C22" t="str">
        <f>_xll.BDP("432347MA Muni","INSURANCE_STATUS")</f>
        <v>#N/A Requesting Data...</v>
      </c>
      <c r="D22" t="str">
        <f>_xll.BDP("432347MA Muni","STATE_CODE")</f>
        <v>#N/A Requesting Data...</v>
      </c>
      <c r="E22" t="str">
        <f>_xll.BDP("432347MA Muni","COUNTY_LOCATION_ISSUER")</f>
        <v>#N/A Requesting Data...</v>
      </c>
      <c r="F22" t="str">
        <f>_xll.BDP("432347MA Muni","DUR_ADJ_MID")</f>
        <v>#N/A Requesting Data...</v>
      </c>
      <c r="G22" t="str">
        <f>_xll.BDP("432347MA Muni","SPREAD_AT_ISSUANCE_TO_WORST")</f>
        <v>#N/A Requesting Data...</v>
      </c>
      <c r="H22" t="str">
        <f>_xll.BDP("432347MA Muni","ISSUE_DT")</f>
        <v>#N/A Requesting Data...</v>
      </c>
      <c r="I22" t="str">
        <f>_xll.BDS("432347MA Muni","MUNI_PURPOSE_SCHED", "aggregate=y")</f>
        <v>#N/A Review</v>
      </c>
      <c r="J22" t="str">
        <f>_xll.BDP("432347MA Muni","CPN")</f>
        <v>#N/A Requesting Data...</v>
      </c>
      <c r="K22" t="str">
        <f>_xll.BDP("432347MA Muni","MATURITY")</f>
        <v>#N/A Requesting Data...</v>
      </c>
      <c r="L22">
        <v>3940000</v>
      </c>
      <c r="M22" t="str">
        <f>_xll.BDP("432347MA Muni","YIELD_ON_ISSUE_DATE")</f>
        <v>#N/A Requesting Data...</v>
      </c>
      <c r="N22" t="str">
        <f>_xll.BDP("432347MA Muni","YTW_SPREAD_TO_MATURITY_AT_ISSU")</f>
        <v>#N/A Requesting Data...</v>
      </c>
      <c r="O22" t="str">
        <f>_xll.BDP("432347MA Muni","BVAL_MID_YTM")</f>
        <v>#N/A Requesting Data...</v>
      </c>
      <c r="P22" t="str">
        <f>_xll.BDP("432347MA Muni","MUNI_TAX_PROV")</f>
        <v>#N/A Requesting Data...</v>
      </c>
      <c r="Q22" t="str">
        <f>_xll.BDP("432347MA Muni","MUNI_FED_TAX")</f>
        <v>#N/A Requesting Data...</v>
      </c>
      <c r="R22" t="str">
        <f>_xll.BDP("432347MA Muni","MUNI_MSRB_VOLUME")</f>
        <v>#N/A Requesting Data...</v>
      </c>
      <c r="S22" t="str">
        <f>_xll.BDP("432347MA Muni","BB_COMPOSITE")</f>
        <v>#N/A Requesting Data...</v>
      </c>
      <c r="T22" t="str">
        <f>_xll.BDP("432347MA Muni","LQA_LIQUIDITY_SCORE")</f>
        <v>#N/A Requesting Data...</v>
      </c>
    </row>
    <row r="23" spans="1:20" x14ac:dyDescent="0.25">
      <c r="A23" t="str">
        <f>_xll.BDP("45204EJG Muni","ID_CUSIP")</f>
        <v>#N/A Requesting Data...</v>
      </c>
      <c r="B23" t="s">
        <v>36</v>
      </c>
      <c r="C23" t="str">
        <f>_xll.BDP("45204EJG Muni","INSURANCE_STATUS")</f>
        <v>#N/A Requesting Data...</v>
      </c>
      <c r="D23" t="str">
        <f>_xll.BDP("45204EJG Muni","STATE_CODE")</f>
        <v>#N/A Requesting Data...</v>
      </c>
      <c r="E23" t="str">
        <f>_xll.BDP("45204EJG Muni","COUNTY_LOCATION_ISSUER")</f>
        <v>#N/A Requesting Data...</v>
      </c>
      <c r="F23" t="str">
        <f>_xll.BDP("45204EJG Muni","DUR_ADJ_MID")</f>
        <v>#N/A Requesting Data...</v>
      </c>
      <c r="G23" t="str">
        <f>_xll.BDP("45204EJG Muni","SPREAD_AT_ISSUANCE_TO_WORST")</f>
        <v>#N/A Requesting Data...</v>
      </c>
      <c r="H23" t="str">
        <f>_xll.BDP("45204EJG Muni","ISSUE_DT")</f>
        <v>#N/A Requesting Data...</v>
      </c>
      <c r="I23" t="str">
        <f>_xll.BDS("45204EJG Muni","MUNI_PURPOSE_SCHED", "aggregate=y")</f>
        <v>#N/A Review</v>
      </c>
      <c r="J23" t="str">
        <f>_xll.BDP("45204EJG Muni","CPN")</f>
        <v>#N/A Requesting Data...</v>
      </c>
      <c r="K23" t="str">
        <f>_xll.BDP("45204EJG Muni","MATURITY")</f>
        <v>#N/A Requesting Data...</v>
      </c>
      <c r="L23">
        <v>16200000</v>
      </c>
      <c r="M23" t="str">
        <f>_xll.BDP("45204EJG Muni","YIELD_ON_ISSUE_DATE")</f>
        <v>#N/A Requesting Data...</v>
      </c>
      <c r="N23" t="str">
        <f>_xll.BDP("45204EJG Muni","YTW_SPREAD_TO_MATURITY_AT_ISSU")</f>
        <v>#N/A Requesting Data...</v>
      </c>
      <c r="O23" t="str">
        <f>_xll.BDP("45204EJG Muni","BVAL_MID_YTM")</f>
        <v>#N/A Requesting Data...</v>
      </c>
      <c r="P23" t="str">
        <f>_xll.BDP("45204EJG Muni","MUNI_TAX_PROV")</f>
        <v>#N/A Requesting Data...</v>
      </c>
      <c r="Q23" t="str">
        <f>_xll.BDP("45204EJG Muni","MUNI_FED_TAX")</f>
        <v>#N/A Requesting Data...</v>
      </c>
      <c r="R23" t="str">
        <f>_xll.BDP("45204EJG Muni","MUNI_MSRB_VOLUME")</f>
        <v>#N/A Requesting Data...</v>
      </c>
      <c r="S23" t="str">
        <f>_xll.BDP("45204EJG Muni","BB_COMPOSITE")</f>
        <v>#N/A Requesting Data...</v>
      </c>
      <c r="T23" t="str">
        <f>_xll.BDP("45204EJG Muni","LQA_LIQUIDITY_SCORE")</f>
        <v>#N/A Requesting Data...</v>
      </c>
    </row>
    <row r="24" spans="1:20" x14ac:dyDescent="0.25">
      <c r="A24" t="str">
        <f>_xll.BDP("13067WLQ Muni","ID_CUSIP")</f>
        <v>#N/A Requesting Data...</v>
      </c>
      <c r="B24" t="s">
        <v>22</v>
      </c>
      <c r="C24" t="str">
        <f>_xll.BDP("13067WLQ Muni","INSURANCE_STATUS")</f>
        <v>#N/A Requesting Data...</v>
      </c>
      <c r="D24" t="str">
        <f>_xll.BDP("13067WLQ Muni","STATE_CODE")</f>
        <v>#N/A Requesting Data...</v>
      </c>
      <c r="E24" t="str">
        <f>_xll.BDP("13067WLQ Muni","COUNTY_LOCATION_ISSUER")</f>
        <v>#N/A Requesting Data...</v>
      </c>
      <c r="F24" t="str">
        <f>_xll.BDP("13067WLQ Muni","DUR_ADJ_MID")</f>
        <v>#N/A Requesting Data...</v>
      </c>
      <c r="G24" t="str">
        <f>_xll.BDP("13067WLQ Muni","SPREAD_AT_ISSUANCE_TO_WORST")</f>
        <v>#N/A Requesting Data...</v>
      </c>
      <c r="H24" t="str">
        <f>_xll.BDP("13067WLQ Muni","ISSUE_DT")</f>
        <v>#N/A Requesting Data...</v>
      </c>
      <c r="I24" t="str">
        <f>_xll.BDS("13067WLQ Muni","MUNI_PURPOSE_SCHED", "aggregate=y")</f>
        <v>#N/A Review</v>
      </c>
      <c r="J24" t="str">
        <f>_xll.BDP("13067WLQ Muni","CPN")</f>
        <v>#N/A Requesting Data...</v>
      </c>
      <c r="K24" t="str">
        <f>_xll.BDP("13067WLQ Muni","MATURITY")</f>
        <v>#N/A Requesting Data...</v>
      </c>
      <c r="L24">
        <v>14825000</v>
      </c>
      <c r="M24" t="str">
        <f>_xll.BDP("13067WLQ Muni","YIELD_ON_ISSUE_DATE")</f>
        <v>#N/A Requesting Data...</v>
      </c>
      <c r="N24" t="str">
        <f>_xll.BDP("13067WLQ Muni","YTW_SPREAD_TO_MATURITY_AT_ISSU")</f>
        <v>#N/A Requesting Data...</v>
      </c>
      <c r="O24" t="str">
        <f>_xll.BDP("13067WLQ Muni","BVAL_MID_YTM")</f>
        <v>#N/A Requesting Data...</v>
      </c>
      <c r="P24" t="str">
        <f>_xll.BDP("13067WLQ Muni","MUNI_TAX_PROV")</f>
        <v>#N/A Requesting Data...</v>
      </c>
      <c r="Q24" t="str">
        <f>_xll.BDP("13067WLQ Muni","MUNI_FED_TAX")</f>
        <v>#N/A Requesting Data...</v>
      </c>
      <c r="R24" t="str">
        <f>_xll.BDP("13067WLQ Muni","MUNI_MSRB_VOLUME")</f>
        <v>#N/A Requesting Data...</v>
      </c>
      <c r="S24" t="str">
        <f>_xll.BDP("13067WLQ Muni","BB_COMPOSITE")</f>
        <v>#N/A Requesting Data...</v>
      </c>
      <c r="T24" t="str">
        <f>_xll.BDP("13067WLQ Muni","LQA_LIQUIDITY_SCORE")</f>
        <v>#N/A Requesting Data...</v>
      </c>
    </row>
    <row r="25" spans="1:20" x14ac:dyDescent="0.25">
      <c r="A25" t="str">
        <f>_xll.BDP("70360PEE Muni","ID_CUSIP")</f>
        <v>#N/A Requesting Data...</v>
      </c>
      <c r="B25" t="s">
        <v>37</v>
      </c>
      <c r="C25" t="str">
        <f>_xll.BDP("70360PEE Muni","INSURANCE_STATUS")</f>
        <v>#N/A Requesting Data...</v>
      </c>
      <c r="D25" t="str">
        <f>_xll.BDP("70360PEE Muni","STATE_CODE")</f>
        <v>#N/A Requesting Data...</v>
      </c>
      <c r="E25" t="str">
        <f>_xll.BDP("70360PEE Muni","COUNTY_LOCATION_ISSUER")</f>
        <v>#N/A Requesting Data...</v>
      </c>
      <c r="F25" t="str">
        <f>_xll.BDP("70360PEE Muni","DUR_ADJ_MID")</f>
        <v>#N/A Requesting Data...</v>
      </c>
      <c r="G25" t="str">
        <f>_xll.BDP("70360PEE Muni","SPREAD_AT_ISSUANCE_TO_WORST")</f>
        <v>#N/A Requesting Data...</v>
      </c>
      <c r="H25" t="str">
        <f>_xll.BDP("70360PEE Muni","ISSUE_DT")</f>
        <v>#N/A Requesting Data...</v>
      </c>
      <c r="I25" t="str">
        <f>_xll.BDS("70360PEE Muni","MUNI_PURPOSE_SCHED", "aggregate=y")</f>
        <v>#N/A Review</v>
      </c>
      <c r="J25" t="str">
        <f>_xll.BDP("70360PEE Muni","CPN")</f>
        <v>#N/A Requesting Data...</v>
      </c>
      <c r="K25" t="str">
        <f>_xll.BDP("70360PEE Muni","MATURITY")</f>
        <v>#N/A Requesting Data...</v>
      </c>
      <c r="L25">
        <v>3700000</v>
      </c>
      <c r="M25" t="str">
        <f>_xll.BDP("70360PEE Muni","YIELD_ON_ISSUE_DATE")</f>
        <v>#N/A Requesting Data...</v>
      </c>
      <c r="N25" t="str">
        <f>_xll.BDP("70360PEE Muni","YTW_SPREAD_TO_MATURITY_AT_ISSU")</f>
        <v>#N/A Requesting Data...</v>
      </c>
      <c r="O25" t="str">
        <f>_xll.BDP("70360PEE Muni","BVAL_MID_YTM")</f>
        <v>#N/A Requesting Data...</v>
      </c>
      <c r="P25" t="str">
        <f>_xll.BDP("70360PEE Muni","MUNI_TAX_PROV")</f>
        <v>#N/A Requesting Data...</v>
      </c>
      <c r="Q25" t="str">
        <f>_xll.BDP("70360PEE Muni","MUNI_FED_TAX")</f>
        <v>#N/A Requesting Data...</v>
      </c>
      <c r="R25" t="str">
        <f>_xll.BDP("70360PEE Muni","MUNI_MSRB_VOLUME")</f>
        <v>#N/A Requesting Data...</v>
      </c>
      <c r="S25" t="str">
        <f>_xll.BDP("70360PEE Muni","BB_COMPOSITE")</f>
        <v>#N/A Requesting Data...</v>
      </c>
      <c r="T25" t="str">
        <f>_xll.BDP("70360PEE Muni","LQA_LIQUIDITY_SCORE")</f>
        <v>#N/A Requesting Data...</v>
      </c>
    </row>
    <row r="26" spans="1:20" x14ac:dyDescent="0.25">
      <c r="A26" t="str">
        <f>_xll.BDP("64985HVP Muni","ID_CUSIP")</f>
        <v>#N/A Requesting Data...</v>
      </c>
      <c r="B26" t="s">
        <v>38</v>
      </c>
      <c r="C26" t="str">
        <f>_xll.BDP("64985HVP Muni","INSURANCE_STATUS")</f>
        <v>#N/A Requesting Data...</v>
      </c>
      <c r="D26" t="str">
        <f>_xll.BDP("64985HVP Muni","STATE_CODE")</f>
        <v>#N/A Requesting Data...</v>
      </c>
      <c r="E26" t="str">
        <f>_xll.BDP("64985HVP Muni","COUNTY_LOCATION_ISSUER")</f>
        <v>#N/A Requesting Data...</v>
      </c>
      <c r="F26" t="str">
        <f>_xll.BDP("64985HVP Muni","DUR_ADJ_MID")</f>
        <v>#N/A Requesting Data...</v>
      </c>
      <c r="G26" t="str">
        <f>_xll.BDP("64985HVP Muni","SPREAD_AT_ISSUANCE_TO_WORST")</f>
        <v>#N/A Requesting Data...</v>
      </c>
      <c r="H26" t="str">
        <f>_xll.BDP("64985HVP Muni","ISSUE_DT")</f>
        <v>#N/A Requesting Data...</v>
      </c>
      <c r="I26" t="str">
        <f>_xll.BDS("64985HVP Muni","MUNI_PURPOSE_SCHED", "aggregate=y")</f>
        <v>#N/A Review</v>
      </c>
      <c r="J26" t="str">
        <f>_xll.BDP("64985HVP Muni","CPN")</f>
        <v>#N/A Requesting Data...</v>
      </c>
      <c r="K26" t="str">
        <f>_xll.BDP("64985HVP Muni","MATURITY")</f>
        <v>#N/A Requesting Data...</v>
      </c>
      <c r="L26">
        <v>1905000</v>
      </c>
      <c r="M26" t="str">
        <f>_xll.BDP("64985HVP Muni","YIELD_ON_ISSUE_DATE")</f>
        <v>#N/A Requesting Data...</v>
      </c>
      <c r="N26" t="str">
        <f>_xll.BDP("64985HVP Muni","YTW_SPREAD_TO_MATURITY_AT_ISSU")</f>
        <v>#N/A Requesting Data...</v>
      </c>
      <c r="O26" t="str">
        <f>_xll.BDP("64985HVP Muni","BVAL_MID_YTM")</f>
        <v>#N/A Requesting Data...</v>
      </c>
      <c r="P26" t="str">
        <f>_xll.BDP("64985HVP Muni","MUNI_TAX_PROV")</f>
        <v>#N/A Requesting Data...</v>
      </c>
      <c r="Q26" t="str">
        <f>_xll.BDP("64985HVP Muni","MUNI_FED_TAX")</f>
        <v>#N/A Requesting Data...</v>
      </c>
      <c r="R26" t="str">
        <f>_xll.BDP("64985HVP Muni","MUNI_MSRB_VOLUME")</f>
        <v>#N/A Requesting Data...</v>
      </c>
      <c r="S26" t="str">
        <f>_xll.BDP("64985HVP Muni","BB_COMPOSITE")</f>
        <v>#N/A Requesting Data...</v>
      </c>
      <c r="T26" t="str">
        <f>_xll.BDP("64985HVP Muni","LQA_LIQUIDITY_SCORE")</f>
        <v>#N/A Requesting Data...</v>
      </c>
    </row>
    <row r="27" spans="1:20" x14ac:dyDescent="0.25">
      <c r="A27" t="str">
        <f>_xll.BDP("37530AAG Muni","ID_CUSIP")</f>
        <v>#N/A Requesting Data...</v>
      </c>
      <c r="B27" t="s">
        <v>39</v>
      </c>
      <c r="C27" t="str">
        <f>_xll.BDP("37530AAG Muni","INSURANCE_STATUS")</f>
        <v>#N/A Requesting Data...</v>
      </c>
      <c r="D27" t="str">
        <f>_xll.BDP("37530AAG Muni","STATE_CODE")</f>
        <v>#N/A Requesting Data...</v>
      </c>
      <c r="E27" t="str">
        <f>_xll.BDP("37530AAG Muni","COUNTY_LOCATION_ISSUER")</f>
        <v>#N/A Requesting Data...</v>
      </c>
      <c r="F27" t="str">
        <f>_xll.BDP("37530AAG Muni","DUR_ADJ_MID")</f>
        <v>#N/A Requesting Data...</v>
      </c>
      <c r="G27" t="str">
        <f>_xll.BDP("37530AAG Muni","SPREAD_AT_ISSUANCE_TO_WORST")</f>
        <v>#N/A Requesting Data...</v>
      </c>
      <c r="H27" t="str">
        <f>_xll.BDP("37530AAG Muni","ISSUE_DT")</f>
        <v>#N/A Requesting Data...</v>
      </c>
      <c r="I27" t="str">
        <f>_xll.BDS("37530AAG Muni","MUNI_PURPOSE_SCHED", "aggregate=y")</f>
        <v>#N/A Review</v>
      </c>
      <c r="J27" t="str">
        <f>_xll.BDP("37530AAG Muni","CPN")</f>
        <v>#N/A Requesting Data...</v>
      </c>
      <c r="K27" t="str">
        <f>_xll.BDP("37530AAG Muni","MATURITY")</f>
        <v>#N/A Requesting Data...</v>
      </c>
      <c r="L27">
        <v>6445000</v>
      </c>
      <c r="M27" t="str">
        <f>_xll.BDP("37530AAG Muni","YIELD_ON_ISSUE_DATE")</f>
        <v>#N/A Requesting Data...</v>
      </c>
      <c r="N27" t="str">
        <f>_xll.BDP("37530AAG Muni","YTW_SPREAD_TO_MATURITY_AT_ISSU")</f>
        <v>#N/A Requesting Data...</v>
      </c>
      <c r="O27" t="str">
        <f>_xll.BDP("37530AAG Muni","BVAL_MID_YTM")</f>
        <v>#N/A Requesting Data...</v>
      </c>
      <c r="P27" t="str">
        <f>_xll.BDP("37530AAG Muni","MUNI_TAX_PROV")</f>
        <v>#N/A Requesting Data...</v>
      </c>
      <c r="Q27" t="str">
        <f>_xll.BDP("37530AAG Muni","MUNI_FED_TAX")</f>
        <v>#N/A Requesting Data...</v>
      </c>
      <c r="R27" t="str">
        <f>_xll.BDP("37530AAG Muni","MUNI_MSRB_VOLUME")</f>
        <v>#N/A Requesting Data...</v>
      </c>
      <c r="S27" t="str">
        <f>_xll.BDP("37530AAG Muni","BB_COMPOSITE")</f>
        <v>#N/A Requesting Data...</v>
      </c>
      <c r="T27" t="str">
        <f>_xll.BDP("37530AAG Muni","LQA_LIQUIDITY_SCORE")</f>
        <v>#N/A Requesting Data...</v>
      </c>
    </row>
    <row r="28" spans="1:20" x14ac:dyDescent="0.25">
      <c r="A28" t="str">
        <f>_xll.BDP("13034AJL Muni","ID_CUSIP")</f>
        <v>#N/A Requesting Data...</v>
      </c>
      <c r="B28" t="s">
        <v>40</v>
      </c>
      <c r="C28" t="str">
        <f>_xll.BDP("13034AJL Muni","INSURANCE_STATUS")</f>
        <v>#N/A Requesting Data...</v>
      </c>
      <c r="D28" t="str">
        <f>_xll.BDP("13034AJL Muni","STATE_CODE")</f>
        <v>#N/A Requesting Data...</v>
      </c>
      <c r="E28" t="str">
        <f>_xll.BDP("13034AJL Muni","COUNTY_LOCATION_ISSUER")</f>
        <v>#N/A Requesting Data...</v>
      </c>
      <c r="F28" t="str">
        <f>_xll.BDP("13034AJL Muni","DUR_ADJ_MID")</f>
        <v>#N/A Requesting Data...</v>
      </c>
      <c r="G28" t="str">
        <f>_xll.BDP("13034AJL Muni","SPREAD_AT_ISSUANCE_TO_WORST")</f>
        <v>#N/A Requesting Data...</v>
      </c>
      <c r="H28" t="str">
        <f>_xll.BDP("13034AJL Muni","ISSUE_DT")</f>
        <v>#N/A Requesting Data...</v>
      </c>
      <c r="I28" t="str">
        <f>_xll.BDS("13034AJL Muni","MUNI_PURPOSE_SCHED", "aggregate=y")</f>
        <v>#N/A Review</v>
      </c>
      <c r="J28" t="str">
        <f>_xll.BDP("13034AJL Muni","CPN")</f>
        <v>#N/A Requesting Data...</v>
      </c>
      <c r="K28" t="str">
        <f>_xll.BDP("13034AJL Muni","MATURITY")</f>
        <v>#N/A Requesting Data...</v>
      </c>
      <c r="L28">
        <v>8940000</v>
      </c>
      <c r="M28" t="str">
        <f>_xll.BDP("13034AJL Muni","YIELD_ON_ISSUE_DATE")</f>
        <v>#N/A Requesting Data...</v>
      </c>
      <c r="N28" t="str">
        <f>_xll.BDP("13034AJL Muni","YTW_SPREAD_TO_MATURITY_AT_ISSU")</f>
        <v>#N/A Requesting Data...</v>
      </c>
      <c r="O28" t="str">
        <f>_xll.BDP("13034AJL Muni","BVAL_MID_YTM")</f>
        <v>#N/A Requesting Data...</v>
      </c>
      <c r="P28" t="str">
        <f>_xll.BDP("13034AJL Muni","MUNI_TAX_PROV")</f>
        <v>#N/A Requesting Data...</v>
      </c>
      <c r="Q28" t="str">
        <f>_xll.BDP("13034AJL Muni","MUNI_FED_TAX")</f>
        <v>#N/A Requesting Data...</v>
      </c>
      <c r="R28" t="str">
        <f>_xll.BDP("13034AJL Muni","MUNI_MSRB_VOLUME")</f>
        <v>#N/A Requesting Data...</v>
      </c>
      <c r="S28" t="str">
        <f>_xll.BDP("13034AJL Muni","BB_COMPOSITE")</f>
        <v>#N/A Requesting Data...</v>
      </c>
      <c r="T28" t="str">
        <f>_xll.BDP("13034AJL Muni","LQA_LIQUIDITY_SCORE")</f>
        <v>#N/A Requesting Data...</v>
      </c>
    </row>
    <row r="29" spans="1:20" x14ac:dyDescent="0.25">
      <c r="A29" t="str">
        <f>_xll.BDP("45204EKB Muni","ID_CUSIP")</f>
        <v>#N/A Requesting Data...</v>
      </c>
      <c r="B29" t="s">
        <v>36</v>
      </c>
      <c r="C29" t="str">
        <f>_xll.BDP("45204EKB Muni","INSURANCE_STATUS")</f>
        <v>#N/A Requesting Data...</v>
      </c>
      <c r="D29" t="str">
        <f>_xll.BDP("45204EKB Muni","STATE_CODE")</f>
        <v>#N/A Requesting Data...</v>
      </c>
      <c r="E29" t="str">
        <f>_xll.BDP("45204EKB Muni","COUNTY_LOCATION_ISSUER")</f>
        <v>#N/A Requesting Data...</v>
      </c>
      <c r="F29" t="str">
        <f>_xll.BDP("45204EKB Muni","DUR_ADJ_MID")</f>
        <v>#N/A Requesting Data...</v>
      </c>
      <c r="G29" t="str">
        <f>_xll.BDP("45204EKB Muni","SPREAD_AT_ISSUANCE_TO_WORST")</f>
        <v>#N/A Requesting Data...</v>
      </c>
      <c r="H29" t="str">
        <f>_xll.BDP("45204EKB Muni","ISSUE_DT")</f>
        <v>#N/A Requesting Data...</v>
      </c>
      <c r="I29" t="str">
        <f>_xll.BDS("45204EKB Muni","MUNI_PURPOSE_SCHED", "aggregate=y")</f>
        <v>#N/A Review</v>
      </c>
      <c r="J29" t="str">
        <f>_xll.BDP("45204EKB Muni","CPN")</f>
        <v>#N/A Requesting Data...</v>
      </c>
      <c r="K29" t="str">
        <f>_xll.BDP("45204EKB Muni","MATURITY")</f>
        <v>#N/A Requesting Data...</v>
      </c>
      <c r="L29">
        <v>16485000</v>
      </c>
      <c r="M29" t="str">
        <f>_xll.BDP("45204EKB Muni","YIELD_ON_ISSUE_DATE")</f>
        <v>#N/A Requesting Data...</v>
      </c>
      <c r="N29" t="str">
        <f>_xll.BDP("45204EKB Muni","YTW_SPREAD_TO_MATURITY_AT_ISSU")</f>
        <v>#N/A Requesting Data...</v>
      </c>
      <c r="O29" t="str">
        <f>_xll.BDP("45204EKB Muni","BVAL_MID_YTM")</f>
        <v>#N/A Requesting Data...</v>
      </c>
      <c r="P29" t="str">
        <f>_xll.BDP("45204EKB Muni","MUNI_TAX_PROV")</f>
        <v>#N/A Requesting Data...</v>
      </c>
      <c r="Q29" t="str">
        <f>_xll.BDP("45204EKB Muni","MUNI_FED_TAX")</f>
        <v>#N/A Requesting Data...</v>
      </c>
      <c r="R29" t="str">
        <f>_xll.BDP("45204EKB Muni","MUNI_MSRB_VOLUME")</f>
        <v>#N/A Requesting Data...</v>
      </c>
      <c r="S29" t="str">
        <f>_xll.BDP("45204EKB Muni","BB_COMPOSITE")</f>
        <v>#N/A Requesting Data...</v>
      </c>
      <c r="T29" t="str">
        <f>_xll.BDP("45204EKB Muni","LQA_LIQUIDITY_SCORE")</f>
        <v>#N/A Requesting Data...</v>
      </c>
    </row>
    <row r="30" spans="1:20" x14ac:dyDescent="0.25">
      <c r="A30" t="str">
        <f>_xll.BDP("558614GK Muni","ID_CUSIP")</f>
        <v>#N/A Requesting Data...</v>
      </c>
      <c r="B30" t="s">
        <v>41</v>
      </c>
      <c r="C30" t="str">
        <f>_xll.BDP("558614GK Muni","INSURANCE_STATUS")</f>
        <v>#N/A Requesting Data...</v>
      </c>
      <c r="D30" t="str">
        <f>_xll.BDP("558614GK Muni","STATE_CODE")</f>
        <v>#N/A Requesting Data...</v>
      </c>
      <c r="E30" t="str">
        <f>_xll.BDP("558614GK Muni","COUNTY_LOCATION_ISSUER")</f>
        <v>#N/A Requesting Data...</v>
      </c>
      <c r="F30" t="str">
        <f>_xll.BDP("558614GK Muni","DUR_ADJ_MID")</f>
        <v>#N/A Requesting Data...</v>
      </c>
      <c r="G30" t="str">
        <f>_xll.BDP("558614GK Muni","SPREAD_AT_ISSUANCE_TO_WORST")</f>
        <v>#N/A Requesting Data...</v>
      </c>
      <c r="H30" t="str">
        <f>_xll.BDP("558614GK Muni","ISSUE_DT")</f>
        <v>#N/A Requesting Data...</v>
      </c>
      <c r="I30" t="str">
        <f>_xll.BDS("558614GK Muni","MUNI_PURPOSE_SCHED", "aggregate=y")</f>
        <v>#N/A Review</v>
      </c>
      <c r="J30" t="str">
        <f>_xll.BDP("558614GK Muni","CPN")</f>
        <v>#N/A Requesting Data...</v>
      </c>
      <c r="K30" t="str">
        <f>_xll.BDP("558614GK Muni","MATURITY")</f>
        <v>#N/A Requesting Data...</v>
      </c>
      <c r="L30">
        <v>2555000</v>
      </c>
      <c r="M30" t="str">
        <f>_xll.BDP("558614GK Muni","YIELD_ON_ISSUE_DATE")</f>
        <v>#N/A Requesting Data...</v>
      </c>
      <c r="N30" t="str">
        <f>_xll.BDP("558614GK Muni","YTW_SPREAD_TO_MATURITY_AT_ISSU")</f>
        <v>#N/A Requesting Data...</v>
      </c>
      <c r="O30" t="str">
        <f>_xll.BDP("558614GK Muni","BVAL_MID_YTM")</f>
        <v>#N/A Requesting Data...</v>
      </c>
      <c r="P30" t="str">
        <f>_xll.BDP("558614GK Muni","MUNI_TAX_PROV")</f>
        <v>#N/A Requesting Data...</v>
      </c>
      <c r="Q30" t="str">
        <f>_xll.BDP("558614GK Muni","MUNI_FED_TAX")</f>
        <v>#N/A Requesting Data...</v>
      </c>
      <c r="R30" t="str">
        <f>_xll.BDP("558614GK Muni","MUNI_MSRB_VOLUME")</f>
        <v>#N/A Requesting Data...</v>
      </c>
      <c r="S30" t="str">
        <f>_xll.BDP("558614GK Muni","BB_COMPOSITE")</f>
        <v>#N/A Requesting Data...</v>
      </c>
      <c r="T30" t="str">
        <f>_xll.BDP("558614GK Muni","LQA_LIQUIDITY_SCORE")</f>
        <v>#N/A Requesting Data...</v>
      </c>
    </row>
    <row r="31" spans="1:20" x14ac:dyDescent="0.25">
      <c r="A31" t="str">
        <f>_xll.BDP("45506DZM Muni","ID_CUSIP")</f>
        <v>#N/A Requesting Data...</v>
      </c>
      <c r="B31" t="s">
        <v>42</v>
      </c>
      <c r="C31" t="str">
        <f>_xll.BDP("45506DZM Muni","INSURANCE_STATUS")</f>
        <v>#N/A Requesting Data...</v>
      </c>
      <c r="D31" t="str">
        <f>_xll.BDP("45506DZM Muni","STATE_CODE")</f>
        <v>#N/A Requesting Data...</v>
      </c>
      <c r="E31" t="str">
        <f>_xll.BDP("45506DZM Muni","COUNTY_LOCATION_ISSUER")</f>
        <v>#N/A Requesting Data...</v>
      </c>
      <c r="F31" t="str">
        <f>_xll.BDP("45506DZM Muni","DUR_ADJ_MID")</f>
        <v>#N/A Requesting Data...</v>
      </c>
      <c r="G31" t="str">
        <f>_xll.BDP("45506DZM Muni","SPREAD_AT_ISSUANCE_TO_WORST")</f>
        <v>#N/A Requesting Data...</v>
      </c>
      <c r="H31" t="str">
        <f>_xll.BDP("45506DZM Muni","ISSUE_DT")</f>
        <v>#N/A Requesting Data...</v>
      </c>
      <c r="I31" t="str">
        <f>_xll.BDS("45506DZM Muni","MUNI_PURPOSE_SCHED", "aggregate=y")</f>
        <v>#N/A Review</v>
      </c>
      <c r="J31" t="str">
        <f>_xll.BDP("45506DZM Muni","CPN")</f>
        <v>#N/A Requesting Data...</v>
      </c>
      <c r="K31" t="str">
        <f>_xll.BDP("45506DZM Muni","MATURITY")</f>
        <v>#N/A Requesting Data...</v>
      </c>
      <c r="L31">
        <v>1205000</v>
      </c>
      <c r="M31" t="str">
        <f>_xll.BDP("45506DZM Muni","YIELD_ON_ISSUE_DATE")</f>
        <v>#N/A Requesting Data...</v>
      </c>
      <c r="N31" t="str">
        <f>_xll.BDP("45506DZM Muni","YTW_SPREAD_TO_MATURITY_AT_ISSU")</f>
        <v>#N/A Requesting Data...</v>
      </c>
      <c r="O31" t="str">
        <f>_xll.BDP("45506DZM Muni","BVAL_MID_YTM")</f>
        <v>#N/A Requesting Data...</v>
      </c>
      <c r="P31" t="str">
        <f>_xll.BDP("45506DZM Muni","MUNI_TAX_PROV")</f>
        <v>#N/A Requesting Data...</v>
      </c>
      <c r="Q31" t="str">
        <f>_xll.BDP("45506DZM Muni","MUNI_FED_TAX")</f>
        <v>#N/A Requesting Data...</v>
      </c>
      <c r="R31" t="str">
        <f>_xll.BDP("45506DZM Muni","MUNI_MSRB_VOLUME")</f>
        <v>#N/A Requesting Data...</v>
      </c>
      <c r="S31" t="str">
        <f>_xll.BDP("45506DZM Muni","BB_COMPOSITE")</f>
        <v>#N/A Requesting Data...</v>
      </c>
      <c r="T31" t="str">
        <f>_xll.BDP("45506DZM Muni","LQA_LIQUIDITY_SCORE")</f>
        <v>#N/A Requesting Data...</v>
      </c>
    </row>
    <row r="32" spans="1:20" x14ac:dyDescent="0.25">
      <c r="A32" t="str">
        <f>_xll.BDP("70914PE2 Muni","ID_CUSIP")</f>
        <v>#N/A Requesting Data...</v>
      </c>
      <c r="B32" t="s">
        <v>30</v>
      </c>
      <c r="C32" t="str">
        <f>_xll.BDP("70914PE2 Muni","INSURANCE_STATUS")</f>
        <v>#N/A Requesting Data...</v>
      </c>
      <c r="D32" t="str">
        <f>_xll.BDP("70914PE2 Muni","STATE_CODE")</f>
        <v>#N/A Requesting Data...</v>
      </c>
      <c r="E32" t="str">
        <f>_xll.BDP("70914PE2 Muni","COUNTY_LOCATION_ISSUER")</f>
        <v>#N/A Requesting Data...</v>
      </c>
      <c r="F32" t="str">
        <f>_xll.BDP("70914PE2 Muni","DUR_ADJ_MID")</f>
        <v>#N/A Requesting Data...</v>
      </c>
      <c r="G32" t="str">
        <f>_xll.BDP("70914PE2 Muni","SPREAD_AT_ISSUANCE_TO_WORST")</f>
        <v>#N/A Requesting Data...</v>
      </c>
      <c r="H32" t="str">
        <f>_xll.BDP("70914PE2 Muni","ISSUE_DT")</f>
        <v>#N/A Requesting Data...</v>
      </c>
      <c r="I32" t="str">
        <f>_xll.BDS("70914PE2 Muni","MUNI_PURPOSE_SCHED", "aggregate=y")</f>
        <v>#N/A Review</v>
      </c>
      <c r="J32" t="str">
        <f>_xll.BDP("70914PE2 Muni","CPN")</f>
        <v>#N/A Requesting Data...</v>
      </c>
      <c r="K32" t="str">
        <f>_xll.BDP("70914PE2 Muni","MATURITY")</f>
        <v>#N/A Requesting Data...</v>
      </c>
      <c r="L32">
        <v>56560000</v>
      </c>
      <c r="M32" t="str">
        <f>_xll.BDP("70914PE2 Muni","YIELD_ON_ISSUE_DATE")</f>
        <v>#N/A Requesting Data...</v>
      </c>
      <c r="N32" t="str">
        <f>_xll.BDP("70914PE2 Muni","YTW_SPREAD_TO_MATURITY_AT_ISSU")</f>
        <v>#N/A Requesting Data...</v>
      </c>
      <c r="O32" t="str">
        <f>_xll.BDP("70914PE2 Muni","BVAL_MID_YTM")</f>
        <v>#N/A Requesting Data...</v>
      </c>
      <c r="P32" t="str">
        <f>_xll.BDP("70914PE2 Muni","MUNI_TAX_PROV")</f>
        <v>#N/A Requesting Data...</v>
      </c>
      <c r="Q32" t="str">
        <f>_xll.BDP("70914PE2 Muni","MUNI_FED_TAX")</f>
        <v>#N/A Requesting Data...</v>
      </c>
      <c r="R32" t="str">
        <f>_xll.BDP("70914PE2 Muni","MUNI_MSRB_VOLUME")</f>
        <v>#N/A Requesting Data...</v>
      </c>
      <c r="S32" t="str">
        <f>_xll.BDP("70914PE2 Muni","BB_COMPOSITE")</f>
        <v>#N/A Requesting Data...</v>
      </c>
      <c r="T32" t="str">
        <f>_xll.BDP("70914PE2 Muni","LQA_LIQUIDITY_SCORE")</f>
        <v>#N/A Requesting Data...</v>
      </c>
    </row>
    <row r="33" spans="1:20" x14ac:dyDescent="0.25">
      <c r="A33" t="str">
        <f>_xll.BDP("270424BZ Muni","ID_CUSIP")</f>
        <v>#N/A Requesting Data...</v>
      </c>
      <c r="B33" t="s">
        <v>43</v>
      </c>
      <c r="C33" t="str">
        <f>_xll.BDP("270424BZ Muni","INSURANCE_STATUS")</f>
        <v>#N/A Requesting Data...</v>
      </c>
      <c r="D33" t="str">
        <f>_xll.BDP("270424BZ Muni","STATE_CODE")</f>
        <v>#N/A Requesting Data...</v>
      </c>
      <c r="E33" t="str">
        <f>_xll.BDP("270424BZ Muni","COUNTY_LOCATION_ISSUER")</f>
        <v>#N/A Requesting Data...</v>
      </c>
      <c r="F33" t="str">
        <f>_xll.BDP("270424BZ Muni","DUR_ADJ_MID")</f>
        <v>#N/A Requesting Data...</v>
      </c>
      <c r="G33" t="str">
        <f>_xll.BDP("270424BZ Muni","SPREAD_AT_ISSUANCE_TO_WORST")</f>
        <v>#N/A Requesting Data...</v>
      </c>
      <c r="H33" t="str">
        <f>_xll.BDP("270424BZ Muni","ISSUE_DT")</f>
        <v>#N/A Requesting Data...</v>
      </c>
      <c r="I33" t="str">
        <f>_xll.BDS("270424BZ Muni","MUNI_PURPOSE_SCHED", "aggregate=y")</f>
        <v>#N/A Review</v>
      </c>
      <c r="J33" t="str">
        <f>_xll.BDP("270424BZ Muni","CPN")</f>
        <v>#N/A Requesting Data...</v>
      </c>
      <c r="K33" t="str">
        <f>_xll.BDP("270424BZ Muni","MATURITY")</f>
        <v>#N/A Requesting Data...</v>
      </c>
      <c r="L33">
        <v>1695000</v>
      </c>
      <c r="M33" t="str">
        <f>_xll.BDP("270424BZ Muni","YIELD_ON_ISSUE_DATE")</f>
        <v>#N/A Requesting Data...</v>
      </c>
      <c r="N33" t="str">
        <f>_xll.BDP("270424BZ Muni","YTW_SPREAD_TO_MATURITY_AT_ISSU")</f>
        <v>#N/A Requesting Data...</v>
      </c>
      <c r="O33" t="str">
        <f>_xll.BDP("270424BZ Muni","BVAL_MID_YTM")</f>
        <v>#N/A Requesting Data...</v>
      </c>
      <c r="P33" t="str">
        <f>_xll.BDP("270424BZ Muni","MUNI_TAX_PROV")</f>
        <v>#N/A Requesting Data...</v>
      </c>
      <c r="Q33" t="str">
        <f>_xll.BDP("270424BZ Muni","MUNI_FED_TAX")</f>
        <v>#N/A Requesting Data...</v>
      </c>
      <c r="R33" t="str">
        <f>_xll.BDP("270424BZ Muni","MUNI_MSRB_VOLUME")</f>
        <v>#N/A Requesting Data...</v>
      </c>
      <c r="S33" t="str">
        <f>_xll.BDP("270424BZ Muni","BB_COMPOSITE")</f>
        <v>#N/A Requesting Data...</v>
      </c>
      <c r="T33" t="str">
        <f>_xll.BDP("270424BZ Muni","LQA_LIQUIDITY_SCORE")</f>
        <v>#N/A Requesting Data...</v>
      </c>
    </row>
    <row r="34" spans="1:20" x14ac:dyDescent="0.25">
      <c r="A34" t="str">
        <f>_xll.BDP("916544BZ Muni","ID_CUSIP")</f>
        <v>#N/A Requesting Data...</v>
      </c>
      <c r="B34" t="s">
        <v>44</v>
      </c>
      <c r="C34" t="str">
        <f>_xll.BDP("916544BZ Muni","INSURANCE_STATUS")</f>
        <v>#N/A Requesting Data...</v>
      </c>
      <c r="D34" t="str">
        <f>_xll.BDP("916544BZ Muni","STATE_CODE")</f>
        <v>#N/A Requesting Data...</v>
      </c>
      <c r="E34" t="str">
        <f>_xll.BDP("916544BZ Muni","COUNTY_LOCATION_ISSUER")</f>
        <v>#N/A Requesting Data...</v>
      </c>
      <c r="F34" t="str">
        <f>_xll.BDP("916544BZ Muni","DUR_ADJ_MID")</f>
        <v>#N/A Requesting Data...</v>
      </c>
      <c r="G34" t="str">
        <f>_xll.BDP("916544BZ Muni","SPREAD_AT_ISSUANCE_TO_WORST")</f>
        <v>#N/A Requesting Data...</v>
      </c>
      <c r="H34" t="str">
        <f>_xll.BDP("916544BZ Muni","ISSUE_DT")</f>
        <v>#N/A Requesting Data...</v>
      </c>
      <c r="I34" t="str">
        <f>_xll.BDS("916544BZ Muni","MUNI_PURPOSE_SCHED", "aggregate=y")</f>
        <v>#N/A Review</v>
      </c>
      <c r="J34" t="str">
        <f>_xll.BDP("916544BZ Muni","CPN")</f>
        <v>#N/A Requesting Data...</v>
      </c>
      <c r="K34" t="str">
        <f>_xll.BDP("916544BZ Muni","MATURITY")</f>
        <v>#N/A Requesting Data...</v>
      </c>
      <c r="L34">
        <v>2730000</v>
      </c>
      <c r="M34" t="str">
        <f>_xll.BDP("916544BZ Muni","YIELD_ON_ISSUE_DATE")</f>
        <v>#N/A Requesting Data...</v>
      </c>
      <c r="N34" t="str">
        <f>_xll.BDP("916544BZ Muni","YTW_SPREAD_TO_MATURITY_AT_ISSU")</f>
        <v>#N/A Requesting Data...</v>
      </c>
      <c r="O34" t="str">
        <f>_xll.BDP("916544BZ Muni","BVAL_MID_YTM")</f>
        <v>#N/A Requesting Data...</v>
      </c>
      <c r="P34" t="str">
        <f>_xll.BDP("916544BZ Muni","MUNI_TAX_PROV")</f>
        <v>#N/A Requesting Data...</v>
      </c>
      <c r="Q34" t="str">
        <f>_xll.BDP("916544BZ Muni","MUNI_FED_TAX")</f>
        <v>#N/A Requesting Data...</v>
      </c>
      <c r="R34" t="str">
        <f>_xll.BDP("916544BZ Muni","MUNI_MSRB_VOLUME")</f>
        <v>#N/A Requesting Data...</v>
      </c>
      <c r="S34" t="str">
        <f>_xll.BDP("916544BZ Muni","BB_COMPOSITE")</f>
        <v>#N/A Requesting Data...</v>
      </c>
      <c r="T34" t="str">
        <f>_xll.BDP("916544BZ Muni","LQA_LIQUIDITY_SCORE")</f>
        <v>#N/A Requesting Data...</v>
      </c>
    </row>
    <row r="35" spans="1:20" x14ac:dyDescent="0.25">
      <c r="A35" t="str">
        <f>_xll.BDP("67919PMZ Muni","ID_CUSIP")</f>
        <v>#N/A Requesting Data...</v>
      </c>
      <c r="B35" t="s">
        <v>45</v>
      </c>
      <c r="C35" t="str">
        <f>_xll.BDP("67919PMZ Muni","INSURANCE_STATUS")</f>
        <v>#N/A Requesting Data...</v>
      </c>
      <c r="D35" t="str">
        <f>_xll.BDP("67919PMZ Muni","STATE_CODE")</f>
        <v>#N/A Requesting Data...</v>
      </c>
      <c r="E35" t="str">
        <f>_xll.BDP("67919PMZ Muni","COUNTY_LOCATION_ISSUER")</f>
        <v>#N/A Requesting Data...</v>
      </c>
      <c r="F35" t="str">
        <f>_xll.BDP("67919PMZ Muni","DUR_ADJ_MID")</f>
        <v>#N/A Requesting Data...</v>
      </c>
      <c r="G35" t="str">
        <f>_xll.BDP("67919PMZ Muni","SPREAD_AT_ISSUANCE_TO_WORST")</f>
        <v>#N/A Requesting Data...</v>
      </c>
      <c r="H35" t="str">
        <f>_xll.BDP("67919PMZ Muni","ISSUE_DT")</f>
        <v>#N/A Requesting Data...</v>
      </c>
      <c r="I35" t="str">
        <f>_xll.BDS("67919PMZ Muni","MUNI_PURPOSE_SCHED", "aggregate=y")</f>
        <v>#N/A Review</v>
      </c>
      <c r="J35" t="str">
        <f>_xll.BDP("67919PMZ Muni","CPN")</f>
        <v>#N/A Requesting Data...</v>
      </c>
      <c r="K35" t="str">
        <f>_xll.BDP("67919PMZ Muni","MATURITY")</f>
        <v>#N/A Requesting Data...</v>
      </c>
      <c r="L35">
        <v>5235000</v>
      </c>
      <c r="M35" t="str">
        <f>_xll.BDP("67919PMZ Muni","YIELD_ON_ISSUE_DATE")</f>
        <v>#N/A Requesting Data...</v>
      </c>
      <c r="N35" t="str">
        <f>_xll.BDP("67919PMZ Muni","YTW_SPREAD_TO_MATURITY_AT_ISSU")</f>
        <v>#N/A Requesting Data...</v>
      </c>
      <c r="O35" t="str">
        <f>_xll.BDP("67919PMZ Muni","BVAL_MID_YTM")</f>
        <v>#N/A Requesting Data...</v>
      </c>
      <c r="P35" t="str">
        <f>_xll.BDP("67919PMZ Muni","MUNI_TAX_PROV")</f>
        <v>#N/A Requesting Data...</v>
      </c>
      <c r="Q35" t="str">
        <f>_xll.BDP("67919PMZ Muni","MUNI_FED_TAX")</f>
        <v>#N/A Requesting Data...</v>
      </c>
      <c r="R35" t="str">
        <f>_xll.BDP("67919PMZ Muni","MUNI_MSRB_VOLUME")</f>
        <v>#N/A Requesting Data...</v>
      </c>
      <c r="S35" t="str">
        <f>_xll.BDP("67919PMZ Muni","BB_COMPOSITE")</f>
        <v>#N/A Requesting Data...</v>
      </c>
      <c r="T35" t="str">
        <f>_xll.BDP("67919PMZ Muni","LQA_LIQUIDITY_SCORE")</f>
        <v>#N/A Requesting Data...</v>
      </c>
    </row>
    <row r="36" spans="1:20" x14ac:dyDescent="0.25">
      <c r="A36" t="str">
        <f>_xll.BDP("45204EJE Muni","ID_CUSIP")</f>
        <v>#N/A Requesting Data...</v>
      </c>
      <c r="B36" t="s">
        <v>36</v>
      </c>
      <c r="C36" t="str">
        <f>_xll.BDP("45204EJE Muni","INSURANCE_STATUS")</f>
        <v>#N/A Requesting Data...</v>
      </c>
      <c r="D36" t="str">
        <f>_xll.BDP("45204EJE Muni","STATE_CODE")</f>
        <v>#N/A Requesting Data...</v>
      </c>
      <c r="E36" t="str">
        <f>_xll.BDP("45204EJE Muni","COUNTY_LOCATION_ISSUER")</f>
        <v>#N/A Requesting Data...</v>
      </c>
      <c r="F36" t="str">
        <f>_xll.BDP("45204EJE Muni","DUR_ADJ_MID")</f>
        <v>#N/A Requesting Data...</v>
      </c>
      <c r="G36" t="str">
        <f>_xll.BDP("45204EJE Muni","SPREAD_AT_ISSUANCE_TO_WORST")</f>
        <v>#N/A Requesting Data...</v>
      </c>
      <c r="H36" t="str">
        <f>_xll.BDP("45204EJE Muni","ISSUE_DT")</f>
        <v>#N/A Requesting Data...</v>
      </c>
      <c r="I36" t="str">
        <f>_xll.BDS("45204EJE Muni","MUNI_PURPOSE_SCHED", "aggregate=y")</f>
        <v>#N/A Review</v>
      </c>
      <c r="J36" t="str">
        <f>_xll.BDP("45204EJE Muni","CPN")</f>
        <v>#N/A Requesting Data...</v>
      </c>
      <c r="K36" t="str">
        <f>_xll.BDP("45204EJE Muni","MATURITY")</f>
        <v>#N/A Requesting Data...</v>
      </c>
      <c r="L36">
        <v>15950000</v>
      </c>
      <c r="M36" t="str">
        <f>_xll.BDP("45204EJE Muni","YIELD_ON_ISSUE_DATE")</f>
        <v>#N/A Requesting Data...</v>
      </c>
      <c r="N36" t="str">
        <f>_xll.BDP("45204EJE Muni","YTW_SPREAD_TO_MATURITY_AT_ISSU")</f>
        <v>#N/A Requesting Data...</v>
      </c>
      <c r="O36" t="str">
        <f>_xll.BDP("45204EJE Muni","BVAL_MID_YTM")</f>
        <v>#N/A Requesting Data...</v>
      </c>
      <c r="P36" t="str">
        <f>_xll.BDP("45204EJE Muni","MUNI_TAX_PROV")</f>
        <v>#N/A Requesting Data...</v>
      </c>
      <c r="Q36" t="str">
        <f>_xll.BDP("45204EJE Muni","MUNI_FED_TAX")</f>
        <v>#N/A Requesting Data...</v>
      </c>
      <c r="R36" t="str">
        <f>_xll.BDP("45204EJE Muni","MUNI_MSRB_VOLUME")</f>
        <v>#N/A Requesting Data...</v>
      </c>
      <c r="S36" t="str">
        <f>_xll.BDP("45204EJE Muni","BB_COMPOSITE")</f>
        <v>#N/A Requesting Data...</v>
      </c>
      <c r="T36" t="str">
        <f>_xll.BDP("45204EJE Muni","LQA_LIQUIDITY_SCORE")</f>
        <v>#N/A Requesting Data...</v>
      </c>
    </row>
    <row r="37" spans="1:20" x14ac:dyDescent="0.25">
      <c r="A37" t="str">
        <f>_xll.BDP("64986DBF Muni","ID_CUSIP")</f>
        <v>#N/A Requesting Data...</v>
      </c>
      <c r="B37" t="s">
        <v>38</v>
      </c>
      <c r="C37" t="str">
        <f>_xll.BDP("64986DBF Muni","INSURANCE_STATUS")</f>
        <v>#N/A Requesting Data...</v>
      </c>
      <c r="D37" t="str">
        <f>_xll.BDP("64986DBF Muni","STATE_CODE")</f>
        <v>#N/A Requesting Data...</v>
      </c>
      <c r="E37" t="str">
        <f>_xll.BDP("64986DBF Muni","COUNTY_LOCATION_ISSUER")</f>
        <v>#N/A Requesting Data...</v>
      </c>
      <c r="F37" t="str">
        <f>_xll.BDP("64986DBF Muni","DUR_ADJ_MID")</f>
        <v>#N/A Requesting Data...</v>
      </c>
      <c r="G37" t="str">
        <f>_xll.BDP("64986DBF Muni","SPREAD_AT_ISSUANCE_TO_WORST")</f>
        <v>#N/A Requesting Data...</v>
      </c>
      <c r="H37" t="str">
        <f>_xll.BDP("64986DBF Muni","ISSUE_DT")</f>
        <v>#N/A Requesting Data...</v>
      </c>
      <c r="I37" t="str">
        <f>_xll.BDS("64986DBF Muni","MUNI_PURPOSE_SCHED", "aggregate=y")</f>
        <v>#N/A Review</v>
      </c>
      <c r="J37" t="str">
        <f>_xll.BDP("64986DBF Muni","CPN")</f>
        <v>#N/A Requesting Data...</v>
      </c>
      <c r="K37" t="str">
        <f>_xll.BDP("64986DBF Muni","MATURITY")</f>
        <v>#N/A Requesting Data...</v>
      </c>
      <c r="L37">
        <v>9480000</v>
      </c>
      <c r="M37" t="str">
        <f>_xll.BDP("64986DBF Muni","YIELD_ON_ISSUE_DATE")</f>
        <v>#N/A Requesting Data...</v>
      </c>
      <c r="N37" t="str">
        <f>_xll.BDP("64986DBF Muni","YTW_SPREAD_TO_MATURITY_AT_ISSU")</f>
        <v>#N/A Requesting Data...</v>
      </c>
      <c r="O37" t="str">
        <f>_xll.BDP("64986DBF Muni","BVAL_MID_YTM")</f>
        <v>#N/A Requesting Data...</v>
      </c>
      <c r="P37" t="str">
        <f>_xll.BDP("64986DBF Muni","MUNI_TAX_PROV")</f>
        <v>#N/A Requesting Data...</v>
      </c>
      <c r="Q37" t="str">
        <f>_xll.BDP("64986DBF Muni","MUNI_FED_TAX")</f>
        <v>#N/A Requesting Data...</v>
      </c>
      <c r="R37" t="str">
        <f>_xll.BDP("64986DBF Muni","MUNI_MSRB_VOLUME")</f>
        <v>#N/A Requesting Data...</v>
      </c>
      <c r="S37" t="str">
        <f>_xll.BDP("64986DBF Muni","BB_COMPOSITE")</f>
        <v>#N/A Requesting Data...</v>
      </c>
      <c r="T37" t="str">
        <f>_xll.BDP("64986DBF Muni","LQA_LIQUIDITY_SCORE")</f>
        <v>#N/A Requesting Data...</v>
      </c>
    </row>
    <row r="38" spans="1:20" x14ac:dyDescent="0.25">
      <c r="A38" t="str">
        <f>_xll.BDP("034033DH Muni","ID_CUSIP")</f>
        <v>#N/A Requesting Data...</v>
      </c>
      <c r="B38" t="s">
        <v>46</v>
      </c>
      <c r="C38" t="str">
        <f>_xll.BDP("034033DH Muni","INSURANCE_STATUS")</f>
        <v>#N/A Requesting Data...</v>
      </c>
      <c r="D38" t="str">
        <f>_xll.BDP("034033DH Muni","STATE_CODE")</f>
        <v>#N/A Requesting Data...</v>
      </c>
      <c r="E38" t="str">
        <f>_xll.BDP("034033DH Muni","COUNTY_LOCATION_ISSUER")</f>
        <v>#N/A Requesting Data...</v>
      </c>
      <c r="F38" t="str">
        <f>_xll.BDP("034033DH Muni","DUR_ADJ_MID")</f>
        <v>#N/A Requesting Data...</v>
      </c>
      <c r="G38" t="str">
        <f>_xll.BDP("034033DH Muni","SPREAD_AT_ISSUANCE_TO_WORST")</f>
        <v>#N/A Requesting Data...</v>
      </c>
      <c r="H38" t="str">
        <f>_xll.BDP("034033DH Muni","ISSUE_DT")</f>
        <v>#N/A Requesting Data...</v>
      </c>
      <c r="I38" t="str">
        <f>_xll.BDS("034033DH Muni","MUNI_PURPOSE_SCHED", "aggregate=y")</f>
        <v>#N/A Review</v>
      </c>
      <c r="J38" t="str">
        <f>_xll.BDP("034033DH Muni","CPN")</f>
        <v>#N/A Requesting Data...</v>
      </c>
      <c r="K38" t="str">
        <f>_xll.BDP("034033DH Muni","MATURITY")</f>
        <v>#N/A Requesting Data...</v>
      </c>
      <c r="L38">
        <v>710000</v>
      </c>
      <c r="M38" t="str">
        <f>_xll.BDP("034033DH Muni","YIELD_ON_ISSUE_DATE")</f>
        <v>#N/A Requesting Data...</v>
      </c>
      <c r="N38" t="str">
        <f>_xll.BDP("034033DH Muni","YTW_SPREAD_TO_MATURITY_AT_ISSU")</f>
        <v>#N/A Requesting Data...</v>
      </c>
      <c r="O38" t="str">
        <f>_xll.BDP("034033DH Muni","BVAL_MID_YTM")</f>
        <v>#N/A Requesting Data...</v>
      </c>
      <c r="P38" t="str">
        <f>_xll.BDP("034033DH Muni","MUNI_TAX_PROV")</f>
        <v>#N/A Requesting Data...</v>
      </c>
      <c r="Q38" t="str">
        <f>_xll.BDP("034033DH Muni","MUNI_FED_TAX")</f>
        <v>#N/A Requesting Data...</v>
      </c>
      <c r="R38" t="str">
        <f>_xll.BDP("034033DH Muni","MUNI_MSRB_VOLUME")</f>
        <v>#N/A Requesting Data...</v>
      </c>
      <c r="S38" t="str">
        <f>_xll.BDP("034033DH Muni","BB_COMPOSITE")</f>
        <v>#N/A Requesting Data...</v>
      </c>
      <c r="T38" t="str">
        <f>_xll.BDP("034033DH Muni","LQA_LIQUIDITY_SCORE")</f>
        <v>#N/A Requesting Data...</v>
      </c>
    </row>
    <row r="39" spans="1:20" x14ac:dyDescent="0.25">
      <c r="A39" t="str">
        <f>_xll.BDP("20772J3S Muni","ID_CUSIP")</f>
        <v>#N/A Requesting Data...</v>
      </c>
      <c r="B39" t="s">
        <v>47</v>
      </c>
      <c r="C39" t="str">
        <f>_xll.BDP("20772J3S Muni","INSURANCE_STATUS")</f>
        <v>#N/A Requesting Data...</v>
      </c>
      <c r="D39" t="str">
        <f>_xll.BDP("20772J3S Muni","STATE_CODE")</f>
        <v>#N/A Requesting Data...</v>
      </c>
      <c r="E39" t="str">
        <f>_xll.BDP("20772J3S Muni","COUNTY_LOCATION_ISSUER")</f>
        <v>#N/A Requesting Data...</v>
      </c>
      <c r="F39" t="str">
        <f>_xll.BDP("20772J3S Muni","DUR_ADJ_MID")</f>
        <v>#N/A Requesting Data...</v>
      </c>
      <c r="G39" t="str">
        <f>_xll.BDP("20772J3S Muni","SPREAD_AT_ISSUANCE_TO_WORST")</f>
        <v>#N/A Requesting Data...</v>
      </c>
      <c r="H39" t="str">
        <f>_xll.BDP("20772J3S Muni","ISSUE_DT")</f>
        <v>#N/A Requesting Data...</v>
      </c>
      <c r="I39" t="str">
        <f>_xll.BDS("20772J3S Muni","MUNI_PURPOSE_SCHED", "aggregate=y")</f>
        <v>#N/A Review</v>
      </c>
      <c r="J39" t="str">
        <f>_xll.BDP("20772J3S Muni","CPN")</f>
        <v>#N/A Requesting Data...</v>
      </c>
      <c r="K39" t="str">
        <f>_xll.BDP("20772J3S Muni","MATURITY")</f>
        <v>#N/A Requesting Data...</v>
      </c>
      <c r="L39">
        <v>30770000</v>
      </c>
      <c r="M39" t="str">
        <f>_xll.BDP("20772J3S Muni","YIELD_ON_ISSUE_DATE")</f>
        <v>#N/A Requesting Data...</v>
      </c>
      <c r="N39" t="str">
        <f>_xll.BDP("20772J3S Muni","YTW_SPREAD_TO_MATURITY_AT_ISSU")</f>
        <v>#N/A Requesting Data...</v>
      </c>
      <c r="O39" t="str">
        <f>_xll.BDP("20772J3S Muni","BVAL_MID_YTM")</f>
        <v>#N/A Requesting Data...</v>
      </c>
      <c r="P39" t="str">
        <f>_xll.BDP("20772J3S Muni","MUNI_TAX_PROV")</f>
        <v>#N/A Requesting Data...</v>
      </c>
      <c r="Q39" t="str">
        <f>_xll.BDP("20772J3S Muni","MUNI_FED_TAX")</f>
        <v>#N/A Requesting Data...</v>
      </c>
      <c r="R39" t="str">
        <f>_xll.BDP("20772J3S Muni","MUNI_MSRB_VOLUME")</f>
        <v>#N/A Requesting Data...</v>
      </c>
      <c r="S39" t="str">
        <f>_xll.BDP("20772J3S Muni","BB_COMPOSITE")</f>
        <v>#N/A Requesting Data...</v>
      </c>
      <c r="T39" t="str">
        <f>_xll.BDP("20772J3S Muni","LQA_LIQUIDITY_SCORE")</f>
        <v>#N/A Requesting Data...</v>
      </c>
    </row>
    <row r="40" spans="1:20" x14ac:dyDescent="0.25">
      <c r="A40" t="str">
        <f>_xll.BDP("37530AAK Muni","ID_CUSIP")</f>
        <v>#N/A Requesting Data...</v>
      </c>
      <c r="B40" t="s">
        <v>39</v>
      </c>
      <c r="C40" t="str">
        <f>_xll.BDP("37530AAK Muni","INSURANCE_STATUS")</f>
        <v>#N/A Requesting Data...</v>
      </c>
      <c r="D40" t="str">
        <f>_xll.BDP("37530AAK Muni","STATE_CODE")</f>
        <v>#N/A Requesting Data...</v>
      </c>
      <c r="E40" t="str">
        <f>_xll.BDP("37530AAK Muni","COUNTY_LOCATION_ISSUER")</f>
        <v>#N/A Requesting Data...</v>
      </c>
      <c r="F40" t="str">
        <f>_xll.BDP("37530AAK Muni","DUR_ADJ_MID")</f>
        <v>#N/A Requesting Data...</v>
      </c>
      <c r="G40" t="str">
        <f>_xll.BDP("37530AAK Muni","SPREAD_AT_ISSUANCE_TO_WORST")</f>
        <v>#N/A Requesting Data...</v>
      </c>
      <c r="H40" t="str">
        <f>_xll.BDP("37530AAK Muni","ISSUE_DT")</f>
        <v>#N/A Requesting Data...</v>
      </c>
      <c r="I40" t="str">
        <f>_xll.BDS("37530AAK Muni","MUNI_PURPOSE_SCHED", "aggregate=y")</f>
        <v>#N/A Review</v>
      </c>
      <c r="J40" t="str">
        <f>_xll.BDP("37530AAK Muni","CPN")</f>
        <v>#N/A Requesting Data...</v>
      </c>
      <c r="K40" t="str">
        <f>_xll.BDP("37530AAK Muni","MATURITY")</f>
        <v>#N/A Requesting Data...</v>
      </c>
      <c r="L40">
        <v>7455000</v>
      </c>
      <c r="M40" t="str">
        <f>_xll.BDP("37530AAK Muni","YIELD_ON_ISSUE_DATE")</f>
        <v>#N/A Requesting Data...</v>
      </c>
      <c r="N40" t="str">
        <f>_xll.BDP("37530AAK Muni","YTW_SPREAD_TO_MATURITY_AT_ISSU")</f>
        <v>#N/A Requesting Data...</v>
      </c>
      <c r="O40" t="str">
        <f>_xll.BDP("37530AAK Muni","BVAL_MID_YTM")</f>
        <v>#N/A Requesting Data...</v>
      </c>
      <c r="P40" t="str">
        <f>_xll.BDP("37530AAK Muni","MUNI_TAX_PROV")</f>
        <v>#N/A Requesting Data...</v>
      </c>
      <c r="Q40" t="str">
        <f>_xll.BDP("37530AAK Muni","MUNI_FED_TAX")</f>
        <v>#N/A Requesting Data...</v>
      </c>
      <c r="R40" t="str">
        <f>_xll.BDP("37530AAK Muni","MUNI_MSRB_VOLUME")</f>
        <v>#N/A Requesting Data...</v>
      </c>
      <c r="S40" t="str">
        <f>_xll.BDP("37530AAK Muni","BB_COMPOSITE")</f>
        <v>#N/A Requesting Data...</v>
      </c>
      <c r="T40" t="str">
        <f>_xll.BDP("37530AAK Muni","LQA_LIQUIDITY_SCORE")</f>
        <v>#N/A Requesting Data...</v>
      </c>
    </row>
    <row r="41" spans="1:20" x14ac:dyDescent="0.25">
      <c r="A41" t="str">
        <f>_xll.BDP("70914PD9 Muni","ID_CUSIP")</f>
        <v>#N/A Requesting Data...</v>
      </c>
      <c r="B41" t="s">
        <v>30</v>
      </c>
      <c r="C41" t="str">
        <f>_xll.BDP("70914PD9 Muni","INSURANCE_STATUS")</f>
        <v>#N/A Requesting Data...</v>
      </c>
      <c r="D41" t="str">
        <f>_xll.BDP("70914PD9 Muni","STATE_CODE")</f>
        <v>#N/A Requesting Data...</v>
      </c>
      <c r="E41" t="str">
        <f>_xll.BDP("70914PD9 Muni","COUNTY_LOCATION_ISSUER")</f>
        <v>#N/A Requesting Data...</v>
      </c>
      <c r="F41" t="str">
        <f>_xll.BDP("70914PD9 Muni","DUR_ADJ_MID")</f>
        <v>#N/A Requesting Data...</v>
      </c>
      <c r="G41" t="str">
        <f>_xll.BDP("70914PD9 Muni","SPREAD_AT_ISSUANCE_TO_WORST")</f>
        <v>#N/A Requesting Data...</v>
      </c>
      <c r="H41" t="str">
        <f>_xll.BDP("70914PD9 Muni","ISSUE_DT")</f>
        <v>#N/A Requesting Data...</v>
      </c>
      <c r="I41" t="str">
        <f>_xll.BDS("70914PD9 Muni","MUNI_PURPOSE_SCHED", "aggregate=y")</f>
        <v>#N/A Review</v>
      </c>
      <c r="J41" t="str">
        <f>_xll.BDP("70914PD9 Muni","CPN")</f>
        <v>#N/A Requesting Data...</v>
      </c>
      <c r="K41" t="str">
        <f>_xll.BDP("70914PD9 Muni","MATURITY")</f>
        <v>#N/A Requesting Data...</v>
      </c>
      <c r="L41">
        <v>53805000</v>
      </c>
      <c r="M41" t="str">
        <f>_xll.BDP("70914PD9 Muni","YIELD_ON_ISSUE_DATE")</f>
        <v>#N/A Requesting Data...</v>
      </c>
      <c r="N41" t="str">
        <f>_xll.BDP("70914PD9 Muni","YTW_SPREAD_TO_MATURITY_AT_ISSU")</f>
        <v>#N/A Requesting Data...</v>
      </c>
      <c r="O41" t="str">
        <f>_xll.BDP("70914PD9 Muni","BVAL_MID_YTM")</f>
        <v>#N/A Requesting Data...</v>
      </c>
      <c r="P41" t="str">
        <f>_xll.BDP("70914PD9 Muni","MUNI_TAX_PROV")</f>
        <v>#N/A Requesting Data...</v>
      </c>
      <c r="Q41" t="str">
        <f>_xll.BDP("70914PD9 Muni","MUNI_FED_TAX")</f>
        <v>#N/A Requesting Data...</v>
      </c>
      <c r="R41" t="str">
        <f>_xll.BDP("70914PD9 Muni","MUNI_MSRB_VOLUME")</f>
        <v>#N/A Requesting Data...</v>
      </c>
      <c r="S41" t="str">
        <f>_xll.BDP("70914PD9 Muni","BB_COMPOSITE")</f>
        <v>#N/A Requesting Data...</v>
      </c>
      <c r="T41" t="str">
        <f>_xll.BDP("70914PD9 Muni","LQA_LIQUIDITY_SCORE")</f>
        <v>#N/A Requesting Data...</v>
      </c>
    </row>
    <row r="42" spans="1:20" x14ac:dyDescent="0.25">
      <c r="A42" t="str">
        <f>_xll.BDP("641322BJ Muni","ID_CUSIP")</f>
        <v>#N/A Requesting Data...</v>
      </c>
      <c r="B42" t="s">
        <v>48</v>
      </c>
      <c r="C42" t="str">
        <f>_xll.BDP("641322BJ Muni","INSURANCE_STATUS")</f>
        <v>#N/A Requesting Data...</v>
      </c>
      <c r="D42" t="str">
        <f>_xll.BDP("641322BJ Muni","STATE_CODE")</f>
        <v>#N/A Requesting Data...</v>
      </c>
      <c r="E42" t="str">
        <f>_xll.BDP("641322BJ Muni","COUNTY_LOCATION_ISSUER")</f>
        <v>#N/A Requesting Data...</v>
      </c>
      <c r="F42" t="str">
        <f>_xll.BDP("641322BJ Muni","DUR_ADJ_MID")</f>
        <v>#N/A Requesting Data...</v>
      </c>
      <c r="G42" t="str">
        <f>_xll.BDP("641322BJ Muni","SPREAD_AT_ISSUANCE_TO_WORST")</f>
        <v>#N/A Requesting Data...</v>
      </c>
      <c r="H42" t="str">
        <f>_xll.BDP("641322BJ Muni","ISSUE_DT")</f>
        <v>#N/A Requesting Data...</v>
      </c>
      <c r="I42" t="str">
        <f>_xll.BDS("641322BJ Muni","MUNI_PURPOSE_SCHED", "aggregate=y")</f>
        <v>#N/A Review</v>
      </c>
      <c r="J42" t="str">
        <f>_xll.BDP("641322BJ Muni","CPN")</f>
        <v>#N/A Requesting Data...</v>
      </c>
      <c r="K42" t="str">
        <f>_xll.BDP("641322BJ Muni","MATURITY")</f>
        <v>#N/A Requesting Data...</v>
      </c>
      <c r="L42">
        <v>1565000</v>
      </c>
      <c r="M42" t="str">
        <f>_xll.BDP("641322BJ Muni","YIELD_ON_ISSUE_DATE")</f>
        <v>#N/A Requesting Data...</v>
      </c>
      <c r="N42" t="str">
        <f>_xll.BDP("641322BJ Muni","YTW_SPREAD_TO_MATURITY_AT_ISSU")</f>
        <v>#N/A Requesting Data...</v>
      </c>
      <c r="O42" t="str">
        <f>_xll.BDP("641322BJ Muni","BVAL_MID_YTM")</f>
        <v>#N/A Requesting Data...</v>
      </c>
      <c r="P42" t="str">
        <f>_xll.BDP("641322BJ Muni","MUNI_TAX_PROV")</f>
        <v>#N/A Requesting Data...</v>
      </c>
      <c r="Q42" t="str">
        <f>_xll.BDP("641322BJ Muni","MUNI_FED_TAX")</f>
        <v>#N/A Requesting Data...</v>
      </c>
      <c r="R42" t="str">
        <f>_xll.BDP("641322BJ Muni","MUNI_MSRB_VOLUME")</f>
        <v>#N/A Requesting Data...</v>
      </c>
      <c r="S42" t="str">
        <f>_xll.BDP("641322BJ Muni","BB_COMPOSITE")</f>
        <v>#N/A Requesting Data...</v>
      </c>
      <c r="T42" t="str">
        <f>_xll.BDP("641322BJ Muni","LQA_LIQUIDITY_SCORE")</f>
        <v>#N/A Requesting Data...</v>
      </c>
    </row>
    <row r="43" spans="1:20" x14ac:dyDescent="0.25">
      <c r="A43" t="str">
        <f>_xll.BDP("70914PD6 Muni","ID_CUSIP")</f>
        <v>#N/A Requesting Data...</v>
      </c>
      <c r="B43" t="s">
        <v>30</v>
      </c>
      <c r="C43" t="str">
        <f>_xll.BDP("70914PD6 Muni","INSURANCE_STATUS")</f>
        <v>#N/A Requesting Data...</v>
      </c>
      <c r="D43" t="str">
        <f>_xll.BDP("70914PD6 Muni","STATE_CODE")</f>
        <v>#N/A Requesting Data...</v>
      </c>
      <c r="E43" t="str">
        <f>_xll.BDP("70914PD6 Muni","COUNTY_LOCATION_ISSUER")</f>
        <v>#N/A Requesting Data...</v>
      </c>
      <c r="F43" t="str">
        <f>_xll.BDP("70914PD6 Muni","DUR_ADJ_MID")</f>
        <v>#N/A Requesting Data...</v>
      </c>
      <c r="G43" t="str">
        <f>_xll.BDP("70914PD6 Muni","SPREAD_AT_ISSUANCE_TO_WORST")</f>
        <v>#N/A Requesting Data...</v>
      </c>
      <c r="H43" t="str">
        <f>_xll.BDP("70914PD6 Muni","ISSUE_DT")</f>
        <v>#N/A Requesting Data...</v>
      </c>
      <c r="I43" t="str">
        <f>_xll.BDS("70914PD6 Muni","MUNI_PURPOSE_SCHED", "aggregate=y")</f>
        <v>#N/A Review</v>
      </c>
      <c r="J43" t="str">
        <f>_xll.BDP("70914PD6 Muni","CPN")</f>
        <v>#N/A Requesting Data...</v>
      </c>
      <c r="K43" t="str">
        <f>_xll.BDP("70914PD6 Muni","MATURITY")</f>
        <v>#N/A Requesting Data...</v>
      </c>
      <c r="L43">
        <v>46310000</v>
      </c>
      <c r="M43" t="str">
        <f>_xll.BDP("70914PD6 Muni","YIELD_ON_ISSUE_DATE")</f>
        <v>#N/A Requesting Data...</v>
      </c>
      <c r="N43" t="str">
        <f>_xll.BDP("70914PD6 Muni","YTW_SPREAD_TO_MATURITY_AT_ISSU")</f>
        <v>#N/A Requesting Data...</v>
      </c>
      <c r="O43" t="str">
        <f>_xll.BDP("70914PD6 Muni","BVAL_MID_YTM")</f>
        <v>#N/A Requesting Data...</v>
      </c>
      <c r="P43" t="str">
        <f>_xll.BDP("70914PD6 Muni","MUNI_TAX_PROV")</f>
        <v>#N/A Requesting Data...</v>
      </c>
      <c r="Q43" t="str">
        <f>_xll.BDP("70914PD6 Muni","MUNI_FED_TAX")</f>
        <v>#N/A Requesting Data...</v>
      </c>
      <c r="R43" t="str">
        <f>_xll.BDP("70914PD6 Muni","MUNI_MSRB_VOLUME")</f>
        <v>#N/A Requesting Data...</v>
      </c>
      <c r="S43" t="str">
        <f>_xll.BDP("70914PD6 Muni","BB_COMPOSITE")</f>
        <v>#N/A Requesting Data...</v>
      </c>
      <c r="T43" t="str">
        <f>_xll.BDP("70914PD6 Muni","LQA_LIQUIDITY_SCORE")</f>
        <v>#N/A Requesting Data...</v>
      </c>
    </row>
    <row r="44" spans="1:20" x14ac:dyDescent="0.25">
      <c r="A44" t="str">
        <f>_xll.BDP("45204EJZ Muni","ID_CUSIP")</f>
        <v>#N/A Requesting Data...</v>
      </c>
      <c r="B44" t="s">
        <v>36</v>
      </c>
      <c r="C44" t="str">
        <f>_xll.BDP("45204EJZ Muni","INSURANCE_STATUS")</f>
        <v>#N/A Requesting Data...</v>
      </c>
      <c r="D44" t="str">
        <f>_xll.BDP("45204EJZ Muni","STATE_CODE")</f>
        <v>#N/A Requesting Data...</v>
      </c>
      <c r="E44" t="str">
        <f>_xll.BDP("45204EJZ Muni","COUNTY_LOCATION_ISSUER")</f>
        <v>#N/A Requesting Data...</v>
      </c>
      <c r="F44" t="str">
        <f>_xll.BDP("45204EJZ Muni","DUR_ADJ_MID")</f>
        <v>#N/A Requesting Data...</v>
      </c>
      <c r="G44" t="str">
        <f>_xll.BDP("45204EJZ Muni","SPREAD_AT_ISSUANCE_TO_WORST")</f>
        <v>#N/A Requesting Data...</v>
      </c>
      <c r="H44" t="str">
        <f>_xll.BDP("45204EJZ Muni","ISSUE_DT")</f>
        <v>#N/A Requesting Data...</v>
      </c>
      <c r="I44" t="str">
        <f>_xll.BDS("45204EJZ Muni","MUNI_PURPOSE_SCHED", "aggregate=y")</f>
        <v>#N/A Review</v>
      </c>
      <c r="J44" t="str">
        <f>_xll.BDP("45204EJZ Muni","CPN")</f>
        <v>#N/A Requesting Data...</v>
      </c>
      <c r="K44" t="str">
        <f>_xll.BDP("45204EJZ Muni","MATURITY")</f>
        <v>#N/A Requesting Data...</v>
      </c>
      <c r="L44">
        <v>15740000</v>
      </c>
      <c r="M44" t="str">
        <f>_xll.BDP("45204EJZ Muni","YIELD_ON_ISSUE_DATE")</f>
        <v>#N/A Requesting Data...</v>
      </c>
      <c r="N44" t="str">
        <f>_xll.BDP("45204EJZ Muni","YTW_SPREAD_TO_MATURITY_AT_ISSU")</f>
        <v>#N/A Requesting Data...</v>
      </c>
      <c r="O44" t="str">
        <f>_xll.BDP("45204EJZ Muni","BVAL_MID_YTM")</f>
        <v>#N/A Requesting Data...</v>
      </c>
      <c r="P44" t="str">
        <f>_xll.BDP("45204EJZ Muni","MUNI_TAX_PROV")</f>
        <v>#N/A Requesting Data...</v>
      </c>
      <c r="Q44" t="str">
        <f>_xll.BDP("45204EJZ Muni","MUNI_FED_TAX")</f>
        <v>#N/A Requesting Data...</v>
      </c>
      <c r="R44" t="str">
        <f>_xll.BDP("45204EJZ Muni","MUNI_MSRB_VOLUME")</f>
        <v>#N/A Requesting Data...</v>
      </c>
      <c r="S44" t="str">
        <f>_xll.BDP("45204EJZ Muni","BB_COMPOSITE")</f>
        <v>#N/A Requesting Data...</v>
      </c>
      <c r="T44" t="str">
        <f>_xll.BDP("45204EJZ Muni","LQA_LIQUIDITY_SCORE")</f>
        <v>#N/A Requesting Data...</v>
      </c>
    </row>
    <row r="45" spans="1:20" x14ac:dyDescent="0.25">
      <c r="A45" t="str">
        <f>_xll.BDP("64986DBC Muni","ID_CUSIP")</f>
        <v>#N/A Requesting Data...</v>
      </c>
      <c r="B45" t="s">
        <v>38</v>
      </c>
      <c r="C45" t="str">
        <f>_xll.BDP("64986DBC Muni","INSURANCE_STATUS")</f>
        <v>#N/A Requesting Data...</v>
      </c>
      <c r="D45" t="str">
        <f>_xll.BDP("64986DBC Muni","STATE_CODE")</f>
        <v>#N/A Requesting Data...</v>
      </c>
      <c r="E45" t="str">
        <f>_xll.BDP("64986DBC Muni","COUNTY_LOCATION_ISSUER")</f>
        <v>#N/A Requesting Data...</v>
      </c>
      <c r="F45" t="str">
        <f>_xll.BDP("64986DBC Muni","DUR_ADJ_MID")</f>
        <v>#N/A Requesting Data...</v>
      </c>
      <c r="G45" t="str">
        <f>_xll.BDP("64986DBC Muni","SPREAD_AT_ISSUANCE_TO_WORST")</f>
        <v>#N/A Requesting Data...</v>
      </c>
      <c r="H45" t="str">
        <f>_xll.BDP("64986DBC Muni","ISSUE_DT")</f>
        <v>#N/A Requesting Data...</v>
      </c>
      <c r="I45" t="str">
        <f>_xll.BDS("64986DBC Muni","MUNI_PURPOSE_SCHED", "aggregate=y")</f>
        <v>#N/A Review</v>
      </c>
      <c r="J45" t="str">
        <f>_xll.BDP("64986DBC Muni","CPN")</f>
        <v>#N/A Requesting Data...</v>
      </c>
      <c r="K45" t="str">
        <f>_xll.BDP("64986DBC Muni","MATURITY")</f>
        <v>#N/A Requesting Data...</v>
      </c>
      <c r="L45">
        <v>12030000</v>
      </c>
      <c r="M45" t="str">
        <f>_xll.BDP("64986DBC Muni","YIELD_ON_ISSUE_DATE")</f>
        <v>#N/A Requesting Data...</v>
      </c>
      <c r="N45" t="str">
        <f>_xll.BDP("64986DBC Muni","YTW_SPREAD_TO_MATURITY_AT_ISSU")</f>
        <v>#N/A Requesting Data...</v>
      </c>
      <c r="O45" t="str">
        <f>_xll.BDP("64986DBC Muni","BVAL_MID_YTM")</f>
        <v>#N/A Requesting Data...</v>
      </c>
      <c r="P45" t="str">
        <f>_xll.BDP("64986DBC Muni","MUNI_TAX_PROV")</f>
        <v>#N/A Requesting Data...</v>
      </c>
      <c r="Q45" t="str">
        <f>_xll.BDP("64986DBC Muni","MUNI_FED_TAX")</f>
        <v>#N/A Requesting Data...</v>
      </c>
      <c r="R45" t="str">
        <f>_xll.BDP("64986DBC Muni","MUNI_MSRB_VOLUME")</f>
        <v>#N/A Requesting Data...</v>
      </c>
      <c r="S45" t="str">
        <f>_xll.BDP("64986DBC Muni","BB_COMPOSITE")</f>
        <v>#N/A Requesting Data...</v>
      </c>
      <c r="T45" t="str">
        <f>_xll.BDP("64986DBC Muni","LQA_LIQUIDITY_SCORE")</f>
        <v>#N/A Requesting Data...</v>
      </c>
    </row>
    <row r="46" spans="1:20" x14ac:dyDescent="0.25">
      <c r="A46" t="str">
        <f>_xll.BDP("882854YD Muni","ID_CUSIP")</f>
        <v>#N/A Requesting Data...</v>
      </c>
      <c r="B46" t="s">
        <v>23</v>
      </c>
      <c r="C46" t="str">
        <f>_xll.BDP("882854YD Muni","INSURANCE_STATUS")</f>
        <v>#N/A Requesting Data...</v>
      </c>
      <c r="D46" t="str">
        <f>_xll.BDP("882854YD Muni","STATE_CODE")</f>
        <v>#N/A Requesting Data...</v>
      </c>
      <c r="E46" t="str">
        <f>_xll.BDP("882854YD Muni","COUNTY_LOCATION_ISSUER")</f>
        <v>#N/A Requesting Data...</v>
      </c>
      <c r="F46" t="str">
        <f>_xll.BDP("882854YD Muni","DUR_ADJ_MID")</f>
        <v>#N/A Requesting Data...</v>
      </c>
      <c r="G46" t="str">
        <f>_xll.BDP("882854YD Muni","SPREAD_AT_ISSUANCE_TO_WORST")</f>
        <v>#N/A Requesting Data...</v>
      </c>
      <c r="H46" t="str">
        <f>_xll.BDP("882854YD Muni","ISSUE_DT")</f>
        <v>#N/A Requesting Data...</v>
      </c>
      <c r="I46" t="str">
        <f>_xll.BDS("882854YD Muni","MUNI_PURPOSE_SCHED", "aggregate=y")</f>
        <v>#N/A Review</v>
      </c>
      <c r="J46" t="str">
        <f>_xll.BDP("882854YD Muni","CPN")</f>
        <v>#N/A Requesting Data...</v>
      </c>
      <c r="K46" t="str">
        <f>_xll.BDP("882854YD Muni","MATURITY")</f>
        <v>#N/A Requesting Data...</v>
      </c>
      <c r="L46">
        <v>13985000</v>
      </c>
      <c r="M46" t="str">
        <f>_xll.BDP("882854YD Muni","YIELD_ON_ISSUE_DATE")</f>
        <v>#N/A Requesting Data...</v>
      </c>
      <c r="N46" t="str">
        <f>_xll.BDP("882854YD Muni","YTW_SPREAD_TO_MATURITY_AT_ISSU")</f>
        <v>#N/A Requesting Data...</v>
      </c>
      <c r="O46" t="str">
        <f>_xll.BDP("882854YD Muni","BVAL_MID_YTM")</f>
        <v>#N/A Requesting Data...</v>
      </c>
      <c r="P46" t="str">
        <f>_xll.BDP("882854YD Muni","MUNI_TAX_PROV")</f>
        <v>#N/A Requesting Data...</v>
      </c>
      <c r="Q46" t="str">
        <f>_xll.BDP("882854YD Muni","MUNI_FED_TAX")</f>
        <v>#N/A Requesting Data...</v>
      </c>
      <c r="R46" t="str">
        <f>_xll.BDP("882854YD Muni","MUNI_MSRB_VOLUME")</f>
        <v>#N/A Requesting Data...</v>
      </c>
      <c r="S46" t="str">
        <f>_xll.BDP("882854YD Muni","BB_COMPOSITE")</f>
        <v>#N/A Requesting Data...</v>
      </c>
      <c r="T46" t="str">
        <f>_xll.BDP("882854YD Muni","LQA_LIQUIDITY_SCORE")</f>
        <v>#N/A Requesting Data...</v>
      </c>
    </row>
    <row r="47" spans="1:20" x14ac:dyDescent="0.25">
      <c r="A47" t="str">
        <f>_xll.BDP("15240AAH Muni","ID_CUSIP")</f>
        <v>#N/A Requesting Data...</v>
      </c>
      <c r="B47" t="s">
        <v>49</v>
      </c>
      <c r="C47" t="str">
        <f>_xll.BDP("15240AAH Muni","INSURANCE_STATUS")</f>
        <v>#N/A Requesting Data...</v>
      </c>
      <c r="D47" t="str">
        <f>_xll.BDP("15240AAH Muni","STATE_CODE")</f>
        <v>#N/A Requesting Data...</v>
      </c>
      <c r="E47" t="str">
        <f>_xll.BDP("15240AAH Muni","COUNTY_LOCATION_ISSUER")</f>
        <v>#N/A Requesting Data...</v>
      </c>
      <c r="F47" t="str">
        <f>_xll.BDP("15240AAH Muni","DUR_ADJ_MID")</f>
        <v>#N/A Requesting Data...</v>
      </c>
      <c r="G47" t="str">
        <f>_xll.BDP("15240AAH Muni","SPREAD_AT_ISSUANCE_TO_WORST")</f>
        <v>#N/A Requesting Data...</v>
      </c>
      <c r="H47" t="str">
        <f>_xll.BDP("15240AAH Muni","ISSUE_DT")</f>
        <v>#N/A Requesting Data...</v>
      </c>
      <c r="I47" t="str">
        <f>_xll.BDS("15240AAH Muni","MUNI_PURPOSE_SCHED", "aggregate=y")</f>
        <v>#N/A Review</v>
      </c>
      <c r="J47" t="str">
        <f>_xll.BDP("15240AAH Muni","CPN")</f>
        <v>#N/A Requesting Data...</v>
      </c>
      <c r="K47" t="str">
        <f>_xll.BDP("15240AAH Muni","MATURITY")</f>
        <v>#N/A Requesting Data...</v>
      </c>
      <c r="L47">
        <v>1940000</v>
      </c>
      <c r="M47" t="str">
        <f>_xll.BDP("15240AAH Muni","YIELD_ON_ISSUE_DATE")</f>
        <v>#N/A Requesting Data...</v>
      </c>
      <c r="N47" t="str">
        <f>_xll.BDP("15240AAH Muni","YTW_SPREAD_TO_MATURITY_AT_ISSU")</f>
        <v>#N/A Requesting Data...</v>
      </c>
      <c r="O47" t="str">
        <f>_xll.BDP("15240AAH Muni","BVAL_MID_YTM")</f>
        <v>#N/A Requesting Data...</v>
      </c>
      <c r="P47" t="str">
        <f>_xll.BDP("15240AAH Muni","MUNI_TAX_PROV")</f>
        <v>#N/A Requesting Data...</v>
      </c>
      <c r="Q47" t="str">
        <f>_xll.BDP("15240AAH Muni","MUNI_FED_TAX")</f>
        <v>#N/A Requesting Data...</v>
      </c>
      <c r="R47" t="str">
        <f>_xll.BDP("15240AAH Muni","MUNI_MSRB_VOLUME")</f>
        <v>#N/A Requesting Data...</v>
      </c>
      <c r="S47" t="str">
        <f>_xll.BDP("15240AAH Muni","BB_COMPOSITE")</f>
        <v>#N/A Requesting Data...</v>
      </c>
      <c r="T47" t="str">
        <f>_xll.BDP("15240AAH Muni","LQA_LIQUIDITY_SCORE")</f>
        <v>#N/A Requesting Data...</v>
      </c>
    </row>
    <row r="48" spans="1:20" x14ac:dyDescent="0.25">
      <c r="A48" t="str">
        <f>_xll.BDP("87971HJY Muni","ID_CUSIP")</f>
        <v>#N/A Requesting Data...</v>
      </c>
      <c r="B48" t="s">
        <v>50</v>
      </c>
      <c r="C48" t="str">
        <f>_xll.BDP("87971HJY Muni","INSURANCE_STATUS")</f>
        <v>#N/A Requesting Data...</v>
      </c>
      <c r="D48" t="str">
        <f>_xll.BDP("87971HJY Muni","STATE_CODE")</f>
        <v>#N/A Requesting Data...</v>
      </c>
      <c r="E48" t="str">
        <f>_xll.BDP("87971HJY Muni","COUNTY_LOCATION_ISSUER")</f>
        <v>#N/A Requesting Data...</v>
      </c>
      <c r="F48" t="str">
        <f>_xll.BDP("87971HJY Muni","DUR_ADJ_MID")</f>
        <v>#N/A Requesting Data...</v>
      </c>
      <c r="G48" t="str">
        <f>_xll.BDP("87971HJY Muni","SPREAD_AT_ISSUANCE_TO_WORST")</f>
        <v>#N/A Requesting Data...</v>
      </c>
      <c r="H48" t="str">
        <f>_xll.BDP("87971HJY Muni","ISSUE_DT")</f>
        <v>#N/A Requesting Data...</v>
      </c>
      <c r="I48" t="str">
        <f>_xll.BDS("87971HJY Muni","MUNI_PURPOSE_SCHED", "aggregate=y")</f>
        <v>#N/A Review</v>
      </c>
      <c r="J48" t="str">
        <f>_xll.BDP("87971HJY Muni","CPN")</f>
        <v>#N/A Requesting Data...</v>
      </c>
      <c r="K48" t="str">
        <f>_xll.BDP("87971HJY Muni","MATURITY")</f>
        <v>#N/A Requesting Data...</v>
      </c>
      <c r="L48">
        <v>1665000</v>
      </c>
      <c r="M48" t="str">
        <f>_xll.BDP("87971HJY Muni","YIELD_ON_ISSUE_DATE")</f>
        <v>#N/A Requesting Data...</v>
      </c>
      <c r="N48" t="str">
        <f>_xll.BDP("87971HJY Muni","YTW_SPREAD_TO_MATURITY_AT_ISSU")</f>
        <v>#N/A Requesting Data...</v>
      </c>
      <c r="O48" t="str">
        <f>_xll.BDP("87971HJY Muni","BVAL_MID_YTM")</f>
        <v>#N/A Requesting Data...</v>
      </c>
      <c r="P48" t="str">
        <f>_xll.BDP("87971HJY Muni","MUNI_TAX_PROV")</f>
        <v>#N/A Requesting Data...</v>
      </c>
      <c r="Q48" t="str">
        <f>_xll.BDP("87971HJY Muni","MUNI_FED_TAX")</f>
        <v>#N/A Requesting Data...</v>
      </c>
      <c r="R48" t="str">
        <f>_xll.BDP("87971HJY Muni","MUNI_MSRB_VOLUME")</f>
        <v>#N/A Requesting Data...</v>
      </c>
      <c r="S48" t="str">
        <f>_xll.BDP("87971HJY Muni","BB_COMPOSITE")</f>
        <v>#N/A Requesting Data...</v>
      </c>
      <c r="T48" t="str">
        <f>_xll.BDP("87971HJY Muni","LQA_LIQUIDITY_SCORE")</f>
        <v>#N/A Requesting Data...</v>
      </c>
    </row>
    <row r="49" spans="1:20" x14ac:dyDescent="0.25">
      <c r="A49" t="str">
        <f>_xll.BDP("440182VE Muni","ID_CUSIP")</f>
        <v>#N/A Requesting Data...</v>
      </c>
      <c r="B49" t="s">
        <v>51</v>
      </c>
      <c r="C49" t="str">
        <f>_xll.BDP("440182VE Muni","INSURANCE_STATUS")</f>
        <v>#N/A Requesting Data...</v>
      </c>
      <c r="D49" t="str">
        <f>_xll.BDP("440182VE Muni","STATE_CODE")</f>
        <v>#N/A Requesting Data...</v>
      </c>
      <c r="E49" t="str">
        <f>_xll.BDP("440182VE Muni","COUNTY_LOCATION_ISSUER")</f>
        <v>#N/A Requesting Data...</v>
      </c>
      <c r="F49" t="str">
        <f>_xll.BDP("440182VE Muni","DUR_ADJ_MID")</f>
        <v>#N/A Requesting Data...</v>
      </c>
      <c r="G49" t="str">
        <f>_xll.BDP("440182VE Muni","SPREAD_AT_ISSUANCE_TO_WORST")</f>
        <v>#N/A Requesting Data...</v>
      </c>
      <c r="H49" t="str">
        <f>_xll.BDP("440182VE Muni","ISSUE_DT")</f>
        <v>#N/A Requesting Data...</v>
      </c>
      <c r="I49" t="str">
        <f>_xll.BDS("440182VE Muni","MUNI_PURPOSE_SCHED", "aggregate=y")</f>
        <v>#N/A Review</v>
      </c>
      <c r="J49" t="str">
        <f>_xll.BDP("440182VE Muni","CPN")</f>
        <v>#N/A Requesting Data...</v>
      </c>
      <c r="K49" t="str">
        <f>_xll.BDP("440182VE Muni","MATURITY")</f>
        <v>#N/A Requesting Data...</v>
      </c>
      <c r="L49">
        <v>1295000</v>
      </c>
      <c r="M49" t="str">
        <f>_xll.BDP("440182VE Muni","YIELD_ON_ISSUE_DATE")</f>
        <v>#N/A Requesting Data...</v>
      </c>
      <c r="N49" t="str">
        <f>_xll.BDP("440182VE Muni","YTW_SPREAD_TO_MATURITY_AT_ISSU")</f>
        <v>#N/A Requesting Data...</v>
      </c>
      <c r="O49" t="str">
        <f>_xll.BDP("440182VE Muni","BVAL_MID_YTM")</f>
        <v>#N/A Requesting Data...</v>
      </c>
      <c r="P49" t="str">
        <f>_xll.BDP("440182VE Muni","MUNI_TAX_PROV")</f>
        <v>#N/A Requesting Data...</v>
      </c>
      <c r="Q49" t="str">
        <f>_xll.BDP("440182VE Muni","MUNI_FED_TAX")</f>
        <v>#N/A Requesting Data...</v>
      </c>
      <c r="R49" t="str">
        <f>_xll.BDP("440182VE Muni","MUNI_MSRB_VOLUME")</f>
        <v>#N/A Requesting Data...</v>
      </c>
      <c r="S49" t="str">
        <f>_xll.BDP("440182VE Muni","BB_COMPOSITE")</f>
        <v>#N/A Requesting Data...</v>
      </c>
      <c r="T49" t="str">
        <f>_xll.BDP("440182VE Muni","LQA_LIQUIDITY_SCORE")</f>
        <v>#N/A Requesting Data...</v>
      </c>
    </row>
    <row r="50" spans="1:20" x14ac:dyDescent="0.25">
      <c r="A50" t="str">
        <f>_xll.BDP("575829BV Muni","ID_CUSIP")</f>
        <v>#N/A Requesting Data...</v>
      </c>
      <c r="B50" t="s">
        <v>20</v>
      </c>
      <c r="C50" t="str">
        <f>_xll.BDP("575829BV Muni","INSURANCE_STATUS")</f>
        <v>#N/A Requesting Data...</v>
      </c>
      <c r="D50" t="str">
        <f>_xll.BDP("575829BV Muni","STATE_CODE")</f>
        <v>#N/A Requesting Data...</v>
      </c>
      <c r="E50" t="str">
        <f>_xll.BDP("575829BV Muni","COUNTY_LOCATION_ISSUER")</f>
        <v>#N/A Requesting Data...</v>
      </c>
      <c r="F50" t="str">
        <f>_xll.BDP("575829BV Muni","DUR_ADJ_MID")</f>
        <v>#N/A Requesting Data...</v>
      </c>
      <c r="G50" t="str">
        <f>_xll.BDP("575829BV Muni","SPREAD_AT_ISSUANCE_TO_WORST")</f>
        <v>#N/A Requesting Data...</v>
      </c>
      <c r="H50" t="str">
        <f>_xll.BDP("575829BV Muni","ISSUE_DT")</f>
        <v>#N/A Requesting Data...</v>
      </c>
      <c r="I50" t="str">
        <f>_xll.BDS("575829BV Muni","MUNI_PURPOSE_SCHED", "aggregate=y")</f>
        <v>#N/A Review</v>
      </c>
      <c r="J50" t="str">
        <f>_xll.BDP("575829BV Muni","CPN")</f>
        <v>#N/A Requesting Data...</v>
      </c>
      <c r="K50" t="str">
        <f>_xll.BDP("575829BV Muni","MATURITY")</f>
        <v>#N/A Requesting Data...</v>
      </c>
      <c r="L50">
        <v>10870000</v>
      </c>
      <c r="M50" t="str">
        <f>_xll.BDP("575829BV Muni","YIELD_ON_ISSUE_DATE")</f>
        <v>#N/A Requesting Data...</v>
      </c>
      <c r="N50" t="str">
        <f>_xll.BDP("575829BV Muni","YTW_SPREAD_TO_MATURITY_AT_ISSU")</f>
        <v>#N/A Requesting Data...</v>
      </c>
      <c r="O50" t="str">
        <f>_xll.BDP("575829BV Muni","BVAL_MID_YTM")</f>
        <v>#N/A Requesting Data...</v>
      </c>
      <c r="P50" t="str">
        <f>_xll.BDP("575829BV Muni","MUNI_TAX_PROV")</f>
        <v>#N/A Requesting Data...</v>
      </c>
      <c r="Q50" t="str">
        <f>_xll.BDP("575829BV Muni","MUNI_FED_TAX")</f>
        <v>#N/A Requesting Data...</v>
      </c>
      <c r="R50" t="str">
        <f>_xll.BDP("575829BV Muni","MUNI_MSRB_VOLUME")</f>
        <v>#N/A Requesting Data...</v>
      </c>
      <c r="S50" t="str">
        <f>_xll.BDP("575829BV Muni","BB_COMPOSITE")</f>
        <v>#N/A Requesting Data...</v>
      </c>
      <c r="T50" t="str">
        <f>_xll.BDP("575829BV Muni","LQA_LIQUIDITY_SCORE")</f>
        <v>#N/A Requesting Data...</v>
      </c>
    </row>
    <row r="51" spans="1:20" x14ac:dyDescent="0.25">
      <c r="A51" t="str">
        <f>_xll.BDP("426170NM Muni","ID_CUSIP")</f>
        <v>#N/A Requesting Data...</v>
      </c>
      <c r="B51" t="s">
        <v>52</v>
      </c>
      <c r="C51" t="str">
        <f>_xll.BDP("426170NM Muni","INSURANCE_STATUS")</f>
        <v>#N/A Requesting Data...</v>
      </c>
      <c r="D51" t="str">
        <f>_xll.BDP("426170NM Muni","STATE_CODE")</f>
        <v>#N/A Requesting Data...</v>
      </c>
      <c r="E51" t="str">
        <f>_xll.BDP("426170NM Muni","COUNTY_LOCATION_ISSUER")</f>
        <v>#N/A Requesting Data...</v>
      </c>
      <c r="F51" t="str">
        <f>_xll.BDP("426170NM Muni","DUR_ADJ_MID")</f>
        <v>#N/A Requesting Data...</v>
      </c>
      <c r="G51" t="str">
        <f>_xll.BDP("426170NM Muni","SPREAD_AT_ISSUANCE_TO_WORST")</f>
        <v>#N/A Requesting Data...</v>
      </c>
      <c r="H51" t="str">
        <f>_xll.BDP("426170NM Muni","ISSUE_DT")</f>
        <v>#N/A Requesting Data...</v>
      </c>
      <c r="I51" t="str">
        <f>_xll.BDS("426170NM Muni","MUNI_PURPOSE_SCHED", "aggregate=y")</f>
        <v>#N/A Review</v>
      </c>
      <c r="J51" t="str">
        <f>_xll.BDP("426170NM Muni","CPN")</f>
        <v>#N/A Requesting Data...</v>
      </c>
      <c r="K51" t="str">
        <f>_xll.BDP("426170NM Muni","MATURITY")</f>
        <v>#N/A Requesting Data...</v>
      </c>
      <c r="L51">
        <v>3035000</v>
      </c>
      <c r="M51" t="str">
        <f>_xll.BDP("426170NM Muni","YIELD_ON_ISSUE_DATE")</f>
        <v>#N/A Requesting Data...</v>
      </c>
      <c r="N51" t="str">
        <f>_xll.BDP("426170NM Muni","YTW_SPREAD_TO_MATURITY_AT_ISSU")</f>
        <v>#N/A Requesting Data...</v>
      </c>
      <c r="O51" t="str">
        <f>_xll.BDP("426170NM Muni","BVAL_MID_YTM")</f>
        <v>#N/A Requesting Data...</v>
      </c>
      <c r="P51" t="str">
        <f>_xll.BDP("426170NM Muni","MUNI_TAX_PROV")</f>
        <v>#N/A Requesting Data...</v>
      </c>
      <c r="Q51" t="str">
        <f>_xll.BDP("426170NM Muni","MUNI_FED_TAX")</f>
        <v>#N/A Requesting Data...</v>
      </c>
      <c r="R51" t="str">
        <f>_xll.BDP("426170NM Muni","MUNI_MSRB_VOLUME")</f>
        <v>#N/A Requesting Data...</v>
      </c>
      <c r="S51" t="str">
        <f>_xll.BDP("426170NM Muni","BB_COMPOSITE")</f>
        <v>#N/A Requesting Data...</v>
      </c>
      <c r="T51" t="str">
        <f>_xll.BDP("426170NM Muni","LQA_LIQUIDITY_SCORE")</f>
        <v>#N/A Requesting Data...</v>
      </c>
    </row>
    <row r="52" spans="1:20" x14ac:dyDescent="0.25">
      <c r="A52" t="str">
        <f>_xll.BDP("198504XD Muni","ID_CUSIP")</f>
        <v>#N/A Requesting Data...</v>
      </c>
      <c r="B52" t="s">
        <v>53</v>
      </c>
      <c r="C52" t="str">
        <f>_xll.BDP("198504XD Muni","INSURANCE_STATUS")</f>
        <v>#N/A Requesting Data...</v>
      </c>
      <c r="D52" t="str">
        <f>_xll.BDP("198504XD Muni","STATE_CODE")</f>
        <v>#N/A Requesting Data...</v>
      </c>
      <c r="E52" t="str">
        <f>_xll.BDP("198504XD Muni","COUNTY_LOCATION_ISSUER")</f>
        <v>#N/A Requesting Data...</v>
      </c>
      <c r="F52" t="str">
        <f>_xll.BDP("198504XD Muni","DUR_ADJ_MID")</f>
        <v>#N/A Requesting Data...</v>
      </c>
      <c r="G52" t="str">
        <f>_xll.BDP("198504XD Muni","SPREAD_AT_ISSUANCE_TO_WORST")</f>
        <v>#N/A Requesting Data...</v>
      </c>
      <c r="H52" t="str">
        <f>_xll.BDP("198504XD Muni","ISSUE_DT")</f>
        <v>#N/A Requesting Data...</v>
      </c>
      <c r="I52" t="str">
        <f>_xll.BDS("198504XD Muni","MUNI_PURPOSE_SCHED", "aggregate=y")</f>
        <v>#N/A Review</v>
      </c>
      <c r="J52" t="str">
        <f>_xll.BDP("198504XD Muni","CPN")</f>
        <v>#N/A Requesting Data...</v>
      </c>
      <c r="K52" t="str">
        <f>_xll.BDP("198504XD Muni","MATURITY")</f>
        <v>#N/A Requesting Data...</v>
      </c>
      <c r="L52">
        <v>1675000</v>
      </c>
      <c r="M52" t="str">
        <f>_xll.BDP("198504XD Muni","YIELD_ON_ISSUE_DATE")</f>
        <v>#N/A Requesting Data...</v>
      </c>
      <c r="N52" t="str">
        <f>_xll.BDP("198504XD Muni","YTW_SPREAD_TO_MATURITY_AT_ISSU")</f>
        <v>#N/A Requesting Data...</v>
      </c>
      <c r="O52" t="str">
        <f>_xll.BDP("198504XD Muni","BVAL_MID_YTM")</f>
        <v>#N/A Requesting Data...</v>
      </c>
      <c r="P52" t="str">
        <f>_xll.BDP("198504XD Muni","MUNI_TAX_PROV")</f>
        <v>#N/A Requesting Data...</v>
      </c>
      <c r="Q52" t="str">
        <f>_xll.BDP("198504XD Muni","MUNI_FED_TAX")</f>
        <v>#N/A Requesting Data...</v>
      </c>
      <c r="R52" t="str">
        <f>_xll.BDP("198504XD Muni","MUNI_MSRB_VOLUME")</f>
        <v>#N/A Requesting Data...</v>
      </c>
      <c r="S52" t="str">
        <f>_xll.BDP("198504XD Muni","BB_COMPOSITE")</f>
        <v>#N/A Requesting Data...</v>
      </c>
      <c r="T52" t="str">
        <f>_xll.BDP("198504XD Muni","LQA_LIQUIDITY_SCORE")</f>
        <v>#N/A Requesting Data...</v>
      </c>
    </row>
    <row r="53" spans="1:20" x14ac:dyDescent="0.25">
      <c r="A53" t="str">
        <f>_xll.BDP("793323TW Muni","ID_CUSIP")</f>
        <v>#N/A Requesting Data...</v>
      </c>
      <c r="B53" t="s">
        <v>54</v>
      </c>
      <c r="C53" t="str">
        <f>_xll.BDP("793323TW Muni","INSURANCE_STATUS")</f>
        <v>#N/A Requesting Data...</v>
      </c>
      <c r="D53" t="str">
        <f>_xll.BDP("793323TW Muni","STATE_CODE")</f>
        <v>#N/A Requesting Data...</v>
      </c>
      <c r="E53" t="str">
        <f>_xll.BDP("793323TW Muni","COUNTY_LOCATION_ISSUER")</f>
        <v>#N/A Requesting Data...</v>
      </c>
      <c r="F53" t="str">
        <f>_xll.BDP("793323TW Muni","DUR_ADJ_MID")</f>
        <v>#N/A Requesting Data...</v>
      </c>
      <c r="G53" t="str">
        <f>_xll.BDP("793323TW Muni","SPREAD_AT_ISSUANCE_TO_WORST")</f>
        <v>#N/A Requesting Data...</v>
      </c>
      <c r="H53" t="str">
        <f>_xll.BDP("793323TW Muni","ISSUE_DT")</f>
        <v>#N/A Requesting Data...</v>
      </c>
      <c r="I53" t="str">
        <f>_xll.BDS("793323TW Muni","MUNI_PURPOSE_SCHED", "aggregate=y")</f>
        <v>#N/A Review</v>
      </c>
      <c r="J53" t="str">
        <f>_xll.BDP("793323TW Muni","CPN")</f>
        <v>#N/A Requesting Data...</v>
      </c>
      <c r="K53" t="str">
        <f>_xll.BDP("793323TW Muni","MATURITY")</f>
        <v>#N/A Requesting Data...</v>
      </c>
      <c r="L53">
        <v>990000</v>
      </c>
      <c r="M53" t="str">
        <f>_xll.BDP("793323TW Muni","YIELD_ON_ISSUE_DATE")</f>
        <v>#N/A Requesting Data...</v>
      </c>
      <c r="N53" t="str">
        <f>_xll.BDP("793323TW Muni","YTW_SPREAD_TO_MATURITY_AT_ISSU")</f>
        <v>#N/A Requesting Data...</v>
      </c>
      <c r="O53" t="str">
        <f>_xll.BDP("793323TW Muni","BVAL_MID_YTM")</f>
        <v>#N/A Requesting Data...</v>
      </c>
      <c r="P53" t="str">
        <f>_xll.BDP("793323TW Muni","MUNI_TAX_PROV")</f>
        <v>#N/A Requesting Data...</v>
      </c>
      <c r="Q53" t="str">
        <f>_xll.BDP("793323TW Muni","MUNI_FED_TAX")</f>
        <v>#N/A Requesting Data...</v>
      </c>
      <c r="R53" t="str">
        <f>_xll.BDP("793323TW Muni","MUNI_MSRB_VOLUME")</f>
        <v>#N/A Requesting Data...</v>
      </c>
      <c r="S53" t="str">
        <f>_xll.BDP("793323TW Muni","BB_COMPOSITE")</f>
        <v>#N/A Requesting Data...</v>
      </c>
      <c r="T53" t="str">
        <f>_xll.BDP("793323TW Muni","LQA_LIQUIDITY_SCORE")</f>
        <v>#N/A Requesting Data...</v>
      </c>
    </row>
    <row r="54" spans="1:20" x14ac:dyDescent="0.25">
      <c r="A54" t="str">
        <f>_xll.BDP("95308RLD Muni","ID_CUSIP")</f>
        <v>#N/A Requesting Data...</v>
      </c>
      <c r="B54" t="s">
        <v>55</v>
      </c>
      <c r="C54" t="str">
        <f>_xll.BDP("95308RLD Muni","INSURANCE_STATUS")</f>
        <v>#N/A Requesting Data...</v>
      </c>
      <c r="D54" t="str">
        <f>_xll.BDP("95308RLD Muni","STATE_CODE")</f>
        <v>#N/A Requesting Data...</v>
      </c>
      <c r="E54" t="str">
        <f>_xll.BDP("95308RLD Muni","COUNTY_LOCATION_ISSUER")</f>
        <v>#N/A Requesting Data...</v>
      </c>
      <c r="F54" t="str">
        <f>_xll.BDP("95308RLD Muni","DUR_ADJ_MID")</f>
        <v>#N/A Requesting Data...</v>
      </c>
      <c r="G54" t="str">
        <f>_xll.BDP("95308RLD Muni","SPREAD_AT_ISSUANCE_TO_WORST")</f>
        <v>#N/A Requesting Data...</v>
      </c>
      <c r="H54" t="str">
        <f>_xll.BDP("95308RLD Muni","ISSUE_DT")</f>
        <v>#N/A Requesting Data...</v>
      </c>
      <c r="I54" t="str">
        <f>_xll.BDS("95308RLD Muni","MUNI_PURPOSE_SCHED", "aggregate=y")</f>
        <v>#N/A Review</v>
      </c>
      <c r="J54" t="str">
        <f>_xll.BDP("95308RLD Muni","CPN")</f>
        <v>#N/A Requesting Data...</v>
      </c>
      <c r="K54" t="str">
        <f>_xll.BDP("95308RLD Muni","MATURITY")</f>
        <v>#N/A Requesting Data...</v>
      </c>
      <c r="L54">
        <v>780000</v>
      </c>
      <c r="M54" t="str">
        <f>_xll.BDP("95308RLD Muni","YIELD_ON_ISSUE_DATE")</f>
        <v>#N/A Requesting Data...</v>
      </c>
      <c r="N54" t="str">
        <f>_xll.BDP("95308RLD Muni","YTW_SPREAD_TO_MATURITY_AT_ISSU")</f>
        <v>#N/A Requesting Data...</v>
      </c>
      <c r="O54" t="str">
        <f>_xll.BDP("95308RLD Muni","BVAL_MID_YTM")</f>
        <v>#N/A Requesting Data...</v>
      </c>
      <c r="P54" t="str">
        <f>_xll.BDP("95308RLD Muni","MUNI_TAX_PROV")</f>
        <v>#N/A Requesting Data...</v>
      </c>
      <c r="Q54" t="str">
        <f>_xll.BDP("95308RLD Muni","MUNI_FED_TAX")</f>
        <v>#N/A Requesting Data...</v>
      </c>
      <c r="R54" t="str">
        <f>_xll.BDP("95308RLD Muni","MUNI_MSRB_VOLUME")</f>
        <v>#N/A Requesting Data...</v>
      </c>
      <c r="S54" t="str">
        <f>_xll.BDP("95308RLD Muni","BB_COMPOSITE")</f>
        <v>#N/A Requesting Data...</v>
      </c>
      <c r="T54" t="str">
        <f>_xll.BDP("95308RLD Muni","LQA_LIQUIDITY_SCORE")</f>
        <v>#N/A Requesting Data...</v>
      </c>
    </row>
    <row r="55" spans="1:20" x14ac:dyDescent="0.25">
      <c r="A55" t="str">
        <f>_xll.BDP("13034AKC Muni","ID_CUSIP")</f>
        <v>#N/A Requesting Data...</v>
      </c>
      <c r="B55" t="s">
        <v>40</v>
      </c>
      <c r="C55" t="str">
        <f>_xll.BDP("13034AKC Muni","INSURANCE_STATUS")</f>
        <v>#N/A Requesting Data...</v>
      </c>
      <c r="D55" t="str">
        <f>_xll.BDP("13034AKC Muni","STATE_CODE")</f>
        <v>#N/A Requesting Data...</v>
      </c>
      <c r="E55" t="str">
        <f>_xll.BDP("13034AKC Muni","COUNTY_LOCATION_ISSUER")</f>
        <v>#N/A Requesting Data...</v>
      </c>
      <c r="F55" t="str">
        <f>_xll.BDP("13034AKC Muni","DUR_ADJ_MID")</f>
        <v>#N/A Requesting Data...</v>
      </c>
      <c r="G55" t="str">
        <f>_xll.BDP("13034AKC Muni","SPREAD_AT_ISSUANCE_TO_WORST")</f>
        <v>#N/A Requesting Data...</v>
      </c>
      <c r="H55" t="str">
        <f>_xll.BDP("13034AKC Muni","ISSUE_DT")</f>
        <v>#N/A Requesting Data...</v>
      </c>
      <c r="I55" t="str">
        <f>_xll.BDS("13034AKC Muni","MUNI_PURPOSE_SCHED", "aggregate=y")</f>
        <v>#N/A Review</v>
      </c>
      <c r="J55" t="str">
        <f>_xll.BDP("13034AKC Muni","CPN")</f>
        <v>#N/A Requesting Data...</v>
      </c>
      <c r="K55" t="str">
        <f>_xll.BDP("13034AKC Muni","MATURITY")</f>
        <v>#N/A Requesting Data...</v>
      </c>
      <c r="L55">
        <v>33120000</v>
      </c>
      <c r="M55" t="str">
        <f>_xll.BDP("13034AKC Muni","YIELD_ON_ISSUE_DATE")</f>
        <v>#N/A Requesting Data...</v>
      </c>
      <c r="N55" t="str">
        <f>_xll.BDP("13034AKC Muni","YTW_SPREAD_TO_MATURITY_AT_ISSU")</f>
        <v>#N/A Requesting Data...</v>
      </c>
      <c r="O55" t="str">
        <f>_xll.BDP("13034AKC Muni","BVAL_MID_YTM")</f>
        <v>#N/A Requesting Data...</v>
      </c>
      <c r="P55" t="str">
        <f>_xll.BDP("13034AKC Muni","MUNI_TAX_PROV")</f>
        <v>#N/A Requesting Data...</v>
      </c>
      <c r="Q55" t="str">
        <f>_xll.BDP("13034AKC Muni","MUNI_FED_TAX")</f>
        <v>#N/A Requesting Data...</v>
      </c>
      <c r="R55" t="str">
        <f>_xll.BDP("13034AKC Muni","MUNI_MSRB_VOLUME")</f>
        <v>#N/A Requesting Data...</v>
      </c>
      <c r="S55" t="str">
        <f>_xll.BDP("13034AKC Muni","BB_COMPOSITE")</f>
        <v>#N/A Requesting Data...</v>
      </c>
      <c r="T55" t="str">
        <f>_xll.BDP("13034AKC Muni","LQA_LIQUIDITY_SCORE")</f>
        <v>#N/A Requesting Data...</v>
      </c>
    </row>
    <row r="56" spans="1:20" x14ac:dyDescent="0.25">
      <c r="A56" t="str">
        <f>_xll.BDP("67765QCG Muni","ID_CUSIP")</f>
        <v>#N/A Requesting Data...</v>
      </c>
      <c r="B56" t="s">
        <v>32</v>
      </c>
      <c r="C56" t="str">
        <f>_xll.BDP("67765QCG Muni","INSURANCE_STATUS")</f>
        <v>#N/A Requesting Data...</v>
      </c>
      <c r="D56" t="str">
        <f>_xll.BDP("67765QCG Muni","STATE_CODE")</f>
        <v>#N/A Requesting Data...</v>
      </c>
      <c r="E56" t="str">
        <f>_xll.BDP("67765QCG Muni","COUNTY_LOCATION_ISSUER")</f>
        <v>#N/A Requesting Data...</v>
      </c>
      <c r="F56" t="str">
        <f>_xll.BDP("67765QCG Muni","DUR_ADJ_MID")</f>
        <v>#N/A Requesting Data...</v>
      </c>
      <c r="G56" t="str">
        <f>_xll.BDP("67765QCG Muni","SPREAD_AT_ISSUANCE_TO_WORST")</f>
        <v>#N/A Requesting Data...</v>
      </c>
      <c r="H56" t="str">
        <f>_xll.BDP("67765QCG Muni","ISSUE_DT")</f>
        <v>#N/A Requesting Data...</v>
      </c>
      <c r="I56" t="str">
        <f>_xll.BDS("67765QCG Muni","MUNI_PURPOSE_SCHED", "aggregate=y")</f>
        <v>#N/A Review</v>
      </c>
      <c r="J56" t="str">
        <f>_xll.BDP("67765QCG Muni","CPN")</f>
        <v>#N/A Requesting Data...</v>
      </c>
      <c r="K56" t="str">
        <f>_xll.BDP("67765QCG Muni","MATURITY")</f>
        <v>#N/A Requesting Data...</v>
      </c>
      <c r="L56">
        <v>10000000</v>
      </c>
      <c r="M56" t="str">
        <f>_xll.BDP("67765QCG Muni","YIELD_ON_ISSUE_DATE")</f>
        <v>#N/A Requesting Data...</v>
      </c>
      <c r="N56" t="str">
        <f>_xll.BDP("67765QCG Muni","YTW_SPREAD_TO_MATURITY_AT_ISSU")</f>
        <v>#N/A Requesting Data...</v>
      </c>
      <c r="O56" t="str">
        <f>_xll.BDP("67765QCG Muni","BVAL_MID_YTM")</f>
        <v>#N/A Requesting Data...</v>
      </c>
      <c r="P56" t="str">
        <f>_xll.BDP("67765QCG Muni","MUNI_TAX_PROV")</f>
        <v>#N/A Requesting Data...</v>
      </c>
      <c r="Q56" t="str">
        <f>_xll.BDP("67765QCG Muni","MUNI_FED_TAX")</f>
        <v>#N/A Requesting Data...</v>
      </c>
      <c r="R56" t="str">
        <f>_xll.BDP("67765QCG Muni","MUNI_MSRB_VOLUME")</f>
        <v>#N/A Requesting Data...</v>
      </c>
      <c r="S56" t="str">
        <f>_xll.BDP("67765QCG Muni","BB_COMPOSITE")</f>
        <v>#N/A Requesting Data...</v>
      </c>
      <c r="T56" t="str">
        <f>_xll.BDP("67765QCG Muni","LQA_LIQUIDITY_SCORE")</f>
        <v>#N/A Requesting Data...</v>
      </c>
    </row>
    <row r="57" spans="1:20" x14ac:dyDescent="0.25">
      <c r="A57" t="str">
        <f>_xll.BDP("440182VD Muni","ID_CUSIP")</f>
        <v>#N/A Requesting Data...</v>
      </c>
      <c r="B57" t="s">
        <v>51</v>
      </c>
      <c r="C57" t="str">
        <f>_xll.BDP("440182VD Muni","INSURANCE_STATUS")</f>
        <v>#N/A Requesting Data...</v>
      </c>
      <c r="D57" t="str">
        <f>_xll.BDP("440182VD Muni","STATE_CODE")</f>
        <v>#N/A Requesting Data...</v>
      </c>
      <c r="E57" t="str">
        <f>_xll.BDP("440182VD Muni","COUNTY_LOCATION_ISSUER")</f>
        <v>#N/A Requesting Data...</v>
      </c>
      <c r="F57" t="str">
        <f>_xll.BDP("440182VD Muni","DUR_ADJ_MID")</f>
        <v>#N/A Requesting Data...</v>
      </c>
      <c r="G57" t="str">
        <f>_xll.BDP("440182VD Muni","SPREAD_AT_ISSUANCE_TO_WORST")</f>
        <v>#N/A Requesting Data...</v>
      </c>
      <c r="H57" t="str">
        <f>_xll.BDP("440182VD Muni","ISSUE_DT")</f>
        <v>#N/A Requesting Data...</v>
      </c>
      <c r="I57" t="str">
        <f>_xll.BDS("440182VD Muni","MUNI_PURPOSE_SCHED", "aggregate=y")</f>
        <v>#N/A Review</v>
      </c>
      <c r="J57" t="str">
        <f>_xll.BDP("440182VD Muni","CPN")</f>
        <v>#N/A Requesting Data...</v>
      </c>
      <c r="K57" t="str">
        <f>_xll.BDP("440182VD Muni","MATURITY")</f>
        <v>#N/A Requesting Data...</v>
      </c>
      <c r="L57">
        <v>1290000</v>
      </c>
      <c r="M57" t="str">
        <f>_xll.BDP("440182VD Muni","YIELD_ON_ISSUE_DATE")</f>
        <v>#N/A Requesting Data...</v>
      </c>
      <c r="N57" t="str">
        <f>_xll.BDP("440182VD Muni","YTW_SPREAD_TO_MATURITY_AT_ISSU")</f>
        <v>#N/A Requesting Data...</v>
      </c>
      <c r="O57" t="str">
        <f>_xll.BDP("440182VD Muni","BVAL_MID_YTM")</f>
        <v>#N/A Requesting Data...</v>
      </c>
      <c r="P57" t="str">
        <f>_xll.BDP("440182VD Muni","MUNI_TAX_PROV")</f>
        <v>#N/A Requesting Data...</v>
      </c>
      <c r="Q57" t="str">
        <f>_xll.BDP("440182VD Muni","MUNI_FED_TAX")</f>
        <v>#N/A Requesting Data...</v>
      </c>
      <c r="R57" t="str">
        <f>_xll.BDP("440182VD Muni","MUNI_MSRB_VOLUME")</f>
        <v>#N/A Requesting Data...</v>
      </c>
      <c r="S57" t="str">
        <f>_xll.BDP("440182VD Muni","BB_COMPOSITE")</f>
        <v>#N/A Requesting Data...</v>
      </c>
      <c r="T57" t="str">
        <f>_xll.BDP("440182VD Muni","LQA_LIQUIDITY_SCORE")</f>
        <v>#N/A Requesting Data...</v>
      </c>
    </row>
    <row r="58" spans="1:20" x14ac:dyDescent="0.25">
      <c r="A58" t="str">
        <f>_xll.BDP("091096LC Muni","ID_CUSIP")</f>
        <v>#N/A Requesting Data...</v>
      </c>
      <c r="B58" t="s">
        <v>56</v>
      </c>
      <c r="C58" t="str">
        <f>_xll.BDP("091096LC Muni","INSURANCE_STATUS")</f>
        <v>#N/A Requesting Data...</v>
      </c>
      <c r="D58" t="str">
        <f>_xll.BDP("091096LC Muni","STATE_CODE")</f>
        <v>#N/A Requesting Data...</v>
      </c>
      <c r="E58" t="str">
        <f>_xll.BDP("091096LC Muni","COUNTY_LOCATION_ISSUER")</f>
        <v>#N/A Requesting Data...</v>
      </c>
      <c r="F58" t="str">
        <f>_xll.BDP("091096LC Muni","DUR_ADJ_MID")</f>
        <v>#N/A Requesting Data...</v>
      </c>
      <c r="G58" t="str">
        <f>_xll.BDP("091096LC Muni","SPREAD_AT_ISSUANCE_TO_WORST")</f>
        <v>#N/A Requesting Data...</v>
      </c>
      <c r="H58" t="str">
        <f>_xll.BDP("091096LC Muni","ISSUE_DT")</f>
        <v>#N/A Requesting Data...</v>
      </c>
      <c r="I58" t="str">
        <f>_xll.BDS("091096LC Muni","MUNI_PURPOSE_SCHED", "aggregate=y")</f>
        <v>#N/A Review</v>
      </c>
      <c r="J58" t="str">
        <f>_xll.BDP("091096LC Muni","CPN")</f>
        <v>#N/A Requesting Data...</v>
      </c>
      <c r="K58" t="str">
        <f>_xll.BDP("091096LC Muni","MATURITY")</f>
        <v>#N/A Requesting Data...</v>
      </c>
      <c r="L58">
        <v>6405000</v>
      </c>
      <c r="M58" t="str">
        <f>_xll.BDP("091096LC Muni","YIELD_ON_ISSUE_DATE")</f>
        <v>#N/A Requesting Data...</v>
      </c>
      <c r="N58" t="str">
        <f>_xll.BDP("091096LC Muni","YTW_SPREAD_TO_MATURITY_AT_ISSU")</f>
        <v>#N/A Requesting Data...</v>
      </c>
      <c r="O58" t="str">
        <f>_xll.BDP("091096LC Muni","BVAL_MID_YTM")</f>
        <v>#N/A Requesting Data...</v>
      </c>
      <c r="P58" t="str">
        <f>_xll.BDP("091096LC Muni","MUNI_TAX_PROV")</f>
        <v>#N/A Requesting Data...</v>
      </c>
      <c r="Q58" t="str">
        <f>_xll.BDP("091096LC Muni","MUNI_FED_TAX")</f>
        <v>#N/A Requesting Data...</v>
      </c>
      <c r="R58" t="str">
        <f>_xll.BDP("091096LC Muni","MUNI_MSRB_VOLUME")</f>
        <v>#N/A Requesting Data...</v>
      </c>
      <c r="S58" t="str">
        <f>_xll.BDP("091096LC Muni","BB_COMPOSITE")</f>
        <v>#N/A Requesting Data...</v>
      </c>
      <c r="T58" t="str">
        <f>_xll.BDP("091096LC Muni","LQA_LIQUIDITY_SCORE")</f>
        <v>#N/A Requesting Data...</v>
      </c>
    </row>
    <row r="59" spans="1:20" x14ac:dyDescent="0.25">
      <c r="A59" t="str">
        <f>_xll.BDP("517845AH Muni","ID_CUSIP")</f>
        <v>#N/A Requesting Data...</v>
      </c>
      <c r="B59" t="s">
        <v>33</v>
      </c>
      <c r="C59" t="str">
        <f>_xll.BDP("517845AH Muni","INSURANCE_STATUS")</f>
        <v>#N/A Requesting Data...</v>
      </c>
      <c r="D59" t="str">
        <f>_xll.BDP("517845AH Muni","STATE_CODE")</f>
        <v>#N/A Requesting Data...</v>
      </c>
      <c r="E59" t="str">
        <f>_xll.BDP("517845AH Muni","COUNTY_LOCATION_ISSUER")</f>
        <v>#N/A Requesting Data...</v>
      </c>
      <c r="F59" t="str">
        <f>_xll.BDP("517845AH Muni","DUR_ADJ_MID")</f>
        <v>#N/A Requesting Data...</v>
      </c>
      <c r="G59" t="str">
        <f>_xll.BDP("517845AH Muni","SPREAD_AT_ISSUANCE_TO_WORST")</f>
        <v>#N/A Requesting Data...</v>
      </c>
      <c r="H59" t="str">
        <f>_xll.BDP("517845AH Muni","ISSUE_DT")</f>
        <v>#N/A Requesting Data...</v>
      </c>
      <c r="I59" t="str">
        <f>_xll.BDS("517845AH Muni","MUNI_PURPOSE_SCHED", "aggregate=y")</f>
        <v>#N/A Review</v>
      </c>
      <c r="J59" t="str">
        <f>_xll.BDP("517845AH Muni","CPN")</f>
        <v>#N/A Requesting Data...</v>
      </c>
      <c r="K59" t="str">
        <f>_xll.BDP("517845AH Muni","MATURITY")</f>
        <v>#N/A Requesting Data...</v>
      </c>
      <c r="L59">
        <v>18185000</v>
      </c>
      <c r="M59" t="str">
        <f>_xll.BDP("517845AH Muni","YIELD_ON_ISSUE_DATE")</f>
        <v>#N/A Requesting Data...</v>
      </c>
      <c r="N59" t="str">
        <f>_xll.BDP("517845AH Muni","YTW_SPREAD_TO_MATURITY_AT_ISSU")</f>
        <v>#N/A Requesting Data...</v>
      </c>
      <c r="O59" t="str">
        <f>_xll.BDP("517845AH Muni","BVAL_MID_YTM")</f>
        <v>#N/A Requesting Data...</v>
      </c>
      <c r="P59" t="str">
        <f>_xll.BDP("517845AH Muni","MUNI_TAX_PROV")</f>
        <v>#N/A Requesting Data...</v>
      </c>
      <c r="Q59" t="str">
        <f>_xll.BDP("517845AH Muni","MUNI_FED_TAX")</f>
        <v>#N/A Requesting Data...</v>
      </c>
      <c r="R59" t="str">
        <f>_xll.BDP("517845AH Muni","MUNI_MSRB_VOLUME")</f>
        <v>#N/A Requesting Data...</v>
      </c>
      <c r="S59" t="str">
        <f>_xll.BDP("517845AH Muni","BB_COMPOSITE")</f>
        <v>#N/A Requesting Data...</v>
      </c>
      <c r="T59" t="str">
        <f>_xll.BDP("517845AH Muni","LQA_LIQUIDITY_SCORE")</f>
        <v>#N/A Requesting Data...</v>
      </c>
    </row>
    <row r="60" spans="1:20" x14ac:dyDescent="0.25">
      <c r="A60" t="str">
        <f>_xll.BDP("575829BS Muni","ID_CUSIP")</f>
        <v>#N/A Requesting Data...</v>
      </c>
      <c r="B60" t="s">
        <v>20</v>
      </c>
      <c r="C60" t="str">
        <f>_xll.BDP("575829BS Muni","INSURANCE_STATUS")</f>
        <v>#N/A Requesting Data...</v>
      </c>
      <c r="D60" t="str">
        <f>_xll.BDP("575829BS Muni","STATE_CODE")</f>
        <v>#N/A Requesting Data...</v>
      </c>
      <c r="E60" t="str">
        <f>_xll.BDP("575829BS Muni","COUNTY_LOCATION_ISSUER")</f>
        <v>#N/A Requesting Data...</v>
      </c>
      <c r="F60" t="str">
        <f>_xll.BDP("575829BS Muni","DUR_ADJ_MID")</f>
        <v>#N/A Requesting Data...</v>
      </c>
      <c r="G60" t="str">
        <f>_xll.BDP("575829BS Muni","SPREAD_AT_ISSUANCE_TO_WORST")</f>
        <v>#N/A Requesting Data...</v>
      </c>
      <c r="H60" t="str">
        <f>_xll.BDP("575829BS Muni","ISSUE_DT")</f>
        <v>#N/A Requesting Data...</v>
      </c>
      <c r="I60" t="str">
        <f>_xll.BDS("575829BS Muni","MUNI_PURPOSE_SCHED", "aggregate=y")</f>
        <v>#N/A Review</v>
      </c>
      <c r="J60" t="str">
        <f>_xll.BDP("575829BS Muni","CPN")</f>
        <v>#N/A Requesting Data...</v>
      </c>
      <c r="K60" t="str">
        <f>_xll.BDP("575829BS Muni","MATURITY")</f>
        <v>#N/A Requesting Data...</v>
      </c>
      <c r="L60">
        <v>9665000</v>
      </c>
      <c r="M60" t="str">
        <f>_xll.BDP("575829BS Muni","YIELD_ON_ISSUE_DATE")</f>
        <v>#N/A Requesting Data...</v>
      </c>
      <c r="N60" t="str">
        <f>_xll.BDP("575829BS Muni","YTW_SPREAD_TO_MATURITY_AT_ISSU")</f>
        <v>#N/A Requesting Data...</v>
      </c>
      <c r="O60" t="str">
        <f>_xll.BDP("575829BS Muni","BVAL_MID_YTM")</f>
        <v>#N/A Requesting Data...</v>
      </c>
      <c r="P60" t="str">
        <f>_xll.BDP("575829BS Muni","MUNI_TAX_PROV")</f>
        <v>#N/A Requesting Data...</v>
      </c>
      <c r="Q60" t="str">
        <f>_xll.BDP("575829BS Muni","MUNI_FED_TAX")</f>
        <v>#N/A Requesting Data...</v>
      </c>
      <c r="R60" t="str">
        <f>_xll.BDP("575829BS Muni","MUNI_MSRB_VOLUME")</f>
        <v>#N/A Requesting Data...</v>
      </c>
      <c r="S60" t="str">
        <f>_xll.BDP("575829BS Muni","BB_COMPOSITE")</f>
        <v>#N/A Requesting Data...</v>
      </c>
      <c r="T60" t="str">
        <f>_xll.BDP("575829BS Muni","LQA_LIQUIDITY_SCORE")</f>
        <v>#N/A Requesting Data...</v>
      </c>
    </row>
    <row r="61" spans="1:20" x14ac:dyDescent="0.25">
      <c r="A61" t="str">
        <f>_xll.BDP("57390EEU Muni","ID_CUSIP")</f>
        <v>#N/A Requesting Data...</v>
      </c>
      <c r="B61" t="s">
        <v>57</v>
      </c>
      <c r="C61" t="str">
        <f>_xll.BDP("57390EEU Muni","INSURANCE_STATUS")</f>
        <v>#N/A Requesting Data...</v>
      </c>
      <c r="D61" t="str">
        <f>_xll.BDP("57390EEU Muni","STATE_CODE")</f>
        <v>#N/A Requesting Data...</v>
      </c>
      <c r="E61" t="str">
        <f>_xll.BDP("57390EEU Muni","COUNTY_LOCATION_ISSUER")</f>
        <v>#N/A Requesting Data...</v>
      </c>
      <c r="F61" t="str">
        <f>_xll.BDP("57390EEU Muni","DUR_ADJ_MID")</f>
        <v>#N/A Requesting Data...</v>
      </c>
      <c r="G61" t="str">
        <f>_xll.BDP("57390EEU Muni","SPREAD_AT_ISSUANCE_TO_WORST")</f>
        <v>#N/A Requesting Data...</v>
      </c>
      <c r="H61" t="str">
        <f>_xll.BDP("57390EEU Muni","ISSUE_DT")</f>
        <v>#N/A Requesting Data...</v>
      </c>
      <c r="I61" t="str">
        <f>_xll.BDS("57390EEU Muni","MUNI_PURPOSE_SCHED", "aggregate=y")</f>
        <v>#N/A Review</v>
      </c>
      <c r="J61" t="str">
        <f>_xll.BDP("57390EEU Muni","CPN")</f>
        <v>#N/A Requesting Data...</v>
      </c>
      <c r="K61" t="str">
        <f>_xll.BDP("57390EEU Muni","MATURITY")</f>
        <v>#N/A Requesting Data...</v>
      </c>
      <c r="L61">
        <v>5225000</v>
      </c>
      <c r="M61" t="str">
        <f>_xll.BDP("57390EEU Muni","YIELD_ON_ISSUE_DATE")</f>
        <v>#N/A Requesting Data...</v>
      </c>
      <c r="N61" t="str">
        <f>_xll.BDP("57390EEU Muni","YTW_SPREAD_TO_MATURITY_AT_ISSU")</f>
        <v>#N/A Requesting Data...</v>
      </c>
      <c r="O61" t="str">
        <f>_xll.BDP("57390EEU Muni","BVAL_MID_YTM")</f>
        <v>#N/A Requesting Data...</v>
      </c>
      <c r="P61" t="str">
        <f>_xll.BDP("57390EEU Muni","MUNI_TAX_PROV")</f>
        <v>#N/A Requesting Data...</v>
      </c>
      <c r="Q61" t="str">
        <f>_xll.BDP("57390EEU Muni","MUNI_FED_TAX")</f>
        <v>#N/A Requesting Data...</v>
      </c>
      <c r="R61" t="str">
        <f>_xll.BDP("57390EEU Muni","MUNI_MSRB_VOLUME")</f>
        <v>#N/A Requesting Data...</v>
      </c>
      <c r="S61" t="str">
        <f>_xll.BDP("57390EEU Muni","BB_COMPOSITE")</f>
        <v>#N/A Requesting Data...</v>
      </c>
      <c r="T61" t="str">
        <f>_xll.BDP("57390EEU Muni","LQA_LIQUIDITY_SCORE")</f>
        <v>#N/A Requesting Data...</v>
      </c>
    </row>
    <row r="62" spans="1:20" x14ac:dyDescent="0.25">
      <c r="A62" t="str">
        <f>_xll.BDP("915547FL Muni","ID_CUSIP")</f>
        <v>#N/A Requesting Data...</v>
      </c>
      <c r="B62" t="s">
        <v>58</v>
      </c>
      <c r="C62" t="str">
        <f>_xll.BDP("915547FL Muni","INSURANCE_STATUS")</f>
        <v>#N/A Requesting Data...</v>
      </c>
      <c r="D62" t="str">
        <f>_xll.BDP("915547FL Muni","STATE_CODE")</f>
        <v>#N/A Requesting Data...</v>
      </c>
      <c r="E62" t="str">
        <f>_xll.BDP("915547FL Muni","COUNTY_LOCATION_ISSUER")</f>
        <v>#N/A Requesting Data...</v>
      </c>
      <c r="F62" t="str">
        <f>_xll.BDP("915547FL Muni","DUR_ADJ_MID")</f>
        <v>#N/A Requesting Data...</v>
      </c>
      <c r="G62" t="str">
        <f>_xll.BDP("915547FL Muni","SPREAD_AT_ISSUANCE_TO_WORST")</f>
        <v>#N/A Requesting Data...</v>
      </c>
      <c r="H62" t="str">
        <f>_xll.BDP("915547FL Muni","ISSUE_DT")</f>
        <v>#N/A Requesting Data...</v>
      </c>
      <c r="I62" t="str">
        <f>_xll.BDS("915547FL Muni","MUNI_PURPOSE_SCHED", "aggregate=y")</f>
        <v>#N/A Review</v>
      </c>
      <c r="J62" t="str">
        <f>_xll.BDP("915547FL Muni","CPN")</f>
        <v>#N/A Requesting Data...</v>
      </c>
      <c r="K62" t="str">
        <f>_xll.BDP("915547FL Muni","MATURITY")</f>
        <v>#N/A Requesting Data...</v>
      </c>
      <c r="L62">
        <v>715000</v>
      </c>
      <c r="M62" t="str">
        <f>_xll.BDP("915547FL Muni","YIELD_ON_ISSUE_DATE")</f>
        <v>#N/A Requesting Data...</v>
      </c>
      <c r="N62" t="str">
        <f>_xll.BDP("915547FL Muni","YTW_SPREAD_TO_MATURITY_AT_ISSU")</f>
        <v>#N/A Requesting Data...</v>
      </c>
      <c r="O62" t="str">
        <f>_xll.BDP("915547FL Muni","BVAL_MID_YTM")</f>
        <v>#N/A Requesting Data...</v>
      </c>
      <c r="P62" t="str">
        <f>_xll.BDP("915547FL Muni","MUNI_TAX_PROV")</f>
        <v>#N/A Requesting Data...</v>
      </c>
      <c r="Q62" t="str">
        <f>_xll.BDP("915547FL Muni","MUNI_FED_TAX")</f>
        <v>#N/A Requesting Data...</v>
      </c>
      <c r="R62" t="str">
        <f>_xll.BDP("915547FL Muni","MUNI_MSRB_VOLUME")</f>
        <v>#N/A Requesting Data...</v>
      </c>
      <c r="S62" t="str">
        <f>_xll.BDP("915547FL Muni","BB_COMPOSITE")</f>
        <v>#N/A Requesting Data...</v>
      </c>
      <c r="T62" t="str">
        <f>_xll.BDP("915547FL Muni","LQA_LIQUIDITY_SCORE")</f>
        <v>#N/A Requesting Data...</v>
      </c>
    </row>
    <row r="63" spans="1:20" x14ac:dyDescent="0.25">
      <c r="A63" t="str">
        <f>_xll.BDP("37530AAH Muni","ID_CUSIP")</f>
        <v>#N/A Requesting Data...</v>
      </c>
      <c r="B63" t="s">
        <v>39</v>
      </c>
      <c r="C63" t="str">
        <f>_xll.BDP("37530AAH Muni","INSURANCE_STATUS")</f>
        <v>#N/A Requesting Data...</v>
      </c>
      <c r="D63" t="str">
        <f>_xll.BDP("37530AAH Muni","STATE_CODE")</f>
        <v>#N/A Requesting Data...</v>
      </c>
      <c r="E63" t="str">
        <f>_xll.BDP("37530AAH Muni","COUNTY_LOCATION_ISSUER")</f>
        <v>#N/A Requesting Data...</v>
      </c>
      <c r="F63" t="str">
        <f>_xll.BDP("37530AAH Muni","DUR_ADJ_MID")</f>
        <v>#N/A Requesting Data...</v>
      </c>
      <c r="G63" t="str">
        <f>_xll.BDP("37530AAH Muni","SPREAD_AT_ISSUANCE_TO_WORST")</f>
        <v>#N/A Requesting Data...</v>
      </c>
      <c r="H63" t="str">
        <f>_xll.BDP("37530AAH Muni","ISSUE_DT")</f>
        <v>#N/A Requesting Data...</v>
      </c>
      <c r="I63" t="str">
        <f>_xll.BDS("37530AAH Muni","MUNI_PURPOSE_SCHED", "aggregate=y")</f>
        <v>#N/A Review</v>
      </c>
      <c r="J63" t="str">
        <f>_xll.BDP("37530AAH Muni","CPN")</f>
        <v>#N/A Requesting Data...</v>
      </c>
      <c r="K63" t="str">
        <f>_xll.BDP("37530AAH Muni","MATURITY")</f>
        <v>#N/A Requesting Data...</v>
      </c>
      <c r="L63">
        <v>6750000</v>
      </c>
      <c r="M63" t="str">
        <f>_xll.BDP("37530AAH Muni","YIELD_ON_ISSUE_DATE")</f>
        <v>#N/A Requesting Data...</v>
      </c>
      <c r="N63" t="str">
        <f>_xll.BDP("37530AAH Muni","YTW_SPREAD_TO_MATURITY_AT_ISSU")</f>
        <v>#N/A Requesting Data...</v>
      </c>
      <c r="O63" t="str">
        <f>_xll.BDP("37530AAH Muni","BVAL_MID_YTM")</f>
        <v>#N/A Requesting Data...</v>
      </c>
      <c r="P63" t="str">
        <f>_xll.BDP("37530AAH Muni","MUNI_TAX_PROV")</f>
        <v>#N/A Requesting Data...</v>
      </c>
      <c r="Q63" t="str">
        <f>_xll.BDP("37530AAH Muni","MUNI_FED_TAX")</f>
        <v>#N/A Requesting Data...</v>
      </c>
      <c r="R63" t="str">
        <f>_xll.BDP("37530AAH Muni","MUNI_MSRB_VOLUME")</f>
        <v>#N/A Requesting Data...</v>
      </c>
      <c r="S63" t="str">
        <f>_xll.BDP("37530AAH Muni","BB_COMPOSITE")</f>
        <v>#N/A Requesting Data...</v>
      </c>
      <c r="T63" t="str">
        <f>_xll.BDP("37530AAH Muni","LQA_LIQUIDITY_SCORE")</f>
        <v>#N/A Requesting Data...</v>
      </c>
    </row>
    <row r="64" spans="1:20" x14ac:dyDescent="0.25">
      <c r="A64" t="str">
        <f>_xll.BDP("526318PZ Muni","ID_CUSIP")</f>
        <v>#N/A Requesting Data...</v>
      </c>
      <c r="B64" t="s">
        <v>59</v>
      </c>
      <c r="C64" t="str">
        <f>_xll.BDP("526318PZ Muni","INSURANCE_STATUS")</f>
        <v>#N/A Requesting Data...</v>
      </c>
      <c r="D64" t="str">
        <f>_xll.BDP("526318PZ Muni","STATE_CODE")</f>
        <v>#N/A Requesting Data...</v>
      </c>
      <c r="E64" t="str">
        <f>_xll.BDP("526318PZ Muni","COUNTY_LOCATION_ISSUER")</f>
        <v>#N/A Requesting Data...</v>
      </c>
      <c r="F64" t="str">
        <f>_xll.BDP("526318PZ Muni","DUR_ADJ_MID")</f>
        <v>#N/A Requesting Data...</v>
      </c>
      <c r="G64" t="str">
        <f>_xll.BDP("526318PZ Muni","SPREAD_AT_ISSUANCE_TO_WORST")</f>
        <v>#N/A Requesting Data...</v>
      </c>
      <c r="H64" t="str">
        <f>_xll.BDP("526318PZ Muni","ISSUE_DT")</f>
        <v>#N/A Requesting Data...</v>
      </c>
      <c r="I64" t="str">
        <f>_xll.BDS("526318PZ Muni","MUNI_PURPOSE_SCHED", "aggregate=y")</f>
        <v>#N/A Review</v>
      </c>
      <c r="J64" t="str">
        <f>_xll.BDP("526318PZ Muni","CPN")</f>
        <v>#N/A Requesting Data...</v>
      </c>
      <c r="K64" t="str">
        <f>_xll.BDP("526318PZ Muni","MATURITY")</f>
        <v>#N/A Requesting Data...</v>
      </c>
      <c r="L64">
        <v>690000</v>
      </c>
      <c r="M64" t="str">
        <f>_xll.BDP("526318PZ Muni","YIELD_ON_ISSUE_DATE")</f>
        <v>#N/A Requesting Data...</v>
      </c>
      <c r="N64" t="str">
        <f>_xll.BDP("526318PZ Muni","YTW_SPREAD_TO_MATURITY_AT_ISSU")</f>
        <v>#N/A Requesting Data...</v>
      </c>
      <c r="O64" t="str">
        <f>_xll.BDP("526318PZ Muni","BVAL_MID_YTM")</f>
        <v>#N/A Requesting Data...</v>
      </c>
      <c r="P64" t="str">
        <f>_xll.BDP("526318PZ Muni","MUNI_TAX_PROV")</f>
        <v>#N/A Requesting Data...</v>
      </c>
      <c r="Q64" t="str">
        <f>_xll.BDP("526318PZ Muni","MUNI_FED_TAX")</f>
        <v>#N/A Requesting Data...</v>
      </c>
      <c r="R64" t="str">
        <f>_xll.BDP("526318PZ Muni","MUNI_MSRB_VOLUME")</f>
        <v>#N/A Requesting Data...</v>
      </c>
      <c r="S64" t="str">
        <f>_xll.BDP("526318PZ Muni","BB_COMPOSITE")</f>
        <v>#N/A Requesting Data...</v>
      </c>
      <c r="T64" t="str">
        <f>_xll.BDP("526318PZ Muni","LQA_LIQUIDITY_SCORE")</f>
        <v>#N/A Requesting Data...</v>
      </c>
    </row>
    <row r="65" spans="1:20" x14ac:dyDescent="0.25">
      <c r="A65" t="str">
        <f>_xll.BDP("64985HVR Muni","ID_CUSIP")</f>
        <v>#N/A Requesting Data...</v>
      </c>
      <c r="B65" t="s">
        <v>38</v>
      </c>
      <c r="C65" t="str">
        <f>_xll.BDP("64985HVR Muni","INSURANCE_STATUS")</f>
        <v>#N/A Requesting Data...</v>
      </c>
      <c r="D65" t="str">
        <f>_xll.BDP("64985HVR Muni","STATE_CODE")</f>
        <v>#N/A Requesting Data...</v>
      </c>
      <c r="E65" t="str">
        <f>_xll.BDP("64985HVR Muni","COUNTY_LOCATION_ISSUER")</f>
        <v>#N/A Requesting Data...</v>
      </c>
      <c r="F65" t="str">
        <f>_xll.BDP("64985HVR Muni","DUR_ADJ_MID")</f>
        <v>#N/A Requesting Data...</v>
      </c>
      <c r="G65" t="str">
        <f>_xll.BDP("64985HVR Muni","SPREAD_AT_ISSUANCE_TO_WORST")</f>
        <v>#N/A Requesting Data...</v>
      </c>
      <c r="H65" t="str">
        <f>_xll.BDP("64985HVR Muni","ISSUE_DT")</f>
        <v>#N/A Requesting Data...</v>
      </c>
      <c r="I65" t="str">
        <f>_xll.BDS("64985HVR Muni","MUNI_PURPOSE_SCHED", "aggregate=y")</f>
        <v>#N/A Review</v>
      </c>
      <c r="J65" t="str">
        <f>_xll.BDP("64985HVR Muni","CPN")</f>
        <v>#N/A Requesting Data...</v>
      </c>
      <c r="K65" t="str">
        <f>_xll.BDP("64985HVR Muni","MATURITY")</f>
        <v>#N/A Requesting Data...</v>
      </c>
      <c r="L65">
        <v>1965000</v>
      </c>
      <c r="M65" t="str">
        <f>_xll.BDP("64985HVR Muni","YIELD_ON_ISSUE_DATE")</f>
        <v>#N/A Requesting Data...</v>
      </c>
      <c r="N65" t="str">
        <f>_xll.BDP("64985HVR Muni","YTW_SPREAD_TO_MATURITY_AT_ISSU")</f>
        <v>#N/A Requesting Data...</v>
      </c>
      <c r="O65" t="str">
        <f>_xll.BDP("64985HVR Muni","BVAL_MID_YTM")</f>
        <v>#N/A Requesting Data...</v>
      </c>
      <c r="P65" t="str">
        <f>_xll.BDP("64985HVR Muni","MUNI_TAX_PROV")</f>
        <v>#N/A Requesting Data...</v>
      </c>
      <c r="Q65" t="str">
        <f>_xll.BDP("64985HVR Muni","MUNI_FED_TAX")</f>
        <v>#N/A Requesting Data...</v>
      </c>
      <c r="R65" t="str">
        <f>_xll.BDP("64985HVR Muni","MUNI_MSRB_VOLUME")</f>
        <v>#N/A Requesting Data...</v>
      </c>
      <c r="S65" t="str">
        <f>_xll.BDP("64985HVR Muni","BB_COMPOSITE")</f>
        <v>#N/A Requesting Data...</v>
      </c>
      <c r="T65" t="str">
        <f>_xll.BDP("64985HVR Muni","LQA_LIQUIDITY_SCORE")</f>
        <v>#N/A Requesting Data...</v>
      </c>
    </row>
    <row r="66" spans="1:20" x14ac:dyDescent="0.25">
      <c r="A66" t="str">
        <f>_xll.BDP("4636324Y Muni","ID_CUSIP")</f>
        <v>#N/A Requesting Data...</v>
      </c>
      <c r="B66" t="s">
        <v>26</v>
      </c>
      <c r="C66" t="str">
        <f>_xll.BDP("4636324Y Muni","INSURANCE_STATUS")</f>
        <v>#N/A Requesting Data...</v>
      </c>
      <c r="D66" t="str">
        <f>_xll.BDP("4636324Y Muni","STATE_CODE")</f>
        <v>#N/A Requesting Data...</v>
      </c>
      <c r="E66" t="str">
        <f>_xll.BDP("4636324Y Muni","COUNTY_LOCATION_ISSUER")</f>
        <v>#N/A Requesting Data...</v>
      </c>
      <c r="F66" t="str">
        <f>_xll.BDP("4636324Y Muni","DUR_ADJ_MID")</f>
        <v>#N/A Requesting Data...</v>
      </c>
      <c r="G66" t="str">
        <f>_xll.BDP("4636324Y Muni","SPREAD_AT_ISSUANCE_TO_WORST")</f>
        <v>#N/A Requesting Data...</v>
      </c>
      <c r="H66" t="str">
        <f>_xll.BDP("4636324Y Muni","ISSUE_DT")</f>
        <v>#N/A Requesting Data...</v>
      </c>
      <c r="I66" t="str">
        <f>_xll.BDS("4636324Y Muni","MUNI_PURPOSE_SCHED", "aggregate=y")</f>
        <v>#N/A Review</v>
      </c>
      <c r="J66" t="str">
        <f>_xll.BDP("4636324Y Muni","CPN")</f>
        <v>#N/A Requesting Data...</v>
      </c>
      <c r="K66" t="str">
        <f>_xll.BDP("4636324Y Muni","MATURITY")</f>
        <v>#N/A Requesting Data...</v>
      </c>
      <c r="L66">
        <v>2495000</v>
      </c>
      <c r="M66" t="str">
        <f>_xll.BDP("4636324Y Muni","YIELD_ON_ISSUE_DATE")</f>
        <v>#N/A Requesting Data...</v>
      </c>
      <c r="N66" t="str">
        <f>_xll.BDP("4636324Y Muni","YTW_SPREAD_TO_MATURITY_AT_ISSU")</f>
        <v>#N/A Requesting Data...</v>
      </c>
      <c r="O66" t="str">
        <f>_xll.BDP("4636324Y Muni","BVAL_MID_YTM")</f>
        <v>#N/A Requesting Data...</v>
      </c>
      <c r="P66" t="str">
        <f>_xll.BDP("4636324Y Muni","MUNI_TAX_PROV")</f>
        <v>#N/A Requesting Data...</v>
      </c>
      <c r="Q66" t="str">
        <f>_xll.BDP("4636324Y Muni","MUNI_FED_TAX")</f>
        <v>#N/A Requesting Data...</v>
      </c>
      <c r="R66" t="str">
        <f>_xll.BDP("4636324Y Muni","MUNI_MSRB_VOLUME")</f>
        <v>#N/A Requesting Data...</v>
      </c>
      <c r="S66" t="str">
        <f>_xll.BDP("4636324Y Muni","BB_COMPOSITE")</f>
        <v>#N/A Requesting Data...</v>
      </c>
      <c r="T66" t="str">
        <f>_xll.BDP("4636324Y Muni","LQA_LIQUIDITY_SCORE")</f>
        <v>#N/A Requesting Data...</v>
      </c>
    </row>
    <row r="67" spans="1:20" x14ac:dyDescent="0.25">
      <c r="A67" t="str">
        <f>_xll.BDP("70914PD7 Muni","ID_CUSIP")</f>
        <v>#N/A Requesting Data...</v>
      </c>
      <c r="B67" t="s">
        <v>30</v>
      </c>
      <c r="C67" t="str">
        <f>_xll.BDP("70914PD7 Muni","INSURANCE_STATUS")</f>
        <v>#N/A Requesting Data...</v>
      </c>
      <c r="D67" t="str">
        <f>_xll.BDP("70914PD7 Muni","STATE_CODE")</f>
        <v>#N/A Requesting Data...</v>
      </c>
      <c r="E67" t="str">
        <f>_xll.BDP("70914PD7 Muni","COUNTY_LOCATION_ISSUER")</f>
        <v>#N/A Requesting Data...</v>
      </c>
      <c r="F67" t="str">
        <f>_xll.BDP("70914PD7 Muni","DUR_ADJ_MID")</f>
        <v>#N/A Requesting Data...</v>
      </c>
      <c r="G67" t="str">
        <f>_xll.BDP("70914PD7 Muni","SPREAD_AT_ISSUANCE_TO_WORST")</f>
        <v>#N/A Requesting Data...</v>
      </c>
      <c r="H67" t="str">
        <f>_xll.BDP("70914PD7 Muni","ISSUE_DT")</f>
        <v>#N/A Requesting Data...</v>
      </c>
      <c r="I67" t="str">
        <f>_xll.BDS("70914PD7 Muni","MUNI_PURPOSE_SCHED", "aggregate=y")</f>
        <v>#N/A Review</v>
      </c>
      <c r="J67" t="str">
        <f>_xll.BDP("70914PD7 Muni","CPN")</f>
        <v>#N/A Requesting Data...</v>
      </c>
      <c r="K67" t="str">
        <f>_xll.BDP("70914PD7 Muni","MATURITY")</f>
        <v>#N/A Requesting Data...</v>
      </c>
      <c r="L67">
        <v>48680000</v>
      </c>
      <c r="M67" t="str">
        <f>_xll.BDP("70914PD7 Muni","YIELD_ON_ISSUE_DATE")</f>
        <v>#N/A Requesting Data...</v>
      </c>
      <c r="N67" t="str">
        <f>_xll.BDP("70914PD7 Muni","YTW_SPREAD_TO_MATURITY_AT_ISSU")</f>
        <v>#N/A Requesting Data...</v>
      </c>
      <c r="O67" t="str">
        <f>_xll.BDP("70914PD7 Muni","BVAL_MID_YTM")</f>
        <v>#N/A Requesting Data...</v>
      </c>
      <c r="P67" t="str">
        <f>_xll.BDP("70914PD7 Muni","MUNI_TAX_PROV")</f>
        <v>#N/A Requesting Data...</v>
      </c>
      <c r="Q67" t="str">
        <f>_xll.BDP("70914PD7 Muni","MUNI_FED_TAX")</f>
        <v>#N/A Requesting Data...</v>
      </c>
      <c r="R67" t="str">
        <f>_xll.BDP("70914PD7 Muni","MUNI_MSRB_VOLUME")</f>
        <v>#N/A Requesting Data...</v>
      </c>
      <c r="S67" t="str">
        <f>_xll.BDP("70914PD7 Muni","BB_COMPOSITE")</f>
        <v>#N/A Requesting Data...</v>
      </c>
      <c r="T67" t="str">
        <f>_xll.BDP("70914PD7 Muni","LQA_LIQUIDITY_SCORE")</f>
        <v>#N/A Requesting Data...</v>
      </c>
    </row>
    <row r="68" spans="1:20" x14ac:dyDescent="0.25">
      <c r="A68" t="str">
        <f>_xll.BDP("13466LBJ Muni","ID_CUSIP")</f>
        <v>#N/A Requesting Data...</v>
      </c>
      <c r="B68" t="s">
        <v>60</v>
      </c>
      <c r="C68" t="str">
        <f>_xll.BDP("13466LBJ Muni","INSURANCE_STATUS")</f>
        <v>#N/A Requesting Data...</v>
      </c>
      <c r="D68" t="str">
        <f>_xll.BDP("13466LBJ Muni","STATE_CODE")</f>
        <v>#N/A Requesting Data...</v>
      </c>
      <c r="E68" t="str">
        <f>_xll.BDP("13466LBJ Muni","COUNTY_LOCATION_ISSUER")</f>
        <v>#N/A Requesting Data...</v>
      </c>
      <c r="F68" t="str">
        <f>_xll.BDP("13466LBJ Muni","DUR_ADJ_MID")</f>
        <v>#N/A Requesting Data...</v>
      </c>
      <c r="G68" t="str">
        <f>_xll.BDP("13466LBJ Muni","SPREAD_AT_ISSUANCE_TO_WORST")</f>
        <v>#N/A Requesting Data...</v>
      </c>
      <c r="H68" t="str">
        <f>_xll.BDP("13466LBJ Muni","ISSUE_DT")</f>
        <v>#N/A Requesting Data...</v>
      </c>
      <c r="I68" t="str">
        <f>_xll.BDS("13466LBJ Muni","MUNI_PURPOSE_SCHED", "aggregate=y")</f>
        <v>#N/A Review</v>
      </c>
      <c r="J68" t="str">
        <f>_xll.BDP("13466LBJ Muni","CPN")</f>
        <v>#N/A Requesting Data...</v>
      </c>
      <c r="K68" t="str">
        <f>_xll.BDP("13466LBJ Muni","MATURITY")</f>
        <v>#N/A Requesting Data...</v>
      </c>
      <c r="L68">
        <v>695000</v>
      </c>
      <c r="M68" t="str">
        <f>_xll.BDP("13466LBJ Muni","YIELD_ON_ISSUE_DATE")</f>
        <v>#N/A Requesting Data...</v>
      </c>
      <c r="N68" t="str">
        <f>_xll.BDP("13466LBJ Muni","YTW_SPREAD_TO_MATURITY_AT_ISSU")</f>
        <v>#N/A Requesting Data...</v>
      </c>
      <c r="O68" t="str">
        <f>_xll.BDP("13466LBJ Muni","BVAL_MID_YTM")</f>
        <v>#N/A Requesting Data...</v>
      </c>
      <c r="P68" t="str">
        <f>_xll.BDP("13466LBJ Muni","MUNI_TAX_PROV")</f>
        <v>#N/A Requesting Data...</v>
      </c>
      <c r="Q68" t="str">
        <f>_xll.BDP("13466LBJ Muni","MUNI_FED_TAX")</f>
        <v>#N/A Requesting Data...</v>
      </c>
      <c r="R68" t="str">
        <f>_xll.BDP("13466LBJ Muni","MUNI_MSRB_VOLUME")</f>
        <v>#N/A Requesting Data...</v>
      </c>
      <c r="S68" t="str">
        <f>_xll.BDP("13466LBJ Muni","BB_COMPOSITE")</f>
        <v>#N/A Requesting Data...</v>
      </c>
      <c r="T68" t="str">
        <f>_xll.BDP("13466LBJ Muni","LQA_LIQUIDITY_SCORE")</f>
        <v>#N/A Requesting Data...</v>
      </c>
    </row>
    <row r="69" spans="1:20" x14ac:dyDescent="0.25">
      <c r="A69" t="str">
        <f>_xll.BDP("20772J3T Muni","ID_CUSIP")</f>
        <v>#N/A Requesting Data...</v>
      </c>
      <c r="B69" t="s">
        <v>47</v>
      </c>
      <c r="C69" t="str">
        <f>_xll.BDP("20772J3T Muni","INSURANCE_STATUS")</f>
        <v>#N/A Requesting Data...</v>
      </c>
      <c r="D69" t="str">
        <f>_xll.BDP("20772J3T Muni","STATE_CODE")</f>
        <v>#N/A Requesting Data...</v>
      </c>
      <c r="E69" t="str">
        <f>_xll.BDP("20772J3T Muni","COUNTY_LOCATION_ISSUER")</f>
        <v>#N/A Requesting Data...</v>
      </c>
      <c r="F69" t="str">
        <f>_xll.BDP("20772J3T Muni","DUR_ADJ_MID")</f>
        <v>#N/A Requesting Data...</v>
      </c>
      <c r="G69" t="str">
        <f>_xll.BDP("20772J3T Muni","SPREAD_AT_ISSUANCE_TO_WORST")</f>
        <v>#N/A Requesting Data...</v>
      </c>
      <c r="H69" t="str">
        <f>_xll.BDP("20772J3T Muni","ISSUE_DT")</f>
        <v>#N/A Requesting Data...</v>
      </c>
      <c r="I69" t="str">
        <f>_xll.BDS("20772J3T Muni","MUNI_PURPOSE_SCHED", "aggregate=y")</f>
        <v>#N/A Review</v>
      </c>
      <c r="J69" t="str">
        <f>_xll.BDP("20772J3T Muni","CPN")</f>
        <v>#N/A Requesting Data...</v>
      </c>
      <c r="K69" t="str">
        <f>_xll.BDP("20772J3T Muni","MATURITY")</f>
        <v>#N/A Requesting Data...</v>
      </c>
      <c r="L69">
        <v>30975000</v>
      </c>
      <c r="M69" t="str">
        <f>_xll.BDP("20772J3T Muni","YIELD_ON_ISSUE_DATE")</f>
        <v>#N/A Requesting Data...</v>
      </c>
      <c r="N69" t="str">
        <f>_xll.BDP("20772J3T Muni","YTW_SPREAD_TO_MATURITY_AT_ISSU")</f>
        <v>#N/A Requesting Data...</v>
      </c>
      <c r="O69" t="str">
        <f>_xll.BDP("20772J3T Muni","BVAL_MID_YTM")</f>
        <v>#N/A Requesting Data...</v>
      </c>
      <c r="P69" t="str">
        <f>_xll.BDP("20772J3T Muni","MUNI_TAX_PROV")</f>
        <v>#N/A Requesting Data...</v>
      </c>
      <c r="Q69" t="str">
        <f>_xll.BDP("20772J3T Muni","MUNI_FED_TAX")</f>
        <v>#N/A Requesting Data...</v>
      </c>
      <c r="R69" t="str">
        <f>_xll.BDP("20772J3T Muni","MUNI_MSRB_VOLUME")</f>
        <v>#N/A Requesting Data...</v>
      </c>
      <c r="S69" t="str">
        <f>_xll.BDP("20772J3T Muni","BB_COMPOSITE")</f>
        <v>#N/A Requesting Data...</v>
      </c>
      <c r="T69" t="str">
        <f>_xll.BDP("20772J3T Muni","LQA_LIQUIDITY_SCORE")</f>
        <v>#N/A Requesting Data...</v>
      </c>
    </row>
    <row r="70" spans="1:20" x14ac:dyDescent="0.25">
      <c r="A70" t="str">
        <f>_xll.BDP("351640SR Muni","ID_CUSIP")</f>
        <v>#N/A Requesting Data...</v>
      </c>
      <c r="B70" t="s">
        <v>61</v>
      </c>
      <c r="C70" t="str">
        <f>_xll.BDP("351640SR Muni","INSURANCE_STATUS")</f>
        <v>#N/A Requesting Data...</v>
      </c>
      <c r="D70" t="str">
        <f>_xll.BDP("351640SR Muni","STATE_CODE")</f>
        <v>#N/A Requesting Data...</v>
      </c>
      <c r="E70" t="str">
        <f>_xll.BDP("351640SR Muni","COUNTY_LOCATION_ISSUER")</f>
        <v>#N/A Requesting Data...</v>
      </c>
      <c r="F70" t="str">
        <f>_xll.BDP("351640SR Muni","DUR_ADJ_MID")</f>
        <v>#N/A Requesting Data...</v>
      </c>
      <c r="G70" t="str">
        <f>_xll.BDP("351640SR Muni","SPREAD_AT_ISSUANCE_TO_WORST")</f>
        <v>#N/A Requesting Data...</v>
      </c>
      <c r="H70" t="str">
        <f>_xll.BDP("351640SR Muni","ISSUE_DT")</f>
        <v>#N/A Requesting Data...</v>
      </c>
      <c r="I70" t="str">
        <f>_xll.BDS("351640SR Muni","MUNI_PURPOSE_SCHED", "aggregate=y")</f>
        <v>#N/A Review</v>
      </c>
      <c r="J70" t="str">
        <f>_xll.BDP("351640SR Muni","CPN")</f>
        <v>#N/A Requesting Data...</v>
      </c>
      <c r="K70" t="str">
        <f>_xll.BDP("351640SR Muni","MATURITY")</f>
        <v>#N/A Requesting Data...</v>
      </c>
      <c r="L70">
        <v>895000</v>
      </c>
      <c r="M70" t="str">
        <f>_xll.BDP("351640SR Muni","YIELD_ON_ISSUE_DATE")</f>
        <v>#N/A Requesting Data...</v>
      </c>
      <c r="N70" t="str">
        <f>_xll.BDP("351640SR Muni","YTW_SPREAD_TO_MATURITY_AT_ISSU")</f>
        <v>#N/A Requesting Data...</v>
      </c>
      <c r="O70" t="str">
        <f>_xll.BDP("351640SR Muni","BVAL_MID_YTM")</f>
        <v>#N/A Requesting Data...</v>
      </c>
      <c r="P70" t="str">
        <f>_xll.BDP("351640SR Muni","MUNI_TAX_PROV")</f>
        <v>#N/A Requesting Data...</v>
      </c>
      <c r="Q70" t="str">
        <f>_xll.BDP("351640SR Muni","MUNI_FED_TAX")</f>
        <v>#N/A Requesting Data...</v>
      </c>
      <c r="R70" t="str">
        <f>_xll.BDP("351640SR Muni","MUNI_MSRB_VOLUME")</f>
        <v>#N/A Requesting Data...</v>
      </c>
      <c r="S70" t="str">
        <f>_xll.BDP("351640SR Muni","BB_COMPOSITE")</f>
        <v>#N/A Requesting Data...</v>
      </c>
      <c r="T70" t="str">
        <f>_xll.BDP("351640SR Muni","LQA_LIQUIDITY_SCORE")</f>
        <v>#N/A Requesting Data...</v>
      </c>
    </row>
    <row r="71" spans="1:20" x14ac:dyDescent="0.25">
      <c r="A71" t="str">
        <f>_xll.BDP("45204EKC Muni","ID_CUSIP")</f>
        <v>#N/A Requesting Data...</v>
      </c>
      <c r="B71" t="s">
        <v>36</v>
      </c>
      <c r="C71" t="str">
        <f>_xll.BDP("45204EKC Muni","INSURANCE_STATUS")</f>
        <v>#N/A Requesting Data...</v>
      </c>
      <c r="D71" t="str">
        <f>_xll.BDP("45204EKC Muni","STATE_CODE")</f>
        <v>#N/A Requesting Data...</v>
      </c>
      <c r="E71" t="str">
        <f>_xll.BDP("45204EKC Muni","COUNTY_LOCATION_ISSUER")</f>
        <v>#N/A Requesting Data...</v>
      </c>
      <c r="F71" t="str">
        <f>_xll.BDP("45204EKC Muni","DUR_ADJ_MID")</f>
        <v>#N/A Requesting Data...</v>
      </c>
      <c r="G71" t="str">
        <f>_xll.BDP("45204EKC Muni","SPREAD_AT_ISSUANCE_TO_WORST")</f>
        <v>#N/A Requesting Data...</v>
      </c>
      <c r="H71" t="str">
        <f>_xll.BDP("45204EKC Muni","ISSUE_DT")</f>
        <v>#N/A Requesting Data...</v>
      </c>
      <c r="I71" t="str">
        <f>_xll.BDS("45204EKC Muni","MUNI_PURPOSE_SCHED", "aggregate=y")</f>
        <v>#N/A Review</v>
      </c>
      <c r="J71" t="str">
        <f>_xll.BDP("45204EKC Muni","CPN")</f>
        <v>#N/A Requesting Data...</v>
      </c>
      <c r="K71" t="str">
        <f>_xll.BDP("45204EKC Muni","MATURITY")</f>
        <v>#N/A Requesting Data...</v>
      </c>
      <c r="L71">
        <v>15615000</v>
      </c>
      <c r="M71" t="str">
        <f>_xll.BDP("45204EKC Muni","YIELD_ON_ISSUE_DATE")</f>
        <v>#N/A Requesting Data...</v>
      </c>
      <c r="N71" t="str">
        <f>_xll.BDP("45204EKC Muni","YTW_SPREAD_TO_MATURITY_AT_ISSU")</f>
        <v>#N/A Requesting Data...</v>
      </c>
      <c r="O71" t="str">
        <f>_xll.BDP("45204EKC Muni","BVAL_MID_YTM")</f>
        <v>#N/A Requesting Data...</v>
      </c>
      <c r="P71" t="str">
        <f>_xll.BDP("45204EKC Muni","MUNI_TAX_PROV")</f>
        <v>#N/A Requesting Data...</v>
      </c>
      <c r="Q71" t="str">
        <f>_xll.BDP("45204EKC Muni","MUNI_FED_TAX")</f>
        <v>#N/A Requesting Data...</v>
      </c>
      <c r="R71" t="str">
        <f>_xll.BDP("45204EKC Muni","MUNI_MSRB_VOLUME")</f>
        <v>#N/A Requesting Data...</v>
      </c>
      <c r="S71" t="str">
        <f>_xll.BDP("45204EKC Muni","BB_COMPOSITE")</f>
        <v>#N/A Requesting Data...</v>
      </c>
      <c r="T71" t="str">
        <f>_xll.BDP("45204EKC Muni","LQA_LIQUIDITY_SCORE")</f>
        <v>#N/A Requesting Data...</v>
      </c>
    </row>
    <row r="72" spans="1:20" x14ac:dyDescent="0.25">
      <c r="A72" t="str">
        <f>_xll.BDP("67765QDJ Muni","ID_CUSIP")</f>
        <v>#N/A Requesting Data...</v>
      </c>
      <c r="B72" t="s">
        <v>32</v>
      </c>
      <c r="C72" t="str">
        <f>_xll.BDP("67765QDJ Muni","INSURANCE_STATUS")</f>
        <v>#N/A Requesting Data...</v>
      </c>
      <c r="D72" t="str">
        <f>_xll.BDP("67765QDJ Muni","STATE_CODE")</f>
        <v>#N/A Requesting Data...</v>
      </c>
      <c r="E72" t="str">
        <f>_xll.BDP("67765QDJ Muni","COUNTY_LOCATION_ISSUER")</f>
        <v>#N/A Requesting Data...</v>
      </c>
      <c r="F72" t="str">
        <f>_xll.BDP("67765QDJ Muni","DUR_ADJ_MID")</f>
        <v>#N/A Requesting Data...</v>
      </c>
      <c r="G72" t="str">
        <f>_xll.BDP("67765QDJ Muni","SPREAD_AT_ISSUANCE_TO_WORST")</f>
        <v>#N/A Requesting Data...</v>
      </c>
      <c r="H72" t="str">
        <f>_xll.BDP("67765QDJ Muni","ISSUE_DT")</f>
        <v>#N/A Requesting Data...</v>
      </c>
      <c r="I72" t="str">
        <f>_xll.BDS("67765QDJ Muni","MUNI_PURPOSE_SCHED", "aggregate=y")</f>
        <v>#N/A Review</v>
      </c>
      <c r="J72" t="str">
        <f>_xll.BDP("67765QDJ Muni","CPN")</f>
        <v>#N/A Requesting Data...</v>
      </c>
      <c r="K72" t="str">
        <f>_xll.BDP("67765QDJ Muni","MATURITY")</f>
        <v>#N/A Requesting Data...</v>
      </c>
      <c r="L72">
        <v>6500000</v>
      </c>
      <c r="M72" t="str">
        <f>_xll.BDP("67765QDJ Muni","YIELD_ON_ISSUE_DATE")</f>
        <v>#N/A Requesting Data...</v>
      </c>
      <c r="N72" t="str">
        <f>_xll.BDP("67765QDJ Muni","YTW_SPREAD_TO_MATURITY_AT_ISSU")</f>
        <v>#N/A Requesting Data...</v>
      </c>
      <c r="O72" t="str">
        <f>_xll.BDP("67765QDJ Muni","BVAL_MID_YTM")</f>
        <v>#N/A Requesting Data...</v>
      </c>
      <c r="P72" t="str">
        <f>_xll.BDP("67765QDJ Muni","MUNI_TAX_PROV")</f>
        <v>#N/A Requesting Data...</v>
      </c>
      <c r="Q72" t="str">
        <f>_xll.BDP("67765QDJ Muni","MUNI_FED_TAX")</f>
        <v>#N/A Requesting Data...</v>
      </c>
      <c r="R72" t="str">
        <f>_xll.BDP("67765QDJ Muni","MUNI_MSRB_VOLUME")</f>
        <v>#N/A Requesting Data...</v>
      </c>
      <c r="S72" t="str">
        <f>_xll.BDP("67765QDJ Muni","BB_COMPOSITE")</f>
        <v>#N/A Requesting Data...</v>
      </c>
      <c r="T72" t="str">
        <f>_xll.BDP("67765QDJ Muni","LQA_LIQUIDITY_SCORE")</f>
        <v>#N/A Requesting Data...</v>
      </c>
    </row>
    <row r="73" spans="1:20" x14ac:dyDescent="0.25">
      <c r="A73" t="str">
        <f>_xll.BDP("9643895A Muni","ID_CUSIP")</f>
        <v>#N/A Requesting Data...</v>
      </c>
      <c r="B73" t="s">
        <v>62</v>
      </c>
      <c r="C73" t="str">
        <f>_xll.BDP("9643895A Muni","INSURANCE_STATUS")</f>
        <v>#N/A Requesting Data...</v>
      </c>
      <c r="D73" t="str">
        <f>_xll.BDP("9643895A Muni","STATE_CODE")</f>
        <v>#N/A Requesting Data...</v>
      </c>
      <c r="E73" t="str">
        <f>_xll.BDP("9643895A Muni","COUNTY_LOCATION_ISSUER")</f>
        <v>#N/A Requesting Data...</v>
      </c>
      <c r="F73" t="str">
        <f>_xll.BDP("9643895A Muni","DUR_ADJ_MID")</f>
        <v>#N/A Requesting Data...</v>
      </c>
      <c r="G73" t="str">
        <f>_xll.BDP("9643895A Muni","SPREAD_AT_ISSUANCE_TO_WORST")</f>
        <v>#N/A Requesting Data...</v>
      </c>
      <c r="H73" t="str">
        <f>_xll.BDP("9643895A Muni","ISSUE_DT")</f>
        <v>#N/A Requesting Data...</v>
      </c>
      <c r="I73" t="str">
        <f>_xll.BDS("9643895A Muni","MUNI_PURPOSE_SCHED", "aggregate=y")</f>
        <v>#N/A Review</v>
      </c>
      <c r="J73" t="str">
        <f>_xll.BDP("9643895A Muni","CPN")</f>
        <v>#N/A Requesting Data...</v>
      </c>
      <c r="K73" t="str">
        <f>_xll.BDP("9643895A Muni","MATURITY")</f>
        <v>#N/A Requesting Data...</v>
      </c>
      <c r="L73">
        <v>585000</v>
      </c>
      <c r="M73" t="str">
        <f>_xll.BDP("9643895A Muni","YIELD_ON_ISSUE_DATE")</f>
        <v>#N/A Requesting Data...</v>
      </c>
      <c r="N73" t="str">
        <f>_xll.BDP("9643895A Muni","YTW_SPREAD_TO_MATURITY_AT_ISSU")</f>
        <v>#N/A Requesting Data...</v>
      </c>
      <c r="O73" t="str">
        <f>_xll.BDP("9643895A Muni","BVAL_MID_YTM")</f>
        <v>#N/A Requesting Data...</v>
      </c>
      <c r="P73" t="str">
        <f>_xll.BDP("9643895A Muni","MUNI_TAX_PROV")</f>
        <v>#N/A Requesting Data...</v>
      </c>
      <c r="Q73" t="str">
        <f>_xll.BDP("9643895A Muni","MUNI_FED_TAX")</f>
        <v>#N/A Requesting Data...</v>
      </c>
      <c r="R73" t="str">
        <f>_xll.BDP("9643895A Muni","MUNI_MSRB_VOLUME")</f>
        <v>#N/A Requesting Data...</v>
      </c>
      <c r="S73" t="str">
        <f>_xll.BDP("9643895A Muni","BB_COMPOSITE")</f>
        <v>#N/A Requesting Data...</v>
      </c>
      <c r="T73" t="str">
        <f>_xll.BDP("9643895A Muni","LQA_LIQUIDITY_SCORE")</f>
        <v>#N/A Requesting Data...</v>
      </c>
    </row>
    <row r="74" spans="1:20" x14ac:dyDescent="0.25">
      <c r="A74" t="str">
        <f>_xll.BDP("67765QCL Muni","ID_CUSIP")</f>
        <v>#N/A Requesting Data...</v>
      </c>
      <c r="B74" t="s">
        <v>32</v>
      </c>
      <c r="C74" t="str">
        <f>_xll.BDP("67765QCL Muni","INSURANCE_STATUS")</f>
        <v>#N/A Requesting Data...</v>
      </c>
      <c r="D74" t="str">
        <f>_xll.BDP("67765QCL Muni","STATE_CODE")</f>
        <v>#N/A Requesting Data...</v>
      </c>
      <c r="E74" t="str">
        <f>_xll.BDP("67765QCL Muni","COUNTY_LOCATION_ISSUER")</f>
        <v>#N/A Requesting Data...</v>
      </c>
      <c r="F74" t="str">
        <f>_xll.BDP("67765QCL Muni","DUR_ADJ_MID")</f>
        <v>#N/A Requesting Data...</v>
      </c>
      <c r="G74" t="str">
        <f>_xll.BDP("67765QCL Muni","SPREAD_AT_ISSUANCE_TO_WORST")</f>
        <v>#N/A Requesting Data...</v>
      </c>
      <c r="H74" t="str">
        <f>_xll.BDP("67765QCL Muni","ISSUE_DT")</f>
        <v>#N/A Requesting Data...</v>
      </c>
      <c r="I74" t="str">
        <f>_xll.BDS("67765QCL Muni","MUNI_PURPOSE_SCHED", "aggregate=y")</f>
        <v>#N/A Review</v>
      </c>
      <c r="J74" t="str">
        <f>_xll.BDP("67765QCL Muni","CPN")</f>
        <v>#N/A Requesting Data...</v>
      </c>
      <c r="K74" t="str">
        <f>_xll.BDP("67765QCL Muni","MATURITY")</f>
        <v>#N/A Requesting Data...</v>
      </c>
      <c r="L74">
        <v>10000000</v>
      </c>
      <c r="M74" t="str">
        <f>_xll.BDP("67765QCL Muni","YIELD_ON_ISSUE_DATE")</f>
        <v>#N/A Requesting Data...</v>
      </c>
      <c r="N74" t="str">
        <f>_xll.BDP("67765QCL Muni","YTW_SPREAD_TO_MATURITY_AT_ISSU")</f>
        <v>#N/A Requesting Data...</v>
      </c>
      <c r="O74" t="str">
        <f>_xll.BDP("67765QCL Muni","BVAL_MID_YTM")</f>
        <v>#N/A Requesting Data...</v>
      </c>
      <c r="P74" t="str">
        <f>_xll.BDP("67765QCL Muni","MUNI_TAX_PROV")</f>
        <v>#N/A Requesting Data...</v>
      </c>
      <c r="Q74" t="str">
        <f>_xll.BDP("67765QCL Muni","MUNI_FED_TAX")</f>
        <v>#N/A Requesting Data...</v>
      </c>
      <c r="R74" t="str">
        <f>_xll.BDP("67765QCL Muni","MUNI_MSRB_VOLUME")</f>
        <v>#N/A Requesting Data...</v>
      </c>
      <c r="S74" t="str">
        <f>_xll.BDP("67765QCL Muni","BB_COMPOSITE")</f>
        <v>#N/A Requesting Data...</v>
      </c>
      <c r="T74" t="str">
        <f>_xll.BDP("67765QCL Muni","LQA_LIQUIDITY_SCORE")</f>
        <v>#N/A Requesting Data...</v>
      </c>
    </row>
    <row r="75" spans="1:20" x14ac:dyDescent="0.25">
      <c r="A75" t="str">
        <f>_xll.BDP("882854YA Muni","ID_CUSIP")</f>
        <v>#N/A Requesting Data...</v>
      </c>
      <c r="B75" t="s">
        <v>23</v>
      </c>
      <c r="C75" t="str">
        <f>_xll.BDP("882854YA Muni","INSURANCE_STATUS")</f>
        <v>#N/A Requesting Data...</v>
      </c>
      <c r="D75" t="str">
        <f>_xll.BDP("882854YA Muni","STATE_CODE")</f>
        <v>#N/A Requesting Data...</v>
      </c>
      <c r="E75" t="str">
        <f>_xll.BDP("882854YA Muni","COUNTY_LOCATION_ISSUER")</f>
        <v>#N/A Requesting Data...</v>
      </c>
      <c r="F75" t="str">
        <f>_xll.BDP("882854YA Muni","DUR_ADJ_MID")</f>
        <v>#N/A Requesting Data...</v>
      </c>
      <c r="G75" t="str">
        <f>_xll.BDP("882854YA Muni","SPREAD_AT_ISSUANCE_TO_WORST")</f>
        <v>#N/A Requesting Data...</v>
      </c>
      <c r="H75" t="str">
        <f>_xll.BDP("882854YA Muni","ISSUE_DT")</f>
        <v>#N/A Requesting Data...</v>
      </c>
      <c r="I75" t="str">
        <f>_xll.BDS("882854YA Muni","MUNI_PURPOSE_SCHED", "aggregate=y")</f>
        <v>#N/A Review</v>
      </c>
      <c r="J75" t="str">
        <f>_xll.BDP("882854YA Muni","CPN")</f>
        <v>#N/A Requesting Data...</v>
      </c>
      <c r="K75" t="str">
        <f>_xll.BDP("882854YA Muni","MATURITY")</f>
        <v>#N/A Requesting Data...</v>
      </c>
      <c r="L75">
        <v>10550000</v>
      </c>
      <c r="M75" t="str">
        <f>_xll.BDP("882854YA Muni","YIELD_ON_ISSUE_DATE")</f>
        <v>#N/A Requesting Data...</v>
      </c>
      <c r="N75" t="str">
        <f>_xll.BDP("882854YA Muni","YTW_SPREAD_TO_MATURITY_AT_ISSU")</f>
        <v>#N/A Requesting Data...</v>
      </c>
      <c r="O75" t="str">
        <f>_xll.BDP("882854YA Muni","BVAL_MID_YTM")</f>
        <v>#N/A Requesting Data...</v>
      </c>
      <c r="P75" t="str">
        <f>_xll.BDP("882854YA Muni","MUNI_TAX_PROV")</f>
        <v>#N/A Requesting Data...</v>
      </c>
      <c r="Q75" t="str">
        <f>_xll.BDP("882854YA Muni","MUNI_FED_TAX")</f>
        <v>#N/A Requesting Data...</v>
      </c>
      <c r="R75" t="str">
        <f>_xll.BDP("882854YA Muni","MUNI_MSRB_VOLUME")</f>
        <v>#N/A Requesting Data...</v>
      </c>
      <c r="S75" t="str">
        <f>_xll.BDP("882854YA Muni","BB_COMPOSITE")</f>
        <v>#N/A Requesting Data...</v>
      </c>
      <c r="T75" t="str">
        <f>_xll.BDP("882854YA Muni","LQA_LIQUIDITY_SCORE")</f>
        <v>#N/A Requesting Data...</v>
      </c>
    </row>
    <row r="76" spans="1:20" x14ac:dyDescent="0.25">
      <c r="A76" t="str">
        <f>_xll.BDP("97705MDP Muni","ID_CUSIP")</f>
        <v>#N/A Requesting Data...</v>
      </c>
      <c r="B76" t="s">
        <v>63</v>
      </c>
      <c r="C76" t="str">
        <f>_xll.BDP("97705MDP Muni","INSURANCE_STATUS")</f>
        <v>#N/A Requesting Data...</v>
      </c>
      <c r="D76" t="str">
        <f>_xll.BDP("97705MDP Muni","STATE_CODE")</f>
        <v>#N/A Requesting Data...</v>
      </c>
      <c r="E76" t="str">
        <f>_xll.BDP("97705MDP Muni","COUNTY_LOCATION_ISSUER")</f>
        <v>#N/A Requesting Data...</v>
      </c>
      <c r="F76" t="str">
        <f>_xll.BDP("97705MDP Muni","DUR_ADJ_MID")</f>
        <v>#N/A Requesting Data...</v>
      </c>
      <c r="G76" t="str">
        <f>_xll.BDP("97705MDP Muni","SPREAD_AT_ISSUANCE_TO_WORST")</f>
        <v>#N/A Requesting Data...</v>
      </c>
      <c r="H76" t="str">
        <f>_xll.BDP("97705MDP Muni","ISSUE_DT")</f>
        <v>#N/A Requesting Data...</v>
      </c>
      <c r="I76" t="str">
        <f>_xll.BDS("97705MDP Muni","MUNI_PURPOSE_SCHED", "aggregate=y")</f>
        <v>#N/A Review</v>
      </c>
      <c r="J76" t="str">
        <f>_xll.BDP("97705MDP Muni","CPN")</f>
        <v>#N/A Requesting Data...</v>
      </c>
      <c r="K76" t="str">
        <f>_xll.BDP("97705MDP Muni","MATURITY")</f>
        <v>#N/A Requesting Data...</v>
      </c>
      <c r="L76">
        <v>15575000</v>
      </c>
      <c r="M76" t="str">
        <f>_xll.BDP("97705MDP Muni","YIELD_ON_ISSUE_DATE")</f>
        <v>#N/A Requesting Data...</v>
      </c>
      <c r="N76" t="str">
        <f>_xll.BDP("97705MDP Muni","YTW_SPREAD_TO_MATURITY_AT_ISSU")</f>
        <v>#N/A Requesting Data...</v>
      </c>
      <c r="O76" t="str">
        <f>_xll.BDP("97705MDP Muni","BVAL_MID_YTM")</f>
        <v>#N/A Requesting Data...</v>
      </c>
      <c r="P76" t="str">
        <f>_xll.BDP("97705MDP Muni","MUNI_TAX_PROV")</f>
        <v>#N/A Requesting Data...</v>
      </c>
      <c r="Q76" t="str">
        <f>_xll.BDP("97705MDP Muni","MUNI_FED_TAX")</f>
        <v>#N/A Requesting Data...</v>
      </c>
      <c r="R76" t="str">
        <f>_xll.BDP("97705MDP Muni","MUNI_MSRB_VOLUME")</f>
        <v>#N/A Requesting Data...</v>
      </c>
      <c r="S76" t="str">
        <f>_xll.BDP("97705MDP Muni","BB_COMPOSITE")</f>
        <v>#N/A Requesting Data...</v>
      </c>
      <c r="T76" t="str">
        <f>_xll.BDP("97705MDP Muni","LQA_LIQUIDITY_SCORE")</f>
        <v>#N/A Requesting Data...</v>
      </c>
    </row>
    <row r="77" spans="1:20" x14ac:dyDescent="0.25">
      <c r="A77" t="str">
        <f>_xll.BDP("13034AKD Muni","ID_CUSIP")</f>
        <v>#N/A Requesting Data...</v>
      </c>
      <c r="B77" t="s">
        <v>40</v>
      </c>
      <c r="C77" t="str">
        <f>_xll.BDP("13034AKD Muni","INSURANCE_STATUS")</f>
        <v>#N/A Requesting Data...</v>
      </c>
      <c r="D77" t="str">
        <f>_xll.BDP("13034AKD Muni","STATE_CODE")</f>
        <v>#N/A Requesting Data...</v>
      </c>
      <c r="E77" t="str">
        <f>_xll.BDP("13034AKD Muni","COUNTY_LOCATION_ISSUER")</f>
        <v>#N/A Requesting Data...</v>
      </c>
      <c r="F77" t="str">
        <f>_xll.BDP("13034AKD Muni","DUR_ADJ_MID")</f>
        <v>#N/A Requesting Data...</v>
      </c>
      <c r="G77" t="str">
        <f>_xll.BDP("13034AKD Muni","SPREAD_AT_ISSUANCE_TO_WORST")</f>
        <v>#N/A Requesting Data...</v>
      </c>
      <c r="H77" t="str">
        <f>_xll.BDP("13034AKD Muni","ISSUE_DT")</f>
        <v>#N/A Requesting Data...</v>
      </c>
      <c r="I77" t="str">
        <f>_xll.BDS("13034AKD Muni","MUNI_PURPOSE_SCHED", "aggregate=y")</f>
        <v>#N/A Review</v>
      </c>
      <c r="J77" t="str">
        <f>_xll.BDP("13034AKD Muni","CPN")</f>
        <v>#N/A Requesting Data...</v>
      </c>
      <c r="K77" t="str">
        <f>_xll.BDP("13034AKD Muni","MATURITY")</f>
        <v>#N/A Requesting Data...</v>
      </c>
      <c r="L77">
        <v>20355000</v>
      </c>
      <c r="M77" t="str">
        <f>_xll.BDP("13034AKD Muni","YIELD_ON_ISSUE_DATE")</f>
        <v>#N/A Requesting Data...</v>
      </c>
      <c r="N77" t="str">
        <f>_xll.BDP("13034AKD Muni","YTW_SPREAD_TO_MATURITY_AT_ISSU")</f>
        <v>#N/A Requesting Data...</v>
      </c>
      <c r="O77" t="str">
        <f>_xll.BDP("13034AKD Muni","BVAL_MID_YTM")</f>
        <v>#N/A Requesting Data...</v>
      </c>
      <c r="P77" t="str">
        <f>_xll.BDP("13034AKD Muni","MUNI_TAX_PROV")</f>
        <v>#N/A Requesting Data...</v>
      </c>
      <c r="Q77" t="str">
        <f>_xll.BDP("13034AKD Muni","MUNI_FED_TAX")</f>
        <v>#N/A Requesting Data...</v>
      </c>
      <c r="R77" t="str">
        <f>_xll.BDP("13034AKD Muni","MUNI_MSRB_VOLUME")</f>
        <v>#N/A Requesting Data...</v>
      </c>
      <c r="S77" t="str">
        <f>_xll.BDP("13034AKD Muni","BB_COMPOSITE")</f>
        <v>#N/A Requesting Data...</v>
      </c>
      <c r="T77" t="str">
        <f>_xll.BDP("13034AKD Muni","LQA_LIQUIDITY_SCORE")</f>
        <v>#N/A Requesting Data...</v>
      </c>
    </row>
    <row r="78" spans="1:20" x14ac:dyDescent="0.25">
      <c r="A78" t="str">
        <f>_xll.BDP("79642B3Q Muni","ID_CUSIP")</f>
        <v>#N/A Requesting Data...</v>
      </c>
      <c r="B78" t="s">
        <v>64</v>
      </c>
      <c r="C78" t="str">
        <f>_xll.BDP("79642B3Q Muni","INSURANCE_STATUS")</f>
        <v>#N/A Requesting Data...</v>
      </c>
      <c r="D78" t="str">
        <f>_xll.BDP("79642B3Q Muni","STATE_CODE")</f>
        <v>#N/A Requesting Data...</v>
      </c>
      <c r="E78" t="str">
        <f>_xll.BDP("79642B3Q Muni","COUNTY_LOCATION_ISSUER")</f>
        <v>#N/A Requesting Data...</v>
      </c>
      <c r="F78" t="str">
        <f>_xll.BDP("79642B3Q Muni","DUR_ADJ_MID")</f>
        <v>#N/A Requesting Data...</v>
      </c>
      <c r="G78" t="str">
        <f>_xll.BDP("79642B3Q Muni","SPREAD_AT_ISSUANCE_TO_WORST")</f>
        <v>#N/A Requesting Data...</v>
      </c>
      <c r="H78" t="str">
        <f>_xll.BDP("79642B3Q Muni","ISSUE_DT")</f>
        <v>#N/A Requesting Data...</v>
      </c>
      <c r="I78" t="str">
        <f>_xll.BDS("79642B3Q Muni","MUNI_PURPOSE_SCHED", "aggregate=y")</f>
        <v>#N/A Review</v>
      </c>
      <c r="J78" t="str">
        <f>_xll.BDP("79642B3Q Muni","CPN")</f>
        <v>#N/A Requesting Data...</v>
      </c>
      <c r="K78" t="str">
        <f>_xll.BDP("79642B3Q Muni","MATURITY")</f>
        <v>#N/A Requesting Data...</v>
      </c>
      <c r="L78">
        <v>8065000</v>
      </c>
      <c r="M78" t="str">
        <f>_xll.BDP("79642B3Q Muni","YIELD_ON_ISSUE_DATE")</f>
        <v>#N/A Requesting Data...</v>
      </c>
      <c r="N78" t="str">
        <f>_xll.BDP("79642B3Q Muni","YTW_SPREAD_TO_MATURITY_AT_ISSU")</f>
        <v>#N/A Requesting Data...</v>
      </c>
      <c r="O78" t="str">
        <f>_xll.BDP("79642B3Q Muni","BVAL_MID_YTM")</f>
        <v>#N/A Requesting Data...</v>
      </c>
      <c r="P78" t="str">
        <f>_xll.BDP("79642B3Q Muni","MUNI_TAX_PROV")</f>
        <v>#N/A Requesting Data...</v>
      </c>
      <c r="Q78" t="str">
        <f>_xll.BDP("79642B3Q Muni","MUNI_FED_TAX")</f>
        <v>#N/A Requesting Data...</v>
      </c>
      <c r="R78" t="str">
        <f>_xll.BDP("79642B3Q Muni","MUNI_MSRB_VOLUME")</f>
        <v>#N/A Requesting Data...</v>
      </c>
      <c r="S78" t="str">
        <f>_xll.BDP("79642B3Q Muni","BB_COMPOSITE")</f>
        <v>#N/A Requesting Data...</v>
      </c>
      <c r="T78" t="str">
        <f>_xll.BDP("79642B3Q Muni","LQA_LIQUIDITY_SCORE")</f>
        <v>#N/A Requesting Data...</v>
      </c>
    </row>
    <row r="79" spans="1:20" x14ac:dyDescent="0.25">
      <c r="A79" t="str">
        <f>_xll.BDP("07821BAM Muni","ID_CUSIP")</f>
        <v>#N/A Requesting Data...</v>
      </c>
      <c r="B79" t="s">
        <v>65</v>
      </c>
      <c r="C79" t="str">
        <f>_xll.BDP("07821BAM Muni","INSURANCE_STATUS")</f>
        <v>#N/A Requesting Data...</v>
      </c>
      <c r="D79" t="str">
        <f>_xll.BDP("07821BAM Muni","STATE_CODE")</f>
        <v>#N/A Requesting Data...</v>
      </c>
      <c r="E79" t="str">
        <f>_xll.BDP("07821BAM Muni","COUNTY_LOCATION_ISSUER")</f>
        <v>#N/A Requesting Data...</v>
      </c>
      <c r="F79" t="str">
        <f>_xll.BDP("07821BAM Muni","DUR_ADJ_MID")</f>
        <v>#N/A Requesting Data...</v>
      </c>
      <c r="G79" t="str">
        <f>_xll.BDP("07821BAM Muni","SPREAD_AT_ISSUANCE_TO_WORST")</f>
        <v>#N/A Requesting Data...</v>
      </c>
      <c r="H79" t="str">
        <f>_xll.BDP("07821BAM Muni","ISSUE_DT")</f>
        <v>#N/A Requesting Data...</v>
      </c>
      <c r="I79" t="str">
        <f>_xll.BDS("07821BAM Muni","MUNI_PURPOSE_SCHED", "aggregate=y")</f>
        <v>#N/A Review</v>
      </c>
      <c r="J79" t="str">
        <f>_xll.BDP("07821BAM Muni","CPN")</f>
        <v>#N/A Requesting Data...</v>
      </c>
      <c r="K79" t="str">
        <f>_xll.BDP("07821BAM Muni","MATURITY")</f>
        <v>#N/A Requesting Data...</v>
      </c>
      <c r="L79">
        <v>175000</v>
      </c>
      <c r="M79" t="str">
        <f>_xll.BDP("07821BAM Muni","YIELD_ON_ISSUE_DATE")</f>
        <v>#N/A Requesting Data...</v>
      </c>
      <c r="N79" t="str">
        <f>_xll.BDP("07821BAM Muni","YTW_SPREAD_TO_MATURITY_AT_ISSU")</f>
        <v>#N/A Requesting Data...</v>
      </c>
      <c r="O79" t="str">
        <f>_xll.BDP("07821BAM Muni","BVAL_MID_YTM")</f>
        <v>#N/A Requesting Data...</v>
      </c>
      <c r="P79" t="str">
        <f>_xll.BDP("07821BAM Muni","MUNI_TAX_PROV")</f>
        <v>#N/A Requesting Data...</v>
      </c>
      <c r="Q79" t="str">
        <f>_xll.BDP("07821BAM Muni","MUNI_FED_TAX")</f>
        <v>#N/A Requesting Data...</v>
      </c>
      <c r="R79" t="str">
        <f>_xll.BDP("07821BAM Muni","MUNI_MSRB_VOLUME")</f>
        <v>#N/A Requesting Data...</v>
      </c>
      <c r="S79" t="str">
        <f>_xll.BDP("07821BAM Muni","BB_COMPOSITE")</f>
        <v>#N/A Requesting Data...</v>
      </c>
      <c r="T79" t="str">
        <f>_xll.BDP("07821BAM Muni","LQA_LIQUIDITY_SCORE")</f>
        <v>#N/A Requesting Data...</v>
      </c>
    </row>
    <row r="80" spans="1:20" x14ac:dyDescent="0.25">
      <c r="A80" t="str">
        <f>_xll.BDP("64986DBE Muni","ID_CUSIP")</f>
        <v>#N/A Requesting Data...</v>
      </c>
      <c r="B80" t="s">
        <v>38</v>
      </c>
      <c r="C80" t="str">
        <f>_xll.BDP("64986DBE Muni","INSURANCE_STATUS")</f>
        <v>#N/A Requesting Data...</v>
      </c>
      <c r="D80" t="str">
        <f>_xll.BDP("64986DBE Muni","STATE_CODE")</f>
        <v>#N/A Requesting Data...</v>
      </c>
      <c r="E80" t="str">
        <f>_xll.BDP("64986DBE Muni","COUNTY_LOCATION_ISSUER")</f>
        <v>#N/A Requesting Data...</v>
      </c>
      <c r="F80" t="str">
        <f>_xll.BDP("64986DBE Muni","DUR_ADJ_MID")</f>
        <v>#N/A Requesting Data...</v>
      </c>
      <c r="G80" t="str">
        <f>_xll.BDP("64986DBE Muni","SPREAD_AT_ISSUANCE_TO_WORST")</f>
        <v>#N/A Requesting Data...</v>
      </c>
      <c r="H80" t="str">
        <f>_xll.BDP("64986DBE Muni","ISSUE_DT")</f>
        <v>#N/A Requesting Data...</v>
      </c>
      <c r="I80" t="str">
        <f>_xll.BDS("64986DBE Muni","MUNI_PURPOSE_SCHED", "aggregate=y")</f>
        <v>#N/A Review</v>
      </c>
      <c r="J80" t="str">
        <f>_xll.BDP("64986DBE Muni","CPN")</f>
        <v>#N/A Requesting Data...</v>
      </c>
      <c r="K80" t="str">
        <f>_xll.BDP("64986DBE Muni","MATURITY")</f>
        <v>#N/A Requesting Data...</v>
      </c>
      <c r="L80">
        <v>15195000</v>
      </c>
      <c r="M80" t="str">
        <f>_xll.BDP("64986DBE Muni","YIELD_ON_ISSUE_DATE")</f>
        <v>#N/A Requesting Data...</v>
      </c>
      <c r="N80" t="str">
        <f>_xll.BDP("64986DBE Muni","YTW_SPREAD_TO_MATURITY_AT_ISSU")</f>
        <v>#N/A Requesting Data...</v>
      </c>
      <c r="O80" t="str">
        <f>_xll.BDP("64986DBE Muni","BVAL_MID_YTM")</f>
        <v>#N/A Requesting Data...</v>
      </c>
      <c r="P80" t="str">
        <f>_xll.BDP("64986DBE Muni","MUNI_TAX_PROV")</f>
        <v>#N/A Requesting Data...</v>
      </c>
      <c r="Q80" t="str">
        <f>_xll.BDP("64986DBE Muni","MUNI_FED_TAX")</f>
        <v>#N/A Requesting Data...</v>
      </c>
      <c r="R80" t="str">
        <f>_xll.BDP("64986DBE Muni","MUNI_MSRB_VOLUME")</f>
        <v>#N/A Requesting Data...</v>
      </c>
      <c r="S80" t="str">
        <f>_xll.BDP("64986DBE Muni","BB_COMPOSITE")</f>
        <v>#N/A Requesting Data...</v>
      </c>
      <c r="T80" t="str">
        <f>_xll.BDP("64986DBE Muni","LQA_LIQUIDITY_SCORE")</f>
        <v>#N/A Requesting Data...</v>
      </c>
    </row>
    <row r="81" spans="1:20" x14ac:dyDescent="0.25">
      <c r="A81" t="str">
        <f>_xll.BDP("517039TH Muni","ID_CUSIP")</f>
        <v>#N/A Requesting Data...</v>
      </c>
      <c r="B81" t="s">
        <v>66</v>
      </c>
      <c r="C81" t="str">
        <f>_xll.BDP("517039TH Muni","INSURANCE_STATUS")</f>
        <v>#N/A Requesting Data...</v>
      </c>
      <c r="D81" t="str">
        <f>_xll.BDP("517039TH Muni","STATE_CODE")</f>
        <v>#N/A Requesting Data...</v>
      </c>
      <c r="E81" t="str">
        <f>_xll.BDP("517039TH Muni","COUNTY_LOCATION_ISSUER")</f>
        <v>#N/A Requesting Data...</v>
      </c>
      <c r="F81" t="str">
        <f>_xll.BDP("517039TH Muni","DUR_ADJ_MID")</f>
        <v>#N/A Requesting Data...</v>
      </c>
      <c r="G81" t="str">
        <f>_xll.BDP("517039TH Muni","SPREAD_AT_ISSUANCE_TO_WORST")</f>
        <v>#N/A Requesting Data...</v>
      </c>
      <c r="H81" t="str">
        <f>_xll.BDP("517039TH Muni","ISSUE_DT")</f>
        <v>#N/A Requesting Data...</v>
      </c>
      <c r="I81" t="str">
        <f>_xll.BDS("517039TH Muni","MUNI_PURPOSE_SCHED", "aggregate=y")</f>
        <v>#N/A Review</v>
      </c>
      <c r="J81" t="str">
        <f>_xll.BDP("517039TH Muni","CPN")</f>
        <v>#N/A Requesting Data...</v>
      </c>
      <c r="K81" t="str">
        <f>_xll.BDP("517039TH Muni","MATURITY")</f>
        <v>#N/A Requesting Data...</v>
      </c>
      <c r="L81">
        <v>3070000</v>
      </c>
      <c r="M81" t="str">
        <f>_xll.BDP("517039TH Muni","YIELD_ON_ISSUE_DATE")</f>
        <v>#N/A Requesting Data...</v>
      </c>
      <c r="N81" t="str">
        <f>_xll.BDP("517039TH Muni","YTW_SPREAD_TO_MATURITY_AT_ISSU")</f>
        <v>#N/A Requesting Data...</v>
      </c>
      <c r="O81" t="str">
        <f>_xll.BDP("517039TH Muni","BVAL_MID_YTM")</f>
        <v>#N/A Requesting Data...</v>
      </c>
      <c r="P81" t="str">
        <f>_xll.BDP("517039TH Muni","MUNI_TAX_PROV")</f>
        <v>#N/A Requesting Data...</v>
      </c>
      <c r="Q81" t="str">
        <f>_xll.BDP("517039TH Muni","MUNI_FED_TAX")</f>
        <v>#N/A Requesting Data...</v>
      </c>
      <c r="R81" t="str">
        <f>_xll.BDP("517039TH Muni","MUNI_MSRB_VOLUME")</f>
        <v>#N/A Requesting Data...</v>
      </c>
      <c r="S81" t="str">
        <f>_xll.BDP("517039TH Muni","BB_COMPOSITE")</f>
        <v>#N/A Requesting Data...</v>
      </c>
      <c r="T81" t="str">
        <f>_xll.BDP("517039TH Muni","LQA_LIQUIDITY_SCORE")</f>
        <v>#N/A Requesting Data...</v>
      </c>
    </row>
    <row r="82" spans="1:20" x14ac:dyDescent="0.25">
      <c r="A82" t="str">
        <f>_xll.BDP("93974DYA Muni","ID_CUSIP")</f>
        <v>#N/A Requesting Data...</v>
      </c>
      <c r="B82" t="s">
        <v>67</v>
      </c>
      <c r="C82" t="str">
        <f>_xll.BDP("93974DYA Muni","INSURANCE_STATUS")</f>
        <v>#N/A Requesting Data...</v>
      </c>
      <c r="D82" t="str">
        <f>_xll.BDP("93974DYA Muni","STATE_CODE")</f>
        <v>#N/A Requesting Data...</v>
      </c>
      <c r="E82" t="str">
        <f>_xll.BDP("93974DYA Muni","COUNTY_LOCATION_ISSUER")</f>
        <v>#N/A Requesting Data...</v>
      </c>
      <c r="F82" t="str">
        <f>_xll.BDP("93974DYA Muni","DUR_ADJ_MID")</f>
        <v>#N/A Requesting Data...</v>
      </c>
      <c r="G82" t="str">
        <f>_xll.BDP("93974DYA Muni","SPREAD_AT_ISSUANCE_TO_WORST")</f>
        <v>#N/A Requesting Data...</v>
      </c>
      <c r="H82" t="str">
        <f>_xll.BDP("93974DYA Muni","ISSUE_DT")</f>
        <v>#N/A Requesting Data...</v>
      </c>
      <c r="I82" t="str">
        <f>_xll.BDS("93974DYA Muni","MUNI_PURPOSE_SCHED", "aggregate=y")</f>
        <v>#N/A Review</v>
      </c>
      <c r="J82" t="str">
        <f>_xll.BDP("93974DYA Muni","CPN")</f>
        <v>#N/A Requesting Data...</v>
      </c>
      <c r="K82" t="str">
        <f>_xll.BDP("93974DYA Muni","MATURITY")</f>
        <v>#N/A Requesting Data...</v>
      </c>
      <c r="L82">
        <v>14705000</v>
      </c>
      <c r="M82" t="str">
        <f>_xll.BDP("93974DYA Muni","YIELD_ON_ISSUE_DATE")</f>
        <v>#N/A Requesting Data...</v>
      </c>
      <c r="N82" t="str">
        <f>_xll.BDP("93974DYA Muni","YTW_SPREAD_TO_MATURITY_AT_ISSU")</f>
        <v>#N/A Requesting Data...</v>
      </c>
      <c r="O82" t="str">
        <f>_xll.BDP("93974DYA Muni","BVAL_MID_YTM")</f>
        <v>#N/A Requesting Data...</v>
      </c>
      <c r="P82" t="str">
        <f>_xll.BDP("93974DYA Muni","MUNI_TAX_PROV")</f>
        <v>#N/A Requesting Data...</v>
      </c>
      <c r="Q82" t="str">
        <f>_xll.BDP("93974DYA Muni","MUNI_FED_TAX")</f>
        <v>#N/A Requesting Data...</v>
      </c>
      <c r="R82" t="str">
        <f>_xll.BDP("93974DYA Muni","MUNI_MSRB_VOLUME")</f>
        <v>#N/A Requesting Data...</v>
      </c>
      <c r="S82" t="str">
        <f>_xll.BDP("93974DYA Muni","BB_COMPOSITE")</f>
        <v>#N/A Requesting Data...</v>
      </c>
      <c r="T82" t="str">
        <f>_xll.BDP("93974DYA Muni","LQA_LIQUIDITY_SCORE")</f>
        <v>#N/A Requesting Data...</v>
      </c>
    </row>
    <row r="83" spans="1:20" x14ac:dyDescent="0.25">
      <c r="A83" t="str">
        <f>_xll.BDP("940157K7 Muni","ID_CUSIP")</f>
        <v>#N/A Requesting Data...</v>
      </c>
      <c r="B83" t="s">
        <v>68</v>
      </c>
      <c r="C83" t="str">
        <f>_xll.BDP("940157K7 Muni","INSURANCE_STATUS")</f>
        <v>#N/A Requesting Data...</v>
      </c>
      <c r="D83" t="str">
        <f>_xll.BDP("940157K7 Muni","STATE_CODE")</f>
        <v>#N/A Requesting Data...</v>
      </c>
      <c r="E83" t="str">
        <f>_xll.BDP("940157K7 Muni","COUNTY_LOCATION_ISSUER")</f>
        <v>#N/A Requesting Data...</v>
      </c>
      <c r="F83" t="str">
        <f>_xll.BDP("940157K7 Muni","DUR_ADJ_MID")</f>
        <v>#N/A Requesting Data...</v>
      </c>
      <c r="G83" t="str">
        <f>_xll.BDP("940157K7 Muni","SPREAD_AT_ISSUANCE_TO_WORST")</f>
        <v>#N/A Requesting Data...</v>
      </c>
      <c r="H83" t="str">
        <f>_xll.BDP("940157K7 Muni","ISSUE_DT")</f>
        <v>#N/A Requesting Data...</v>
      </c>
      <c r="I83" t="str">
        <f>_xll.BDS("940157K7 Muni","MUNI_PURPOSE_SCHED", "aggregate=y")</f>
        <v>#N/A Review</v>
      </c>
      <c r="J83" t="str">
        <f>_xll.BDP("940157K7 Muni","CPN")</f>
        <v>#N/A Requesting Data...</v>
      </c>
      <c r="K83" t="str">
        <f>_xll.BDP("940157K7 Muni","MATURITY")</f>
        <v>#N/A Requesting Data...</v>
      </c>
      <c r="L83">
        <v>9395000</v>
      </c>
      <c r="M83" t="str">
        <f>_xll.BDP("940157K7 Muni","YIELD_ON_ISSUE_DATE")</f>
        <v>#N/A Requesting Data...</v>
      </c>
      <c r="N83" t="str">
        <f>_xll.BDP("940157K7 Muni","YTW_SPREAD_TO_MATURITY_AT_ISSU")</f>
        <v>#N/A Requesting Data...</v>
      </c>
      <c r="O83" t="str">
        <f>_xll.BDP("940157K7 Muni","BVAL_MID_YTM")</f>
        <v>#N/A Requesting Data...</v>
      </c>
      <c r="P83" t="str">
        <f>_xll.BDP("940157K7 Muni","MUNI_TAX_PROV")</f>
        <v>#N/A Requesting Data...</v>
      </c>
      <c r="Q83" t="str">
        <f>_xll.BDP("940157K7 Muni","MUNI_FED_TAX")</f>
        <v>#N/A Requesting Data...</v>
      </c>
      <c r="R83" t="str">
        <f>_xll.BDP("940157K7 Muni","MUNI_MSRB_VOLUME")</f>
        <v>#N/A Requesting Data...</v>
      </c>
      <c r="S83" t="str">
        <f>_xll.BDP("940157K7 Muni","BB_COMPOSITE")</f>
        <v>#N/A Requesting Data...</v>
      </c>
      <c r="T83" t="str">
        <f>_xll.BDP("940157K7 Muni","LQA_LIQUIDITY_SCORE")</f>
        <v>#N/A Requesting Data...</v>
      </c>
    </row>
    <row r="84" spans="1:20" x14ac:dyDescent="0.25">
      <c r="A84" t="str">
        <f>_xll.BDP("641322BK Muni","ID_CUSIP")</f>
        <v>#N/A Requesting Data...</v>
      </c>
      <c r="B84" t="s">
        <v>48</v>
      </c>
      <c r="C84" t="str">
        <f>_xll.BDP("641322BK Muni","INSURANCE_STATUS")</f>
        <v>#N/A Requesting Data...</v>
      </c>
      <c r="D84" t="str">
        <f>_xll.BDP("641322BK Muni","STATE_CODE")</f>
        <v>#N/A Requesting Data...</v>
      </c>
      <c r="E84" t="str">
        <f>_xll.BDP("641322BK Muni","COUNTY_LOCATION_ISSUER")</f>
        <v>#N/A Requesting Data...</v>
      </c>
      <c r="F84" t="str">
        <f>_xll.BDP("641322BK Muni","DUR_ADJ_MID")</f>
        <v>#N/A Requesting Data...</v>
      </c>
      <c r="G84" t="str">
        <f>_xll.BDP("641322BK Muni","SPREAD_AT_ISSUANCE_TO_WORST")</f>
        <v>#N/A Requesting Data...</v>
      </c>
      <c r="H84" t="str">
        <f>_xll.BDP("641322BK Muni","ISSUE_DT")</f>
        <v>#N/A Requesting Data...</v>
      </c>
      <c r="I84" t="str">
        <f>_xll.BDS("641322BK Muni","MUNI_PURPOSE_SCHED", "aggregate=y")</f>
        <v>#N/A Review</v>
      </c>
      <c r="J84" t="str">
        <f>_xll.BDP("641322BK Muni","CPN")</f>
        <v>#N/A Requesting Data...</v>
      </c>
      <c r="K84" t="str">
        <f>_xll.BDP("641322BK Muni","MATURITY")</f>
        <v>#N/A Requesting Data...</v>
      </c>
      <c r="L84">
        <v>1650000</v>
      </c>
      <c r="M84" t="str">
        <f>_xll.BDP("641322BK Muni","YIELD_ON_ISSUE_DATE")</f>
        <v>#N/A Requesting Data...</v>
      </c>
      <c r="N84" t="str">
        <f>_xll.BDP("641322BK Muni","YTW_SPREAD_TO_MATURITY_AT_ISSU")</f>
        <v>#N/A Requesting Data...</v>
      </c>
      <c r="O84" t="str">
        <f>_xll.BDP("641322BK Muni","BVAL_MID_YTM")</f>
        <v>#N/A Requesting Data...</v>
      </c>
      <c r="P84" t="str">
        <f>_xll.BDP("641322BK Muni","MUNI_TAX_PROV")</f>
        <v>#N/A Requesting Data...</v>
      </c>
      <c r="Q84" t="str">
        <f>_xll.BDP("641322BK Muni","MUNI_FED_TAX")</f>
        <v>#N/A Requesting Data...</v>
      </c>
      <c r="R84" t="str">
        <f>_xll.BDP("641322BK Muni","MUNI_MSRB_VOLUME")</f>
        <v>#N/A Requesting Data...</v>
      </c>
      <c r="S84" t="str">
        <f>_xll.BDP("641322BK Muni","BB_COMPOSITE")</f>
        <v>#N/A Requesting Data...</v>
      </c>
      <c r="T84" t="str">
        <f>_xll.BDP("641322BK Muni","LQA_LIQUIDITY_SCORE")</f>
        <v>#N/A Requesting Data...</v>
      </c>
    </row>
    <row r="85" spans="1:20" x14ac:dyDescent="0.25">
      <c r="A85" t="str">
        <f>_xll.BDP("544525TT Muni","ID_CUSIP")</f>
        <v>#N/A Requesting Data...</v>
      </c>
      <c r="B85" t="s">
        <v>34</v>
      </c>
      <c r="C85" t="str">
        <f>_xll.BDP("544525TT Muni","INSURANCE_STATUS")</f>
        <v>#N/A Requesting Data...</v>
      </c>
      <c r="D85" t="str">
        <f>_xll.BDP("544525TT Muni","STATE_CODE")</f>
        <v>#N/A Requesting Data...</v>
      </c>
      <c r="E85" t="str">
        <f>_xll.BDP("544525TT Muni","COUNTY_LOCATION_ISSUER")</f>
        <v>#N/A Requesting Data...</v>
      </c>
      <c r="F85" t="str">
        <f>_xll.BDP("544525TT Muni","DUR_ADJ_MID")</f>
        <v>#N/A Requesting Data...</v>
      </c>
      <c r="G85" t="str">
        <f>_xll.BDP("544525TT Muni","SPREAD_AT_ISSUANCE_TO_WORST")</f>
        <v>#N/A Requesting Data...</v>
      </c>
      <c r="H85" t="str">
        <f>_xll.BDP("544525TT Muni","ISSUE_DT")</f>
        <v>#N/A Requesting Data...</v>
      </c>
      <c r="I85" t="str">
        <f>_xll.BDS("544525TT Muni","MUNI_PURPOSE_SCHED", "aggregate=y")</f>
        <v>#N/A Review</v>
      </c>
      <c r="J85" t="str">
        <f>_xll.BDP("544525TT Muni","CPN")</f>
        <v>#N/A Requesting Data...</v>
      </c>
      <c r="K85" t="str">
        <f>_xll.BDP("544525TT Muni","MATURITY")</f>
        <v>#N/A Requesting Data...</v>
      </c>
      <c r="L85">
        <v>11565000</v>
      </c>
      <c r="M85" t="str">
        <f>_xll.BDP("544525TT Muni","YIELD_ON_ISSUE_DATE")</f>
        <v>#N/A Requesting Data...</v>
      </c>
      <c r="N85" t="str">
        <f>_xll.BDP("544525TT Muni","YTW_SPREAD_TO_MATURITY_AT_ISSU")</f>
        <v>#N/A Requesting Data...</v>
      </c>
      <c r="O85" t="str">
        <f>_xll.BDP("544525TT Muni","BVAL_MID_YTM")</f>
        <v>#N/A Requesting Data...</v>
      </c>
      <c r="P85" t="str">
        <f>_xll.BDP("544525TT Muni","MUNI_TAX_PROV")</f>
        <v>#N/A Requesting Data...</v>
      </c>
      <c r="Q85" t="str">
        <f>_xll.BDP("544525TT Muni","MUNI_FED_TAX")</f>
        <v>#N/A Requesting Data...</v>
      </c>
      <c r="R85" t="str">
        <f>_xll.BDP("544525TT Muni","MUNI_MSRB_VOLUME")</f>
        <v>#N/A Requesting Data...</v>
      </c>
      <c r="S85" t="str">
        <f>_xll.BDP("544525TT Muni","BB_COMPOSITE")</f>
        <v>#N/A Requesting Data...</v>
      </c>
      <c r="T85" t="str">
        <f>_xll.BDP("544525TT Muni","LQA_LIQUIDITY_SCORE")</f>
        <v>#N/A Requesting Data...</v>
      </c>
    </row>
    <row r="86" spans="1:20" x14ac:dyDescent="0.25">
      <c r="A86" t="str">
        <f>_xll.BDP("80168FLQ Muni","ID_CUSIP")</f>
        <v>#N/A Requesting Data...</v>
      </c>
      <c r="B86" t="s">
        <v>69</v>
      </c>
      <c r="C86" t="str">
        <f>_xll.BDP("80168FLQ Muni","INSURANCE_STATUS")</f>
        <v>#N/A Requesting Data...</v>
      </c>
      <c r="D86" t="str">
        <f>_xll.BDP("80168FLQ Muni","STATE_CODE")</f>
        <v>#N/A Requesting Data...</v>
      </c>
      <c r="E86" t="str">
        <f>_xll.BDP("80168FLQ Muni","COUNTY_LOCATION_ISSUER")</f>
        <v>#N/A Requesting Data...</v>
      </c>
      <c r="F86" t="str">
        <f>_xll.BDP("80168FLQ Muni","DUR_ADJ_MID")</f>
        <v>#N/A Requesting Data...</v>
      </c>
      <c r="G86" t="str">
        <f>_xll.BDP("80168FLQ Muni","SPREAD_AT_ISSUANCE_TO_WORST")</f>
        <v>#N/A Requesting Data...</v>
      </c>
      <c r="H86" t="str">
        <f>_xll.BDP("80168FLQ Muni","ISSUE_DT")</f>
        <v>#N/A Requesting Data...</v>
      </c>
      <c r="I86" t="str">
        <f>_xll.BDS("80168FLQ Muni","MUNI_PURPOSE_SCHED", "aggregate=y")</f>
        <v>#N/A Review</v>
      </c>
      <c r="J86" t="str">
        <f>_xll.BDP("80168FLQ Muni","CPN")</f>
        <v>#N/A Requesting Data...</v>
      </c>
      <c r="K86" t="str">
        <f>_xll.BDP("80168FLQ Muni","MATURITY")</f>
        <v>#N/A Requesting Data...</v>
      </c>
      <c r="L86">
        <v>3535000</v>
      </c>
      <c r="M86" t="str">
        <f>_xll.BDP("80168FLQ Muni","YIELD_ON_ISSUE_DATE")</f>
        <v>#N/A Requesting Data...</v>
      </c>
      <c r="N86" t="str">
        <f>_xll.BDP("80168FLQ Muni","YTW_SPREAD_TO_MATURITY_AT_ISSU")</f>
        <v>#N/A Requesting Data...</v>
      </c>
      <c r="O86" t="str">
        <f>_xll.BDP("80168FLQ Muni","BVAL_MID_YTM")</f>
        <v>#N/A Requesting Data...</v>
      </c>
      <c r="P86" t="str">
        <f>_xll.BDP("80168FLQ Muni","MUNI_TAX_PROV")</f>
        <v>#N/A Requesting Data...</v>
      </c>
      <c r="Q86" t="str">
        <f>_xll.BDP("80168FLQ Muni","MUNI_FED_TAX")</f>
        <v>#N/A Requesting Data...</v>
      </c>
      <c r="R86" t="str">
        <f>_xll.BDP("80168FLQ Muni","MUNI_MSRB_VOLUME")</f>
        <v>#N/A Requesting Data...</v>
      </c>
      <c r="S86" t="str">
        <f>_xll.BDP("80168FLQ Muni","BB_COMPOSITE")</f>
        <v>#N/A Requesting Data...</v>
      </c>
      <c r="T86" t="str">
        <f>_xll.BDP("80168FLQ Muni","LQA_LIQUIDITY_SCORE")</f>
        <v>#N/A Requesting Data...</v>
      </c>
    </row>
    <row r="87" spans="1:20" x14ac:dyDescent="0.25">
      <c r="A87" t="str">
        <f>_xll.BDP("57390EET Muni","ID_CUSIP")</f>
        <v>#N/A Requesting Data...</v>
      </c>
      <c r="B87" t="s">
        <v>57</v>
      </c>
      <c r="C87" t="str">
        <f>_xll.BDP("57390EET Muni","INSURANCE_STATUS")</f>
        <v>#N/A Requesting Data...</v>
      </c>
      <c r="D87" t="str">
        <f>_xll.BDP("57390EET Muni","STATE_CODE")</f>
        <v>#N/A Requesting Data...</v>
      </c>
      <c r="E87" t="str">
        <f>_xll.BDP("57390EET Muni","COUNTY_LOCATION_ISSUER")</f>
        <v>#N/A Requesting Data...</v>
      </c>
      <c r="F87" t="str">
        <f>_xll.BDP("57390EET Muni","DUR_ADJ_MID")</f>
        <v>#N/A Requesting Data...</v>
      </c>
      <c r="G87" t="str">
        <f>_xll.BDP("57390EET Muni","SPREAD_AT_ISSUANCE_TO_WORST")</f>
        <v>#N/A Requesting Data...</v>
      </c>
      <c r="H87" t="str">
        <f>_xll.BDP("57390EET Muni","ISSUE_DT")</f>
        <v>#N/A Requesting Data...</v>
      </c>
      <c r="I87" t="str">
        <f>_xll.BDS("57390EET Muni","MUNI_PURPOSE_SCHED", "aggregate=y")</f>
        <v>#N/A Review</v>
      </c>
      <c r="J87" t="str">
        <f>_xll.BDP("57390EET Muni","CPN")</f>
        <v>#N/A Requesting Data...</v>
      </c>
      <c r="K87" t="str">
        <f>_xll.BDP("57390EET Muni","MATURITY")</f>
        <v>#N/A Requesting Data...</v>
      </c>
      <c r="L87">
        <v>2935000</v>
      </c>
      <c r="M87" t="str">
        <f>_xll.BDP("57390EET Muni","YIELD_ON_ISSUE_DATE")</f>
        <v>#N/A Requesting Data...</v>
      </c>
      <c r="N87" t="str">
        <f>_xll.BDP("57390EET Muni","YTW_SPREAD_TO_MATURITY_AT_ISSU")</f>
        <v>#N/A Requesting Data...</v>
      </c>
      <c r="O87" t="str">
        <f>_xll.BDP("57390EET Muni","BVAL_MID_YTM")</f>
        <v>#N/A Requesting Data...</v>
      </c>
      <c r="P87" t="str">
        <f>_xll.BDP("57390EET Muni","MUNI_TAX_PROV")</f>
        <v>#N/A Requesting Data...</v>
      </c>
      <c r="Q87" t="str">
        <f>_xll.BDP("57390EET Muni","MUNI_FED_TAX")</f>
        <v>#N/A Requesting Data...</v>
      </c>
      <c r="R87" t="str">
        <f>_xll.BDP("57390EET Muni","MUNI_MSRB_VOLUME")</f>
        <v>#N/A Requesting Data...</v>
      </c>
      <c r="S87" t="str">
        <f>_xll.BDP("57390EET Muni","BB_COMPOSITE")</f>
        <v>#N/A Requesting Data...</v>
      </c>
      <c r="T87" t="str">
        <f>_xll.BDP("57390EET Muni","LQA_LIQUIDITY_SCORE")</f>
        <v>#N/A Requesting Data...</v>
      </c>
    </row>
    <row r="88" spans="1:20" x14ac:dyDescent="0.25">
      <c r="A88" t="str">
        <f>_xll.BDP("916544BY Muni","ID_CUSIP")</f>
        <v>#N/A Requesting Data...</v>
      </c>
      <c r="B88" t="s">
        <v>44</v>
      </c>
      <c r="C88" t="str">
        <f>_xll.BDP("916544BY Muni","INSURANCE_STATUS")</f>
        <v>#N/A Requesting Data...</v>
      </c>
      <c r="D88" t="str">
        <f>_xll.BDP("916544BY Muni","STATE_CODE")</f>
        <v>#N/A Requesting Data...</v>
      </c>
      <c r="E88" t="str">
        <f>_xll.BDP("916544BY Muni","COUNTY_LOCATION_ISSUER")</f>
        <v>#N/A Requesting Data...</v>
      </c>
      <c r="F88" t="str">
        <f>_xll.BDP("916544BY Muni","DUR_ADJ_MID")</f>
        <v>#N/A Requesting Data...</v>
      </c>
      <c r="G88" t="str">
        <f>_xll.BDP("916544BY Muni","SPREAD_AT_ISSUANCE_TO_WORST")</f>
        <v>#N/A Requesting Data...</v>
      </c>
      <c r="H88" t="str">
        <f>_xll.BDP("916544BY Muni","ISSUE_DT")</f>
        <v>#N/A Requesting Data...</v>
      </c>
      <c r="I88" t="str">
        <f>_xll.BDS("916544BY Muni","MUNI_PURPOSE_SCHED", "aggregate=y")</f>
        <v>#N/A Review</v>
      </c>
      <c r="J88" t="str">
        <f>_xll.BDP("916544BY Muni","CPN")</f>
        <v>#N/A Requesting Data...</v>
      </c>
      <c r="K88" t="str">
        <f>_xll.BDP("916544BY Muni","MATURITY")</f>
        <v>#N/A Requesting Data...</v>
      </c>
      <c r="L88">
        <v>2620000</v>
      </c>
      <c r="M88" t="str">
        <f>_xll.BDP("916544BY Muni","YIELD_ON_ISSUE_DATE")</f>
        <v>#N/A Requesting Data...</v>
      </c>
      <c r="N88" t="str">
        <f>_xll.BDP("916544BY Muni","YTW_SPREAD_TO_MATURITY_AT_ISSU")</f>
        <v>#N/A Requesting Data...</v>
      </c>
      <c r="O88" t="str">
        <f>_xll.BDP("916544BY Muni","BVAL_MID_YTM")</f>
        <v>#N/A Requesting Data...</v>
      </c>
      <c r="P88" t="str">
        <f>_xll.BDP("916544BY Muni","MUNI_TAX_PROV")</f>
        <v>#N/A Requesting Data...</v>
      </c>
      <c r="Q88" t="str">
        <f>_xll.BDP("916544BY Muni","MUNI_FED_TAX")</f>
        <v>#N/A Requesting Data...</v>
      </c>
      <c r="R88" t="str">
        <f>_xll.BDP("916544BY Muni","MUNI_MSRB_VOLUME")</f>
        <v>#N/A Requesting Data...</v>
      </c>
      <c r="S88" t="str">
        <f>_xll.BDP("916544BY Muni","BB_COMPOSITE")</f>
        <v>#N/A Requesting Data...</v>
      </c>
      <c r="T88" t="str">
        <f>_xll.BDP("916544BY Muni","LQA_LIQUIDITY_SCORE")</f>
        <v>#N/A Requesting Data...</v>
      </c>
    </row>
    <row r="89" spans="1:20" x14ac:dyDescent="0.25">
      <c r="A89" t="str">
        <f>_xll.BDP("080375AF Muni","ID_CUSIP")</f>
        <v>#N/A Requesting Data...</v>
      </c>
      <c r="B89" t="s">
        <v>70</v>
      </c>
      <c r="C89" t="str">
        <f>_xll.BDP("080375AF Muni","INSURANCE_STATUS")</f>
        <v>#N/A Requesting Data...</v>
      </c>
      <c r="D89" t="str">
        <f>_xll.BDP("080375AF Muni","STATE_CODE")</f>
        <v>#N/A Requesting Data...</v>
      </c>
      <c r="E89" t="str">
        <f>_xll.BDP("080375AF Muni","COUNTY_LOCATION_ISSUER")</f>
        <v>#N/A Requesting Data...</v>
      </c>
      <c r="F89" t="str">
        <f>_xll.BDP("080375AF Muni","DUR_ADJ_MID")</f>
        <v>#N/A Requesting Data...</v>
      </c>
      <c r="G89" t="str">
        <f>_xll.BDP("080375AF Muni","SPREAD_AT_ISSUANCE_TO_WORST")</f>
        <v>#N/A Requesting Data...</v>
      </c>
      <c r="H89" t="str">
        <f>_xll.BDP("080375AF Muni","ISSUE_DT")</f>
        <v>#N/A Requesting Data...</v>
      </c>
      <c r="I89" t="str">
        <f>_xll.BDS("080375AF Muni","MUNI_PURPOSE_SCHED", "aggregate=y")</f>
        <v>#N/A Review</v>
      </c>
      <c r="J89" t="str">
        <f>_xll.BDP("080375AF Muni","CPN")</f>
        <v>#N/A Requesting Data...</v>
      </c>
      <c r="K89" t="str">
        <f>_xll.BDP("080375AF Muni","MATURITY")</f>
        <v>#N/A Requesting Data...</v>
      </c>
      <c r="L89">
        <v>360000</v>
      </c>
      <c r="M89" t="str">
        <f>_xll.BDP("080375AF Muni","YIELD_ON_ISSUE_DATE")</f>
        <v>#N/A Requesting Data...</v>
      </c>
      <c r="N89" t="str">
        <f>_xll.BDP("080375AF Muni","YTW_SPREAD_TO_MATURITY_AT_ISSU")</f>
        <v>#N/A Requesting Data...</v>
      </c>
      <c r="O89" t="str">
        <f>_xll.BDP("080375AF Muni","BVAL_MID_YTM")</f>
        <v>#N/A Requesting Data...</v>
      </c>
      <c r="P89" t="str">
        <f>_xll.BDP("080375AF Muni","MUNI_TAX_PROV")</f>
        <v>#N/A Requesting Data...</v>
      </c>
      <c r="Q89" t="str">
        <f>_xll.BDP("080375AF Muni","MUNI_FED_TAX")</f>
        <v>#N/A Requesting Data...</v>
      </c>
      <c r="R89" t="str">
        <f>_xll.BDP("080375AF Muni","MUNI_MSRB_VOLUME")</f>
        <v>#N/A Requesting Data...</v>
      </c>
      <c r="S89" t="str">
        <f>_xll.BDP("080375AF Muni","BB_COMPOSITE")</f>
        <v>#N/A Requesting Data...</v>
      </c>
      <c r="T89" t="str">
        <f>_xll.BDP("080375AF Muni","LQA_LIQUIDITY_SCORE")</f>
        <v>#N/A Requesting Data...</v>
      </c>
    </row>
    <row r="90" spans="1:20" x14ac:dyDescent="0.25">
      <c r="A90" t="str">
        <f>_xll.BDP("20010TAK Muni","ID_CUSIP")</f>
        <v>#N/A Requesting Data...</v>
      </c>
      <c r="B90" t="s">
        <v>71</v>
      </c>
      <c r="C90" t="str">
        <f>_xll.BDP("20010TAK Muni","INSURANCE_STATUS")</f>
        <v>#N/A Requesting Data...</v>
      </c>
      <c r="D90" t="str">
        <f>_xll.BDP("20010TAK Muni","STATE_CODE")</f>
        <v>#N/A Requesting Data...</v>
      </c>
      <c r="E90" t="str">
        <f>_xll.BDP("20010TAK Muni","COUNTY_LOCATION_ISSUER")</f>
        <v>#N/A Requesting Data...</v>
      </c>
      <c r="F90" t="str">
        <f>_xll.BDP("20010TAK Muni","DUR_ADJ_MID")</f>
        <v>#N/A Requesting Data...</v>
      </c>
      <c r="G90" t="str">
        <f>_xll.BDP("20010TAK Muni","SPREAD_AT_ISSUANCE_TO_WORST")</f>
        <v>#N/A Requesting Data...</v>
      </c>
      <c r="H90" t="str">
        <f>_xll.BDP("20010TAK Muni","ISSUE_DT")</f>
        <v>#N/A Requesting Data...</v>
      </c>
      <c r="I90" t="str">
        <f>_xll.BDS("20010TAK Muni","MUNI_PURPOSE_SCHED", "aggregate=y")</f>
        <v>#N/A Review</v>
      </c>
      <c r="J90" t="str">
        <f>_xll.BDP("20010TAK Muni","CPN")</f>
        <v>#N/A Requesting Data...</v>
      </c>
      <c r="K90" t="str">
        <f>_xll.BDP("20010TAK Muni","MATURITY")</f>
        <v>#N/A Requesting Data...</v>
      </c>
      <c r="L90">
        <v>185000</v>
      </c>
      <c r="M90" t="str">
        <f>_xll.BDP("20010TAK Muni","YIELD_ON_ISSUE_DATE")</f>
        <v>#N/A Requesting Data...</v>
      </c>
      <c r="N90" t="str">
        <f>_xll.BDP("20010TAK Muni","YTW_SPREAD_TO_MATURITY_AT_ISSU")</f>
        <v>#N/A Requesting Data...</v>
      </c>
      <c r="O90" t="str">
        <f>_xll.BDP("20010TAK Muni","BVAL_MID_YTM")</f>
        <v>#N/A Requesting Data...</v>
      </c>
      <c r="P90" t="str">
        <f>_xll.BDP("20010TAK Muni","MUNI_TAX_PROV")</f>
        <v>#N/A Requesting Data...</v>
      </c>
      <c r="Q90" t="str">
        <f>_xll.BDP("20010TAK Muni","MUNI_FED_TAX")</f>
        <v>#N/A Requesting Data...</v>
      </c>
      <c r="R90" t="str">
        <f>_xll.BDP("20010TAK Muni","MUNI_MSRB_VOLUME")</f>
        <v>#N/A Requesting Data...</v>
      </c>
      <c r="S90" t="str">
        <f>_xll.BDP("20010TAK Muni","BB_COMPOSITE")</f>
        <v>#N/A Requesting Data...</v>
      </c>
      <c r="T90" t="str">
        <f>_xll.BDP("20010TAK Muni","LQA_LIQUIDITY_SCORE")</f>
        <v>#N/A Requesting Data...</v>
      </c>
    </row>
    <row r="91" spans="1:20" x14ac:dyDescent="0.25">
      <c r="A91" t="str">
        <f>_xll.BDP("338423QF Muni","ID_CUSIP")</f>
        <v>#N/A Requesting Data...</v>
      </c>
      <c r="B91" t="s">
        <v>72</v>
      </c>
      <c r="C91" t="str">
        <f>_xll.BDP("338423QF Muni","INSURANCE_STATUS")</f>
        <v>#N/A Requesting Data...</v>
      </c>
      <c r="D91" t="str">
        <f>_xll.BDP("338423QF Muni","STATE_CODE")</f>
        <v>#N/A Requesting Data...</v>
      </c>
      <c r="E91" t="str">
        <f>_xll.BDP("338423QF Muni","COUNTY_LOCATION_ISSUER")</f>
        <v>#N/A Requesting Data...</v>
      </c>
      <c r="F91" t="str">
        <f>_xll.BDP("338423QF Muni","DUR_ADJ_MID")</f>
        <v>#N/A Requesting Data...</v>
      </c>
      <c r="G91" t="str">
        <f>_xll.BDP("338423QF Muni","SPREAD_AT_ISSUANCE_TO_WORST")</f>
        <v>#N/A Requesting Data...</v>
      </c>
      <c r="H91" t="str">
        <f>_xll.BDP("338423QF Muni","ISSUE_DT")</f>
        <v>#N/A Requesting Data...</v>
      </c>
      <c r="I91" t="str">
        <f>_xll.BDS("338423QF Muni","MUNI_PURPOSE_SCHED", "aggregate=y")</f>
        <v>#N/A Review</v>
      </c>
      <c r="J91" t="str">
        <f>_xll.BDP("338423QF Muni","CPN")</f>
        <v>#N/A Requesting Data...</v>
      </c>
      <c r="K91" t="str">
        <f>_xll.BDP("338423QF Muni","MATURITY")</f>
        <v>#N/A Requesting Data...</v>
      </c>
      <c r="L91">
        <v>680000</v>
      </c>
      <c r="M91" t="str">
        <f>_xll.BDP("338423QF Muni","YIELD_ON_ISSUE_DATE")</f>
        <v>#N/A Requesting Data...</v>
      </c>
      <c r="N91" t="str">
        <f>_xll.BDP("338423QF Muni","YTW_SPREAD_TO_MATURITY_AT_ISSU")</f>
        <v>#N/A Requesting Data...</v>
      </c>
      <c r="O91" t="str">
        <f>_xll.BDP("338423QF Muni","BVAL_MID_YTM")</f>
        <v>#N/A Requesting Data...</v>
      </c>
      <c r="P91" t="str">
        <f>_xll.BDP("338423QF Muni","MUNI_TAX_PROV")</f>
        <v>#N/A Requesting Data...</v>
      </c>
      <c r="Q91" t="str">
        <f>_xll.BDP("338423QF Muni","MUNI_FED_TAX")</f>
        <v>#N/A Requesting Data...</v>
      </c>
      <c r="R91" t="str">
        <f>_xll.BDP("338423QF Muni","MUNI_MSRB_VOLUME")</f>
        <v>#N/A Requesting Data...</v>
      </c>
      <c r="S91" t="str">
        <f>_xll.BDP("338423QF Muni","BB_COMPOSITE")</f>
        <v>#N/A Requesting Data...</v>
      </c>
      <c r="T91" t="str">
        <f>_xll.BDP("338423QF Muni","LQA_LIQUIDITY_SCORE")</f>
        <v>#N/A Requesting Data...</v>
      </c>
    </row>
    <row r="92" spans="1:20" x14ac:dyDescent="0.25">
      <c r="A92" t="str">
        <f>_xll.BDP("426170MQ Muni","ID_CUSIP")</f>
        <v>#N/A Requesting Data...</v>
      </c>
      <c r="B92" t="s">
        <v>52</v>
      </c>
      <c r="C92" t="str">
        <f>_xll.BDP("426170MQ Muni","INSURANCE_STATUS")</f>
        <v>#N/A Requesting Data...</v>
      </c>
      <c r="D92" t="str">
        <f>_xll.BDP("426170MQ Muni","STATE_CODE")</f>
        <v>#N/A Requesting Data...</v>
      </c>
      <c r="E92" t="str">
        <f>_xll.BDP("426170MQ Muni","COUNTY_LOCATION_ISSUER")</f>
        <v>#N/A Requesting Data...</v>
      </c>
      <c r="F92" t="str">
        <f>_xll.BDP("426170MQ Muni","DUR_ADJ_MID")</f>
        <v>#N/A Requesting Data...</v>
      </c>
      <c r="G92" t="str">
        <f>_xll.BDP("426170MQ Muni","SPREAD_AT_ISSUANCE_TO_WORST")</f>
        <v>#N/A Requesting Data...</v>
      </c>
      <c r="H92" t="str">
        <f>_xll.BDP("426170MQ Muni","ISSUE_DT")</f>
        <v>#N/A Requesting Data...</v>
      </c>
      <c r="I92" t="str">
        <f>_xll.BDS("426170MQ Muni","MUNI_PURPOSE_SCHED", "aggregate=y")</f>
        <v>#N/A Review</v>
      </c>
      <c r="J92" t="str">
        <f>_xll.BDP("426170MQ Muni","CPN")</f>
        <v>#N/A Requesting Data...</v>
      </c>
      <c r="K92" t="str">
        <f>_xll.BDP("426170MQ Muni","MATURITY")</f>
        <v>#N/A Requesting Data...</v>
      </c>
      <c r="L92">
        <v>7140000</v>
      </c>
      <c r="M92" t="str">
        <f>_xll.BDP("426170MQ Muni","YIELD_ON_ISSUE_DATE")</f>
        <v>#N/A Requesting Data...</v>
      </c>
      <c r="N92" t="str">
        <f>_xll.BDP("426170MQ Muni","YTW_SPREAD_TO_MATURITY_AT_ISSU")</f>
        <v>#N/A Requesting Data...</v>
      </c>
      <c r="O92" t="str">
        <f>_xll.BDP("426170MQ Muni","BVAL_MID_YTM")</f>
        <v>#N/A Requesting Data...</v>
      </c>
      <c r="P92" t="str">
        <f>_xll.BDP("426170MQ Muni","MUNI_TAX_PROV")</f>
        <v>#N/A Requesting Data...</v>
      </c>
      <c r="Q92" t="str">
        <f>_xll.BDP("426170MQ Muni","MUNI_FED_TAX")</f>
        <v>#N/A Requesting Data...</v>
      </c>
      <c r="R92" t="str">
        <f>_xll.BDP("426170MQ Muni","MUNI_MSRB_VOLUME")</f>
        <v>#N/A Requesting Data...</v>
      </c>
      <c r="S92" t="str">
        <f>_xll.BDP("426170MQ Muni","BB_COMPOSITE")</f>
        <v>#N/A Requesting Data...</v>
      </c>
      <c r="T92" t="str">
        <f>_xll.BDP("426170MQ Muni","LQA_LIQUIDITY_SCORE")</f>
        <v>#N/A Requesting Data...</v>
      </c>
    </row>
    <row r="93" spans="1:20" x14ac:dyDescent="0.25">
      <c r="A93" t="str">
        <f>_xll.BDP("45204EKA Muni","ID_CUSIP")</f>
        <v>#N/A Requesting Data...</v>
      </c>
      <c r="B93" t="s">
        <v>36</v>
      </c>
      <c r="C93" t="str">
        <f>_xll.BDP("45204EKA Muni","INSURANCE_STATUS")</f>
        <v>#N/A Requesting Data...</v>
      </c>
      <c r="D93" t="str">
        <f>_xll.BDP("45204EKA Muni","STATE_CODE")</f>
        <v>#N/A Requesting Data...</v>
      </c>
      <c r="E93" t="str">
        <f>_xll.BDP("45204EKA Muni","COUNTY_LOCATION_ISSUER")</f>
        <v>#N/A Requesting Data...</v>
      </c>
      <c r="F93" t="str">
        <f>_xll.BDP("45204EKA Muni","DUR_ADJ_MID")</f>
        <v>#N/A Requesting Data...</v>
      </c>
      <c r="G93" t="str">
        <f>_xll.BDP("45204EKA Muni","SPREAD_AT_ISSUANCE_TO_WORST")</f>
        <v>#N/A Requesting Data...</v>
      </c>
      <c r="H93" t="str">
        <f>_xll.BDP("45204EKA Muni","ISSUE_DT")</f>
        <v>#N/A Requesting Data...</v>
      </c>
      <c r="I93" t="str">
        <f>_xll.BDS("45204EKA Muni","MUNI_PURPOSE_SCHED", "aggregate=y")</f>
        <v>#N/A Review</v>
      </c>
      <c r="J93" t="str">
        <f>_xll.BDP("45204EKA Muni","CPN")</f>
        <v>#N/A Requesting Data...</v>
      </c>
      <c r="K93" t="str">
        <f>_xll.BDP("45204EKA Muni","MATURITY")</f>
        <v>#N/A Requesting Data...</v>
      </c>
      <c r="L93">
        <v>17000000</v>
      </c>
      <c r="M93" t="str">
        <f>_xll.BDP("45204EKA Muni","YIELD_ON_ISSUE_DATE")</f>
        <v>#N/A Requesting Data...</v>
      </c>
      <c r="N93" t="str">
        <f>_xll.BDP("45204EKA Muni","YTW_SPREAD_TO_MATURITY_AT_ISSU")</f>
        <v>#N/A Requesting Data...</v>
      </c>
      <c r="O93" t="str">
        <f>_xll.BDP("45204EKA Muni","BVAL_MID_YTM")</f>
        <v>#N/A Requesting Data...</v>
      </c>
      <c r="P93" t="str">
        <f>_xll.BDP("45204EKA Muni","MUNI_TAX_PROV")</f>
        <v>#N/A Requesting Data...</v>
      </c>
      <c r="Q93" t="str">
        <f>_xll.BDP("45204EKA Muni","MUNI_FED_TAX")</f>
        <v>#N/A Requesting Data...</v>
      </c>
      <c r="R93" t="str">
        <f>_xll.BDP("45204EKA Muni","MUNI_MSRB_VOLUME")</f>
        <v>#N/A Requesting Data...</v>
      </c>
      <c r="S93" t="str">
        <f>_xll.BDP("45204EKA Muni","BB_COMPOSITE")</f>
        <v>#N/A Requesting Data...</v>
      </c>
      <c r="T93" t="str">
        <f>_xll.BDP("45204EKA Muni","LQA_LIQUIDITY_SCORE")</f>
        <v>#N/A Requesting Data...</v>
      </c>
    </row>
    <row r="94" spans="1:20" x14ac:dyDescent="0.25">
      <c r="A94" t="str">
        <f>_xll.BDP("105025W3 Muni","ID_CUSIP")</f>
        <v>#N/A Requesting Data...</v>
      </c>
      <c r="B94" t="s">
        <v>73</v>
      </c>
      <c r="C94" t="str">
        <f>_xll.BDP("105025W3 Muni","INSURANCE_STATUS")</f>
        <v>#N/A Requesting Data...</v>
      </c>
      <c r="D94" t="str">
        <f>_xll.BDP("105025W3 Muni","STATE_CODE")</f>
        <v>#N/A Requesting Data...</v>
      </c>
      <c r="E94" t="str">
        <f>_xll.BDP("105025W3 Muni","COUNTY_LOCATION_ISSUER")</f>
        <v>#N/A Requesting Data...</v>
      </c>
      <c r="F94" t="str">
        <f>_xll.BDP("105025W3 Muni","DUR_ADJ_MID")</f>
        <v>#N/A Requesting Data...</v>
      </c>
      <c r="G94" t="str">
        <f>_xll.BDP("105025W3 Muni","SPREAD_AT_ISSUANCE_TO_WORST")</f>
        <v>#N/A Requesting Data...</v>
      </c>
      <c r="H94" t="str">
        <f>_xll.BDP("105025W3 Muni","ISSUE_DT")</f>
        <v>#N/A Requesting Data...</v>
      </c>
      <c r="I94" t="str">
        <f>_xll.BDS("105025W3 Muni","MUNI_PURPOSE_SCHED", "aggregate=y")</f>
        <v>#N/A Review</v>
      </c>
      <c r="J94" t="str">
        <f>_xll.BDP("105025W3 Muni","CPN")</f>
        <v>#N/A Requesting Data...</v>
      </c>
      <c r="K94" t="str">
        <f>_xll.BDP("105025W3 Muni","MATURITY")</f>
        <v>#N/A Requesting Data...</v>
      </c>
      <c r="L94">
        <v>285000</v>
      </c>
      <c r="M94" t="str">
        <f>_xll.BDP("105025W3 Muni","YIELD_ON_ISSUE_DATE")</f>
        <v>#N/A Requesting Data...</v>
      </c>
      <c r="N94" t="str">
        <f>_xll.BDP("105025W3 Muni","YTW_SPREAD_TO_MATURITY_AT_ISSU")</f>
        <v>#N/A Requesting Data...</v>
      </c>
      <c r="O94" t="str">
        <f>_xll.BDP("105025W3 Muni","BVAL_MID_YTM")</f>
        <v>#N/A Requesting Data...</v>
      </c>
      <c r="P94" t="str">
        <f>_xll.BDP("105025W3 Muni","MUNI_TAX_PROV")</f>
        <v>#N/A Requesting Data...</v>
      </c>
      <c r="Q94" t="str">
        <f>_xll.BDP("105025W3 Muni","MUNI_FED_TAX")</f>
        <v>#N/A Requesting Data...</v>
      </c>
      <c r="R94" t="str">
        <f>_xll.BDP("105025W3 Muni","MUNI_MSRB_VOLUME")</f>
        <v>#N/A Requesting Data...</v>
      </c>
      <c r="S94" t="str">
        <f>_xll.BDP("105025W3 Muni","BB_COMPOSITE")</f>
        <v>#N/A Requesting Data...</v>
      </c>
      <c r="T94" t="str">
        <f>_xll.BDP("105025W3 Muni","LQA_LIQUIDITY_SCORE")</f>
        <v>#N/A Requesting Data...</v>
      </c>
    </row>
    <row r="95" spans="1:20" x14ac:dyDescent="0.25">
      <c r="A95" t="str">
        <f>_xll.BDP("412487EB Muni","ID_CUSIP")</f>
        <v>#N/A Requesting Data...</v>
      </c>
      <c r="B95" t="s">
        <v>74</v>
      </c>
      <c r="C95" t="str">
        <f>_xll.BDP("412487EB Muni","INSURANCE_STATUS")</f>
        <v>#N/A Requesting Data...</v>
      </c>
      <c r="D95" t="str">
        <f>_xll.BDP("412487EB Muni","STATE_CODE")</f>
        <v>#N/A Requesting Data...</v>
      </c>
      <c r="E95" t="str">
        <f>_xll.BDP("412487EB Muni","COUNTY_LOCATION_ISSUER")</f>
        <v>#N/A Requesting Data...</v>
      </c>
      <c r="F95" t="str">
        <f>_xll.BDP("412487EB Muni","DUR_ADJ_MID")</f>
        <v>#N/A Requesting Data...</v>
      </c>
      <c r="G95" t="str">
        <f>_xll.BDP("412487EB Muni","SPREAD_AT_ISSUANCE_TO_WORST")</f>
        <v>#N/A Requesting Data...</v>
      </c>
      <c r="H95" t="str">
        <f>_xll.BDP("412487EB Muni","ISSUE_DT")</f>
        <v>#N/A Requesting Data...</v>
      </c>
      <c r="I95" t="str">
        <f>_xll.BDS("412487EB Muni","MUNI_PURPOSE_SCHED", "aggregate=y")</f>
        <v>#N/A Review</v>
      </c>
      <c r="J95" t="str">
        <f>_xll.BDP("412487EB Muni","CPN")</f>
        <v>#N/A Requesting Data...</v>
      </c>
      <c r="K95" t="str">
        <f>_xll.BDP("412487EB Muni","MATURITY")</f>
        <v>#N/A Requesting Data...</v>
      </c>
      <c r="L95">
        <v>1940000</v>
      </c>
      <c r="M95" t="str">
        <f>_xll.BDP("412487EB Muni","YIELD_ON_ISSUE_DATE")</f>
        <v>#N/A Requesting Data...</v>
      </c>
      <c r="N95" t="str">
        <f>_xll.BDP("412487EB Muni","YTW_SPREAD_TO_MATURITY_AT_ISSU")</f>
        <v>#N/A Requesting Data...</v>
      </c>
      <c r="O95" t="str">
        <f>_xll.BDP("412487EB Muni","BVAL_MID_YTM")</f>
        <v>#N/A Requesting Data...</v>
      </c>
      <c r="P95" t="str">
        <f>_xll.BDP("412487EB Muni","MUNI_TAX_PROV")</f>
        <v>#N/A Requesting Data...</v>
      </c>
      <c r="Q95" t="str">
        <f>_xll.BDP("412487EB Muni","MUNI_FED_TAX")</f>
        <v>#N/A Requesting Data...</v>
      </c>
      <c r="R95" t="str">
        <f>_xll.BDP("412487EB Muni","MUNI_MSRB_VOLUME")</f>
        <v>#N/A Requesting Data...</v>
      </c>
      <c r="S95" t="str">
        <f>_xll.BDP("412487EB Muni","BB_COMPOSITE")</f>
        <v>#N/A Requesting Data...</v>
      </c>
      <c r="T95" t="str">
        <f>_xll.BDP("412487EB Muni","LQA_LIQUIDITY_SCORE")</f>
        <v>#N/A Requesting Data...</v>
      </c>
    </row>
    <row r="96" spans="1:20" x14ac:dyDescent="0.25">
      <c r="A96" t="str">
        <f>_xll.BDP("137699YN Muni","ID_CUSIP")</f>
        <v>#N/A Requesting Data...</v>
      </c>
      <c r="B96" t="s">
        <v>75</v>
      </c>
      <c r="C96" t="str">
        <f>_xll.BDP("137699YN Muni","INSURANCE_STATUS")</f>
        <v>#N/A Requesting Data...</v>
      </c>
      <c r="D96" t="str">
        <f>_xll.BDP("137699YN Muni","STATE_CODE")</f>
        <v>#N/A Requesting Data...</v>
      </c>
      <c r="E96" t="str">
        <f>_xll.BDP("137699YN Muni","COUNTY_LOCATION_ISSUER")</f>
        <v>#N/A Requesting Data...</v>
      </c>
      <c r="F96" t="str">
        <f>_xll.BDP("137699YN Muni","DUR_ADJ_MID")</f>
        <v>#N/A Requesting Data...</v>
      </c>
      <c r="G96" t="str">
        <f>_xll.BDP("137699YN Muni","SPREAD_AT_ISSUANCE_TO_WORST")</f>
        <v>#N/A Requesting Data...</v>
      </c>
      <c r="H96" t="str">
        <f>_xll.BDP("137699YN Muni","ISSUE_DT")</f>
        <v>#N/A Requesting Data...</v>
      </c>
      <c r="I96" t="str">
        <f>_xll.BDS("137699YN Muni","MUNI_PURPOSE_SCHED", "aggregate=y")</f>
        <v>#N/A Review</v>
      </c>
      <c r="J96" t="str">
        <f>_xll.BDP("137699YN Muni","CPN")</f>
        <v>#N/A Requesting Data...</v>
      </c>
      <c r="K96" t="str">
        <f>_xll.BDP("137699YN Muni","MATURITY")</f>
        <v>#N/A Requesting Data...</v>
      </c>
      <c r="L96">
        <v>135000</v>
      </c>
      <c r="M96" t="str">
        <f>_xll.BDP("137699YN Muni","YIELD_ON_ISSUE_DATE")</f>
        <v>#N/A Requesting Data...</v>
      </c>
      <c r="N96" t="str">
        <f>_xll.BDP("137699YN Muni","YTW_SPREAD_TO_MATURITY_AT_ISSU")</f>
        <v>#N/A Requesting Data...</v>
      </c>
      <c r="O96" t="str">
        <f>_xll.BDP("137699YN Muni","BVAL_MID_YTM")</f>
        <v>#N/A Requesting Data...</v>
      </c>
      <c r="P96" t="str">
        <f>_xll.BDP("137699YN Muni","MUNI_TAX_PROV")</f>
        <v>#N/A Requesting Data...</v>
      </c>
      <c r="Q96" t="str">
        <f>_xll.BDP("137699YN Muni","MUNI_FED_TAX")</f>
        <v>#N/A Requesting Data...</v>
      </c>
      <c r="R96" t="str">
        <f>_xll.BDP("137699YN Muni","MUNI_MSRB_VOLUME")</f>
        <v>#N/A Requesting Data...</v>
      </c>
      <c r="S96" t="str">
        <f>_xll.BDP("137699YN Muni","BB_COMPOSITE")</f>
        <v>#N/A Requesting Data...</v>
      </c>
      <c r="T96" t="str">
        <f>_xll.BDP("137699YN Muni","LQA_LIQUIDITY_SCORE")</f>
        <v>#N/A Requesting Data...</v>
      </c>
    </row>
    <row r="97" spans="1:20" x14ac:dyDescent="0.25">
      <c r="A97" t="str">
        <f>_xll.BDP("13067WLR Muni","ID_CUSIP")</f>
        <v>#N/A Requesting Data...</v>
      </c>
      <c r="B97" t="s">
        <v>22</v>
      </c>
      <c r="C97" t="str">
        <f>_xll.BDP("13067WLR Muni","INSURANCE_STATUS")</f>
        <v>#N/A Requesting Data...</v>
      </c>
      <c r="D97" t="str">
        <f>_xll.BDP("13067WLR Muni","STATE_CODE")</f>
        <v>#N/A Requesting Data...</v>
      </c>
      <c r="E97" t="str">
        <f>_xll.BDP("13067WLR Muni","COUNTY_LOCATION_ISSUER")</f>
        <v>#N/A Requesting Data...</v>
      </c>
      <c r="F97" t="str">
        <f>_xll.BDP("13067WLR Muni","DUR_ADJ_MID")</f>
        <v>#N/A Requesting Data...</v>
      </c>
      <c r="G97" t="str">
        <f>_xll.BDP("13067WLR Muni","SPREAD_AT_ISSUANCE_TO_WORST")</f>
        <v>#N/A Requesting Data...</v>
      </c>
      <c r="H97" t="str">
        <f>_xll.BDP("13067WLR Muni","ISSUE_DT")</f>
        <v>#N/A Requesting Data...</v>
      </c>
      <c r="I97" t="str">
        <f>_xll.BDS("13067WLR Muni","MUNI_PURPOSE_SCHED", "aggregate=y")</f>
        <v>#N/A Review</v>
      </c>
      <c r="J97" t="str">
        <f>_xll.BDP("13067WLR Muni","CPN")</f>
        <v>#N/A Requesting Data...</v>
      </c>
      <c r="K97" t="str">
        <f>_xll.BDP("13067WLR Muni","MATURITY")</f>
        <v>#N/A Requesting Data...</v>
      </c>
      <c r="L97">
        <v>17280000</v>
      </c>
      <c r="M97" t="str">
        <f>_xll.BDP("13067WLR Muni","YIELD_ON_ISSUE_DATE")</f>
        <v>#N/A Requesting Data...</v>
      </c>
      <c r="N97" t="str">
        <f>_xll.BDP("13067WLR Muni","YTW_SPREAD_TO_MATURITY_AT_ISSU")</f>
        <v>#N/A Requesting Data...</v>
      </c>
      <c r="O97" t="str">
        <f>_xll.BDP("13067WLR Muni","BVAL_MID_YTM")</f>
        <v>#N/A Requesting Data...</v>
      </c>
      <c r="P97" t="str">
        <f>_xll.BDP("13067WLR Muni","MUNI_TAX_PROV")</f>
        <v>#N/A Requesting Data...</v>
      </c>
      <c r="Q97" t="str">
        <f>_xll.BDP("13067WLR Muni","MUNI_FED_TAX")</f>
        <v>#N/A Requesting Data...</v>
      </c>
      <c r="R97" t="str">
        <f>_xll.BDP("13067WLR Muni","MUNI_MSRB_VOLUME")</f>
        <v>#N/A Requesting Data...</v>
      </c>
      <c r="S97" t="str">
        <f>_xll.BDP("13067WLR Muni","BB_COMPOSITE")</f>
        <v>#N/A Requesting Data...</v>
      </c>
      <c r="T97" t="str">
        <f>_xll.BDP("13067WLR Muni","LQA_LIQUIDITY_SCORE")</f>
        <v>#N/A Requesting Data...</v>
      </c>
    </row>
    <row r="98" spans="1:20" x14ac:dyDescent="0.25">
      <c r="A98" t="str">
        <f>_xll.BDP("346793EE Muni","ID_CUSIP")</f>
        <v>#N/A Requesting Data...</v>
      </c>
      <c r="B98" t="s">
        <v>76</v>
      </c>
      <c r="C98" t="str">
        <f>_xll.BDP("346793EE Muni","INSURANCE_STATUS")</f>
        <v>#N/A Requesting Data...</v>
      </c>
      <c r="D98" t="str">
        <f>_xll.BDP("346793EE Muni","STATE_CODE")</f>
        <v>#N/A Requesting Data...</v>
      </c>
      <c r="E98" t="str">
        <f>_xll.BDP("346793EE Muni","COUNTY_LOCATION_ISSUER")</f>
        <v>#N/A Requesting Data...</v>
      </c>
      <c r="F98" t="str">
        <f>_xll.BDP("346793EE Muni","DUR_ADJ_MID")</f>
        <v>#N/A Requesting Data...</v>
      </c>
      <c r="G98" t="str">
        <f>_xll.BDP("346793EE Muni","SPREAD_AT_ISSUANCE_TO_WORST")</f>
        <v>#N/A Requesting Data...</v>
      </c>
      <c r="H98" t="str">
        <f>_xll.BDP("346793EE Muni","ISSUE_DT")</f>
        <v>#N/A Requesting Data...</v>
      </c>
      <c r="I98" t="str">
        <f>_xll.BDS("346793EE Muni","MUNI_PURPOSE_SCHED", "aggregate=y")</f>
        <v>#N/A Review</v>
      </c>
      <c r="J98" t="str">
        <f>_xll.BDP("346793EE Muni","CPN")</f>
        <v>#N/A Requesting Data...</v>
      </c>
      <c r="K98" t="str">
        <f>_xll.BDP("346793EE Muni","MATURITY")</f>
        <v>#N/A Requesting Data...</v>
      </c>
      <c r="L98">
        <v>150000</v>
      </c>
      <c r="M98" t="str">
        <f>_xll.BDP("346793EE Muni","YIELD_ON_ISSUE_DATE")</f>
        <v>#N/A Requesting Data...</v>
      </c>
      <c r="N98" t="str">
        <f>_xll.BDP("346793EE Muni","YTW_SPREAD_TO_MATURITY_AT_ISSU")</f>
        <v>#N/A Requesting Data...</v>
      </c>
      <c r="O98" t="str">
        <f>_xll.BDP("346793EE Muni","BVAL_MID_YTM")</f>
        <v>#N/A Requesting Data...</v>
      </c>
      <c r="P98" t="str">
        <f>_xll.BDP("346793EE Muni","MUNI_TAX_PROV")</f>
        <v>#N/A Requesting Data...</v>
      </c>
      <c r="Q98" t="str">
        <f>_xll.BDP("346793EE Muni","MUNI_FED_TAX")</f>
        <v>#N/A Requesting Data...</v>
      </c>
      <c r="R98" t="str">
        <f>_xll.BDP("346793EE Muni","MUNI_MSRB_VOLUME")</f>
        <v>#N/A Requesting Data...</v>
      </c>
      <c r="S98" t="str">
        <f>_xll.BDP("346793EE Muni","BB_COMPOSITE")</f>
        <v>#N/A Requesting Data...</v>
      </c>
      <c r="T98" t="str">
        <f>_xll.BDP("346793EE Muni","LQA_LIQUIDITY_SCORE")</f>
        <v>#N/A Requesting Data...</v>
      </c>
    </row>
    <row r="99" spans="1:20" x14ac:dyDescent="0.25">
      <c r="A99" t="str">
        <f>_xll.BDP("338423QJ Muni","ID_CUSIP")</f>
        <v>#N/A Requesting Data...</v>
      </c>
      <c r="B99" t="s">
        <v>72</v>
      </c>
      <c r="C99" t="str">
        <f>_xll.BDP("338423QJ Muni","INSURANCE_STATUS")</f>
        <v>#N/A Requesting Data...</v>
      </c>
      <c r="D99" t="str">
        <f>_xll.BDP("338423QJ Muni","STATE_CODE")</f>
        <v>#N/A Requesting Data...</v>
      </c>
      <c r="E99" t="str">
        <f>_xll.BDP("338423QJ Muni","COUNTY_LOCATION_ISSUER")</f>
        <v>#N/A Requesting Data...</v>
      </c>
      <c r="F99" t="str">
        <f>_xll.BDP("338423QJ Muni","DUR_ADJ_MID")</f>
        <v>#N/A Requesting Data...</v>
      </c>
      <c r="G99" t="str">
        <f>_xll.BDP("338423QJ Muni","SPREAD_AT_ISSUANCE_TO_WORST")</f>
        <v>#N/A Requesting Data...</v>
      </c>
      <c r="H99" t="str">
        <f>_xll.BDP("338423QJ Muni","ISSUE_DT")</f>
        <v>#N/A Requesting Data...</v>
      </c>
      <c r="I99" t="str">
        <f>_xll.BDS("338423QJ Muni","MUNI_PURPOSE_SCHED", "aggregate=y")</f>
        <v>#N/A Review</v>
      </c>
      <c r="J99" t="str">
        <f>_xll.BDP("338423QJ Muni","CPN")</f>
        <v>#N/A Requesting Data...</v>
      </c>
      <c r="K99" t="str">
        <f>_xll.BDP("338423QJ Muni","MATURITY")</f>
        <v>#N/A Requesting Data...</v>
      </c>
      <c r="L99">
        <v>765000</v>
      </c>
      <c r="M99" t="str">
        <f>_xll.BDP("338423QJ Muni","YIELD_ON_ISSUE_DATE")</f>
        <v>#N/A Requesting Data...</v>
      </c>
      <c r="N99" t="str">
        <f>_xll.BDP("338423QJ Muni","YTW_SPREAD_TO_MATURITY_AT_ISSU")</f>
        <v>#N/A Requesting Data...</v>
      </c>
      <c r="O99" t="str">
        <f>_xll.BDP("338423QJ Muni","BVAL_MID_YTM")</f>
        <v>#N/A Requesting Data...</v>
      </c>
      <c r="P99" t="str">
        <f>_xll.BDP("338423QJ Muni","MUNI_TAX_PROV")</f>
        <v>#N/A Requesting Data...</v>
      </c>
      <c r="Q99" t="str">
        <f>_xll.BDP("338423QJ Muni","MUNI_FED_TAX")</f>
        <v>#N/A Requesting Data...</v>
      </c>
      <c r="R99" t="str">
        <f>_xll.BDP("338423QJ Muni","MUNI_MSRB_VOLUME")</f>
        <v>#N/A Requesting Data...</v>
      </c>
      <c r="S99" t="str">
        <f>_xll.BDP("338423QJ Muni","BB_COMPOSITE")</f>
        <v>#N/A Requesting Data...</v>
      </c>
      <c r="T99" t="str">
        <f>_xll.BDP("338423QJ Muni","LQA_LIQUIDITY_SCORE")</f>
        <v>#N/A Requesting Data...</v>
      </c>
    </row>
    <row r="100" spans="1:20" x14ac:dyDescent="0.25">
      <c r="A100" t="str">
        <f>_xll.BDP("64986DBD Muni","ID_CUSIP")</f>
        <v>#N/A Requesting Data...</v>
      </c>
      <c r="B100" t="s">
        <v>38</v>
      </c>
      <c r="C100" t="str">
        <f>_xll.BDP("64986DBD Muni","INSURANCE_STATUS")</f>
        <v>#N/A Requesting Data...</v>
      </c>
      <c r="D100" t="str">
        <f>_xll.BDP("64986DBD Muni","STATE_CODE")</f>
        <v>#N/A Requesting Data...</v>
      </c>
      <c r="E100" t="str">
        <f>_xll.BDP("64986DBD Muni","COUNTY_LOCATION_ISSUER")</f>
        <v>#N/A Requesting Data...</v>
      </c>
      <c r="F100" t="str">
        <f>_xll.BDP("64986DBD Muni","DUR_ADJ_MID")</f>
        <v>#N/A Requesting Data...</v>
      </c>
      <c r="G100" t="str">
        <f>_xll.BDP("64986DBD Muni","SPREAD_AT_ISSUANCE_TO_WORST")</f>
        <v>#N/A Requesting Data...</v>
      </c>
      <c r="H100" t="str">
        <f>_xll.BDP("64986DBD Muni","ISSUE_DT")</f>
        <v>#N/A Requesting Data...</v>
      </c>
      <c r="I100" t="str">
        <f>_xll.BDS("64986DBD Muni","MUNI_PURPOSE_SCHED", "aggregate=y")</f>
        <v>#N/A Review</v>
      </c>
      <c r="J100" t="str">
        <f>_xll.BDP("64986DBD Muni","CPN")</f>
        <v>#N/A Requesting Data...</v>
      </c>
      <c r="K100" t="str">
        <f>_xll.BDP("64986DBD Muni","MATURITY")</f>
        <v>#N/A Requesting Data...</v>
      </c>
      <c r="L100">
        <v>9335000</v>
      </c>
      <c r="M100" t="str">
        <f>_xll.BDP("64986DBD Muni","YIELD_ON_ISSUE_DATE")</f>
        <v>#N/A Requesting Data...</v>
      </c>
      <c r="N100" t="str">
        <f>_xll.BDP("64986DBD Muni","YTW_SPREAD_TO_MATURITY_AT_ISSU")</f>
        <v>#N/A Requesting Data...</v>
      </c>
      <c r="O100" t="str">
        <f>_xll.BDP("64986DBD Muni","BVAL_MID_YTM")</f>
        <v>#N/A Requesting Data...</v>
      </c>
      <c r="P100" t="str">
        <f>_xll.BDP("64986DBD Muni","MUNI_TAX_PROV")</f>
        <v>#N/A Requesting Data...</v>
      </c>
      <c r="Q100" t="str">
        <f>_xll.BDP("64986DBD Muni","MUNI_FED_TAX")</f>
        <v>#N/A Requesting Data...</v>
      </c>
      <c r="R100" t="str">
        <f>_xll.BDP("64986DBD Muni","MUNI_MSRB_VOLUME")</f>
        <v>#N/A Requesting Data...</v>
      </c>
      <c r="S100" t="str">
        <f>_xll.BDP("64986DBD Muni","BB_COMPOSITE")</f>
        <v>#N/A Requesting Data...</v>
      </c>
      <c r="T100" t="str">
        <f>_xll.BDP("64986DBD Muni","LQA_LIQUIDITY_SCORE")</f>
        <v>#N/A Requesting Data...</v>
      </c>
    </row>
    <row r="101" spans="1:20" x14ac:dyDescent="0.25">
      <c r="A101" t="str">
        <f>_xll.BDP("544525TU Muni","ID_CUSIP")</f>
        <v>#N/A Requesting Data...</v>
      </c>
      <c r="B101" t="s">
        <v>34</v>
      </c>
      <c r="C101" t="str">
        <f>_xll.BDP("544525TU Muni","INSURANCE_STATUS")</f>
        <v>#N/A Requesting Data...</v>
      </c>
      <c r="D101" t="str">
        <f>_xll.BDP("544525TU Muni","STATE_CODE")</f>
        <v>#N/A Requesting Data...</v>
      </c>
      <c r="E101" t="str">
        <f>_xll.BDP("544525TU Muni","COUNTY_LOCATION_ISSUER")</f>
        <v>#N/A Requesting Data...</v>
      </c>
      <c r="F101" t="str">
        <f>_xll.BDP("544525TU Muni","DUR_ADJ_MID")</f>
        <v>#N/A Requesting Data...</v>
      </c>
      <c r="G101" t="str">
        <f>_xll.BDP("544525TU Muni","SPREAD_AT_ISSUANCE_TO_WORST")</f>
        <v>#N/A Requesting Data...</v>
      </c>
      <c r="H101" t="str">
        <f>_xll.BDP("544525TU Muni","ISSUE_DT")</f>
        <v>#N/A Requesting Data...</v>
      </c>
      <c r="I101" t="str">
        <f>_xll.BDS("544525TU Muni","MUNI_PURPOSE_SCHED", "aggregate=y")</f>
        <v>#N/A Review</v>
      </c>
      <c r="J101" t="str">
        <f>_xll.BDP("544525TU Muni","CPN")</f>
        <v>#N/A Requesting Data...</v>
      </c>
      <c r="K101" t="str">
        <f>_xll.BDP("544525TU Muni","MATURITY")</f>
        <v>#N/A Requesting Data...</v>
      </c>
      <c r="L101">
        <v>12170000</v>
      </c>
      <c r="M101" t="str">
        <f>_xll.BDP("544525TU Muni","YIELD_ON_ISSUE_DATE")</f>
        <v>#N/A Requesting Data...</v>
      </c>
      <c r="N101" t="str">
        <f>_xll.BDP("544525TU Muni","YTW_SPREAD_TO_MATURITY_AT_ISSU")</f>
        <v>#N/A Requesting Data...</v>
      </c>
      <c r="O101" t="str">
        <f>_xll.BDP("544525TU Muni","BVAL_MID_YTM")</f>
        <v>#N/A Requesting Data...</v>
      </c>
      <c r="P101" t="str">
        <f>_xll.BDP("544525TU Muni","MUNI_TAX_PROV")</f>
        <v>#N/A Requesting Data...</v>
      </c>
      <c r="Q101" t="str">
        <f>_xll.BDP("544525TU Muni","MUNI_FED_TAX")</f>
        <v>#N/A Requesting Data...</v>
      </c>
      <c r="R101" t="str">
        <f>_xll.BDP("544525TU Muni","MUNI_MSRB_VOLUME")</f>
        <v>#N/A Requesting Data...</v>
      </c>
      <c r="S101" t="str">
        <f>_xll.BDP("544525TU Muni","BB_COMPOSITE")</f>
        <v>#N/A Requesting Data...</v>
      </c>
      <c r="T101" t="str">
        <f>_xll.BDP("544525TU Muni","LQA_LIQUIDITY_SCORE")</f>
        <v>#N/A Requesting Data...</v>
      </c>
    </row>
    <row r="102" spans="1:20" x14ac:dyDescent="0.25">
      <c r="A102" t="str">
        <f>_xll.BDP("37530AAJ Muni","ID_CUSIP")</f>
        <v>#N/A Requesting Data...</v>
      </c>
      <c r="B102" t="s">
        <v>39</v>
      </c>
      <c r="C102" t="str">
        <f>_xll.BDP("37530AAJ Muni","INSURANCE_STATUS")</f>
        <v>#N/A Requesting Data...</v>
      </c>
      <c r="D102" t="str">
        <f>_xll.BDP("37530AAJ Muni","STATE_CODE")</f>
        <v>#N/A Requesting Data...</v>
      </c>
      <c r="E102" t="str">
        <f>_xll.BDP("37530AAJ Muni","COUNTY_LOCATION_ISSUER")</f>
        <v>#N/A Requesting Data...</v>
      </c>
      <c r="F102" t="str">
        <f>_xll.BDP("37530AAJ Muni","DUR_ADJ_MID")</f>
        <v>#N/A Requesting Data...</v>
      </c>
      <c r="G102" t="str">
        <f>_xll.BDP("37530AAJ Muni","SPREAD_AT_ISSUANCE_TO_WORST")</f>
        <v>#N/A Requesting Data...</v>
      </c>
      <c r="H102" t="str">
        <f>_xll.BDP("37530AAJ Muni","ISSUE_DT")</f>
        <v>#N/A Requesting Data...</v>
      </c>
      <c r="I102" t="str">
        <f>_xll.BDS("37530AAJ Muni","MUNI_PURPOSE_SCHED", "aggregate=y")</f>
        <v>#N/A Review</v>
      </c>
      <c r="J102" t="str">
        <f>_xll.BDP("37530AAJ Muni","CPN")</f>
        <v>#N/A Requesting Data...</v>
      </c>
      <c r="K102" t="str">
        <f>_xll.BDP("37530AAJ Muni","MATURITY")</f>
        <v>#N/A Requesting Data...</v>
      </c>
      <c r="L102">
        <v>7080000</v>
      </c>
      <c r="M102" t="str">
        <f>_xll.BDP("37530AAJ Muni","YIELD_ON_ISSUE_DATE")</f>
        <v>#N/A Requesting Data...</v>
      </c>
      <c r="N102" t="str">
        <f>_xll.BDP("37530AAJ Muni","YTW_SPREAD_TO_MATURITY_AT_ISSU")</f>
        <v>#N/A Requesting Data...</v>
      </c>
      <c r="O102" t="str">
        <f>_xll.BDP("37530AAJ Muni","BVAL_MID_YTM")</f>
        <v>#N/A Requesting Data...</v>
      </c>
      <c r="P102" t="str">
        <f>_xll.BDP("37530AAJ Muni","MUNI_TAX_PROV")</f>
        <v>#N/A Requesting Data...</v>
      </c>
      <c r="Q102" t="str">
        <f>_xll.BDP("37530AAJ Muni","MUNI_FED_TAX")</f>
        <v>#N/A Requesting Data...</v>
      </c>
      <c r="R102" t="str">
        <f>_xll.BDP("37530AAJ Muni","MUNI_MSRB_VOLUME")</f>
        <v>#N/A Requesting Data...</v>
      </c>
      <c r="S102" t="str">
        <f>_xll.BDP("37530AAJ Muni","BB_COMPOSITE")</f>
        <v>#N/A Requesting Data...</v>
      </c>
      <c r="T102" t="str">
        <f>_xll.BDP("37530AAJ Muni","LQA_LIQUIDITY_SCORE")</f>
        <v>#N/A Requesting Data...</v>
      </c>
    </row>
    <row r="103" spans="1:20" x14ac:dyDescent="0.25">
      <c r="A103" t="str">
        <f>_xll.BDP("676306DK Muni","ID_CUSIP")</f>
        <v>#N/A Requesting Data...</v>
      </c>
      <c r="B103" t="s">
        <v>77</v>
      </c>
      <c r="C103" t="str">
        <f>_xll.BDP("676306DK Muni","INSURANCE_STATUS")</f>
        <v>#N/A Requesting Data...</v>
      </c>
      <c r="D103" t="str">
        <f>_xll.BDP("676306DK Muni","STATE_CODE")</f>
        <v>#N/A Requesting Data...</v>
      </c>
      <c r="E103" t="str">
        <f>_xll.BDP("676306DK Muni","COUNTY_LOCATION_ISSUER")</f>
        <v>#N/A Requesting Data...</v>
      </c>
      <c r="F103" t="str">
        <f>_xll.BDP("676306DK Muni","DUR_ADJ_MID")</f>
        <v>#N/A Requesting Data...</v>
      </c>
      <c r="G103" t="str">
        <f>_xll.BDP("676306DK Muni","SPREAD_AT_ISSUANCE_TO_WORST")</f>
        <v>#N/A Requesting Data...</v>
      </c>
      <c r="H103" t="str">
        <f>_xll.BDP("676306DK Muni","ISSUE_DT")</f>
        <v>#N/A Requesting Data...</v>
      </c>
      <c r="I103" t="str">
        <f>_xll.BDS("676306DK Muni","MUNI_PURPOSE_SCHED", "aggregate=y")</f>
        <v>#N/A Review</v>
      </c>
      <c r="J103" t="str">
        <f>_xll.BDP("676306DK Muni","CPN")</f>
        <v>#N/A Requesting Data...</v>
      </c>
      <c r="K103" t="str">
        <f>_xll.BDP("676306DK Muni","MATURITY")</f>
        <v>#N/A Requesting Data...</v>
      </c>
      <c r="L103">
        <v>2270000</v>
      </c>
      <c r="M103" t="str">
        <f>_xll.BDP("676306DK Muni","YIELD_ON_ISSUE_DATE")</f>
        <v>#N/A Requesting Data...</v>
      </c>
      <c r="N103" t="str">
        <f>_xll.BDP("676306DK Muni","YTW_SPREAD_TO_MATURITY_AT_ISSU")</f>
        <v>#N/A Requesting Data...</v>
      </c>
      <c r="O103" t="str">
        <f>_xll.BDP("676306DK Muni","BVAL_MID_YTM")</f>
        <v>#N/A Requesting Data...</v>
      </c>
      <c r="P103" t="str">
        <f>_xll.BDP("676306DK Muni","MUNI_TAX_PROV")</f>
        <v>#N/A Requesting Data...</v>
      </c>
      <c r="Q103" t="str">
        <f>_xll.BDP("676306DK Muni","MUNI_FED_TAX")</f>
        <v>#N/A Requesting Data...</v>
      </c>
      <c r="R103" t="str">
        <f>_xll.BDP("676306DK Muni","MUNI_MSRB_VOLUME")</f>
        <v>#N/A Requesting Data...</v>
      </c>
      <c r="S103" t="str">
        <f>_xll.BDP("676306DK Muni","BB_COMPOSITE")</f>
        <v>#N/A Requesting Data...</v>
      </c>
      <c r="T103" t="str">
        <f>_xll.BDP("676306DK Muni","LQA_LIQUIDITY_SCORE")</f>
        <v>#N/A Requesting Data...</v>
      </c>
    </row>
    <row r="104" spans="1:20" x14ac:dyDescent="0.25">
      <c r="A104" t="str">
        <f>_xll.BDP("57582RLM Muni","ID_CUSIP")</f>
        <v>#N/A Requesting Data...</v>
      </c>
      <c r="B104" t="s">
        <v>78</v>
      </c>
      <c r="C104" t="str">
        <f>_xll.BDP("57582RLM Muni","INSURANCE_STATUS")</f>
        <v>#N/A Requesting Data...</v>
      </c>
      <c r="D104" t="str">
        <f>_xll.BDP("57582RLM Muni","STATE_CODE")</f>
        <v>#N/A Requesting Data...</v>
      </c>
      <c r="E104" t="str">
        <f>_xll.BDP("57582RLM Muni","COUNTY_LOCATION_ISSUER")</f>
        <v>#N/A Requesting Data...</v>
      </c>
      <c r="F104" t="str">
        <f>_xll.BDP("57582RLM Muni","DUR_ADJ_MID")</f>
        <v>#N/A Requesting Data...</v>
      </c>
      <c r="G104" t="str">
        <f>_xll.BDP("57582RLM Muni","SPREAD_AT_ISSUANCE_TO_WORST")</f>
        <v>#N/A Requesting Data...</v>
      </c>
      <c r="H104" t="str">
        <f>_xll.BDP("57582RLM Muni","ISSUE_DT")</f>
        <v>#N/A Requesting Data...</v>
      </c>
      <c r="I104" t="str">
        <f>_xll.BDS("57582RLM Muni","MUNI_PURPOSE_SCHED", "aggregate=y")</f>
        <v>#N/A Review</v>
      </c>
      <c r="J104" t="str">
        <f>_xll.BDP("57582RLM Muni","CPN")</f>
        <v>#N/A Requesting Data...</v>
      </c>
      <c r="K104" t="str">
        <f>_xll.BDP("57582RLM Muni","MATURITY")</f>
        <v>#N/A Requesting Data...</v>
      </c>
      <c r="L104">
        <v>25000000</v>
      </c>
      <c r="M104" t="str">
        <f>_xll.BDP("57582RLM Muni","YIELD_ON_ISSUE_DATE")</f>
        <v>#N/A Requesting Data...</v>
      </c>
      <c r="N104" t="str">
        <f>_xll.BDP("57582RLM Muni","YTW_SPREAD_TO_MATURITY_AT_ISSU")</f>
        <v>#N/A Requesting Data...</v>
      </c>
      <c r="O104" t="str">
        <f>_xll.BDP("57582RLM Muni","BVAL_MID_YTM")</f>
        <v>#N/A Requesting Data...</v>
      </c>
      <c r="P104" t="str">
        <f>_xll.BDP("57582RLM Muni","MUNI_TAX_PROV")</f>
        <v>#N/A Requesting Data...</v>
      </c>
      <c r="Q104" t="str">
        <f>_xll.BDP("57582RLM Muni","MUNI_FED_TAX")</f>
        <v>#N/A Requesting Data...</v>
      </c>
      <c r="R104" t="str">
        <f>_xll.BDP("57582RLM Muni","MUNI_MSRB_VOLUME")</f>
        <v>#N/A Requesting Data...</v>
      </c>
      <c r="S104" t="str">
        <f>_xll.BDP("57582RLM Muni","BB_COMPOSITE")</f>
        <v>#N/A Requesting Data...</v>
      </c>
      <c r="T104" t="str">
        <f>_xll.BDP("57582RLM Muni","LQA_LIQUIDITY_SCORE")</f>
        <v>#N/A Requesting Data...</v>
      </c>
    </row>
    <row r="105" spans="1:20" x14ac:dyDescent="0.25">
      <c r="A105" t="str">
        <f>_xll.BDP("79642B3N Muni","ID_CUSIP")</f>
        <v>#N/A Requesting Data...</v>
      </c>
      <c r="B105" t="s">
        <v>64</v>
      </c>
      <c r="C105" t="str">
        <f>_xll.BDP("79642B3N Muni","INSURANCE_STATUS")</f>
        <v>#N/A Requesting Data...</v>
      </c>
      <c r="D105" t="str">
        <f>_xll.BDP("79642B3N Muni","STATE_CODE")</f>
        <v>#N/A Requesting Data...</v>
      </c>
      <c r="E105" t="str">
        <f>_xll.BDP("79642B3N Muni","COUNTY_LOCATION_ISSUER")</f>
        <v>#N/A Requesting Data...</v>
      </c>
      <c r="F105" t="str">
        <f>_xll.BDP("79642B3N Muni","DUR_ADJ_MID")</f>
        <v>#N/A Requesting Data...</v>
      </c>
      <c r="G105" t="str">
        <f>_xll.BDP("79642B3N Muni","SPREAD_AT_ISSUANCE_TO_WORST")</f>
        <v>#N/A Requesting Data...</v>
      </c>
      <c r="H105" t="str">
        <f>_xll.BDP("79642B3N Muni","ISSUE_DT")</f>
        <v>#N/A Requesting Data...</v>
      </c>
      <c r="I105" t="str">
        <f>_xll.BDS("79642B3N Muni","MUNI_PURPOSE_SCHED", "aggregate=y")</f>
        <v>#N/A Review</v>
      </c>
      <c r="J105" t="str">
        <f>_xll.BDP("79642B3N Muni","CPN")</f>
        <v>#N/A Requesting Data...</v>
      </c>
      <c r="K105" t="str">
        <f>_xll.BDP("79642B3N Muni","MATURITY")</f>
        <v>#N/A Requesting Data...</v>
      </c>
      <c r="L105">
        <v>7290000</v>
      </c>
      <c r="M105" t="str">
        <f>_xll.BDP("79642B3N Muni","YIELD_ON_ISSUE_DATE")</f>
        <v>#N/A Requesting Data...</v>
      </c>
      <c r="N105" t="str">
        <f>_xll.BDP("79642B3N Muni","YTW_SPREAD_TO_MATURITY_AT_ISSU")</f>
        <v>#N/A Requesting Data...</v>
      </c>
      <c r="O105" t="str">
        <f>_xll.BDP("79642B3N Muni","BVAL_MID_YTM")</f>
        <v>#N/A Requesting Data...</v>
      </c>
      <c r="P105" t="str">
        <f>_xll.BDP("79642B3N Muni","MUNI_TAX_PROV")</f>
        <v>#N/A Requesting Data...</v>
      </c>
      <c r="Q105" t="str">
        <f>_xll.BDP("79642B3N Muni","MUNI_FED_TAX")</f>
        <v>#N/A Requesting Data...</v>
      </c>
      <c r="R105" t="str">
        <f>_xll.BDP("79642B3N Muni","MUNI_MSRB_VOLUME")</f>
        <v>#N/A Requesting Data...</v>
      </c>
      <c r="S105" t="str">
        <f>_xll.BDP("79642B3N Muni","BB_COMPOSITE")</f>
        <v>#N/A Requesting Data...</v>
      </c>
      <c r="T105" t="str">
        <f>_xll.BDP("79642B3N Muni","LQA_LIQUIDITY_SCORE")</f>
        <v>#N/A Requesting Data...</v>
      </c>
    </row>
    <row r="106" spans="1:20" x14ac:dyDescent="0.25">
      <c r="A106" t="str">
        <f>_xll.BDP("916544BX Muni","ID_CUSIP")</f>
        <v>#N/A Requesting Data...</v>
      </c>
      <c r="B106" t="s">
        <v>44</v>
      </c>
      <c r="C106" t="str">
        <f>_xll.BDP("916544BX Muni","INSURANCE_STATUS")</f>
        <v>#N/A Requesting Data...</v>
      </c>
      <c r="D106" t="str">
        <f>_xll.BDP("916544BX Muni","STATE_CODE")</f>
        <v>#N/A Requesting Data...</v>
      </c>
      <c r="E106" t="str">
        <f>_xll.BDP("916544BX Muni","COUNTY_LOCATION_ISSUER")</f>
        <v>#N/A Requesting Data...</v>
      </c>
      <c r="F106" t="str">
        <f>_xll.BDP("916544BX Muni","DUR_ADJ_MID")</f>
        <v>#N/A Requesting Data...</v>
      </c>
      <c r="G106" t="str">
        <f>_xll.BDP("916544BX Muni","SPREAD_AT_ISSUANCE_TO_WORST")</f>
        <v>#N/A Requesting Data...</v>
      </c>
      <c r="H106" t="str">
        <f>_xll.BDP("916544BX Muni","ISSUE_DT")</f>
        <v>#N/A Requesting Data...</v>
      </c>
      <c r="I106" t="str">
        <f>_xll.BDS("916544BX Muni","MUNI_PURPOSE_SCHED", "aggregate=y")</f>
        <v>#N/A Review</v>
      </c>
      <c r="J106" t="str">
        <f>_xll.BDP("916544BX Muni","CPN")</f>
        <v>#N/A Requesting Data...</v>
      </c>
      <c r="K106" t="str">
        <f>_xll.BDP("916544BX Muni","MATURITY")</f>
        <v>#N/A Requesting Data...</v>
      </c>
      <c r="L106">
        <v>2510000</v>
      </c>
      <c r="M106" t="str">
        <f>_xll.BDP("916544BX Muni","YIELD_ON_ISSUE_DATE")</f>
        <v>#N/A Requesting Data...</v>
      </c>
      <c r="N106" t="str">
        <f>_xll.BDP("916544BX Muni","YTW_SPREAD_TO_MATURITY_AT_ISSU")</f>
        <v>#N/A Requesting Data...</v>
      </c>
      <c r="O106" t="str">
        <f>_xll.BDP("916544BX Muni","BVAL_MID_YTM")</f>
        <v>#N/A Requesting Data...</v>
      </c>
      <c r="P106" t="str">
        <f>_xll.BDP("916544BX Muni","MUNI_TAX_PROV")</f>
        <v>#N/A Requesting Data...</v>
      </c>
      <c r="Q106" t="str">
        <f>_xll.BDP("916544BX Muni","MUNI_FED_TAX")</f>
        <v>#N/A Requesting Data...</v>
      </c>
      <c r="R106" t="str">
        <f>_xll.BDP("916544BX Muni","MUNI_MSRB_VOLUME")</f>
        <v>#N/A Requesting Data...</v>
      </c>
      <c r="S106" t="str">
        <f>_xll.BDP("916544BX Muni","BB_COMPOSITE")</f>
        <v>#N/A Requesting Data...</v>
      </c>
      <c r="T106" t="str">
        <f>_xll.BDP("916544BX Muni","LQA_LIQUIDITY_SCORE")</f>
        <v>#N/A Requesting Data...</v>
      </c>
    </row>
    <row r="107" spans="1:20" x14ac:dyDescent="0.25">
      <c r="A107" t="str">
        <f>_xll.BDP("20772J3U Muni","ID_CUSIP")</f>
        <v>#N/A Requesting Data...</v>
      </c>
      <c r="B107" t="s">
        <v>47</v>
      </c>
      <c r="C107" t="str">
        <f>_xll.BDP("20772J3U Muni","INSURANCE_STATUS")</f>
        <v>#N/A Requesting Data...</v>
      </c>
      <c r="D107" t="str">
        <f>_xll.BDP("20772J3U Muni","STATE_CODE")</f>
        <v>#N/A Requesting Data...</v>
      </c>
      <c r="E107" t="str">
        <f>_xll.BDP("20772J3U Muni","COUNTY_LOCATION_ISSUER")</f>
        <v>#N/A Requesting Data...</v>
      </c>
      <c r="F107" t="str">
        <f>_xll.BDP("20772J3U Muni","DUR_ADJ_MID")</f>
        <v>#N/A Requesting Data...</v>
      </c>
      <c r="G107" t="str">
        <f>_xll.BDP("20772J3U Muni","SPREAD_AT_ISSUANCE_TO_WORST")</f>
        <v>#N/A Requesting Data...</v>
      </c>
      <c r="H107" t="str">
        <f>_xll.BDP("20772J3U Muni","ISSUE_DT")</f>
        <v>#N/A Requesting Data...</v>
      </c>
      <c r="I107" t="str">
        <f>_xll.BDS("20772J3U Muni","MUNI_PURPOSE_SCHED", "aggregate=y")</f>
        <v>#N/A Review</v>
      </c>
      <c r="J107" t="str">
        <f>_xll.BDP("20772J3U Muni","CPN")</f>
        <v>#N/A Requesting Data...</v>
      </c>
      <c r="K107" t="str">
        <f>_xll.BDP("20772J3U Muni","MATURITY")</f>
        <v>#N/A Requesting Data...</v>
      </c>
      <c r="L107">
        <v>32500000</v>
      </c>
      <c r="M107" t="str">
        <f>_xll.BDP("20772J3U Muni","YIELD_ON_ISSUE_DATE")</f>
        <v>#N/A Requesting Data...</v>
      </c>
      <c r="N107" t="str">
        <f>_xll.BDP("20772J3U Muni","YTW_SPREAD_TO_MATURITY_AT_ISSU")</f>
        <v>#N/A Requesting Data...</v>
      </c>
      <c r="O107" t="str">
        <f>_xll.BDP("20772J3U Muni","BVAL_MID_YTM")</f>
        <v>#N/A Requesting Data...</v>
      </c>
      <c r="P107" t="str">
        <f>_xll.BDP("20772J3U Muni","MUNI_TAX_PROV")</f>
        <v>#N/A Requesting Data...</v>
      </c>
      <c r="Q107" t="str">
        <f>_xll.BDP("20772J3U Muni","MUNI_FED_TAX")</f>
        <v>#N/A Requesting Data...</v>
      </c>
      <c r="R107" t="str">
        <f>_xll.BDP("20772J3U Muni","MUNI_MSRB_VOLUME")</f>
        <v>#N/A Requesting Data...</v>
      </c>
      <c r="S107" t="str">
        <f>_xll.BDP("20772J3U Muni","BB_COMPOSITE")</f>
        <v>#N/A Requesting Data...</v>
      </c>
      <c r="T107" t="str">
        <f>_xll.BDP("20772J3U Muni","LQA_LIQUIDITY_SCORE")</f>
        <v>#N/A Requesting Data...</v>
      </c>
    </row>
    <row r="108" spans="1:20" x14ac:dyDescent="0.25">
      <c r="A108" t="str">
        <f>_xll.BDP("13034AKE Muni","ID_CUSIP")</f>
        <v>#N/A Requesting Data...</v>
      </c>
      <c r="B108" t="s">
        <v>40</v>
      </c>
      <c r="C108" t="str">
        <f>_xll.BDP("13034AKE Muni","INSURANCE_STATUS")</f>
        <v>#N/A Requesting Data...</v>
      </c>
      <c r="D108" t="str">
        <f>_xll.BDP("13034AKE Muni","STATE_CODE")</f>
        <v>#N/A Requesting Data...</v>
      </c>
      <c r="E108" t="str">
        <f>_xll.BDP("13034AKE Muni","COUNTY_LOCATION_ISSUER")</f>
        <v>#N/A Requesting Data...</v>
      </c>
      <c r="F108" t="str">
        <f>_xll.BDP("13034AKE Muni","DUR_ADJ_MID")</f>
        <v>#N/A Requesting Data...</v>
      </c>
      <c r="G108" t="str">
        <f>_xll.BDP("13034AKE Muni","SPREAD_AT_ISSUANCE_TO_WORST")</f>
        <v>#N/A Requesting Data...</v>
      </c>
      <c r="H108" t="str">
        <f>_xll.BDP("13034AKE Muni","ISSUE_DT")</f>
        <v>#N/A Requesting Data...</v>
      </c>
      <c r="I108" t="str">
        <f>_xll.BDS("13034AKE Muni","MUNI_PURPOSE_SCHED", "aggregate=y")</f>
        <v>#N/A Review</v>
      </c>
      <c r="J108" t="str">
        <f>_xll.BDP("13034AKE Muni","CPN")</f>
        <v>#N/A Requesting Data...</v>
      </c>
      <c r="K108" t="str">
        <f>_xll.BDP("13034AKE Muni","MATURITY")</f>
        <v>#N/A Requesting Data...</v>
      </c>
      <c r="L108">
        <v>22755000</v>
      </c>
      <c r="M108" t="str">
        <f>_xll.BDP("13034AKE Muni","YIELD_ON_ISSUE_DATE")</f>
        <v>#N/A Requesting Data...</v>
      </c>
      <c r="N108" t="str">
        <f>_xll.BDP("13034AKE Muni","YTW_SPREAD_TO_MATURITY_AT_ISSU")</f>
        <v>#N/A Requesting Data...</v>
      </c>
      <c r="O108" t="str">
        <f>_xll.BDP("13034AKE Muni","BVAL_MID_YTM")</f>
        <v>#N/A Requesting Data...</v>
      </c>
      <c r="P108" t="str">
        <f>_xll.BDP("13034AKE Muni","MUNI_TAX_PROV")</f>
        <v>#N/A Requesting Data...</v>
      </c>
      <c r="Q108" t="str">
        <f>_xll.BDP("13034AKE Muni","MUNI_FED_TAX")</f>
        <v>#N/A Requesting Data...</v>
      </c>
      <c r="R108" t="str">
        <f>_xll.BDP("13034AKE Muni","MUNI_MSRB_VOLUME")</f>
        <v>#N/A Requesting Data...</v>
      </c>
      <c r="S108" t="str">
        <f>_xll.BDP("13034AKE Muni","BB_COMPOSITE")</f>
        <v>#N/A Requesting Data...</v>
      </c>
      <c r="T108" t="str">
        <f>_xll.BDP("13034AKE Muni","LQA_LIQUIDITY_SCORE")</f>
        <v>#N/A Requesting Data...</v>
      </c>
    </row>
    <row r="109" spans="1:20" x14ac:dyDescent="0.25">
      <c r="A109" t="str">
        <f>_xll.BDP("177475BG Muni","ID_CUSIP")</f>
        <v>#N/A Requesting Data...</v>
      </c>
      <c r="B109" t="s">
        <v>79</v>
      </c>
      <c r="C109" t="str">
        <f>_xll.BDP("177475BG Muni","INSURANCE_STATUS")</f>
        <v>#N/A Requesting Data...</v>
      </c>
      <c r="D109" t="str">
        <f>_xll.BDP("177475BG Muni","STATE_CODE")</f>
        <v>#N/A Requesting Data...</v>
      </c>
      <c r="E109" t="str">
        <f>_xll.BDP("177475BG Muni","COUNTY_LOCATION_ISSUER")</f>
        <v>#N/A Requesting Data...</v>
      </c>
      <c r="F109" t="str">
        <f>_xll.BDP("177475BG Muni","DUR_ADJ_MID")</f>
        <v>#N/A Requesting Data...</v>
      </c>
      <c r="G109" t="str">
        <f>_xll.BDP("177475BG Muni","SPREAD_AT_ISSUANCE_TO_WORST")</f>
        <v>#N/A Requesting Data...</v>
      </c>
      <c r="H109" t="str">
        <f>_xll.BDP("177475BG Muni","ISSUE_DT")</f>
        <v>#N/A Requesting Data...</v>
      </c>
      <c r="I109" t="str">
        <f>_xll.BDS("177475BG Muni","MUNI_PURPOSE_SCHED", "aggregate=y")</f>
        <v>#N/A Review</v>
      </c>
      <c r="J109" t="str">
        <f>_xll.BDP("177475BG Muni","CPN")</f>
        <v>#N/A Requesting Data...</v>
      </c>
      <c r="K109" t="str">
        <f>_xll.BDP("177475BG Muni","MATURITY")</f>
        <v>#N/A Requesting Data...</v>
      </c>
      <c r="L109">
        <v>1930000</v>
      </c>
      <c r="M109" t="str">
        <f>_xll.BDP("177475BG Muni","YIELD_ON_ISSUE_DATE")</f>
        <v>#N/A Requesting Data...</v>
      </c>
      <c r="N109" t="str">
        <f>_xll.BDP("177475BG Muni","YTW_SPREAD_TO_MATURITY_AT_ISSU")</f>
        <v>#N/A Requesting Data...</v>
      </c>
      <c r="O109" t="str">
        <f>_xll.BDP("177475BG Muni","BVAL_MID_YTM")</f>
        <v>#N/A Requesting Data...</v>
      </c>
      <c r="P109" t="str">
        <f>_xll.BDP("177475BG Muni","MUNI_TAX_PROV")</f>
        <v>#N/A Requesting Data...</v>
      </c>
      <c r="Q109" t="str">
        <f>_xll.BDP("177475BG Muni","MUNI_FED_TAX")</f>
        <v>#N/A Requesting Data...</v>
      </c>
      <c r="R109" t="str">
        <f>_xll.BDP("177475BG Muni","MUNI_MSRB_VOLUME")</f>
        <v>#N/A Requesting Data...</v>
      </c>
      <c r="S109" t="str">
        <f>_xll.BDP("177475BG Muni","BB_COMPOSITE")</f>
        <v>#N/A Requesting Data...</v>
      </c>
      <c r="T109" t="str">
        <f>_xll.BDP("177475BG Muni","LQA_LIQUIDITY_SCORE")</f>
        <v>#N/A Requesting Data...</v>
      </c>
    </row>
    <row r="110" spans="1:20" x14ac:dyDescent="0.25">
      <c r="A110" t="str">
        <f>_xll.BDP("371608UG Muni","ID_CUSIP")</f>
        <v>#N/A Requesting Data...</v>
      </c>
      <c r="B110" t="s">
        <v>80</v>
      </c>
      <c r="C110" t="str">
        <f>_xll.BDP("371608UG Muni","INSURANCE_STATUS")</f>
        <v>#N/A Requesting Data...</v>
      </c>
      <c r="D110" t="str">
        <f>_xll.BDP("371608UG Muni","STATE_CODE")</f>
        <v>#N/A Requesting Data...</v>
      </c>
      <c r="E110" t="str">
        <f>_xll.BDP("371608UG Muni","COUNTY_LOCATION_ISSUER")</f>
        <v>#N/A Requesting Data...</v>
      </c>
      <c r="F110" t="str">
        <f>_xll.BDP("371608UG Muni","DUR_ADJ_MID")</f>
        <v>#N/A Requesting Data...</v>
      </c>
      <c r="G110" t="str">
        <f>_xll.BDP("371608UG Muni","SPREAD_AT_ISSUANCE_TO_WORST")</f>
        <v>#N/A Requesting Data...</v>
      </c>
      <c r="H110" t="str">
        <f>_xll.BDP("371608UG Muni","ISSUE_DT")</f>
        <v>#N/A Requesting Data...</v>
      </c>
      <c r="I110" t="str">
        <f>_xll.BDS("371608UG Muni","MUNI_PURPOSE_SCHED", "aggregate=y")</f>
        <v>#N/A Review</v>
      </c>
      <c r="J110" t="str">
        <f>_xll.BDP("371608UG Muni","CPN")</f>
        <v>#N/A Requesting Data...</v>
      </c>
      <c r="K110" t="str">
        <f>_xll.BDP("371608UG Muni","MATURITY")</f>
        <v>#N/A Requesting Data...</v>
      </c>
      <c r="L110">
        <v>910000</v>
      </c>
      <c r="M110" t="str">
        <f>_xll.BDP("371608UG Muni","YIELD_ON_ISSUE_DATE")</f>
        <v>#N/A Requesting Data...</v>
      </c>
      <c r="N110" t="str">
        <f>_xll.BDP("371608UG Muni","YTW_SPREAD_TO_MATURITY_AT_ISSU")</f>
        <v>#N/A Requesting Data...</v>
      </c>
      <c r="O110" t="str">
        <f>_xll.BDP("371608UG Muni","BVAL_MID_YTM")</f>
        <v>#N/A Requesting Data...</v>
      </c>
      <c r="P110" t="str">
        <f>_xll.BDP("371608UG Muni","MUNI_TAX_PROV")</f>
        <v>#N/A Requesting Data...</v>
      </c>
      <c r="Q110" t="str">
        <f>_xll.BDP("371608UG Muni","MUNI_FED_TAX")</f>
        <v>#N/A Requesting Data...</v>
      </c>
      <c r="R110" t="str">
        <f>_xll.BDP("371608UG Muni","MUNI_MSRB_VOLUME")</f>
        <v>#N/A Requesting Data...</v>
      </c>
      <c r="S110" t="str">
        <f>_xll.BDP("371608UG Muni","BB_COMPOSITE")</f>
        <v>#N/A Requesting Data...</v>
      </c>
      <c r="T110" t="str">
        <f>_xll.BDP("371608UG Muni","LQA_LIQUIDITY_SCORE")</f>
        <v>#N/A Requesting Data...</v>
      </c>
    </row>
    <row r="111" spans="1:20" x14ac:dyDescent="0.25">
      <c r="A111" t="str">
        <f>_xll.BDP("463641CA Muni","ID_CUSIP")</f>
        <v>#N/A Requesting Data...</v>
      </c>
      <c r="B111" t="s">
        <v>26</v>
      </c>
      <c r="C111" t="str">
        <f>_xll.BDP("463641CA Muni","INSURANCE_STATUS")</f>
        <v>#N/A Requesting Data...</v>
      </c>
      <c r="D111" t="str">
        <f>_xll.BDP("463641CA Muni","STATE_CODE")</f>
        <v>#N/A Requesting Data...</v>
      </c>
      <c r="E111" t="str">
        <f>_xll.BDP("463641CA Muni","COUNTY_LOCATION_ISSUER")</f>
        <v>#N/A Requesting Data...</v>
      </c>
      <c r="F111" t="str">
        <f>_xll.BDP("463641CA Muni","DUR_ADJ_MID")</f>
        <v>#N/A Requesting Data...</v>
      </c>
      <c r="G111" t="str">
        <f>_xll.BDP("463641CA Muni","SPREAD_AT_ISSUANCE_TO_WORST")</f>
        <v>#N/A Requesting Data...</v>
      </c>
      <c r="H111" t="str">
        <f>_xll.BDP("463641CA Muni","ISSUE_DT")</f>
        <v>#N/A Requesting Data...</v>
      </c>
      <c r="I111" t="str">
        <f>_xll.BDS("463641CA Muni","MUNI_PURPOSE_SCHED", "aggregate=y")</f>
        <v>#N/A Review</v>
      </c>
      <c r="J111" t="str">
        <f>_xll.BDP("463641CA Muni","CPN")</f>
        <v>#N/A Requesting Data...</v>
      </c>
      <c r="K111" t="str">
        <f>_xll.BDP("463641CA Muni","MATURITY")</f>
        <v>#N/A Requesting Data...</v>
      </c>
      <c r="L111">
        <v>3940000</v>
      </c>
      <c r="M111" t="str">
        <f>_xll.BDP("463641CA Muni","YIELD_ON_ISSUE_DATE")</f>
        <v>#N/A Requesting Data...</v>
      </c>
      <c r="N111" t="str">
        <f>_xll.BDP("463641CA Muni","YTW_SPREAD_TO_MATURITY_AT_ISSU")</f>
        <v>#N/A Requesting Data...</v>
      </c>
      <c r="O111" t="str">
        <f>_xll.BDP("463641CA Muni","BVAL_MID_YTM")</f>
        <v>#N/A Requesting Data...</v>
      </c>
      <c r="P111" t="str">
        <f>_xll.BDP("463641CA Muni","MUNI_TAX_PROV")</f>
        <v>#N/A Requesting Data...</v>
      </c>
      <c r="Q111" t="str">
        <f>_xll.BDP("463641CA Muni","MUNI_FED_TAX")</f>
        <v>#N/A Requesting Data...</v>
      </c>
      <c r="R111" t="str">
        <f>_xll.BDP("463641CA Muni","MUNI_MSRB_VOLUME")</f>
        <v>#N/A Requesting Data...</v>
      </c>
      <c r="S111" t="str">
        <f>_xll.BDP("463641CA Muni","BB_COMPOSITE")</f>
        <v>#N/A Requesting Data...</v>
      </c>
      <c r="T111" t="str">
        <f>_xll.BDP("463641CA Muni","LQA_LIQUIDITY_SCORE")</f>
        <v>#N/A Requesting Data...</v>
      </c>
    </row>
    <row r="112" spans="1:20" x14ac:dyDescent="0.25">
      <c r="A112" t="str">
        <f>_xll.BDP("143287CM Muni","ID_CUSIP")</f>
        <v>#N/A Requesting Data...</v>
      </c>
      <c r="B112" t="s">
        <v>81</v>
      </c>
      <c r="C112" t="str">
        <f>_xll.BDP("143287CM Muni","INSURANCE_STATUS")</f>
        <v>#N/A Requesting Data...</v>
      </c>
      <c r="D112" t="str">
        <f>_xll.BDP("143287CM Muni","STATE_CODE")</f>
        <v>#N/A Requesting Data...</v>
      </c>
      <c r="E112" t="str">
        <f>_xll.BDP("143287CM Muni","COUNTY_LOCATION_ISSUER")</f>
        <v>#N/A Requesting Data...</v>
      </c>
      <c r="F112" t="str">
        <f>_xll.BDP("143287CM Muni","DUR_ADJ_MID")</f>
        <v>#N/A Requesting Data...</v>
      </c>
      <c r="G112" t="str">
        <f>_xll.BDP("143287CM Muni","SPREAD_AT_ISSUANCE_TO_WORST")</f>
        <v>#N/A Requesting Data...</v>
      </c>
      <c r="H112" t="str">
        <f>_xll.BDP("143287CM Muni","ISSUE_DT")</f>
        <v>#N/A Requesting Data...</v>
      </c>
      <c r="I112" t="str">
        <f>_xll.BDS("143287CM Muni","MUNI_PURPOSE_SCHED", "aggregate=y")</f>
        <v>#N/A Review</v>
      </c>
      <c r="J112" t="str">
        <f>_xll.BDP("143287CM Muni","CPN")</f>
        <v>#N/A Requesting Data...</v>
      </c>
      <c r="K112" t="str">
        <f>_xll.BDP("143287CM Muni","MATURITY")</f>
        <v>#N/A Requesting Data...</v>
      </c>
      <c r="L112">
        <v>8045000</v>
      </c>
      <c r="M112" t="str">
        <f>_xll.BDP("143287CM Muni","YIELD_ON_ISSUE_DATE")</f>
        <v>#N/A Requesting Data...</v>
      </c>
      <c r="N112" t="str">
        <f>_xll.BDP("143287CM Muni","YTW_SPREAD_TO_MATURITY_AT_ISSU")</f>
        <v>#N/A Requesting Data...</v>
      </c>
      <c r="O112" t="str">
        <f>_xll.BDP("143287CM Muni","BVAL_MID_YTM")</f>
        <v>#N/A Requesting Data...</v>
      </c>
      <c r="P112" t="str">
        <f>_xll.BDP("143287CM Muni","MUNI_TAX_PROV")</f>
        <v>#N/A Requesting Data...</v>
      </c>
      <c r="Q112" t="str">
        <f>_xll.BDP("143287CM Muni","MUNI_FED_TAX")</f>
        <v>#N/A Requesting Data...</v>
      </c>
      <c r="R112" t="str">
        <f>_xll.BDP("143287CM Muni","MUNI_MSRB_VOLUME")</f>
        <v>#N/A Requesting Data...</v>
      </c>
      <c r="S112" t="str">
        <f>_xll.BDP("143287CM Muni","BB_COMPOSITE")</f>
        <v>#N/A Requesting Data...</v>
      </c>
      <c r="T112" t="str">
        <f>_xll.BDP("143287CM Muni","LQA_LIQUIDITY_SCORE")</f>
        <v>#N/A Requesting Data...</v>
      </c>
    </row>
    <row r="113" spans="1:20" x14ac:dyDescent="0.25">
      <c r="A113" t="str">
        <f>_xll.BDP("358776MH Muni","ID_CUSIP")</f>
        <v>#N/A Requesting Data...</v>
      </c>
      <c r="B113" t="s">
        <v>82</v>
      </c>
      <c r="C113" t="str">
        <f>_xll.BDP("358776MH Muni","INSURANCE_STATUS")</f>
        <v>#N/A Requesting Data...</v>
      </c>
      <c r="D113" t="str">
        <f>_xll.BDP("358776MH Muni","STATE_CODE")</f>
        <v>#N/A Requesting Data...</v>
      </c>
      <c r="E113" t="str">
        <f>_xll.BDP("358776MH Muni","COUNTY_LOCATION_ISSUER")</f>
        <v>#N/A Requesting Data...</v>
      </c>
      <c r="F113" t="str">
        <f>_xll.BDP("358776MH Muni","DUR_ADJ_MID")</f>
        <v>#N/A Requesting Data...</v>
      </c>
      <c r="G113" t="str">
        <f>_xll.BDP("358776MH Muni","SPREAD_AT_ISSUANCE_TO_WORST")</f>
        <v>#N/A Requesting Data...</v>
      </c>
      <c r="H113" t="str">
        <f>_xll.BDP("358776MH Muni","ISSUE_DT")</f>
        <v>#N/A Requesting Data...</v>
      </c>
      <c r="I113" t="str">
        <f>_xll.BDS("358776MH Muni","MUNI_PURPOSE_SCHED", "aggregate=y")</f>
        <v>#N/A Review</v>
      </c>
      <c r="J113" t="str">
        <f>_xll.BDP("358776MH Muni","CPN")</f>
        <v>#N/A Requesting Data...</v>
      </c>
      <c r="K113" t="str">
        <f>_xll.BDP("358776MH Muni","MATURITY")</f>
        <v>#N/A Requesting Data...</v>
      </c>
      <c r="L113">
        <v>780000</v>
      </c>
      <c r="M113" t="str">
        <f>_xll.BDP("358776MH Muni","YIELD_ON_ISSUE_DATE")</f>
        <v>#N/A Requesting Data...</v>
      </c>
      <c r="N113" t="str">
        <f>_xll.BDP("358776MH Muni","YTW_SPREAD_TO_MATURITY_AT_ISSU")</f>
        <v>#N/A Requesting Data...</v>
      </c>
      <c r="O113" t="str">
        <f>_xll.BDP("358776MH Muni","BVAL_MID_YTM")</f>
        <v>#N/A Requesting Data...</v>
      </c>
      <c r="P113" t="str">
        <f>_xll.BDP("358776MH Muni","MUNI_TAX_PROV")</f>
        <v>#N/A Requesting Data...</v>
      </c>
      <c r="Q113" t="str">
        <f>_xll.BDP("358776MH Muni","MUNI_FED_TAX")</f>
        <v>#N/A Requesting Data...</v>
      </c>
      <c r="R113" t="str">
        <f>_xll.BDP("358776MH Muni","MUNI_MSRB_VOLUME")</f>
        <v>#N/A Requesting Data...</v>
      </c>
      <c r="S113" t="str">
        <f>_xll.BDP("358776MH Muni","BB_COMPOSITE")</f>
        <v>#N/A Requesting Data...</v>
      </c>
      <c r="T113" t="str">
        <f>_xll.BDP("358776MH Muni","LQA_LIQUIDITY_SCORE")</f>
        <v>#N/A Requesting Data...</v>
      </c>
    </row>
    <row r="114" spans="1:20" x14ac:dyDescent="0.25">
      <c r="A114" t="str">
        <f>_xll.BDP("20772J3R Muni","ID_CUSIP")</f>
        <v>#N/A Requesting Data...</v>
      </c>
      <c r="B114" t="s">
        <v>47</v>
      </c>
      <c r="C114" t="str">
        <f>_xll.BDP("20772J3R Muni","INSURANCE_STATUS")</f>
        <v>#N/A Requesting Data...</v>
      </c>
      <c r="D114" t="str">
        <f>_xll.BDP("20772J3R Muni","STATE_CODE")</f>
        <v>#N/A Requesting Data...</v>
      </c>
      <c r="E114" t="str">
        <f>_xll.BDP("20772J3R Muni","COUNTY_LOCATION_ISSUER")</f>
        <v>#N/A Requesting Data...</v>
      </c>
      <c r="F114" t="str">
        <f>_xll.BDP("20772J3R Muni","DUR_ADJ_MID")</f>
        <v>#N/A Requesting Data...</v>
      </c>
      <c r="G114" t="str">
        <f>_xll.BDP("20772J3R Muni","SPREAD_AT_ISSUANCE_TO_WORST")</f>
        <v>#N/A Requesting Data...</v>
      </c>
      <c r="H114" t="str">
        <f>_xll.BDP("20772J3R Muni","ISSUE_DT")</f>
        <v>#N/A Requesting Data...</v>
      </c>
      <c r="I114" t="str">
        <f>_xll.BDS("20772J3R Muni","MUNI_PURPOSE_SCHED", "aggregate=y")</f>
        <v>#N/A Review</v>
      </c>
      <c r="J114" t="str">
        <f>_xll.BDP("20772J3R Muni","CPN")</f>
        <v>#N/A Requesting Data...</v>
      </c>
      <c r="K114" t="str">
        <f>_xll.BDP("20772J3R Muni","MATURITY")</f>
        <v>#N/A Requesting Data...</v>
      </c>
      <c r="L114">
        <v>31510000</v>
      </c>
      <c r="M114" t="str">
        <f>_xll.BDP("20772J3R Muni","YIELD_ON_ISSUE_DATE")</f>
        <v>#N/A Requesting Data...</v>
      </c>
      <c r="N114" t="str">
        <f>_xll.BDP("20772J3R Muni","YTW_SPREAD_TO_MATURITY_AT_ISSU")</f>
        <v>#N/A Requesting Data...</v>
      </c>
      <c r="O114" t="str">
        <f>_xll.BDP("20772J3R Muni","BVAL_MID_YTM")</f>
        <v>#N/A Requesting Data...</v>
      </c>
      <c r="P114" t="str">
        <f>_xll.BDP("20772J3R Muni","MUNI_TAX_PROV")</f>
        <v>#N/A Requesting Data...</v>
      </c>
      <c r="Q114" t="str">
        <f>_xll.BDP("20772J3R Muni","MUNI_FED_TAX")</f>
        <v>#N/A Requesting Data...</v>
      </c>
      <c r="R114" t="str">
        <f>_xll.BDP("20772J3R Muni","MUNI_MSRB_VOLUME")</f>
        <v>#N/A Requesting Data...</v>
      </c>
      <c r="S114" t="str">
        <f>_xll.BDP("20772J3R Muni","BB_COMPOSITE")</f>
        <v>#N/A Requesting Data...</v>
      </c>
      <c r="T114" t="str">
        <f>_xll.BDP("20772J3R Muni","LQA_LIQUIDITY_SCORE")</f>
        <v>#N/A Requesting Data...</v>
      </c>
    </row>
    <row r="115" spans="1:20" x14ac:dyDescent="0.25">
      <c r="A115" t="str">
        <f>_xll.BDP("67765QCE Muni","ID_CUSIP")</f>
        <v>#N/A Requesting Data...</v>
      </c>
      <c r="B115" t="s">
        <v>32</v>
      </c>
      <c r="C115" t="str">
        <f>_xll.BDP("67765QCE Muni","INSURANCE_STATUS")</f>
        <v>#N/A Requesting Data...</v>
      </c>
      <c r="D115" t="str">
        <f>_xll.BDP("67765QCE Muni","STATE_CODE")</f>
        <v>#N/A Requesting Data...</v>
      </c>
      <c r="E115" t="str">
        <f>_xll.BDP("67765QCE Muni","COUNTY_LOCATION_ISSUER")</f>
        <v>#N/A Requesting Data...</v>
      </c>
      <c r="F115" t="str">
        <f>_xll.BDP("67765QCE Muni","DUR_ADJ_MID")</f>
        <v>#N/A Requesting Data...</v>
      </c>
      <c r="G115" t="str">
        <f>_xll.BDP("67765QCE Muni","SPREAD_AT_ISSUANCE_TO_WORST")</f>
        <v>#N/A Requesting Data...</v>
      </c>
      <c r="H115" t="str">
        <f>_xll.BDP("67765QCE Muni","ISSUE_DT")</f>
        <v>#N/A Requesting Data...</v>
      </c>
      <c r="I115" t="str">
        <f>_xll.BDS("67765QCE Muni","MUNI_PURPOSE_SCHED", "aggregate=y")</f>
        <v>#N/A Review</v>
      </c>
      <c r="J115" t="str">
        <f>_xll.BDP("67765QCE Muni","CPN")</f>
        <v>#N/A Requesting Data...</v>
      </c>
      <c r="K115" t="str">
        <f>_xll.BDP("67765QCE Muni","MATURITY")</f>
        <v>#N/A Requesting Data...</v>
      </c>
      <c r="L115">
        <v>10000000</v>
      </c>
      <c r="M115" t="str">
        <f>_xll.BDP("67765QCE Muni","YIELD_ON_ISSUE_DATE")</f>
        <v>#N/A Requesting Data...</v>
      </c>
      <c r="N115" t="str">
        <f>_xll.BDP("67765QCE Muni","YTW_SPREAD_TO_MATURITY_AT_ISSU")</f>
        <v>#N/A Requesting Data...</v>
      </c>
      <c r="O115" t="str">
        <f>_xll.BDP("67765QCE Muni","BVAL_MID_YTM")</f>
        <v>#N/A Requesting Data...</v>
      </c>
      <c r="P115" t="str">
        <f>_xll.BDP("67765QCE Muni","MUNI_TAX_PROV")</f>
        <v>#N/A Requesting Data...</v>
      </c>
      <c r="Q115" t="str">
        <f>_xll.BDP("67765QCE Muni","MUNI_FED_TAX")</f>
        <v>#N/A Requesting Data...</v>
      </c>
      <c r="R115" t="str">
        <f>_xll.BDP("67765QCE Muni","MUNI_MSRB_VOLUME")</f>
        <v>#N/A Requesting Data...</v>
      </c>
      <c r="S115" t="str">
        <f>_xll.BDP("67765QCE Muni","BB_COMPOSITE")</f>
        <v>#N/A Requesting Data...</v>
      </c>
      <c r="T115" t="str">
        <f>_xll.BDP("67765QCE Muni","LQA_LIQUIDITY_SCORE")</f>
        <v>#N/A Requesting Data...</v>
      </c>
    </row>
    <row r="116" spans="1:20" x14ac:dyDescent="0.25">
      <c r="A116" t="str">
        <f>_xll.BDP("09845NCB Muni","ID_CUSIP")</f>
        <v>#N/A Requesting Data...</v>
      </c>
      <c r="B116" t="s">
        <v>83</v>
      </c>
      <c r="C116" t="str">
        <f>_xll.BDP("09845NCB Muni","INSURANCE_STATUS")</f>
        <v>#N/A Requesting Data...</v>
      </c>
      <c r="D116" t="str">
        <f>_xll.BDP("09845NCB Muni","STATE_CODE")</f>
        <v>#N/A Requesting Data...</v>
      </c>
      <c r="E116" t="str">
        <f>_xll.BDP("09845NCB Muni","COUNTY_LOCATION_ISSUER")</f>
        <v>#N/A Requesting Data...</v>
      </c>
      <c r="F116" t="str">
        <f>_xll.BDP("09845NCB Muni","DUR_ADJ_MID")</f>
        <v>#N/A Requesting Data...</v>
      </c>
      <c r="G116" t="str">
        <f>_xll.BDP("09845NCB Muni","SPREAD_AT_ISSUANCE_TO_WORST")</f>
        <v>#N/A Requesting Data...</v>
      </c>
      <c r="H116" t="str">
        <f>_xll.BDP("09845NCB Muni","ISSUE_DT")</f>
        <v>#N/A Requesting Data...</v>
      </c>
      <c r="I116" t="str">
        <f>_xll.BDS("09845NCB Muni","MUNI_PURPOSE_SCHED", "aggregate=y")</f>
        <v>#N/A Review</v>
      </c>
      <c r="J116" t="str">
        <f>_xll.BDP("09845NCB Muni","CPN")</f>
        <v>#N/A Requesting Data...</v>
      </c>
      <c r="K116" t="str">
        <f>_xll.BDP("09845NCB Muni","MATURITY")</f>
        <v>#N/A Requesting Data...</v>
      </c>
      <c r="L116">
        <v>465000</v>
      </c>
      <c r="M116" t="str">
        <f>_xll.BDP("09845NCB Muni","YIELD_ON_ISSUE_DATE")</f>
        <v>#N/A Requesting Data...</v>
      </c>
      <c r="N116" t="str">
        <f>_xll.BDP("09845NCB Muni","YTW_SPREAD_TO_MATURITY_AT_ISSU")</f>
        <v>#N/A Requesting Data...</v>
      </c>
      <c r="O116" t="str">
        <f>_xll.BDP("09845NCB Muni","BVAL_MID_YTM")</f>
        <v>#N/A Requesting Data...</v>
      </c>
      <c r="P116" t="str">
        <f>_xll.BDP("09845NCB Muni","MUNI_TAX_PROV")</f>
        <v>#N/A Requesting Data...</v>
      </c>
      <c r="Q116" t="str">
        <f>_xll.BDP("09845NCB Muni","MUNI_FED_TAX")</f>
        <v>#N/A Requesting Data...</v>
      </c>
      <c r="R116" t="str">
        <f>_xll.BDP("09845NCB Muni","MUNI_MSRB_VOLUME")</f>
        <v>#N/A Requesting Data...</v>
      </c>
      <c r="S116" t="str">
        <f>_xll.BDP("09845NCB Muni","BB_COMPOSITE")</f>
        <v>#N/A Requesting Data...</v>
      </c>
      <c r="T116" t="str">
        <f>_xll.BDP("09845NCB Muni","LQA_LIQUIDITY_SCORE")</f>
        <v>#N/A Requesting Data...</v>
      </c>
    </row>
    <row r="117" spans="1:20" x14ac:dyDescent="0.25">
      <c r="A117" t="str">
        <f>_xll.BDP("351640SP Muni","ID_CUSIP")</f>
        <v>#N/A Requesting Data...</v>
      </c>
      <c r="B117" t="s">
        <v>61</v>
      </c>
      <c r="C117" t="str">
        <f>_xll.BDP("351640SP Muni","INSURANCE_STATUS")</f>
        <v>#N/A Requesting Data...</v>
      </c>
      <c r="D117" t="str">
        <f>_xll.BDP("351640SP Muni","STATE_CODE")</f>
        <v>#N/A Requesting Data...</v>
      </c>
      <c r="E117" t="str">
        <f>_xll.BDP("351640SP Muni","COUNTY_LOCATION_ISSUER")</f>
        <v>#N/A Requesting Data...</v>
      </c>
      <c r="F117" t="str">
        <f>_xll.BDP("351640SP Muni","DUR_ADJ_MID")</f>
        <v>#N/A Requesting Data...</v>
      </c>
      <c r="G117" t="str">
        <f>_xll.BDP("351640SP Muni","SPREAD_AT_ISSUANCE_TO_WORST")</f>
        <v>#N/A Requesting Data...</v>
      </c>
      <c r="H117" t="str">
        <f>_xll.BDP("351640SP Muni","ISSUE_DT")</f>
        <v>#N/A Requesting Data...</v>
      </c>
      <c r="I117" t="str">
        <f>_xll.BDS("351640SP Muni","MUNI_PURPOSE_SCHED", "aggregate=y")</f>
        <v>#N/A Review</v>
      </c>
      <c r="J117" t="str">
        <f>_xll.BDP("351640SP Muni","CPN")</f>
        <v>#N/A Requesting Data...</v>
      </c>
      <c r="K117" t="str">
        <f>_xll.BDP("351640SP Muni","MATURITY")</f>
        <v>#N/A Requesting Data...</v>
      </c>
      <c r="L117">
        <v>895000</v>
      </c>
      <c r="M117" t="str">
        <f>_xll.BDP("351640SP Muni","YIELD_ON_ISSUE_DATE")</f>
        <v>#N/A Requesting Data...</v>
      </c>
      <c r="N117" t="str">
        <f>_xll.BDP("351640SP Muni","YTW_SPREAD_TO_MATURITY_AT_ISSU")</f>
        <v>#N/A Requesting Data...</v>
      </c>
      <c r="O117" t="str">
        <f>_xll.BDP("351640SP Muni","BVAL_MID_YTM")</f>
        <v>#N/A Requesting Data...</v>
      </c>
      <c r="P117" t="str">
        <f>_xll.BDP("351640SP Muni","MUNI_TAX_PROV")</f>
        <v>#N/A Requesting Data...</v>
      </c>
      <c r="Q117" t="str">
        <f>_xll.BDP("351640SP Muni","MUNI_FED_TAX")</f>
        <v>#N/A Requesting Data...</v>
      </c>
      <c r="R117" t="str">
        <f>_xll.BDP("351640SP Muni","MUNI_MSRB_VOLUME")</f>
        <v>#N/A Requesting Data...</v>
      </c>
      <c r="S117" t="str">
        <f>_xll.BDP("351640SP Muni","BB_COMPOSITE")</f>
        <v>#N/A Requesting Data...</v>
      </c>
      <c r="T117" t="str">
        <f>_xll.BDP("351640SP Muni","LQA_LIQUIDITY_SCORE")</f>
        <v>#N/A Requesting Data...</v>
      </c>
    </row>
    <row r="118" spans="1:20" x14ac:dyDescent="0.25">
      <c r="A118" t="str">
        <f>_xll.BDP("13034AKB Muni","ID_CUSIP")</f>
        <v>#N/A Requesting Data...</v>
      </c>
      <c r="B118" t="s">
        <v>40</v>
      </c>
      <c r="C118" t="str">
        <f>_xll.BDP("13034AKB Muni","INSURANCE_STATUS")</f>
        <v>#N/A Requesting Data...</v>
      </c>
      <c r="D118" t="str">
        <f>_xll.BDP("13034AKB Muni","STATE_CODE")</f>
        <v>#N/A Requesting Data...</v>
      </c>
      <c r="E118" t="str">
        <f>_xll.BDP("13034AKB Muni","COUNTY_LOCATION_ISSUER")</f>
        <v>#N/A Requesting Data...</v>
      </c>
      <c r="F118" t="str">
        <f>_xll.BDP("13034AKB Muni","DUR_ADJ_MID")</f>
        <v>#N/A Requesting Data...</v>
      </c>
      <c r="G118" t="str">
        <f>_xll.BDP("13034AKB Muni","SPREAD_AT_ISSUANCE_TO_WORST")</f>
        <v>#N/A Requesting Data...</v>
      </c>
      <c r="H118" t="str">
        <f>_xll.BDP("13034AKB Muni","ISSUE_DT")</f>
        <v>#N/A Requesting Data...</v>
      </c>
      <c r="I118" t="str">
        <f>_xll.BDS("13034AKB Muni","MUNI_PURPOSE_SCHED", "aggregate=y")</f>
        <v>#N/A Review</v>
      </c>
      <c r="J118" t="str">
        <f>_xll.BDP("13034AKB Muni","CPN")</f>
        <v>#N/A Requesting Data...</v>
      </c>
      <c r="K118" t="str">
        <f>_xll.BDP("13034AKB Muni","MATURITY")</f>
        <v>#N/A Requesting Data...</v>
      </c>
      <c r="L118">
        <v>28205000</v>
      </c>
      <c r="M118" t="str">
        <f>_xll.BDP("13034AKB Muni","YIELD_ON_ISSUE_DATE")</f>
        <v>#N/A Requesting Data...</v>
      </c>
      <c r="N118" t="str">
        <f>_xll.BDP("13034AKB Muni","YTW_SPREAD_TO_MATURITY_AT_ISSU")</f>
        <v>#N/A Requesting Data...</v>
      </c>
      <c r="O118" t="str">
        <f>_xll.BDP("13034AKB Muni","BVAL_MID_YTM")</f>
        <v>#N/A Requesting Data...</v>
      </c>
      <c r="P118" t="str">
        <f>_xll.BDP("13034AKB Muni","MUNI_TAX_PROV")</f>
        <v>#N/A Requesting Data...</v>
      </c>
      <c r="Q118" t="str">
        <f>_xll.BDP("13034AKB Muni","MUNI_FED_TAX")</f>
        <v>#N/A Requesting Data...</v>
      </c>
      <c r="R118" t="str">
        <f>_xll.BDP("13034AKB Muni","MUNI_MSRB_VOLUME")</f>
        <v>#N/A Requesting Data...</v>
      </c>
      <c r="S118" t="str">
        <f>_xll.BDP("13034AKB Muni","BB_COMPOSITE")</f>
        <v>#N/A Requesting Data...</v>
      </c>
      <c r="T118" t="str">
        <f>_xll.BDP("13034AKB Muni","LQA_LIQUIDITY_SCORE")</f>
        <v>#N/A Requesting Data...</v>
      </c>
    </row>
    <row r="119" spans="1:20" x14ac:dyDescent="0.25">
      <c r="A119" t="str">
        <f>_xll.BDP("463831NX Muni","ID_CUSIP")</f>
        <v>#N/A Requesting Data...</v>
      </c>
      <c r="B119" t="s">
        <v>84</v>
      </c>
      <c r="C119" t="str">
        <f>_xll.BDP("463831NX Muni","INSURANCE_STATUS")</f>
        <v>#N/A Requesting Data...</v>
      </c>
      <c r="D119" t="str">
        <f>_xll.BDP("463831NX Muni","STATE_CODE")</f>
        <v>#N/A Requesting Data...</v>
      </c>
      <c r="E119" t="str">
        <f>_xll.BDP("463831NX Muni","COUNTY_LOCATION_ISSUER")</f>
        <v>#N/A Requesting Data...</v>
      </c>
      <c r="F119" t="str">
        <f>_xll.BDP("463831NX Muni","DUR_ADJ_MID")</f>
        <v>#N/A Requesting Data...</v>
      </c>
      <c r="G119" t="str">
        <f>_xll.BDP("463831NX Muni","SPREAD_AT_ISSUANCE_TO_WORST")</f>
        <v>#N/A Requesting Data...</v>
      </c>
      <c r="H119" t="str">
        <f>_xll.BDP("463831NX Muni","ISSUE_DT")</f>
        <v>#N/A Requesting Data...</v>
      </c>
      <c r="I119" t="str">
        <f>_xll.BDS("463831NX Muni","MUNI_PURPOSE_SCHED", "aggregate=y")</f>
        <v>#N/A Review</v>
      </c>
      <c r="J119" t="str">
        <f>_xll.BDP("463831NX Muni","CPN")</f>
        <v>#N/A Requesting Data...</v>
      </c>
      <c r="K119" t="str">
        <f>_xll.BDP("463831NX Muni","MATURITY")</f>
        <v>#N/A Requesting Data...</v>
      </c>
      <c r="L119">
        <v>1905000</v>
      </c>
      <c r="M119" t="str">
        <f>_xll.BDP("463831NX Muni","YIELD_ON_ISSUE_DATE")</f>
        <v>#N/A Requesting Data...</v>
      </c>
      <c r="N119" t="str">
        <f>_xll.BDP("463831NX Muni","YTW_SPREAD_TO_MATURITY_AT_ISSU")</f>
        <v>#N/A Requesting Data...</v>
      </c>
      <c r="O119" t="str">
        <f>_xll.BDP("463831NX Muni","BVAL_MID_YTM")</f>
        <v>#N/A Requesting Data...</v>
      </c>
      <c r="P119" t="str">
        <f>_xll.BDP("463831NX Muni","MUNI_TAX_PROV")</f>
        <v>#N/A Requesting Data...</v>
      </c>
      <c r="Q119" t="str">
        <f>_xll.BDP("463831NX Muni","MUNI_FED_TAX")</f>
        <v>#N/A Requesting Data...</v>
      </c>
      <c r="R119" t="str">
        <f>_xll.BDP("463831NX Muni","MUNI_MSRB_VOLUME")</f>
        <v>#N/A Requesting Data...</v>
      </c>
      <c r="S119" t="str">
        <f>_xll.BDP("463831NX Muni","BB_COMPOSITE")</f>
        <v>#N/A Requesting Data...</v>
      </c>
      <c r="T119" t="str">
        <f>_xll.BDP("463831NX Muni","LQA_LIQUIDITY_SCORE")</f>
        <v>#N/A Requesting Data...</v>
      </c>
    </row>
    <row r="120" spans="1:20" x14ac:dyDescent="0.25">
      <c r="A120" t="str">
        <f>_xll.BDP("97705MFC Muni","ID_CUSIP")</f>
        <v>#N/A Requesting Data...</v>
      </c>
      <c r="B120" t="s">
        <v>63</v>
      </c>
      <c r="C120" t="str">
        <f>_xll.BDP("97705MFC Muni","INSURANCE_STATUS")</f>
        <v>#N/A Requesting Data...</v>
      </c>
      <c r="D120" t="str">
        <f>_xll.BDP("97705MFC Muni","STATE_CODE")</f>
        <v>#N/A Requesting Data...</v>
      </c>
      <c r="E120" t="str">
        <f>_xll.BDP("97705MFC Muni","COUNTY_LOCATION_ISSUER")</f>
        <v>#N/A Requesting Data...</v>
      </c>
      <c r="F120" t="str">
        <f>_xll.BDP("97705MFC Muni","DUR_ADJ_MID")</f>
        <v>#N/A Requesting Data...</v>
      </c>
      <c r="G120" t="str">
        <f>_xll.BDP("97705MFC Muni","SPREAD_AT_ISSUANCE_TO_WORST")</f>
        <v>#N/A Requesting Data...</v>
      </c>
      <c r="H120" t="str">
        <f>_xll.BDP("97705MFC Muni","ISSUE_DT")</f>
        <v>#N/A Requesting Data...</v>
      </c>
      <c r="I120" t="str">
        <f>_xll.BDS("97705MFC Muni","MUNI_PURPOSE_SCHED", "aggregate=y")</f>
        <v>#N/A Review</v>
      </c>
      <c r="J120" t="str">
        <f>_xll.BDP("97705MFC Muni","CPN")</f>
        <v>#N/A Requesting Data...</v>
      </c>
      <c r="K120" t="str">
        <f>_xll.BDP("97705MFC Muni","MATURITY")</f>
        <v>#N/A Requesting Data...</v>
      </c>
      <c r="L120">
        <v>13855000</v>
      </c>
      <c r="M120" t="str">
        <f>_xll.BDP("97705MFC Muni","YIELD_ON_ISSUE_DATE")</f>
        <v>#N/A Requesting Data...</v>
      </c>
      <c r="N120" t="str">
        <f>_xll.BDP("97705MFC Muni","YTW_SPREAD_TO_MATURITY_AT_ISSU")</f>
        <v>#N/A Requesting Data...</v>
      </c>
      <c r="O120" t="str">
        <f>_xll.BDP("97705MFC Muni","BVAL_MID_YTM")</f>
        <v>#N/A Requesting Data...</v>
      </c>
      <c r="P120" t="str">
        <f>_xll.BDP("97705MFC Muni","MUNI_TAX_PROV")</f>
        <v>#N/A Requesting Data...</v>
      </c>
      <c r="Q120" t="str">
        <f>_xll.BDP("97705MFC Muni","MUNI_FED_TAX")</f>
        <v>#N/A Requesting Data...</v>
      </c>
      <c r="R120" t="str">
        <f>_xll.BDP("97705MFC Muni","MUNI_MSRB_VOLUME")</f>
        <v>#N/A Requesting Data...</v>
      </c>
      <c r="S120" t="str">
        <f>_xll.BDP("97705MFC Muni","BB_COMPOSITE")</f>
        <v>#N/A Requesting Data...</v>
      </c>
      <c r="T120" t="str">
        <f>_xll.BDP("97705MFC Muni","LQA_LIQUIDITY_SCORE")</f>
        <v>#N/A Requesting Data...</v>
      </c>
    </row>
    <row r="121" spans="1:20" x14ac:dyDescent="0.25">
      <c r="A121" t="str">
        <f>_xll.BDP("67556HCK Muni","ID_CUSIP")</f>
        <v>#N/A Requesting Data...</v>
      </c>
      <c r="B121" t="s">
        <v>85</v>
      </c>
      <c r="C121" t="str">
        <f>_xll.BDP("67556HCK Muni","INSURANCE_STATUS")</f>
        <v>#N/A Requesting Data...</v>
      </c>
      <c r="D121" t="str">
        <f>_xll.BDP("67556HCK Muni","STATE_CODE")</f>
        <v>#N/A Requesting Data...</v>
      </c>
      <c r="E121" t="str">
        <f>_xll.BDP("67556HCK Muni","COUNTY_LOCATION_ISSUER")</f>
        <v>#N/A Requesting Data...</v>
      </c>
      <c r="F121" t="str">
        <f>_xll.BDP("67556HCK Muni","DUR_ADJ_MID")</f>
        <v>#N/A Requesting Data...</v>
      </c>
      <c r="G121" t="str">
        <f>_xll.BDP("67556HCK Muni","SPREAD_AT_ISSUANCE_TO_WORST")</f>
        <v>#N/A Requesting Data...</v>
      </c>
      <c r="H121" t="str">
        <f>_xll.BDP("67556HCK Muni","ISSUE_DT")</f>
        <v>#N/A Requesting Data...</v>
      </c>
      <c r="I121" t="str">
        <f>_xll.BDS("67556HCK Muni","MUNI_PURPOSE_SCHED", "aggregate=y")</f>
        <v>#N/A Review</v>
      </c>
      <c r="J121" t="str">
        <f>_xll.BDP("67556HCK Muni","CPN")</f>
        <v>#N/A Requesting Data...</v>
      </c>
      <c r="K121" t="str">
        <f>_xll.BDP("67556HCK Muni","MATURITY")</f>
        <v>#N/A Requesting Data...</v>
      </c>
      <c r="L121">
        <v>1075000</v>
      </c>
      <c r="M121" t="str">
        <f>_xll.BDP("67556HCK Muni","YIELD_ON_ISSUE_DATE")</f>
        <v>#N/A Requesting Data...</v>
      </c>
      <c r="N121" t="str">
        <f>_xll.BDP("67556HCK Muni","YTW_SPREAD_TO_MATURITY_AT_ISSU")</f>
        <v>#N/A Requesting Data...</v>
      </c>
      <c r="O121" t="str">
        <f>_xll.BDP("67556HCK Muni","BVAL_MID_YTM")</f>
        <v>#N/A Requesting Data...</v>
      </c>
      <c r="P121" t="str">
        <f>_xll.BDP("67556HCK Muni","MUNI_TAX_PROV")</f>
        <v>#N/A Requesting Data...</v>
      </c>
      <c r="Q121" t="str">
        <f>_xll.BDP("67556HCK Muni","MUNI_FED_TAX")</f>
        <v>#N/A Requesting Data...</v>
      </c>
      <c r="R121" t="str">
        <f>_xll.BDP("67556HCK Muni","MUNI_MSRB_VOLUME")</f>
        <v>#N/A Requesting Data...</v>
      </c>
      <c r="S121" t="str">
        <f>_xll.BDP("67556HCK Muni","BB_COMPOSITE")</f>
        <v>#N/A Requesting Data...</v>
      </c>
      <c r="T121" t="str">
        <f>_xll.BDP("67556HCK Muni","LQA_LIQUIDITY_SCORE")</f>
        <v>#N/A Requesting Data...</v>
      </c>
    </row>
    <row r="122" spans="1:20" x14ac:dyDescent="0.25">
      <c r="A122" t="str">
        <f>_xll.BDP("6457915H Muni","ID_CUSIP")</f>
        <v>#N/A Requesting Data...</v>
      </c>
      <c r="B122" t="s">
        <v>86</v>
      </c>
      <c r="C122" t="str">
        <f>_xll.BDP("6457915H Muni","INSURANCE_STATUS")</f>
        <v>#N/A Requesting Data...</v>
      </c>
      <c r="D122" t="str">
        <f>_xll.BDP("6457915H Muni","STATE_CODE")</f>
        <v>#N/A Requesting Data...</v>
      </c>
      <c r="E122" t="str">
        <f>_xll.BDP("6457915H Muni","COUNTY_LOCATION_ISSUER")</f>
        <v>#N/A Requesting Data...</v>
      </c>
      <c r="F122" t="str">
        <f>_xll.BDP("6457915H Muni","DUR_ADJ_MID")</f>
        <v>#N/A Requesting Data...</v>
      </c>
      <c r="G122" t="str">
        <f>_xll.BDP("6457915H Muni","SPREAD_AT_ISSUANCE_TO_WORST")</f>
        <v>#N/A Requesting Data...</v>
      </c>
      <c r="H122" t="str">
        <f>_xll.BDP("6457915H Muni","ISSUE_DT")</f>
        <v>#N/A Requesting Data...</v>
      </c>
      <c r="I122" t="str">
        <f>_xll.BDS("6457915H Muni","MUNI_PURPOSE_SCHED", "aggregate=y")</f>
        <v>#N/A Review</v>
      </c>
      <c r="J122" t="str">
        <f>_xll.BDP("6457915H Muni","CPN")</f>
        <v>#N/A Requesting Data...</v>
      </c>
      <c r="K122" t="str">
        <f>_xll.BDP("6457915H Muni","MATURITY")</f>
        <v>#N/A Requesting Data...</v>
      </c>
      <c r="L122">
        <v>290000</v>
      </c>
      <c r="M122" t="str">
        <f>_xll.BDP("6457915H Muni","YIELD_ON_ISSUE_DATE")</f>
        <v>#N/A Requesting Data...</v>
      </c>
      <c r="N122" t="str">
        <f>_xll.BDP("6457915H Muni","YTW_SPREAD_TO_MATURITY_AT_ISSU")</f>
        <v>#N/A Requesting Data...</v>
      </c>
      <c r="O122" t="str">
        <f>_xll.BDP("6457915H Muni","BVAL_MID_YTM")</f>
        <v>#N/A Requesting Data...</v>
      </c>
      <c r="P122" t="str">
        <f>_xll.BDP("6457915H Muni","MUNI_TAX_PROV")</f>
        <v>#N/A Requesting Data...</v>
      </c>
      <c r="Q122" t="str">
        <f>_xll.BDP("6457915H Muni","MUNI_FED_TAX")</f>
        <v>#N/A Requesting Data...</v>
      </c>
      <c r="R122" t="str">
        <f>_xll.BDP("6457915H Muni","MUNI_MSRB_VOLUME")</f>
        <v>#N/A Requesting Data...</v>
      </c>
      <c r="S122" t="str">
        <f>_xll.BDP("6457915H Muni","BB_COMPOSITE")</f>
        <v>#N/A Requesting Data...</v>
      </c>
      <c r="T122" t="str">
        <f>_xll.BDP("6457915H Muni","LQA_LIQUIDITY_SCORE")</f>
        <v>#N/A Requesting Data...</v>
      </c>
    </row>
    <row r="123" spans="1:20" x14ac:dyDescent="0.25">
      <c r="A123" t="str">
        <f>_xll.BDP("889396RR Muni","ID_CUSIP")</f>
        <v>#N/A Requesting Data...</v>
      </c>
      <c r="B123" t="s">
        <v>87</v>
      </c>
      <c r="C123" t="str">
        <f>_xll.BDP("889396RR Muni","INSURANCE_STATUS")</f>
        <v>#N/A Requesting Data...</v>
      </c>
      <c r="D123" t="str">
        <f>_xll.BDP("889396RR Muni","STATE_CODE")</f>
        <v>#N/A Requesting Data...</v>
      </c>
      <c r="E123" t="str">
        <f>_xll.BDP("889396RR Muni","COUNTY_LOCATION_ISSUER")</f>
        <v>#N/A Requesting Data...</v>
      </c>
      <c r="F123" t="str">
        <f>_xll.BDP("889396RR Muni","DUR_ADJ_MID")</f>
        <v>#N/A Requesting Data...</v>
      </c>
      <c r="G123" t="str">
        <f>_xll.BDP("889396RR Muni","SPREAD_AT_ISSUANCE_TO_WORST")</f>
        <v>#N/A Requesting Data...</v>
      </c>
      <c r="H123" t="str">
        <f>_xll.BDP("889396RR Muni","ISSUE_DT")</f>
        <v>#N/A Requesting Data...</v>
      </c>
      <c r="I123" t="str">
        <f>_xll.BDS("889396RR Muni","MUNI_PURPOSE_SCHED", "aggregate=y")</f>
        <v>#N/A Review</v>
      </c>
      <c r="J123" t="str">
        <f>_xll.BDP("889396RR Muni","CPN")</f>
        <v>#N/A Requesting Data...</v>
      </c>
      <c r="K123" t="str">
        <f>_xll.BDP("889396RR Muni","MATURITY")</f>
        <v>#N/A Requesting Data...</v>
      </c>
      <c r="L123">
        <v>2120000</v>
      </c>
      <c r="M123" t="str">
        <f>_xll.BDP("889396RR Muni","YIELD_ON_ISSUE_DATE")</f>
        <v>#N/A Requesting Data...</v>
      </c>
      <c r="N123" t="str">
        <f>_xll.BDP("889396RR Muni","YTW_SPREAD_TO_MATURITY_AT_ISSU")</f>
        <v>#N/A Requesting Data...</v>
      </c>
      <c r="O123" t="str">
        <f>_xll.BDP("889396RR Muni","BVAL_MID_YTM")</f>
        <v>#N/A Requesting Data...</v>
      </c>
      <c r="P123" t="str">
        <f>_xll.BDP("889396RR Muni","MUNI_TAX_PROV")</f>
        <v>#N/A Requesting Data...</v>
      </c>
      <c r="Q123" t="str">
        <f>_xll.BDP("889396RR Muni","MUNI_FED_TAX")</f>
        <v>#N/A Requesting Data...</v>
      </c>
      <c r="R123" t="str">
        <f>_xll.BDP("889396RR Muni","MUNI_MSRB_VOLUME")</f>
        <v>#N/A Requesting Data...</v>
      </c>
      <c r="S123" t="str">
        <f>_xll.BDP("889396RR Muni","BB_COMPOSITE")</f>
        <v>#N/A Requesting Data...</v>
      </c>
      <c r="T123" t="str">
        <f>_xll.BDP("889396RR Muni","LQA_LIQUIDITY_SCORE")</f>
        <v>#N/A Requesting Data...</v>
      </c>
    </row>
    <row r="124" spans="1:20" x14ac:dyDescent="0.25">
      <c r="A124" t="str">
        <f>_xll.BDP("915547FP Muni","ID_CUSIP")</f>
        <v>#N/A Requesting Data...</v>
      </c>
      <c r="B124" t="s">
        <v>58</v>
      </c>
      <c r="C124" t="str">
        <f>_xll.BDP("915547FP Muni","INSURANCE_STATUS")</f>
        <v>#N/A Requesting Data...</v>
      </c>
      <c r="D124" t="str">
        <f>_xll.BDP("915547FP Muni","STATE_CODE")</f>
        <v>#N/A Requesting Data...</v>
      </c>
      <c r="E124" t="str">
        <f>_xll.BDP("915547FP Muni","COUNTY_LOCATION_ISSUER")</f>
        <v>#N/A Requesting Data...</v>
      </c>
      <c r="F124" t="str">
        <f>_xll.BDP("915547FP Muni","DUR_ADJ_MID")</f>
        <v>#N/A Requesting Data...</v>
      </c>
      <c r="G124" t="str">
        <f>_xll.BDP("915547FP Muni","SPREAD_AT_ISSUANCE_TO_WORST")</f>
        <v>#N/A Requesting Data...</v>
      </c>
      <c r="H124" t="str">
        <f>_xll.BDP("915547FP Muni","ISSUE_DT")</f>
        <v>#N/A Requesting Data...</v>
      </c>
      <c r="I124" t="str">
        <f>_xll.BDS("915547FP Muni","MUNI_PURPOSE_SCHED", "aggregate=y")</f>
        <v>#N/A Review</v>
      </c>
      <c r="J124" t="str">
        <f>_xll.BDP("915547FP Muni","CPN")</f>
        <v>#N/A Requesting Data...</v>
      </c>
      <c r="K124" t="str">
        <f>_xll.BDP("915547FP Muni","MATURITY")</f>
        <v>#N/A Requesting Data...</v>
      </c>
      <c r="L124">
        <v>765000</v>
      </c>
      <c r="M124" t="str">
        <f>_xll.BDP("915547FP Muni","YIELD_ON_ISSUE_DATE")</f>
        <v>#N/A Requesting Data...</v>
      </c>
      <c r="N124" t="str">
        <f>_xll.BDP("915547FP Muni","YTW_SPREAD_TO_MATURITY_AT_ISSU")</f>
        <v>#N/A Requesting Data...</v>
      </c>
      <c r="O124" t="str">
        <f>_xll.BDP("915547FP Muni","BVAL_MID_YTM")</f>
        <v>#N/A Requesting Data...</v>
      </c>
      <c r="P124" t="str">
        <f>_xll.BDP("915547FP Muni","MUNI_TAX_PROV")</f>
        <v>#N/A Requesting Data...</v>
      </c>
      <c r="Q124" t="str">
        <f>_xll.BDP("915547FP Muni","MUNI_FED_TAX")</f>
        <v>#N/A Requesting Data...</v>
      </c>
      <c r="R124" t="str">
        <f>_xll.BDP("915547FP Muni","MUNI_MSRB_VOLUME")</f>
        <v>#N/A Requesting Data...</v>
      </c>
      <c r="S124" t="str">
        <f>_xll.BDP("915547FP Muni","BB_COMPOSITE")</f>
        <v>#N/A Requesting Data...</v>
      </c>
      <c r="T124" t="str">
        <f>_xll.BDP("915547FP Muni","LQA_LIQUIDITY_SCORE")</f>
        <v>#N/A Requesting Data...</v>
      </c>
    </row>
    <row r="125" spans="1:20" x14ac:dyDescent="0.25">
      <c r="A125" t="str">
        <f>_xll.BDP("45506DVT Muni","ID_CUSIP")</f>
        <v>#N/A Requesting Data...</v>
      </c>
      <c r="B125" t="s">
        <v>42</v>
      </c>
      <c r="C125" t="str">
        <f>_xll.BDP("45506DVT Muni","INSURANCE_STATUS")</f>
        <v>#N/A Requesting Data...</v>
      </c>
      <c r="D125" t="str">
        <f>_xll.BDP("45506DVT Muni","STATE_CODE")</f>
        <v>#N/A Requesting Data...</v>
      </c>
      <c r="E125" t="str">
        <f>_xll.BDP("45506DVT Muni","COUNTY_LOCATION_ISSUER")</f>
        <v>#N/A Requesting Data...</v>
      </c>
      <c r="F125" t="str">
        <f>_xll.BDP("45506DVT Muni","DUR_ADJ_MID")</f>
        <v>#N/A Requesting Data...</v>
      </c>
      <c r="G125" t="str">
        <f>_xll.BDP("45506DVT Muni","SPREAD_AT_ISSUANCE_TO_WORST")</f>
        <v>#N/A Requesting Data...</v>
      </c>
      <c r="H125" t="str">
        <f>_xll.BDP("45506DVT Muni","ISSUE_DT")</f>
        <v>#N/A Requesting Data...</v>
      </c>
      <c r="I125" t="str">
        <f>_xll.BDS("45506DVT Muni","MUNI_PURPOSE_SCHED", "aggregate=y")</f>
        <v>#N/A Review</v>
      </c>
      <c r="J125" t="str">
        <f>_xll.BDP("45506DVT Muni","CPN")</f>
        <v>#N/A Requesting Data...</v>
      </c>
      <c r="K125" t="str">
        <f>_xll.BDP("45506DVT Muni","MATURITY")</f>
        <v>#N/A Requesting Data...</v>
      </c>
      <c r="L125">
        <v>3675000</v>
      </c>
      <c r="M125" t="str">
        <f>_xll.BDP("45506DVT Muni","YIELD_ON_ISSUE_DATE")</f>
        <v>#N/A Requesting Data...</v>
      </c>
      <c r="N125" t="str">
        <f>_xll.BDP("45506DVT Muni","YTW_SPREAD_TO_MATURITY_AT_ISSU")</f>
        <v>#N/A Requesting Data...</v>
      </c>
      <c r="O125" t="str">
        <f>_xll.BDP("45506DVT Muni","BVAL_MID_YTM")</f>
        <v>#N/A Requesting Data...</v>
      </c>
      <c r="P125" t="str">
        <f>_xll.BDP("45506DVT Muni","MUNI_TAX_PROV")</f>
        <v>#N/A Requesting Data...</v>
      </c>
      <c r="Q125" t="str">
        <f>_xll.BDP("45506DVT Muni","MUNI_FED_TAX")</f>
        <v>#N/A Requesting Data...</v>
      </c>
      <c r="R125" t="str">
        <f>_xll.BDP("45506DVT Muni","MUNI_MSRB_VOLUME")</f>
        <v>#N/A Requesting Data...</v>
      </c>
      <c r="S125" t="str">
        <f>_xll.BDP("45506DVT Muni","BB_COMPOSITE")</f>
        <v>#N/A Requesting Data...</v>
      </c>
      <c r="T125" t="str">
        <f>_xll.BDP("45506DVT Muni","LQA_LIQUIDITY_SCORE")</f>
        <v>#N/A Requesting Data...</v>
      </c>
    </row>
    <row r="126" spans="1:20" x14ac:dyDescent="0.25">
      <c r="A126" t="str">
        <f>_xll.BDP("80168FLS Muni","ID_CUSIP")</f>
        <v>#N/A Requesting Data...</v>
      </c>
      <c r="B126" t="s">
        <v>69</v>
      </c>
      <c r="C126" t="str">
        <f>_xll.BDP("80168FLS Muni","INSURANCE_STATUS")</f>
        <v>#N/A Requesting Data...</v>
      </c>
      <c r="D126" t="str">
        <f>_xll.BDP("80168FLS Muni","STATE_CODE")</f>
        <v>#N/A Requesting Data...</v>
      </c>
      <c r="E126" t="str">
        <f>_xll.BDP("80168FLS Muni","COUNTY_LOCATION_ISSUER")</f>
        <v>#N/A Requesting Data...</v>
      </c>
      <c r="F126" t="str">
        <f>_xll.BDP("80168FLS Muni","DUR_ADJ_MID")</f>
        <v>#N/A Requesting Data...</v>
      </c>
      <c r="G126" t="str">
        <f>_xll.BDP("80168FLS Muni","SPREAD_AT_ISSUANCE_TO_WORST")</f>
        <v>#N/A Requesting Data...</v>
      </c>
      <c r="H126" t="str">
        <f>_xll.BDP("80168FLS Muni","ISSUE_DT")</f>
        <v>#N/A Requesting Data...</v>
      </c>
      <c r="I126" t="str">
        <f>_xll.BDS("80168FLS Muni","MUNI_PURPOSE_SCHED", "aggregate=y")</f>
        <v>#N/A Review</v>
      </c>
      <c r="J126" t="str">
        <f>_xll.BDP("80168FLS Muni","CPN")</f>
        <v>#N/A Requesting Data...</v>
      </c>
      <c r="K126" t="str">
        <f>_xll.BDP("80168FLS Muni","MATURITY")</f>
        <v>#N/A Requesting Data...</v>
      </c>
      <c r="L126">
        <v>3880000</v>
      </c>
      <c r="M126" t="str">
        <f>_xll.BDP("80168FLS Muni","YIELD_ON_ISSUE_DATE")</f>
        <v>#N/A Requesting Data...</v>
      </c>
      <c r="N126" t="str">
        <f>_xll.BDP("80168FLS Muni","YTW_SPREAD_TO_MATURITY_AT_ISSU")</f>
        <v>#N/A Requesting Data...</v>
      </c>
      <c r="O126" t="str">
        <f>_xll.BDP("80168FLS Muni","BVAL_MID_YTM")</f>
        <v>#N/A Requesting Data...</v>
      </c>
      <c r="P126" t="str">
        <f>_xll.BDP("80168FLS Muni","MUNI_TAX_PROV")</f>
        <v>#N/A Requesting Data...</v>
      </c>
      <c r="Q126" t="str">
        <f>_xll.BDP("80168FLS Muni","MUNI_FED_TAX")</f>
        <v>#N/A Requesting Data...</v>
      </c>
      <c r="R126" t="str">
        <f>_xll.BDP("80168FLS Muni","MUNI_MSRB_VOLUME")</f>
        <v>#N/A Requesting Data...</v>
      </c>
      <c r="S126" t="str">
        <f>_xll.BDP("80168FLS Muni","BB_COMPOSITE")</f>
        <v>#N/A Requesting Data...</v>
      </c>
      <c r="T126" t="str">
        <f>_xll.BDP("80168FLS Muni","LQA_LIQUIDITY_SCORE")</f>
        <v>#N/A Requesting Data...</v>
      </c>
    </row>
    <row r="127" spans="1:20" x14ac:dyDescent="0.25">
      <c r="A127" t="str">
        <f>_xll.BDP("736754NW Muni","ID_CUSIP")</f>
        <v>#N/A Requesting Data...</v>
      </c>
      <c r="B127" t="s">
        <v>88</v>
      </c>
      <c r="C127" t="str">
        <f>_xll.BDP("736754NW Muni","INSURANCE_STATUS")</f>
        <v>#N/A Requesting Data...</v>
      </c>
      <c r="D127" t="str">
        <f>_xll.BDP("736754NW Muni","STATE_CODE")</f>
        <v>#N/A Requesting Data...</v>
      </c>
      <c r="E127" t="str">
        <f>_xll.BDP("736754NW Muni","COUNTY_LOCATION_ISSUER")</f>
        <v>#N/A Requesting Data...</v>
      </c>
      <c r="F127" t="str">
        <f>_xll.BDP("736754NW Muni","DUR_ADJ_MID")</f>
        <v>#N/A Requesting Data...</v>
      </c>
      <c r="G127" t="str">
        <f>_xll.BDP("736754NW Muni","SPREAD_AT_ISSUANCE_TO_WORST")</f>
        <v>#N/A Requesting Data...</v>
      </c>
      <c r="H127" t="str">
        <f>_xll.BDP("736754NW Muni","ISSUE_DT")</f>
        <v>#N/A Requesting Data...</v>
      </c>
      <c r="I127" t="str">
        <f>_xll.BDS("736754NW Muni","MUNI_PURPOSE_SCHED", "aggregate=y")</f>
        <v>#N/A Review</v>
      </c>
      <c r="J127" t="str">
        <f>_xll.BDP("736754NW Muni","CPN")</f>
        <v>#N/A Requesting Data...</v>
      </c>
      <c r="K127" t="str">
        <f>_xll.BDP("736754NW Muni","MATURITY")</f>
        <v>#N/A Requesting Data...</v>
      </c>
      <c r="L127">
        <v>5390000</v>
      </c>
      <c r="M127" t="str">
        <f>_xll.BDP("736754NW Muni","YIELD_ON_ISSUE_DATE")</f>
        <v>#N/A Requesting Data...</v>
      </c>
      <c r="N127" t="str">
        <f>_xll.BDP("736754NW Muni","YTW_SPREAD_TO_MATURITY_AT_ISSU")</f>
        <v>#N/A Requesting Data...</v>
      </c>
      <c r="O127" t="str">
        <f>_xll.BDP("736754NW Muni","BVAL_MID_YTM")</f>
        <v>#N/A Requesting Data...</v>
      </c>
      <c r="P127" t="str">
        <f>_xll.BDP("736754NW Muni","MUNI_TAX_PROV")</f>
        <v>#N/A Requesting Data...</v>
      </c>
      <c r="Q127" t="str">
        <f>_xll.BDP("736754NW Muni","MUNI_FED_TAX")</f>
        <v>#N/A Requesting Data...</v>
      </c>
      <c r="R127" t="str">
        <f>_xll.BDP("736754NW Muni","MUNI_MSRB_VOLUME")</f>
        <v>#N/A Requesting Data...</v>
      </c>
      <c r="S127" t="str">
        <f>_xll.BDP("736754NW Muni","BB_COMPOSITE")</f>
        <v>#N/A Requesting Data...</v>
      </c>
      <c r="T127" t="str">
        <f>_xll.BDP("736754NW Muni","LQA_LIQUIDITY_SCORE")</f>
        <v>#N/A Requesting Data...</v>
      </c>
    </row>
    <row r="128" spans="1:20" x14ac:dyDescent="0.25">
      <c r="A128" t="str">
        <f>_xll.BDP("246045MU Muni","ID_CUSIP")</f>
        <v>#N/A Requesting Data...</v>
      </c>
      <c r="B128" t="s">
        <v>89</v>
      </c>
      <c r="C128" t="str">
        <f>_xll.BDP("246045MU Muni","INSURANCE_STATUS")</f>
        <v>#N/A Requesting Data...</v>
      </c>
      <c r="D128" t="str">
        <f>_xll.BDP("246045MU Muni","STATE_CODE")</f>
        <v>#N/A Requesting Data...</v>
      </c>
      <c r="E128" t="str">
        <f>_xll.BDP("246045MU Muni","COUNTY_LOCATION_ISSUER")</f>
        <v>#N/A Requesting Data...</v>
      </c>
      <c r="F128" t="str">
        <f>_xll.BDP("246045MU Muni","DUR_ADJ_MID")</f>
        <v>#N/A Requesting Data...</v>
      </c>
      <c r="G128" t="str">
        <f>_xll.BDP("246045MU Muni","SPREAD_AT_ISSUANCE_TO_WORST")</f>
        <v>#N/A Requesting Data...</v>
      </c>
      <c r="H128" t="str">
        <f>_xll.BDP("246045MU Muni","ISSUE_DT")</f>
        <v>#N/A Requesting Data...</v>
      </c>
      <c r="I128" t="str">
        <f>_xll.BDS("246045MU Muni","MUNI_PURPOSE_SCHED", "aggregate=y")</f>
        <v>#N/A Review</v>
      </c>
      <c r="J128" t="str">
        <f>_xll.BDP("246045MU Muni","CPN")</f>
        <v>#N/A Requesting Data...</v>
      </c>
      <c r="K128" t="str">
        <f>_xll.BDP("246045MU Muni","MATURITY")</f>
        <v>#N/A Requesting Data...</v>
      </c>
      <c r="L128">
        <v>1440000</v>
      </c>
      <c r="M128" t="str">
        <f>_xll.BDP("246045MU Muni","YIELD_ON_ISSUE_DATE")</f>
        <v>#N/A Requesting Data...</v>
      </c>
      <c r="N128" t="str">
        <f>_xll.BDP("246045MU Muni","YTW_SPREAD_TO_MATURITY_AT_ISSU")</f>
        <v>#N/A Requesting Data...</v>
      </c>
      <c r="O128" t="str">
        <f>_xll.BDP("246045MU Muni","BVAL_MID_YTM")</f>
        <v>#N/A Requesting Data...</v>
      </c>
      <c r="P128" t="str">
        <f>_xll.BDP("246045MU Muni","MUNI_TAX_PROV")</f>
        <v>#N/A Requesting Data...</v>
      </c>
      <c r="Q128" t="str">
        <f>_xll.BDP("246045MU Muni","MUNI_FED_TAX")</f>
        <v>#N/A Requesting Data...</v>
      </c>
      <c r="R128" t="str">
        <f>_xll.BDP("246045MU Muni","MUNI_MSRB_VOLUME")</f>
        <v>#N/A Requesting Data...</v>
      </c>
      <c r="S128" t="str">
        <f>_xll.BDP("246045MU Muni","BB_COMPOSITE")</f>
        <v>#N/A Requesting Data...</v>
      </c>
      <c r="T128" t="str">
        <f>_xll.BDP("246045MU Muni","LQA_LIQUIDITY_SCORE")</f>
        <v>#N/A Requesting Data...</v>
      </c>
    </row>
    <row r="129" spans="1:20" x14ac:dyDescent="0.25">
      <c r="A129" t="str">
        <f>_xll.BDP("916091GA Muni","ID_CUSIP")</f>
        <v>#N/A Requesting Data...</v>
      </c>
      <c r="B129" t="s">
        <v>90</v>
      </c>
      <c r="C129" t="str">
        <f>_xll.BDP("916091GA Muni","INSURANCE_STATUS")</f>
        <v>#N/A Requesting Data...</v>
      </c>
      <c r="D129" t="str">
        <f>_xll.BDP("916091GA Muni","STATE_CODE")</f>
        <v>#N/A Requesting Data...</v>
      </c>
      <c r="E129" t="str">
        <f>_xll.BDP("916091GA Muni","COUNTY_LOCATION_ISSUER")</f>
        <v>#N/A Requesting Data...</v>
      </c>
      <c r="F129" t="str">
        <f>_xll.BDP("916091GA Muni","DUR_ADJ_MID")</f>
        <v>#N/A Requesting Data...</v>
      </c>
      <c r="G129" t="str">
        <f>_xll.BDP("916091GA Muni","SPREAD_AT_ISSUANCE_TO_WORST")</f>
        <v>#N/A Requesting Data...</v>
      </c>
      <c r="H129" t="str">
        <f>_xll.BDP("916091GA Muni","ISSUE_DT")</f>
        <v>#N/A Requesting Data...</v>
      </c>
      <c r="I129" t="str">
        <f>_xll.BDS("916091GA Muni","MUNI_PURPOSE_SCHED", "aggregate=y")</f>
        <v>#N/A Review</v>
      </c>
      <c r="J129" t="str">
        <f>_xll.BDP("916091GA Muni","CPN")</f>
        <v>#N/A Requesting Data...</v>
      </c>
      <c r="K129" t="str">
        <f>_xll.BDP("916091GA Muni","MATURITY")</f>
        <v>#N/A Requesting Data...</v>
      </c>
      <c r="L129">
        <v>280000</v>
      </c>
      <c r="M129" t="str">
        <f>_xll.BDP("916091GA Muni","YIELD_ON_ISSUE_DATE")</f>
        <v>#N/A Requesting Data...</v>
      </c>
      <c r="N129" t="str">
        <f>_xll.BDP("916091GA Muni","YTW_SPREAD_TO_MATURITY_AT_ISSU")</f>
        <v>#N/A Requesting Data...</v>
      </c>
      <c r="O129" t="str">
        <f>_xll.BDP("916091GA Muni","BVAL_MID_YTM")</f>
        <v>#N/A Requesting Data...</v>
      </c>
      <c r="P129" t="str">
        <f>_xll.BDP("916091GA Muni","MUNI_TAX_PROV")</f>
        <v>#N/A Requesting Data...</v>
      </c>
      <c r="Q129" t="str">
        <f>_xll.BDP("916091GA Muni","MUNI_FED_TAX")</f>
        <v>#N/A Requesting Data...</v>
      </c>
      <c r="R129" t="str">
        <f>_xll.BDP("916091GA Muni","MUNI_MSRB_VOLUME")</f>
        <v>#N/A Requesting Data...</v>
      </c>
      <c r="S129" t="str">
        <f>_xll.BDP("916091GA Muni","BB_COMPOSITE")</f>
        <v>#N/A Requesting Data...</v>
      </c>
      <c r="T129" t="str">
        <f>_xll.BDP("916091GA Muni","LQA_LIQUIDITY_SCORE")</f>
        <v>#N/A Requesting Data...</v>
      </c>
    </row>
    <row r="130" spans="1:20" x14ac:dyDescent="0.25">
      <c r="A130" t="str">
        <f>_xll.BDP("13034AJJ Muni","ID_CUSIP")</f>
        <v>#N/A Requesting Data...</v>
      </c>
      <c r="B130" t="s">
        <v>40</v>
      </c>
      <c r="C130" t="str">
        <f>_xll.BDP("13034AJJ Muni","INSURANCE_STATUS")</f>
        <v>#N/A Requesting Data...</v>
      </c>
      <c r="D130" t="str">
        <f>_xll.BDP("13034AJJ Muni","STATE_CODE")</f>
        <v>#N/A Requesting Data...</v>
      </c>
      <c r="E130" t="str">
        <f>_xll.BDP("13034AJJ Muni","COUNTY_LOCATION_ISSUER")</f>
        <v>#N/A Requesting Data...</v>
      </c>
      <c r="F130" t="str">
        <f>_xll.BDP("13034AJJ Muni","DUR_ADJ_MID")</f>
        <v>#N/A Requesting Data...</v>
      </c>
      <c r="G130" t="str">
        <f>_xll.BDP("13034AJJ Muni","SPREAD_AT_ISSUANCE_TO_WORST")</f>
        <v>#N/A Requesting Data...</v>
      </c>
      <c r="H130" t="str">
        <f>_xll.BDP("13034AJJ Muni","ISSUE_DT")</f>
        <v>#N/A Requesting Data...</v>
      </c>
      <c r="I130" t="str">
        <f>_xll.BDS("13034AJJ Muni","MUNI_PURPOSE_SCHED", "aggregate=y")</f>
        <v>#N/A Review</v>
      </c>
      <c r="J130" t="str">
        <f>_xll.BDP("13034AJJ Muni","CPN")</f>
        <v>#N/A Requesting Data...</v>
      </c>
      <c r="K130" t="str">
        <f>_xll.BDP("13034AJJ Muni","MATURITY")</f>
        <v>#N/A Requesting Data...</v>
      </c>
      <c r="L130">
        <v>6000000</v>
      </c>
      <c r="M130" t="str">
        <f>_xll.BDP("13034AJJ Muni","YIELD_ON_ISSUE_DATE")</f>
        <v>#N/A Requesting Data...</v>
      </c>
      <c r="N130" t="str">
        <f>_xll.BDP("13034AJJ Muni","YTW_SPREAD_TO_MATURITY_AT_ISSU")</f>
        <v>#N/A Requesting Data...</v>
      </c>
      <c r="O130" t="str">
        <f>_xll.BDP("13034AJJ Muni","BVAL_MID_YTM")</f>
        <v>#N/A Requesting Data...</v>
      </c>
      <c r="P130" t="str">
        <f>_xll.BDP("13034AJJ Muni","MUNI_TAX_PROV")</f>
        <v>#N/A Requesting Data...</v>
      </c>
      <c r="Q130" t="str">
        <f>_xll.BDP("13034AJJ Muni","MUNI_FED_TAX")</f>
        <v>#N/A Requesting Data...</v>
      </c>
      <c r="R130" t="str">
        <f>_xll.BDP("13034AJJ Muni","MUNI_MSRB_VOLUME")</f>
        <v>#N/A Requesting Data...</v>
      </c>
      <c r="S130" t="str">
        <f>_xll.BDP("13034AJJ Muni","BB_COMPOSITE")</f>
        <v>#N/A Requesting Data...</v>
      </c>
      <c r="T130" t="str">
        <f>_xll.BDP("13034AJJ Muni","LQA_LIQUIDITY_SCORE")</f>
        <v>#N/A Requesting Data...</v>
      </c>
    </row>
    <row r="131" spans="1:20" x14ac:dyDescent="0.25">
      <c r="A131" t="str">
        <f>_xll.BDP("13466LBH Muni","ID_CUSIP")</f>
        <v>#N/A Requesting Data...</v>
      </c>
      <c r="B131" t="s">
        <v>60</v>
      </c>
      <c r="C131" t="str">
        <f>_xll.BDP("13466LBH Muni","INSURANCE_STATUS")</f>
        <v>#N/A Requesting Data...</v>
      </c>
      <c r="D131" t="str">
        <f>_xll.BDP("13466LBH Muni","STATE_CODE")</f>
        <v>#N/A Requesting Data...</v>
      </c>
      <c r="E131" t="str">
        <f>_xll.BDP("13466LBH Muni","COUNTY_LOCATION_ISSUER")</f>
        <v>#N/A Requesting Data...</v>
      </c>
      <c r="F131" t="str">
        <f>_xll.BDP("13466LBH Muni","DUR_ADJ_MID")</f>
        <v>#N/A Requesting Data...</v>
      </c>
      <c r="G131" t="str">
        <f>_xll.BDP("13466LBH Muni","SPREAD_AT_ISSUANCE_TO_WORST")</f>
        <v>#N/A Requesting Data...</v>
      </c>
      <c r="H131" t="str">
        <f>_xll.BDP("13466LBH Muni","ISSUE_DT")</f>
        <v>#N/A Requesting Data...</v>
      </c>
      <c r="I131" t="str">
        <f>_xll.BDS("13466LBH Muni","MUNI_PURPOSE_SCHED", "aggregate=y")</f>
        <v>#N/A Review</v>
      </c>
      <c r="J131" t="str">
        <f>_xll.BDP("13466LBH Muni","CPN")</f>
        <v>#N/A Requesting Data...</v>
      </c>
      <c r="K131" t="str">
        <f>_xll.BDP("13466LBH Muni","MATURITY")</f>
        <v>#N/A Requesting Data...</v>
      </c>
      <c r="L131">
        <v>660000</v>
      </c>
      <c r="M131" t="str">
        <f>_xll.BDP("13466LBH Muni","YIELD_ON_ISSUE_DATE")</f>
        <v>#N/A Requesting Data...</v>
      </c>
      <c r="N131" t="str">
        <f>_xll.BDP("13466LBH Muni","YTW_SPREAD_TO_MATURITY_AT_ISSU")</f>
        <v>#N/A Requesting Data...</v>
      </c>
      <c r="O131" t="str">
        <f>_xll.BDP("13466LBH Muni","BVAL_MID_YTM")</f>
        <v>#N/A Requesting Data...</v>
      </c>
      <c r="P131" t="str">
        <f>_xll.BDP("13466LBH Muni","MUNI_TAX_PROV")</f>
        <v>#N/A Requesting Data...</v>
      </c>
      <c r="Q131" t="str">
        <f>_xll.BDP("13466LBH Muni","MUNI_FED_TAX")</f>
        <v>#N/A Requesting Data...</v>
      </c>
      <c r="R131" t="str">
        <f>_xll.BDP("13466LBH Muni","MUNI_MSRB_VOLUME")</f>
        <v>#N/A Requesting Data...</v>
      </c>
      <c r="S131" t="str">
        <f>_xll.BDP("13466LBH Muni","BB_COMPOSITE")</f>
        <v>#N/A Requesting Data...</v>
      </c>
      <c r="T131" t="str">
        <f>_xll.BDP("13466LBH Muni","LQA_LIQUIDITY_SCORE")</f>
        <v>#N/A Requesting Data...</v>
      </c>
    </row>
    <row r="132" spans="1:20" x14ac:dyDescent="0.25">
      <c r="A132" t="str">
        <f>_xll.BDP("701600MX Muni","ID_CUSIP")</f>
        <v>#N/A Requesting Data...</v>
      </c>
      <c r="B132" t="s">
        <v>91</v>
      </c>
      <c r="C132" t="str">
        <f>_xll.BDP("701600MX Muni","INSURANCE_STATUS")</f>
        <v>#N/A Requesting Data...</v>
      </c>
      <c r="D132" t="str">
        <f>_xll.BDP("701600MX Muni","STATE_CODE")</f>
        <v>#N/A Requesting Data...</v>
      </c>
      <c r="E132" t="str">
        <f>_xll.BDP("701600MX Muni","COUNTY_LOCATION_ISSUER")</f>
        <v>#N/A Requesting Data...</v>
      </c>
      <c r="F132" t="str">
        <f>_xll.BDP("701600MX Muni","DUR_ADJ_MID")</f>
        <v>#N/A Requesting Data...</v>
      </c>
      <c r="G132" t="str">
        <f>_xll.BDP("701600MX Muni","SPREAD_AT_ISSUANCE_TO_WORST")</f>
        <v>#N/A Requesting Data...</v>
      </c>
      <c r="H132" t="str">
        <f>_xll.BDP("701600MX Muni","ISSUE_DT")</f>
        <v>#N/A Requesting Data...</v>
      </c>
      <c r="I132" t="str">
        <f>_xll.BDS("701600MX Muni","MUNI_PURPOSE_SCHED", "aggregate=y")</f>
        <v>#N/A Review</v>
      </c>
      <c r="J132" t="str">
        <f>_xll.BDP("701600MX Muni","CPN")</f>
        <v>#N/A Requesting Data...</v>
      </c>
      <c r="K132" t="str">
        <f>_xll.BDP("701600MX Muni","MATURITY")</f>
        <v>#N/A Requesting Data...</v>
      </c>
      <c r="L132">
        <v>75000</v>
      </c>
      <c r="M132" t="str">
        <f>_xll.BDP("701600MX Muni","YIELD_ON_ISSUE_DATE")</f>
        <v>#N/A Requesting Data...</v>
      </c>
      <c r="N132" t="str">
        <f>_xll.BDP("701600MX Muni","YTW_SPREAD_TO_MATURITY_AT_ISSU")</f>
        <v>#N/A Requesting Data...</v>
      </c>
      <c r="O132" t="str">
        <f>_xll.BDP("701600MX Muni","BVAL_MID_YTM")</f>
        <v>#N/A Requesting Data...</v>
      </c>
      <c r="P132" t="str">
        <f>_xll.BDP("701600MX Muni","MUNI_TAX_PROV")</f>
        <v>#N/A Requesting Data...</v>
      </c>
      <c r="Q132" t="str">
        <f>_xll.BDP("701600MX Muni","MUNI_FED_TAX")</f>
        <v>#N/A Requesting Data...</v>
      </c>
      <c r="R132" t="str">
        <f>_xll.BDP("701600MX Muni","MUNI_MSRB_VOLUME")</f>
        <v>#N/A Requesting Data...</v>
      </c>
      <c r="S132" t="str">
        <f>_xll.BDP("701600MX Muni","BB_COMPOSITE")</f>
        <v>#N/A Requesting Data...</v>
      </c>
      <c r="T132" t="str">
        <f>_xll.BDP("701600MX Muni","LQA_LIQUIDITY_SCORE")</f>
        <v>#N/A Requesting Data...</v>
      </c>
    </row>
    <row r="133" spans="1:20" x14ac:dyDescent="0.25">
      <c r="A133" t="str">
        <f>_xll.BDP("298245JP Muni","ID_CUSIP")</f>
        <v>#N/A Requesting Data...</v>
      </c>
      <c r="B133" t="s">
        <v>92</v>
      </c>
      <c r="C133" t="str">
        <f>_xll.BDP("298245JP Muni","INSURANCE_STATUS")</f>
        <v>#N/A Requesting Data...</v>
      </c>
      <c r="D133" t="str">
        <f>_xll.BDP("298245JP Muni","STATE_CODE")</f>
        <v>#N/A Requesting Data...</v>
      </c>
      <c r="E133" t="str">
        <f>_xll.BDP("298245JP Muni","COUNTY_LOCATION_ISSUER")</f>
        <v>#N/A Requesting Data...</v>
      </c>
      <c r="F133" t="str">
        <f>_xll.BDP("298245JP Muni","DUR_ADJ_MID")</f>
        <v>#N/A Requesting Data...</v>
      </c>
      <c r="G133" t="str">
        <f>_xll.BDP("298245JP Muni","SPREAD_AT_ISSUANCE_TO_WORST")</f>
        <v>#N/A Requesting Data...</v>
      </c>
      <c r="H133" t="str">
        <f>_xll.BDP("298245JP Muni","ISSUE_DT")</f>
        <v>#N/A Requesting Data...</v>
      </c>
      <c r="I133" t="str">
        <f>_xll.BDS("298245JP Muni","MUNI_PURPOSE_SCHED", "aggregate=y")</f>
        <v>#N/A Review</v>
      </c>
      <c r="J133" t="str">
        <f>_xll.BDP("298245JP Muni","CPN")</f>
        <v>#N/A Requesting Data...</v>
      </c>
      <c r="K133" t="str">
        <f>_xll.BDP("298245JP Muni","MATURITY")</f>
        <v>#N/A Requesting Data...</v>
      </c>
      <c r="L133">
        <v>1470000</v>
      </c>
      <c r="M133" t="str">
        <f>_xll.BDP("298245JP Muni","YIELD_ON_ISSUE_DATE")</f>
        <v>#N/A Requesting Data...</v>
      </c>
      <c r="N133" t="str">
        <f>_xll.BDP("298245JP Muni","YTW_SPREAD_TO_MATURITY_AT_ISSU")</f>
        <v>#N/A Requesting Data...</v>
      </c>
      <c r="O133" t="str">
        <f>_xll.BDP("298245JP Muni","BVAL_MID_YTM")</f>
        <v>#N/A Requesting Data...</v>
      </c>
      <c r="P133" t="str">
        <f>_xll.BDP("298245JP Muni","MUNI_TAX_PROV")</f>
        <v>#N/A Requesting Data...</v>
      </c>
      <c r="Q133" t="str">
        <f>_xll.BDP("298245JP Muni","MUNI_FED_TAX")</f>
        <v>#N/A Requesting Data...</v>
      </c>
      <c r="R133" t="str">
        <f>_xll.BDP("298245JP Muni","MUNI_MSRB_VOLUME")</f>
        <v>#N/A Requesting Data...</v>
      </c>
      <c r="S133" t="str">
        <f>_xll.BDP("298245JP Muni","BB_COMPOSITE")</f>
        <v>#N/A Requesting Data...</v>
      </c>
      <c r="T133" t="str">
        <f>_xll.BDP("298245JP Muni","LQA_LIQUIDITY_SCORE")</f>
        <v>#N/A Requesting Data...</v>
      </c>
    </row>
    <row r="134" spans="1:20" x14ac:dyDescent="0.25">
      <c r="A134" t="str">
        <f>_xll.BDP("270424CB Muni","ID_CUSIP")</f>
        <v>#N/A Requesting Data...</v>
      </c>
      <c r="B134" t="s">
        <v>43</v>
      </c>
      <c r="C134" t="str">
        <f>_xll.BDP("270424CB Muni","INSURANCE_STATUS")</f>
        <v>#N/A Requesting Data...</v>
      </c>
      <c r="D134" t="str">
        <f>_xll.BDP("270424CB Muni","STATE_CODE")</f>
        <v>#N/A Requesting Data...</v>
      </c>
      <c r="E134" t="str">
        <f>_xll.BDP("270424CB Muni","COUNTY_LOCATION_ISSUER")</f>
        <v>#N/A Requesting Data...</v>
      </c>
      <c r="F134" t="str">
        <f>_xll.BDP("270424CB Muni","DUR_ADJ_MID")</f>
        <v>#N/A Requesting Data...</v>
      </c>
      <c r="G134" t="str">
        <f>_xll.BDP("270424CB Muni","SPREAD_AT_ISSUANCE_TO_WORST")</f>
        <v>#N/A Requesting Data...</v>
      </c>
      <c r="H134" t="str">
        <f>_xll.BDP("270424CB Muni","ISSUE_DT")</f>
        <v>#N/A Requesting Data...</v>
      </c>
      <c r="I134" t="str">
        <f>_xll.BDS("270424CB Muni","MUNI_PURPOSE_SCHED", "aggregate=y")</f>
        <v>#N/A Review</v>
      </c>
      <c r="J134" t="str">
        <f>_xll.BDP("270424CB Muni","CPN")</f>
        <v>#N/A Requesting Data...</v>
      </c>
      <c r="K134" t="str">
        <f>_xll.BDP("270424CB Muni","MATURITY")</f>
        <v>#N/A Requesting Data...</v>
      </c>
      <c r="L134">
        <v>1595000</v>
      </c>
      <c r="M134" t="str">
        <f>_xll.BDP("270424CB Muni","YIELD_ON_ISSUE_DATE")</f>
        <v>#N/A Requesting Data...</v>
      </c>
      <c r="N134" t="str">
        <f>_xll.BDP("270424CB Muni","YTW_SPREAD_TO_MATURITY_AT_ISSU")</f>
        <v>#N/A Requesting Data...</v>
      </c>
      <c r="O134" t="str">
        <f>_xll.BDP("270424CB Muni","BVAL_MID_YTM")</f>
        <v>#N/A Requesting Data...</v>
      </c>
      <c r="P134" t="str">
        <f>_xll.BDP("270424CB Muni","MUNI_TAX_PROV")</f>
        <v>#N/A Requesting Data...</v>
      </c>
      <c r="Q134" t="str">
        <f>_xll.BDP("270424CB Muni","MUNI_FED_TAX")</f>
        <v>#N/A Requesting Data...</v>
      </c>
      <c r="R134" t="str">
        <f>_xll.BDP("270424CB Muni","MUNI_MSRB_VOLUME")</f>
        <v>#N/A Requesting Data...</v>
      </c>
      <c r="S134" t="str">
        <f>_xll.BDP("270424CB Muni","BB_COMPOSITE")</f>
        <v>#N/A Requesting Data...</v>
      </c>
      <c r="T134" t="str">
        <f>_xll.BDP("270424CB Muni","LQA_LIQUIDITY_SCORE")</f>
        <v>#N/A Requesting Data...</v>
      </c>
    </row>
    <row r="135" spans="1:20" x14ac:dyDescent="0.25">
      <c r="A135" t="str">
        <f>_xll.BDP("544525UU Muni","ID_CUSIP")</f>
        <v>#N/A Requesting Data...</v>
      </c>
      <c r="B135" t="s">
        <v>34</v>
      </c>
      <c r="C135" t="str">
        <f>_xll.BDP("544525UU Muni","INSURANCE_STATUS")</f>
        <v>#N/A Requesting Data...</v>
      </c>
      <c r="D135" t="str">
        <f>_xll.BDP("544525UU Muni","STATE_CODE")</f>
        <v>#N/A Requesting Data...</v>
      </c>
      <c r="E135" t="str">
        <f>_xll.BDP("544525UU Muni","COUNTY_LOCATION_ISSUER")</f>
        <v>#N/A Requesting Data...</v>
      </c>
      <c r="F135" t="str">
        <f>_xll.BDP("544525UU Muni","DUR_ADJ_MID")</f>
        <v>#N/A Requesting Data...</v>
      </c>
      <c r="G135" t="str">
        <f>_xll.BDP("544525UU Muni","SPREAD_AT_ISSUANCE_TO_WORST")</f>
        <v>#N/A Requesting Data...</v>
      </c>
      <c r="H135" t="str">
        <f>_xll.BDP("544525UU Muni","ISSUE_DT")</f>
        <v>#N/A Requesting Data...</v>
      </c>
      <c r="I135" t="str">
        <f>_xll.BDS("544525UU Muni","MUNI_PURPOSE_SCHED", "aggregate=y")</f>
        <v>#N/A Review</v>
      </c>
      <c r="J135" t="str">
        <f>_xll.BDP("544525UU Muni","CPN")</f>
        <v>#N/A Requesting Data...</v>
      </c>
      <c r="K135" t="str">
        <f>_xll.BDP("544525UU Muni","MATURITY")</f>
        <v>#N/A Requesting Data...</v>
      </c>
      <c r="L135">
        <v>3355000</v>
      </c>
      <c r="M135" t="str">
        <f>_xll.BDP("544525UU Muni","YIELD_ON_ISSUE_DATE")</f>
        <v>#N/A Requesting Data...</v>
      </c>
      <c r="N135" t="str">
        <f>_xll.BDP("544525UU Muni","YTW_SPREAD_TO_MATURITY_AT_ISSU")</f>
        <v>#N/A Requesting Data...</v>
      </c>
      <c r="O135" t="str">
        <f>_xll.BDP("544525UU Muni","BVAL_MID_YTM")</f>
        <v>#N/A Requesting Data...</v>
      </c>
      <c r="P135" t="str">
        <f>_xll.BDP("544525UU Muni","MUNI_TAX_PROV")</f>
        <v>#N/A Requesting Data...</v>
      </c>
      <c r="Q135" t="str">
        <f>_xll.BDP("544525UU Muni","MUNI_FED_TAX")</f>
        <v>#N/A Requesting Data...</v>
      </c>
      <c r="R135" t="str">
        <f>_xll.BDP("544525UU Muni","MUNI_MSRB_VOLUME")</f>
        <v>#N/A Requesting Data...</v>
      </c>
      <c r="S135" t="str">
        <f>_xll.BDP("544525UU Muni","BB_COMPOSITE")</f>
        <v>#N/A Requesting Data...</v>
      </c>
      <c r="T135" t="str">
        <f>_xll.BDP("544525UU Muni","LQA_LIQUIDITY_SCORE")</f>
        <v>#N/A Requesting Data...</v>
      </c>
    </row>
    <row r="136" spans="1:20" x14ac:dyDescent="0.25">
      <c r="A136" t="str">
        <f>_xll.BDP("61370PJT Muni","ID_CUSIP")</f>
        <v>#N/A Requesting Data...</v>
      </c>
      <c r="B136" t="s">
        <v>93</v>
      </c>
      <c r="C136" t="str">
        <f>_xll.BDP("61370PJT Muni","INSURANCE_STATUS")</f>
        <v>#N/A Requesting Data...</v>
      </c>
      <c r="D136" t="str">
        <f>_xll.BDP("61370PJT Muni","STATE_CODE")</f>
        <v>#N/A Requesting Data...</v>
      </c>
      <c r="E136" t="str">
        <f>_xll.BDP("61370PJT Muni","COUNTY_LOCATION_ISSUER")</f>
        <v>#N/A Requesting Data...</v>
      </c>
      <c r="F136" t="str">
        <f>_xll.BDP("61370PJT Muni","DUR_ADJ_MID")</f>
        <v>#N/A Requesting Data...</v>
      </c>
      <c r="G136" t="str">
        <f>_xll.BDP("61370PJT Muni","SPREAD_AT_ISSUANCE_TO_WORST")</f>
        <v>#N/A Requesting Data...</v>
      </c>
      <c r="H136" t="str">
        <f>_xll.BDP("61370PJT Muni","ISSUE_DT")</f>
        <v>#N/A Requesting Data...</v>
      </c>
      <c r="I136" t="str">
        <f>_xll.BDS("61370PJT Muni","MUNI_PURPOSE_SCHED", "aggregate=y")</f>
        <v>#N/A Review</v>
      </c>
      <c r="J136" t="str">
        <f>_xll.BDP("61370PJT Muni","CPN")</f>
        <v>#N/A Requesting Data...</v>
      </c>
      <c r="K136" t="str">
        <f>_xll.BDP("61370PJT Muni","MATURITY")</f>
        <v>#N/A Requesting Data...</v>
      </c>
      <c r="L136">
        <v>250000</v>
      </c>
      <c r="M136" t="str">
        <f>_xll.BDP("61370PJT Muni","YIELD_ON_ISSUE_DATE")</f>
        <v>#N/A Requesting Data...</v>
      </c>
      <c r="N136" t="str">
        <f>_xll.BDP("61370PJT Muni","YTW_SPREAD_TO_MATURITY_AT_ISSU")</f>
        <v>#N/A Requesting Data...</v>
      </c>
      <c r="O136" t="str">
        <f>_xll.BDP("61370PJT Muni","BVAL_MID_YTM")</f>
        <v>#N/A Requesting Data...</v>
      </c>
      <c r="P136" t="str">
        <f>_xll.BDP("61370PJT Muni","MUNI_TAX_PROV")</f>
        <v>#N/A Requesting Data...</v>
      </c>
      <c r="Q136" t="str">
        <f>_xll.BDP("61370PJT Muni","MUNI_FED_TAX")</f>
        <v>#N/A Requesting Data...</v>
      </c>
      <c r="R136" t="str">
        <f>_xll.BDP("61370PJT Muni","MUNI_MSRB_VOLUME")</f>
        <v>#N/A Requesting Data...</v>
      </c>
      <c r="S136" t="str">
        <f>_xll.BDP("61370PJT Muni","BB_COMPOSITE")</f>
        <v>#N/A Requesting Data...</v>
      </c>
      <c r="T136" t="str">
        <f>_xll.BDP("61370PJT Muni","LQA_LIQUIDITY_SCORE")</f>
        <v>#N/A Requesting Data...</v>
      </c>
    </row>
    <row r="137" spans="1:20" x14ac:dyDescent="0.25">
      <c r="A137" t="str">
        <f>_xll.BDP("64986DAK Muni","ID_CUSIP")</f>
        <v>#N/A Requesting Data...</v>
      </c>
      <c r="B137" t="s">
        <v>38</v>
      </c>
      <c r="C137" t="str">
        <f>_xll.BDP("64986DAK Muni","INSURANCE_STATUS")</f>
        <v>#N/A Requesting Data...</v>
      </c>
      <c r="D137" t="str">
        <f>_xll.BDP("64986DAK Muni","STATE_CODE")</f>
        <v>#N/A Requesting Data...</v>
      </c>
      <c r="E137" t="str">
        <f>_xll.BDP("64986DAK Muni","COUNTY_LOCATION_ISSUER")</f>
        <v>#N/A Requesting Data...</v>
      </c>
      <c r="F137" t="str">
        <f>_xll.BDP("64986DAK Muni","DUR_ADJ_MID")</f>
        <v>#N/A Requesting Data...</v>
      </c>
      <c r="G137" t="str">
        <f>_xll.BDP("64986DAK Muni","SPREAD_AT_ISSUANCE_TO_WORST")</f>
        <v>#N/A Requesting Data...</v>
      </c>
      <c r="H137" t="str">
        <f>_xll.BDP("64986DAK Muni","ISSUE_DT")</f>
        <v>#N/A Requesting Data...</v>
      </c>
      <c r="I137" t="str">
        <f>_xll.BDS("64986DAK Muni","MUNI_PURPOSE_SCHED", "aggregate=y")</f>
        <v>#N/A Review</v>
      </c>
      <c r="J137" t="str">
        <f>_xll.BDP("64986DAK Muni","CPN")</f>
        <v>#N/A Requesting Data...</v>
      </c>
      <c r="K137" t="str">
        <f>_xll.BDP("64986DAK Muni","MATURITY")</f>
        <v>#N/A Requesting Data...</v>
      </c>
      <c r="L137">
        <v>8595000</v>
      </c>
      <c r="M137" t="str">
        <f>_xll.BDP("64986DAK Muni","YIELD_ON_ISSUE_DATE")</f>
        <v>#N/A Requesting Data...</v>
      </c>
      <c r="N137" t="str">
        <f>_xll.BDP("64986DAK Muni","YTW_SPREAD_TO_MATURITY_AT_ISSU")</f>
        <v>#N/A Requesting Data...</v>
      </c>
      <c r="O137" t="str">
        <f>_xll.BDP("64986DAK Muni","BVAL_MID_YTM")</f>
        <v>#N/A Requesting Data...</v>
      </c>
      <c r="P137" t="str">
        <f>_xll.BDP("64986DAK Muni","MUNI_TAX_PROV")</f>
        <v>#N/A Requesting Data...</v>
      </c>
      <c r="Q137" t="str">
        <f>_xll.BDP("64986DAK Muni","MUNI_FED_TAX")</f>
        <v>#N/A Requesting Data...</v>
      </c>
      <c r="R137" t="str">
        <f>_xll.BDP("64986DAK Muni","MUNI_MSRB_VOLUME")</f>
        <v>#N/A Requesting Data...</v>
      </c>
      <c r="S137" t="str">
        <f>_xll.BDP("64986DAK Muni","BB_COMPOSITE")</f>
        <v>#N/A Requesting Data...</v>
      </c>
      <c r="T137" t="str">
        <f>_xll.BDP("64986DAK Muni","LQA_LIQUIDITY_SCORE")</f>
        <v>#N/A Requesting Data...</v>
      </c>
    </row>
    <row r="138" spans="1:20" x14ac:dyDescent="0.25">
      <c r="A138" t="str">
        <f>_xll.BDP("572835C6 Muni","ID_CUSIP")</f>
        <v>#N/A Requesting Data...</v>
      </c>
      <c r="B138" t="s">
        <v>94</v>
      </c>
      <c r="C138" t="str">
        <f>_xll.BDP("572835C6 Muni","INSURANCE_STATUS")</f>
        <v>#N/A Requesting Data...</v>
      </c>
      <c r="D138" t="str">
        <f>_xll.BDP("572835C6 Muni","STATE_CODE")</f>
        <v>#N/A Requesting Data...</v>
      </c>
      <c r="E138" t="str">
        <f>_xll.BDP("572835C6 Muni","COUNTY_LOCATION_ISSUER")</f>
        <v>#N/A Requesting Data...</v>
      </c>
      <c r="F138" t="str">
        <f>_xll.BDP("572835C6 Muni","DUR_ADJ_MID")</f>
        <v>#N/A Requesting Data...</v>
      </c>
      <c r="G138" t="str">
        <f>_xll.BDP("572835C6 Muni","SPREAD_AT_ISSUANCE_TO_WORST")</f>
        <v>#N/A Requesting Data...</v>
      </c>
      <c r="H138" t="str">
        <f>_xll.BDP("572835C6 Muni","ISSUE_DT")</f>
        <v>#N/A Requesting Data...</v>
      </c>
      <c r="I138" t="str">
        <f>_xll.BDS("572835C6 Muni","MUNI_PURPOSE_SCHED", "aggregate=y")</f>
        <v>#N/A Review</v>
      </c>
      <c r="J138" t="str">
        <f>_xll.BDP("572835C6 Muni","CPN")</f>
        <v>#N/A Requesting Data...</v>
      </c>
      <c r="K138" t="str">
        <f>_xll.BDP("572835C6 Muni","MATURITY")</f>
        <v>#N/A Requesting Data...</v>
      </c>
      <c r="L138">
        <v>465000</v>
      </c>
      <c r="M138" t="str">
        <f>_xll.BDP("572835C6 Muni","YIELD_ON_ISSUE_DATE")</f>
        <v>#N/A Requesting Data...</v>
      </c>
      <c r="N138" t="str">
        <f>_xll.BDP("572835C6 Muni","YTW_SPREAD_TO_MATURITY_AT_ISSU")</f>
        <v>#N/A Requesting Data...</v>
      </c>
      <c r="O138" t="str">
        <f>_xll.BDP("572835C6 Muni","BVAL_MID_YTM")</f>
        <v>#N/A Requesting Data...</v>
      </c>
      <c r="P138" t="str">
        <f>_xll.BDP("572835C6 Muni","MUNI_TAX_PROV")</f>
        <v>#N/A Requesting Data...</v>
      </c>
      <c r="Q138" t="str">
        <f>_xll.BDP("572835C6 Muni","MUNI_FED_TAX")</f>
        <v>#N/A Requesting Data...</v>
      </c>
      <c r="R138" t="str">
        <f>_xll.BDP("572835C6 Muni","MUNI_MSRB_VOLUME")</f>
        <v>#N/A Requesting Data...</v>
      </c>
      <c r="S138" t="str">
        <f>_xll.BDP("572835C6 Muni","BB_COMPOSITE")</f>
        <v>#N/A Requesting Data...</v>
      </c>
      <c r="T138" t="str">
        <f>_xll.BDP("572835C6 Muni","LQA_LIQUIDITY_SCORE")</f>
        <v>#N/A Requesting Data...</v>
      </c>
    </row>
    <row r="139" spans="1:20" x14ac:dyDescent="0.25">
      <c r="A139" t="str">
        <f>_xll.BDP("882723Y9 Muni","ID_CUSIP")</f>
        <v>#N/A Requesting Data...</v>
      </c>
      <c r="B139" t="s">
        <v>95</v>
      </c>
      <c r="C139" t="str">
        <f>_xll.BDP("882723Y9 Muni","INSURANCE_STATUS")</f>
        <v>#N/A Requesting Data...</v>
      </c>
      <c r="D139" t="str">
        <f>_xll.BDP("882723Y9 Muni","STATE_CODE")</f>
        <v>#N/A Requesting Data...</v>
      </c>
      <c r="E139" t="str">
        <f>_xll.BDP("882723Y9 Muni","COUNTY_LOCATION_ISSUER")</f>
        <v>#N/A Requesting Data...</v>
      </c>
      <c r="F139" t="str">
        <f>_xll.BDP("882723Y9 Muni","DUR_ADJ_MID")</f>
        <v>#N/A Requesting Data...</v>
      </c>
      <c r="G139" t="str">
        <f>_xll.BDP("882723Y9 Muni","SPREAD_AT_ISSUANCE_TO_WORST")</f>
        <v>#N/A Requesting Data...</v>
      </c>
      <c r="H139" t="str">
        <f>_xll.BDP("882723Y9 Muni","ISSUE_DT")</f>
        <v>#N/A Requesting Data...</v>
      </c>
      <c r="I139" t="str">
        <f>_xll.BDS("882723Y9 Muni","MUNI_PURPOSE_SCHED", "aggregate=y")</f>
        <v>#N/A Review</v>
      </c>
      <c r="J139" t="str">
        <f>_xll.BDP("882723Y9 Muni","CPN")</f>
        <v>#N/A Requesting Data...</v>
      </c>
      <c r="K139" t="str">
        <f>_xll.BDP("882723Y9 Muni","MATURITY")</f>
        <v>#N/A Requesting Data...</v>
      </c>
      <c r="L139">
        <v>2130000</v>
      </c>
      <c r="M139" t="str">
        <f>_xll.BDP("882723Y9 Muni","YIELD_ON_ISSUE_DATE")</f>
        <v>#N/A Requesting Data...</v>
      </c>
      <c r="N139" t="str">
        <f>_xll.BDP("882723Y9 Muni","YTW_SPREAD_TO_MATURITY_AT_ISSU")</f>
        <v>#N/A Requesting Data...</v>
      </c>
      <c r="O139" t="str">
        <f>_xll.BDP("882723Y9 Muni","BVAL_MID_YTM")</f>
        <v>#N/A Requesting Data...</v>
      </c>
      <c r="P139" t="str">
        <f>_xll.BDP("882723Y9 Muni","MUNI_TAX_PROV")</f>
        <v>#N/A Requesting Data...</v>
      </c>
      <c r="Q139" t="str">
        <f>_xll.BDP("882723Y9 Muni","MUNI_FED_TAX")</f>
        <v>#N/A Requesting Data...</v>
      </c>
      <c r="R139" t="str">
        <f>_xll.BDP("882723Y9 Muni","MUNI_MSRB_VOLUME")</f>
        <v>#N/A Requesting Data...</v>
      </c>
      <c r="S139" t="str">
        <f>_xll.BDP("882723Y9 Muni","BB_COMPOSITE")</f>
        <v>#N/A Requesting Data...</v>
      </c>
      <c r="T139" t="str">
        <f>_xll.BDP("882723Y9 Muni","LQA_LIQUIDITY_SCORE")</f>
        <v>#N/A Requesting Data...</v>
      </c>
    </row>
    <row r="140" spans="1:20" x14ac:dyDescent="0.25">
      <c r="A140" t="str">
        <f>_xll.BDP("940157K5 Muni","ID_CUSIP")</f>
        <v>#N/A Requesting Data...</v>
      </c>
      <c r="B140" t="s">
        <v>68</v>
      </c>
      <c r="C140" t="str">
        <f>_xll.BDP("940157K5 Muni","INSURANCE_STATUS")</f>
        <v>#N/A Requesting Data...</v>
      </c>
      <c r="D140" t="str">
        <f>_xll.BDP("940157K5 Muni","STATE_CODE")</f>
        <v>#N/A Requesting Data...</v>
      </c>
      <c r="E140" t="str">
        <f>_xll.BDP("940157K5 Muni","COUNTY_LOCATION_ISSUER")</f>
        <v>#N/A Requesting Data...</v>
      </c>
      <c r="F140" t="str">
        <f>_xll.BDP("940157K5 Muni","DUR_ADJ_MID")</f>
        <v>#N/A Requesting Data...</v>
      </c>
      <c r="G140" t="str">
        <f>_xll.BDP("940157K5 Muni","SPREAD_AT_ISSUANCE_TO_WORST")</f>
        <v>#N/A Requesting Data...</v>
      </c>
      <c r="H140" t="str">
        <f>_xll.BDP("940157K5 Muni","ISSUE_DT")</f>
        <v>#N/A Requesting Data...</v>
      </c>
      <c r="I140" t="str">
        <f>_xll.BDS("940157K5 Muni","MUNI_PURPOSE_SCHED", "aggregate=y")</f>
        <v>#N/A Review</v>
      </c>
      <c r="J140" t="str">
        <f>_xll.BDP("940157K5 Muni","CPN")</f>
        <v>#N/A Requesting Data...</v>
      </c>
      <c r="K140" t="str">
        <f>_xll.BDP("940157K5 Muni","MATURITY")</f>
        <v>#N/A Requesting Data...</v>
      </c>
      <c r="L140">
        <v>8525000</v>
      </c>
      <c r="M140" t="str">
        <f>_xll.BDP("940157K5 Muni","YIELD_ON_ISSUE_DATE")</f>
        <v>#N/A Requesting Data...</v>
      </c>
      <c r="N140" t="str">
        <f>_xll.BDP("940157K5 Muni","YTW_SPREAD_TO_MATURITY_AT_ISSU")</f>
        <v>#N/A Requesting Data...</v>
      </c>
      <c r="O140" t="str">
        <f>_xll.BDP("940157K5 Muni","BVAL_MID_YTM")</f>
        <v>#N/A Requesting Data...</v>
      </c>
      <c r="P140" t="str">
        <f>_xll.BDP("940157K5 Muni","MUNI_TAX_PROV")</f>
        <v>#N/A Requesting Data...</v>
      </c>
      <c r="Q140" t="str">
        <f>_xll.BDP("940157K5 Muni","MUNI_FED_TAX")</f>
        <v>#N/A Requesting Data...</v>
      </c>
      <c r="R140" t="str">
        <f>_xll.BDP("940157K5 Muni","MUNI_MSRB_VOLUME")</f>
        <v>#N/A Requesting Data...</v>
      </c>
      <c r="S140" t="str">
        <f>_xll.BDP("940157K5 Muni","BB_COMPOSITE")</f>
        <v>#N/A Requesting Data...</v>
      </c>
      <c r="T140" t="str">
        <f>_xll.BDP("940157K5 Muni","LQA_LIQUIDITY_SCORE")</f>
        <v>#N/A Requesting Data...</v>
      </c>
    </row>
    <row r="141" spans="1:20" x14ac:dyDescent="0.25">
      <c r="A141" t="str">
        <f>_xll.BDP("586226GR Muni","ID_CUSIP")</f>
        <v>#N/A Requesting Data...</v>
      </c>
      <c r="B141" t="s">
        <v>96</v>
      </c>
      <c r="C141" t="str">
        <f>_xll.BDP("586226GR Muni","INSURANCE_STATUS")</f>
        <v>#N/A Requesting Data...</v>
      </c>
      <c r="D141" t="str">
        <f>_xll.BDP("586226GR Muni","STATE_CODE")</f>
        <v>#N/A Requesting Data...</v>
      </c>
      <c r="E141" t="str">
        <f>_xll.BDP("586226GR Muni","COUNTY_LOCATION_ISSUER")</f>
        <v>#N/A Requesting Data...</v>
      </c>
      <c r="F141" t="str">
        <f>_xll.BDP("586226GR Muni","DUR_ADJ_MID")</f>
        <v>#N/A Requesting Data...</v>
      </c>
      <c r="G141" t="str">
        <f>_xll.BDP("586226GR Muni","SPREAD_AT_ISSUANCE_TO_WORST")</f>
        <v>#N/A Requesting Data...</v>
      </c>
      <c r="H141" t="str">
        <f>_xll.BDP("586226GR Muni","ISSUE_DT")</f>
        <v>#N/A Requesting Data...</v>
      </c>
      <c r="I141" t="str">
        <f>_xll.BDS("586226GR Muni","MUNI_PURPOSE_SCHED", "aggregate=y")</f>
        <v>#N/A Review</v>
      </c>
      <c r="J141" t="str">
        <f>_xll.BDP("586226GR Muni","CPN")</f>
        <v>#N/A Requesting Data...</v>
      </c>
      <c r="K141" t="str">
        <f>_xll.BDP("586226GR Muni","MATURITY")</f>
        <v>#N/A Requesting Data...</v>
      </c>
      <c r="L141">
        <v>1435000</v>
      </c>
      <c r="M141" t="str">
        <f>_xll.BDP("586226GR Muni","YIELD_ON_ISSUE_DATE")</f>
        <v>#N/A Requesting Data...</v>
      </c>
      <c r="N141" t="str">
        <f>_xll.BDP("586226GR Muni","YTW_SPREAD_TO_MATURITY_AT_ISSU")</f>
        <v>#N/A Requesting Data...</v>
      </c>
      <c r="O141" t="str">
        <f>_xll.BDP("586226GR Muni","BVAL_MID_YTM")</f>
        <v>#N/A Requesting Data...</v>
      </c>
      <c r="P141" t="str">
        <f>_xll.BDP("586226GR Muni","MUNI_TAX_PROV")</f>
        <v>#N/A Requesting Data...</v>
      </c>
      <c r="Q141" t="str">
        <f>_xll.BDP("586226GR Muni","MUNI_FED_TAX")</f>
        <v>#N/A Requesting Data...</v>
      </c>
      <c r="R141" t="str">
        <f>_xll.BDP("586226GR Muni","MUNI_MSRB_VOLUME")</f>
        <v>#N/A Requesting Data...</v>
      </c>
      <c r="S141" t="str">
        <f>_xll.BDP("586226GR Muni","BB_COMPOSITE")</f>
        <v>#N/A Requesting Data...</v>
      </c>
      <c r="T141" t="str">
        <f>_xll.BDP("586226GR Muni","LQA_LIQUIDITY_SCORE")</f>
        <v>#N/A Requesting Data...</v>
      </c>
    </row>
    <row r="142" spans="1:20" x14ac:dyDescent="0.25">
      <c r="A142" t="str">
        <f>_xll.BDP("373064B3 Muni","ID_CUSIP")</f>
        <v>#N/A Requesting Data...</v>
      </c>
      <c r="B142" t="s">
        <v>97</v>
      </c>
      <c r="C142" t="str">
        <f>_xll.BDP("373064B3 Muni","INSURANCE_STATUS")</f>
        <v>#N/A Requesting Data...</v>
      </c>
      <c r="D142" t="str">
        <f>_xll.BDP("373064B3 Muni","STATE_CODE")</f>
        <v>#N/A Requesting Data...</v>
      </c>
      <c r="E142" t="str">
        <f>_xll.BDP("373064B3 Muni","COUNTY_LOCATION_ISSUER")</f>
        <v>#N/A Requesting Data...</v>
      </c>
      <c r="F142" t="str">
        <f>_xll.BDP("373064B3 Muni","DUR_ADJ_MID")</f>
        <v>#N/A Requesting Data...</v>
      </c>
      <c r="G142" t="str">
        <f>_xll.BDP("373064B3 Muni","SPREAD_AT_ISSUANCE_TO_WORST")</f>
        <v>#N/A Requesting Data...</v>
      </c>
      <c r="H142" t="str">
        <f>_xll.BDP("373064B3 Muni","ISSUE_DT")</f>
        <v>#N/A Requesting Data...</v>
      </c>
      <c r="I142" t="str">
        <f>_xll.BDS("373064B3 Muni","MUNI_PURPOSE_SCHED", "aggregate=y")</f>
        <v>#N/A Review</v>
      </c>
      <c r="J142" t="str">
        <f>_xll.BDP("373064B3 Muni","CPN")</f>
        <v>#N/A Requesting Data...</v>
      </c>
      <c r="K142" t="str">
        <f>_xll.BDP("373064B3 Muni","MATURITY")</f>
        <v>#N/A Requesting Data...</v>
      </c>
      <c r="L142">
        <v>450000</v>
      </c>
      <c r="M142" t="str">
        <f>_xll.BDP("373064B3 Muni","YIELD_ON_ISSUE_DATE")</f>
        <v>#N/A Requesting Data...</v>
      </c>
      <c r="N142" t="str">
        <f>_xll.BDP("373064B3 Muni","YTW_SPREAD_TO_MATURITY_AT_ISSU")</f>
        <v>#N/A Requesting Data...</v>
      </c>
      <c r="O142" t="str">
        <f>_xll.BDP("373064B3 Muni","BVAL_MID_YTM")</f>
        <v>#N/A Requesting Data...</v>
      </c>
      <c r="P142" t="str">
        <f>_xll.BDP("373064B3 Muni","MUNI_TAX_PROV")</f>
        <v>#N/A Requesting Data...</v>
      </c>
      <c r="Q142" t="str">
        <f>_xll.BDP("373064B3 Muni","MUNI_FED_TAX")</f>
        <v>#N/A Requesting Data...</v>
      </c>
      <c r="R142" t="str">
        <f>_xll.BDP("373064B3 Muni","MUNI_MSRB_VOLUME")</f>
        <v>#N/A Requesting Data...</v>
      </c>
      <c r="S142" t="str">
        <f>_xll.BDP("373064B3 Muni","BB_COMPOSITE")</f>
        <v>#N/A Requesting Data...</v>
      </c>
      <c r="T142" t="str">
        <f>_xll.BDP("373064B3 Muni","LQA_LIQUIDITY_SCORE")</f>
        <v>#N/A Requesting Data...</v>
      </c>
    </row>
    <row r="143" spans="1:20" x14ac:dyDescent="0.25">
      <c r="A143" t="str">
        <f>_xll.BDP("521838XZ Muni","ID_CUSIP")</f>
        <v>#N/A Requesting Data...</v>
      </c>
      <c r="B143" t="s">
        <v>98</v>
      </c>
      <c r="C143" t="str">
        <f>_xll.BDP("521838XZ Muni","INSURANCE_STATUS")</f>
        <v>#N/A Requesting Data...</v>
      </c>
      <c r="D143" t="str">
        <f>_xll.BDP("521838XZ Muni","STATE_CODE")</f>
        <v>#N/A Requesting Data...</v>
      </c>
      <c r="E143" t="str">
        <f>_xll.BDP("521838XZ Muni","COUNTY_LOCATION_ISSUER")</f>
        <v>#N/A Requesting Data...</v>
      </c>
      <c r="F143" t="str">
        <f>_xll.BDP("521838XZ Muni","DUR_ADJ_MID")</f>
        <v>#N/A Requesting Data...</v>
      </c>
      <c r="G143" t="str">
        <f>_xll.BDP("521838XZ Muni","SPREAD_AT_ISSUANCE_TO_WORST")</f>
        <v>#N/A Requesting Data...</v>
      </c>
      <c r="H143" t="str">
        <f>_xll.BDP("521838XZ Muni","ISSUE_DT")</f>
        <v>#N/A Requesting Data...</v>
      </c>
      <c r="I143" t="str">
        <f>_xll.BDS("521838XZ Muni","MUNI_PURPOSE_SCHED", "aggregate=y")</f>
        <v>#N/A Review</v>
      </c>
      <c r="J143" t="str">
        <f>_xll.BDP("521838XZ Muni","CPN")</f>
        <v>#N/A Requesting Data...</v>
      </c>
      <c r="K143" t="str">
        <f>_xll.BDP("521838XZ Muni","MATURITY")</f>
        <v>#N/A Requesting Data...</v>
      </c>
      <c r="L143">
        <v>780000</v>
      </c>
      <c r="M143" t="str">
        <f>_xll.BDP("521838XZ Muni","YIELD_ON_ISSUE_DATE")</f>
        <v>#N/A Requesting Data...</v>
      </c>
      <c r="N143" t="str">
        <f>_xll.BDP("521838XZ Muni","YTW_SPREAD_TO_MATURITY_AT_ISSU")</f>
        <v>#N/A Requesting Data...</v>
      </c>
      <c r="O143" t="str">
        <f>_xll.BDP("521838XZ Muni","BVAL_MID_YTM")</f>
        <v>#N/A Requesting Data...</v>
      </c>
      <c r="P143" t="str">
        <f>_xll.BDP("521838XZ Muni","MUNI_TAX_PROV")</f>
        <v>#N/A Requesting Data...</v>
      </c>
      <c r="Q143" t="str">
        <f>_xll.BDP("521838XZ Muni","MUNI_FED_TAX")</f>
        <v>#N/A Requesting Data...</v>
      </c>
      <c r="R143" t="str">
        <f>_xll.BDP("521838XZ Muni","MUNI_MSRB_VOLUME")</f>
        <v>#N/A Requesting Data...</v>
      </c>
      <c r="S143" t="str">
        <f>_xll.BDP("521838XZ Muni","BB_COMPOSITE")</f>
        <v>#N/A Requesting Data...</v>
      </c>
      <c r="T143" t="str">
        <f>_xll.BDP("521838XZ Muni","LQA_LIQUIDITY_SCORE")</f>
        <v>#N/A Requesting Data...</v>
      </c>
    </row>
    <row r="144" spans="1:20" x14ac:dyDescent="0.25">
      <c r="A144" t="str">
        <f>_xll.BDP("67765QEE Muni","ID_CUSIP")</f>
        <v>#N/A Requesting Data...</v>
      </c>
      <c r="B144" t="s">
        <v>32</v>
      </c>
      <c r="C144" t="str">
        <f>_xll.BDP("67765QEE Muni","INSURANCE_STATUS")</f>
        <v>#N/A Requesting Data...</v>
      </c>
      <c r="D144" t="str">
        <f>_xll.BDP("67765QEE Muni","STATE_CODE")</f>
        <v>#N/A Requesting Data...</v>
      </c>
      <c r="E144" t="str">
        <f>_xll.BDP("67765QEE Muni","COUNTY_LOCATION_ISSUER")</f>
        <v>#N/A Requesting Data...</v>
      </c>
      <c r="F144" t="str">
        <f>_xll.BDP("67765QEE Muni","DUR_ADJ_MID")</f>
        <v>#N/A Requesting Data...</v>
      </c>
      <c r="G144" t="str">
        <f>_xll.BDP("67765QEE Muni","SPREAD_AT_ISSUANCE_TO_WORST")</f>
        <v>#N/A Requesting Data...</v>
      </c>
      <c r="H144" t="str">
        <f>_xll.BDP("67765QEE Muni","ISSUE_DT")</f>
        <v>#N/A Requesting Data...</v>
      </c>
      <c r="I144" t="str">
        <f>_xll.BDS("67765QEE Muni","MUNI_PURPOSE_SCHED", "aggregate=y")</f>
        <v>#N/A Review</v>
      </c>
      <c r="J144" t="str">
        <f>_xll.BDP("67765QEE Muni","CPN")</f>
        <v>#N/A Requesting Data...</v>
      </c>
      <c r="K144" t="str">
        <f>_xll.BDP("67765QEE Muni","MATURITY")</f>
        <v>#N/A Requesting Data...</v>
      </c>
      <c r="L144">
        <v>2500000</v>
      </c>
      <c r="M144" t="str">
        <f>_xll.BDP("67765QEE Muni","YIELD_ON_ISSUE_DATE")</f>
        <v>#N/A Requesting Data...</v>
      </c>
      <c r="N144" t="str">
        <f>_xll.BDP("67765QEE Muni","YTW_SPREAD_TO_MATURITY_AT_ISSU")</f>
        <v>#N/A Requesting Data...</v>
      </c>
      <c r="O144" t="str">
        <f>_xll.BDP("67765QEE Muni","BVAL_MID_YTM")</f>
        <v>#N/A Requesting Data...</v>
      </c>
      <c r="P144" t="str">
        <f>_xll.BDP("67765QEE Muni","MUNI_TAX_PROV")</f>
        <v>#N/A Requesting Data...</v>
      </c>
      <c r="Q144" t="str">
        <f>_xll.BDP("67765QEE Muni","MUNI_FED_TAX")</f>
        <v>#N/A Requesting Data...</v>
      </c>
      <c r="R144" t="str">
        <f>_xll.BDP("67765QEE Muni","MUNI_MSRB_VOLUME")</f>
        <v>#N/A Requesting Data...</v>
      </c>
      <c r="S144" t="str">
        <f>_xll.BDP("67765QEE Muni","BB_COMPOSITE")</f>
        <v>#N/A Requesting Data...</v>
      </c>
      <c r="T144" t="str">
        <f>_xll.BDP("67765QEE Muni","LQA_LIQUIDITY_SCORE")</f>
        <v>#N/A Requesting Data...</v>
      </c>
    </row>
    <row r="145" spans="1:20" x14ac:dyDescent="0.25">
      <c r="A145" t="str">
        <f>_xll.BDP("645791W2 Muni","ID_CUSIP")</f>
        <v>#N/A Requesting Data...</v>
      </c>
      <c r="B145" t="s">
        <v>86</v>
      </c>
      <c r="C145" t="str">
        <f>_xll.BDP("645791W2 Muni","INSURANCE_STATUS")</f>
        <v>#N/A Requesting Data...</v>
      </c>
      <c r="D145" t="str">
        <f>_xll.BDP("645791W2 Muni","STATE_CODE")</f>
        <v>#N/A Requesting Data...</v>
      </c>
      <c r="E145" t="str">
        <f>_xll.BDP("645791W2 Muni","COUNTY_LOCATION_ISSUER")</f>
        <v>#N/A Requesting Data...</v>
      </c>
      <c r="F145" t="str">
        <f>_xll.BDP("645791W2 Muni","DUR_ADJ_MID")</f>
        <v>#N/A Requesting Data...</v>
      </c>
      <c r="G145" t="str">
        <f>_xll.BDP("645791W2 Muni","SPREAD_AT_ISSUANCE_TO_WORST")</f>
        <v>#N/A Requesting Data...</v>
      </c>
      <c r="H145" t="str">
        <f>_xll.BDP("645791W2 Muni","ISSUE_DT")</f>
        <v>#N/A Requesting Data...</v>
      </c>
      <c r="I145" t="str">
        <f>_xll.BDS("645791W2 Muni","MUNI_PURPOSE_SCHED", "aggregate=y")</f>
        <v>#N/A Review</v>
      </c>
      <c r="J145" t="str">
        <f>_xll.BDP("645791W2 Muni","CPN")</f>
        <v>#N/A Requesting Data...</v>
      </c>
      <c r="K145" t="str">
        <f>_xll.BDP("645791W2 Muni","MATURITY")</f>
        <v>#N/A Requesting Data...</v>
      </c>
      <c r="L145">
        <v>1215000</v>
      </c>
      <c r="M145" t="str">
        <f>_xll.BDP("645791W2 Muni","YIELD_ON_ISSUE_DATE")</f>
        <v>#N/A Requesting Data...</v>
      </c>
      <c r="N145" t="str">
        <f>_xll.BDP("645791W2 Muni","YTW_SPREAD_TO_MATURITY_AT_ISSU")</f>
        <v>#N/A Requesting Data...</v>
      </c>
      <c r="O145" t="str">
        <f>_xll.BDP("645791W2 Muni","BVAL_MID_YTM")</f>
        <v>#N/A Requesting Data...</v>
      </c>
      <c r="P145" t="str">
        <f>_xll.BDP("645791W2 Muni","MUNI_TAX_PROV")</f>
        <v>#N/A Requesting Data...</v>
      </c>
      <c r="Q145" t="str">
        <f>_xll.BDP("645791W2 Muni","MUNI_FED_TAX")</f>
        <v>#N/A Requesting Data...</v>
      </c>
      <c r="R145" t="str">
        <f>_xll.BDP("645791W2 Muni","MUNI_MSRB_VOLUME")</f>
        <v>#N/A Requesting Data...</v>
      </c>
      <c r="S145" t="str">
        <f>_xll.BDP("645791W2 Muni","BB_COMPOSITE")</f>
        <v>#N/A Requesting Data...</v>
      </c>
      <c r="T145" t="str">
        <f>_xll.BDP("645791W2 Muni","LQA_LIQUIDITY_SCORE")</f>
        <v>#N/A Requesting Data...</v>
      </c>
    </row>
    <row r="146" spans="1:20" x14ac:dyDescent="0.25">
      <c r="A146" t="str">
        <f>_xll.BDP("925224NK Muni","ID_CUSIP")</f>
        <v>#N/A Requesting Data...</v>
      </c>
      <c r="B146" t="s">
        <v>99</v>
      </c>
      <c r="C146" t="str">
        <f>_xll.BDP("925224NK Muni","INSURANCE_STATUS")</f>
        <v>#N/A Requesting Data...</v>
      </c>
      <c r="D146" t="str">
        <f>_xll.BDP("925224NK Muni","STATE_CODE")</f>
        <v>#N/A Requesting Data...</v>
      </c>
      <c r="E146" t="str">
        <f>_xll.BDP("925224NK Muni","COUNTY_LOCATION_ISSUER")</f>
        <v>#N/A Requesting Data...</v>
      </c>
      <c r="F146" t="str">
        <f>_xll.BDP("925224NK Muni","DUR_ADJ_MID")</f>
        <v>#N/A Requesting Data...</v>
      </c>
      <c r="G146" t="str">
        <f>_xll.BDP("925224NK Muni","SPREAD_AT_ISSUANCE_TO_WORST")</f>
        <v>#N/A Requesting Data...</v>
      </c>
      <c r="H146" t="str">
        <f>_xll.BDP("925224NK Muni","ISSUE_DT")</f>
        <v>#N/A Requesting Data...</v>
      </c>
      <c r="I146" t="str">
        <f>_xll.BDS("925224NK Muni","MUNI_PURPOSE_SCHED", "aggregate=y")</f>
        <v>#N/A Review</v>
      </c>
      <c r="J146" t="str">
        <f>_xll.BDP("925224NK Muni","CPN")</f>
        <v>#N/A Requesting Data...</v>
      </c>
      <c r="K146" t="str">
        <f>_xll.BDP("925224NK Muni","MATURITY")</f>
        <v>#N/A Requesting Data...</v>
      </c>
      <c r="L146">
        <v>580000</v>
      </c>
      <c r="M146" t="str">
        <f>_xll.BDP("925224NK Muni","YIELD_ON_ISSUE_DATE")</f>
        <v>#N/A Requesting Data...</v>
      </c>
      <c r="N146" t="str">
        <f>_xll.BDP("925224NK Muni","YTW_SPREAD_TO_MATURITY_AT_ISSU")</f>
        <v>#N/A Requesting Data...</v>
      </c>
      <c r="O146" t="str">
        <f>_xll.BDP("925224NK Muni","BVAL_MID_YTM")</f>
        <v>#N/A Requesting Data...</v>
      </c>
      <c r="P146" t="str">
        <f>_xll.BDP("925224NK Muni","MUNI_TAX_PROV")</f>
        <v>#N/A Requesting Data...</v>
      </c>
      <c r="Q146" t="str">
        <f>_xll.BDP("925224NK Muni","MUNI_FED_TAX")</f>
        <v>#N/A Requesting Data...</v>
      </c>
      <c r="R146" t="str">
        <f>_xll.BDP("925224NK Muni","MUNI_MSRB_VOLUME")</f>
        <v>#N/A Requesting Data...</v>
      </c>
      <c r="S146" t="str">
        <f>_xll.BDP("925224NK Muni","BB_COMPOSITE")</f>
        <v>#N/A Requesting Data...</v>
      </c>
      <c r="T146" t="str">
        <f>_xll.BDP("925224NK Muni","LQA_LIQUIDITY_SCORE")</f>
        <v>#N/A Requesting Data...</v>
      </c>
    </row>
    <row r="147" spans="1:20" x14ac:dyDescent="0.25">
      <c r="A147" t="str">
        <f>_xll.BDP("426170MR Muni","ID_CUSIP")</f>
        <v>#N/A Requesting Data...</v>
      </c>
      <c r="B147" t="s">
        <v>52</v>
      </c>
      <c r="C147" t="str">
        <f>_xll.BDP("426170MR Muni","INSURANCE_STATUS")</f>
        <v>#N/A Requesting Data...</v>
      </c>
      <c r="D147" t="str">
        <f>_xll.BDP("426170MR Muni","STATE_CODE")</f>
        <v>#N/A Requesting Data...</v>
      </c>
      <c r="E147" t="str">
        <f>_xll.BDP("426170MR Muni","COUNTY_LOCATION_ISSUER")</f>
        <v>#N/A Requesting Data...</v>
      </c>
      <c r="F147" t="str">
        <f>_xll.BDP("426170MR Muni","DUR_ADJ_MID")</f>
        <v>#N/A Requesting Data...</v>
      </c>
      <c r="G147" t="str">
        <f>_xll.BDP("426170MR Muni","SPREAD_AT_ISSUANCE_TO_WORST")</f>
        <v>#N/A Requesting Data...</v>
      </c>
      <c r="H147" t="str">
        <f>_xll.BDP("426170MR Muni","ISSUE_DT")</f>
        <v>#N/A Requesting Data...</v>
      </c>
      <c r="I147" t="str">
        <f>_xll.BDS("426170MR Muni","MUNI_PURPOSE_SCHED", "aggregate=y")</f>
        <v>#N/A Review</v>
      </c>
      <c r="J147" t="str">
        <f>_xll.BDP("426170MR Muni","CPN")</f>
        <v>#N/A Requesting Data...</v>
      </c>
      <c r="K147" t="str">
        <f>_xll.BDP("426170MR Muni","MATURITY")</f>
        <v>#N/A Requesting Data...</v>
      </c>
      <c r="L147">
        <v>7500000</v>
      </c>
      <c r="M147" t="str">
        <f>_xll.BDP("426170MR Muni","YIELD_ON_ISSUE_DATE")</f>
        <v>#N/A Requesting Data...</v>
      </c>
      <c r="N147" t="str">
        <f>_xll.BDP("426170MR Muni","YTW_SPREAD_TO_MATURITY_AT_ISSU")</f>
        <v>#N/A Requesting Data...</v>
      </c>
      <c r="O147" t="str">
        <f>_xll.BDP("426170MR Muni","BVAL_MID_YTM")</f>
        <v>#N/A Requesting Data...</v>
      </c>
      <c r="P147" t="str">
        <f>_xll.BDP("426170MR Muni","MUNI_TAX_PROV")</f>
        <v>#N/A Requesting Data...</v>
      </c>
      <c r="Q147" t="str">
        <f>_xll.BDP("426170MR Muni","MUNI_FED_TAX")</f>
        <v>#N/A Requesting Data...</v>
      </c>
      <c r="R147" t="str">
        <f>_xll.BDP("426170MR Muni","MUNI_MSRB_VOLUME")</f>
        <v>#N/A Requesting Data...</v>
      </c>
      <c r="S147" t="str">
        <f>_xll.BDP("426170MR Muni","BB_COMPOSITE")</f>
        <v>#N/A Requesting Data...</v>
      </c>
      <c r="T147" t="str">
        <f>_xll.BDP("426170MR Muni","LQA_LIQUIDITY_SCORE")</f>
        <v>#N/A Requesting Data...</v>
      </c>
    </row>
    <row r="148" spans="1:20" x14ac:dyDescent="0.25">
      <c r="A148" t="str">
        <f>_xll.BDP("604146DA Muni","ID_CUSIP")</f>
        <v>#N/A Requesting Data...</v>
      </c>
      <c r="B148" t="s">
        <v>100</v>
      </c>
      <c r="C148" t="str">
        <f>_xll.BDP("604146DA Muni","INSURANCE_STATUS")</f>
        <v>#N/A Requesting Data...</v>
      </c>
      <c r="D148" t="str">
        <f>_xll.BDP("604146DA Muni","STATE_CODE")</f>
        <v>#N/A Requesting Data...</v>
      </c>
      <c r="E148" t="str">
        <f>_xll.BDP("604146DA Muni","COUNTY_LOCATION_ISSUER")</f>
        <v>#N/A Requesting Data...</v>
      </c>
      <c r="F148" t="str">
        <f>_xll.BDP("604146DA Muni","DUR_ADJ_MID")</f>
        <v>#N/A Requesting Data...</v>
      </c>
      <c r="G148" t="str">
        <f>_xll.BDP("604146DA Muni","SPREAD_AT_ISSUANCE_TO_WORST")</f>
        <v>#N/A Requesting Data...</v>
      </c>
      <c r="H148" t="str">
        <f>_xll.BDP("604146DA Muni","ISSUE_DT")</f>
        <v>#N/A Requesting Data...</v>
      </c>
      <c r="I148" t="str">
        <f>_xll.BDS("604146DA Muni","MUNI_PURPOSE_SCHED", "aggregate=y")</f>
        <v>#N/A Review</v>
      </c>
      <c r="J148" t="str">
        <f>_xll.BDP("604146DA Muni","CPN")</f>
        <v>#N/A Requesting Data...</v>
      </c>
      <c r="K148" t="str">
        <f>_xll.BDP("604146DA Muni","MATURITY")</f>
        <v>#N/A Requesting Data...</v>
      </c>
      <c r="L148">
        <v>500000</v>
      </c>
      <c r="M148" t="str">
        <f>_xll.BDP("604146DA Muni","YIELD_ON_ISSUE_DATE")</f>
        <v>#N/A Requesting Data...</v>
      </c>
      <c r="N148" t="str">
        <f>_xll.BDP("604146DA Muni","YTW_SPREAD_TO_MATURITY_AT_ISSU")</f>
        <v>#N/A Requesting Data...</v>
      </c>
      <c r="O148" t="str">
        <f>_xll.BDP("604146DA Muni","BVAL_MID_YTM")</f>
        <v>#N/A Requesting Data...</v>
      </c>
      <c r="P148" t="str">
        <f>_xll.BDP("604146DA Muni","MUNI_TAX_PROV")</f>
        <v>#N/A Requesting Data...</v>
      </c>
      <c r="Q148" t="str">
        <f>_xll.BDP("604146DA Muni","MUNI_FED_TAX")</f>
        <v>#N/A Requesting Data...</v>
      </c>
      <c r="R148" t="str">
        <f>_xll.BDP("604146DA Muni","MUNI_MSRB_VOLUME")</f>
        <v>#N/A Requesting Data...</v>
      </c>
      <c r="S148" t="str">
        <f>_xll.BDP("604146DA Muni","BB_COMPOSITE")</f>
        <v>#N/A Requesting Data...</v>
      </c>
      <c r="T148" t="str">
        <f>_xll.BDP("604146DA Muni","LQA_LIQUIDITY_SCORE")</f>
        <v>#N/A Requesting Data...</v>
      </c>
    </row>
    <row r="149" spans="1:20" x14ac:dyDescent="0.25">
      <c r="A149" t="str">
        <f>_xll.BDP("57582RLQ Muni","ID_CUSIP")</f>
        <v>#N/A Requesting Data...</v>
      </c>
      <c r="B149" t="s">
        <v>78</v>
      </c>
      <c r="C149" t="str">
        <f>_xll.BDP("57582RLQ Muni","INSURANCE_STATUS")</f>
        <v>#N/A Requesting Data...</v>
      </c>
      <c r="D149" t="str">
        <f>_xll.BDP("57582RLQ Muni","STATE_CODE")</f>
        <v>#N/A Requesting Data...</v>
      </c>
      <c r="E149" t="str">
        <f>_xll.BDP("57582RLQ Muni","COUNTY_LOCATION_ISSUER")</f>
        <v>#N/A Requesting Data...</v>
      </c>
      <c r="F149" t="str">
        <f>_xll.BDP("57582RLQ Muni","DUR_ADJ_MID")</f>
        <v>#N/A Requesting Data...</v>
      </c>
      <c r="G149" t="str">
        <f>_xll.BDP("57582RLQ Muni","SPREAD_AT_ISSUANCE_TO_WORST")</f>
        <v>#N/A Requesting Data...</v>
      </c>
      <c r="H149" t="str">
        <f>_xll.BDP("57582RLQ Muni","ISSUE_DT")</f>
        <v>#N/A Requesting Data...</v>
      </c>
      <c r="I149" t="str">
        <f>_xll.BDS("57582RLQ Muni","MUNI_PURPOSE_SCHED", "aggregate=y")</f>
        <v>#N/A Review</v>
      </c>
      <c r="J149" t="str">
        <f>_xll.BDP("57582RLQ Muni","CPN")</f>
        <v>#N/A Requesting Data...</v>
      </c>
      <c r="K149" t="str">
        <f>_xll.BDP("57582RLQ Muni","MATURITY")</f>
        <v>#N/A Requesting Data...</v>
      </c>
      <c r="L149">
        <v>25000000</v>
      </c>
      <c r="M149" t="str">
        <f>_xll.BDP("57582RLQ Muni","YIELD_ON_ISSUE_DATE")</f>
        <v>#N/A Requesting Data...</v>
      </c>
      <c r="N149" t="str">
        <f>_xll.BDP("57582RLQ Muni","YTW_SPREAD_TO_MATURITY_AT_ISSU")</f>
        <v>#N/A Requesting Data...</v>
      </c>
      <c r="O149" t="str">
        <f>_xll.BDP("57582RLQ Muni","BVAL_MID_YTM")</f>
        <v>#N/A Requesting Data...</v>
      </c>
      <c r="P149" t="str">
        <f>_xll.BDP("57582RLQ Muni","MUNI_TAX_PROV")</f>
        <v>#N/A Requesting Data...</v>
      </c>
      <c r="Q149" t="str">
        <f>_xll.BDP("57582RLQ Muni","MUNI_FED_TAX")</f>
        <v>#N/A Requesting Data...</v>
      </c>
      <c r="R149" t="str">
        <f>_xll.BDP("57582RLQ Muni","MUNI_MSRB_VOLUME")</f>
        <v>#N/A Requesting Data...</v>
      </c>
      <c r="S149" t="str">
        <f>_xll.BDP("57582RLQ Muni","BB_COMPOSITE")</f>
        <v>#N/A Requesting Data...</v>
      </c>
      <c r="T149" t="str">
        <f>_xll.BDP("57582RLQ Muni","LQA_LIQUIDITY_SCORE")</f>
        <v>#N/A Requesting Data...</v>
      </c>
    </row>
    <row r="150" spans="1:20" x14ac:dyDescent="0.25">
      <c r="A150" t="str">
        <f>_xll.BDP("67919PNA Muni","ID_CUSIP")</f>
        <v>#N/A Requesting Data...</v>
      </c>
      <c r="B150" t="s">
        <v>45</v>
      </c>
      <c r="C150" t="str">
        <f>_xll.BDP("67919PNA Muni","INSURANCE_STATUS")</f>
        <v>#N/A Requesting Data...</v>
      </c>
      <c r="D150" t="str">
        <f>_xll.BDP("67919PNA Muni","STATE_CODE")</f>
        <v>#N/A Requesting Data...</v>
      </c>
      <c r="E150" t="str">
        <f>_xll.BDP("67919PNA Muni","COUNTY_LOCATION_ISSUER")</f>
        <v>#N/A Requesting Data...</v>
      </c>
      <c r="F150" t="str">
        <f>_xll.BDP("67919PNA Muni","DUR_ADJ_MID")</f>
        <v>#N/A Requesting Data...</v>
      </c>
      <c r="G150" t="str">
        <f>_xll.BDP("67919PNA Muni","SPREAD_AT_ISSUANCE_TO_WORST")</f>
        <v>#N/A Requesting Data...</v>
      </c>
      <c r="H150" t="str">
        <f>_xll.BDP("67919PNA Muni","ISSUE_DT")</f>
        <v>#N/A Requesting Data...</v>
      </c>
      <c r="I150" t="str">
        <f>_xll.BDS("67919PNA Muni","MUNI_PURPOSE_SCHED", "aggregate=y")</f>
        <v>#N/A Review</v>
      </c>
      <c r="J150" t="str">
        <f>_xll.BDP("67919PNA Muni","CPN")</f>
        <v>#N/A Requesting Data...</v>
      </c>
      <c r="K150" t="str">
        <f>_xll.BDP("67919PNA Muni","MATURITY")</f>
        <v>#N/A Requesting Data...</v>
      </c>
      <c r="L150">
        <v>11350000</v>
      </c>
      <c r="M150" t="str">
        <f>_xll.BDP("67919PNA Muni","YIELD_ON_ISSUE_DATE")</f>
        <v>#N/A Requesting Data...</v>
      </c>
      <c r="N150" t="str">
        <f>_xll.BDP("67919PNA Muni","YTW_SPREAD_TO_MATURITY_AT_ISSU")</f>
        <v>#N/A Requesting Data...</v>
      </c>
      <c r="O150" t="str">
        <f>_xll.BDP("67919PNA Muni","BVAL_MID_YTM")</f>
        <v>#N/A Requesting Data...</v>
      </c>
      <c r="P150" t="str">
        <f>_xll.BDP("67919PNA Muni","MUNI_TAX_PROV")</f>
        <v>#N/A Requesting Data...</v>
      </c>
      <c r="Q150" t="str">
        <f>_xll.BDP("67919PNA Muni","MUNI_FED_TAX")</f>
        <v>#N/A Requesting Data...</v>
      </c>
      <c r="R150" t="str">
        <f>_xll.BDP("67919PNA Muni","MUNI_MSRB_VOLUME")</f>
        <v>#N/A Requesting Data...</v>
      </c>
      <c r="S150" t="str">
        <f>_xll.BDP("67919PNA Muni","BB_COMPOSITE")</f>
        <v>#N/A Requesting Data...</v>
      </c>
      <c r="T150" t="str">
        <f>_xll.BDP("67919PNA Muni","LQA_LIQUIDITY_SCORE")</f>
        <v>#N/A Requesting Data...</v>
      </c>
    </row>
    <row r="151" spans="1:20" x14ac:dyDescent="0.25">
      <c r="A151" t="str">
        <f>_xll.BDP("161069P9 Muni","ID_CUSIP")</f>
        <v>#N/A Requesting Data...</v>
      </c>
      <c r="B151" t="s">
        <v>101</v>
      </c>
      <c r="C151" t="str">
        <f>_xll.BDP("161069P9 Muni","INSURANCE_STATUS")</f>
        <v>#N/A Requesting Data...</v>
      </c>
      <c r="D151" t="str">
        <f>_xll.BDP("161069P9 Muni","STATE_CODE")</f>
        <v>#N/A Requesting Data...</v>
      </c>
      <c r="E151" t="str">
        <f>_xll.BDP("161069P9 Muni","COUNTY_LOCATION_ISSUER")</f>
        <v>#N/A Requesting Data...</v>
      </c>
      <c r="F151" t="str">
        <f>_xll.BDP("161069P9 Muni","DUR_ADJ_MID")</f>
        <v>#N/A Requesting Data...</v>
      </c>
      <c r="G151" t="str">
        <f>_xll.BDP("161069P9 Muni","SPREAD_AT_ISSUANCE_TO_WORST")</f>
        <v>#N/A Requesting Data...</v>
      </c>
      <c r="H151" t="str">
        <f>_xll.BDP("161069P9 Muni","ISSUE_DT")</f>
        <v>#N/A Requesting Data...</v>
      </c>
      <c r="I151" t="str">
        <f>_xll.BDS("161069P9 Muni","MUNI_PURPOSE_SCHED", "aggregate=y")</f>
        <v>#N/A Review</v>
      </c>
      <c r="J151" t="str">
        <f>_xll.BDP("161069P9 Muni","CPN")</f>
        <v>#N/A Requesting Data...</v>
      </c>
      <c r="K151" t="str">
        <f>_xll.BDP("161069P9 Muni","MATURITY")</f>
        <v>#N/A Requesting Data...</v>
      </c>
      <c r="L151">
        <v>1040000</v>
      </c>
      <c r="M151" t="str">
        <f>_xll.BDP("161069P9 Muni","YIELD_ON_ISSUE_DATE")</f>
        <v>#N/A Requesting Data...</v>
      </c>
      <c r="N151" t="str">
        <f>_xll.BDP("161069P9 Muni","YTW_SPREAD_TO_MATURITY_AT_ISSU")</f>
        <v>#N/A Requesting Data...</v>
      </c>
      <c r="O151" t="str">
        <f>_xll.BDP("161069P9 Muni","BVAL_MID_YTM")</f>
        <v>#N/A Requesting Data...</v>
      </c>
      <c r="P151" t="str">
        <f>_xll.BDP("161069P9 Muni","MUNI_TAX_PROV")</f>
        <v>#N/A Requesting Data...</v>
      </c>
      <c r="Q151" t="str">
        <f>_xll.BDP("161069P9 Muni","MUNI_FED_TAX")</f>
        <v>#N/A Requesting Data...</v>
      </c>
      <c r="R151" t="str">
        <f>_xll.BDP("161069P9 Muni","MUNI_MSRB_VOLUME")</f>
        <v>#N/A Requesting Data...</v>
      </c>
      <c r="S151" t="str">
        <f>_xll.BDP("161069P9 Muni","BB_COMPOSITE")</f>
        <v>#N/A Requesting Data...</v>
      </c>
      <c r="T151" t="str">
        <f>_xll.BDP("161069P9 Muni","LQA_LIQUIDITY_SCORE")</f>
        <v>#N/A Requesting Data...</v>
      </c>
    </row>
    <row r="152" spans="1:20" x14ac:dyDescent="0.25">
      <c r="A152" t="str">
        <f>_xll.BDP("899656NV Muni","ID_CUSIP")</f>
        <v>#N/A Requesting Data...</v>
      </c>
      <c r="B152" t="s">
        <v>102</v>
      </c>
      <c r="C152" t="str">
        <f>_xll.BDP("899656NV Muni","INSURANCE_STATUS")</f>
        <v>#N/A Requesting Data...</v>
      </c>
      <c r="D152" t="str">
        <f>_xll.BDP("899656NV Muni","STATE_CODE")</f>
        <v>#N/A Requesting Data...</v>
      </c>
      <c r="E152" t="str">
        <f>_xll.BDP("899656NV Muni","COUNTY_LOCATION_ISSUER")</f>
        <v>#N/A Requesting Data...</v>
      </c>
      <c r="F152" t="str">
        <f>_xll.BDP("899656NV Muni","DUR_ADJ_MID")</f>
        <v>#N/A Requesting Data...</v>
      </c>
      <c r="G152" t="str">
        <f>_xll.BDP("899656NV Muni","SPREAD_AT_ISSUANCE_TO_WORST")</f>
        <v>#N/A Requesting Data...</v>
      </c>
      <c r="H152" t="str">
        <f>_xll.BDP("899656NV Muni","ISSUE_DT")</f>
        <v>#N/A Requesting Data...</v>
      </c>
      <c r="I152" t="str">
        <f>_xll.BDS("899656NV Muni","MUNI_PURPOSE_SCHED", "aggregate=y")</f>
        <v>#N/A Review</v>
      </c>
      <c r="J152" t="str">
        <f>_xll.BDP("899656NV Muni","CPN")</f>
        <v>#N/A Requesting Data...</v>
      </c>
      <c r="K152" t="str">
        <f>_xll.BDP("899656NV Muni","MATURITY")</f>
        <v>#N/A Requesting Data...</v>
      </c>
      <c r="L152">
        <v>1000000</v>
      </c>
      <c r="M152" t="str">
        <f>_xll.BDP("899656NV Muni","YIELD_ON_ISSUE_DATE")</f>
        <v>#N/A Requesting Data...</v>
      </c>
      <c r="N152" t="str">
        <f>_xll.BDP("899656NV Muni","YTW_SPREAD_TO_MATURITY_AT_ISSU")</f>
        <v>#N/A Requesting Data...</v>
      </c>
      <c r="O152" t="str">
        <f>_xll.BDP("899656NV Muni","BVAL_MID_YTM")</f>
        <v>#N/A Requesting Data...</v>
      </c>
      <c r="P152" t="str">
        <f>_xll.BDP("899656NV Muni","MUNI_TAX_PROV")</f>
        <v>#N/A Requesting Data...</v>
      </c>
      <c r="Q152" t="str">
        <f>_xll.BDP("899656NV Muni","MUNI_FED_TAX")</f>
        <v>#N/A Requesting Data...</v>
      </c>
      <c r="R152" t="str">
        <f>_xll.BDP("899656NV Muni","MUNI_MSRB_VOLUME")</f>
        <v>#N/A Requesting Data...</v>
      </c>
      <c r="S152" t="str">
        <f>_xll.BDP("899656NV Muni","BB_COMPOSITE")</f>
        <v>#N/A Requesting Data...</v>
      </c>
      <c r="T152" t="str">
        <f>_xll.BDP("899656NV Muni","LQA_LIQUIDITY_SCORE")</f>
        <v>#N/A Requesting Data...</v>
      </c>
    </row>
    <row r="153" spans="1:20" x14ac:dyDescent="0.25">
      <c r="A153" t="str">
        <f>_xll.BDP("93974DYB Muni","ID_CUSIP")</f>
        <v>#N/A Requesting Data...</v>
      </c>
      <c r="B153" t="s">
        <v>67</v>
      </c>
      <c r="C153" t="str">
        <f>_xll.BDP("93974DYB Muni","INSURANCE_STATUS")</f>
        <v>#N/A Requesting Data...</v>
      </c>
      <c r="D153" t="str">
        <f>_xll.BDP("93974DYB Muni","STATE_CODE")</f>
        <v>#N/A Requesting Data...</v>
      </c>
      <c r="E153" t="str">
        <f>_xll.BDP("93974DYB Muni","COUNTY_LOCATION_ISSUER")</f>
        <v>#N/A Requesting Data...</v>
      </c>
      <c r="F153" t="str">
        <f>_xll.BDP("93974DYB Muni","DUR_ADJ_MID")</f>
        <v>#N/A Requesting Data...</v>
      </c>
      <c r="G153" t="str">
        <f>_xll.BDP("93974DYB Muni","SPREAD_AT_ISSUANCE_TO_WORST")</f>
        <v>#N/A Requesting Data...</v>
      </c>
      <c r="H153" t="str">
        <f>_xll.BDP("93974DYB Muni","ISSUE_DT")</f>
        <v>#N/A Requesting Data...</v>
      </c>
      <c r="I153" t="str">
        <f>_xll.BDS("93974DYB Muni","MUNI_PURPOSE_SCHED", "aggregate=y")</f>
        <v>#N/A Review</v>
      </c>
      <c r="J153" t="str">
        <f>_xll.BDP("93974DYB Muni","CPN")</f>
        <v>#N/A Requesting Data...</v>
      </c>
      <c r="K153" t="str">
        <f>_xll.BDP("93974DYB Muni","MATURITY")</f>
        <v>#N/A Requesting Data...</v>
      </c>
      <c r="L153">
        <v>15460000</v>
      </c>
      <c r="M153" t="str">
        <f>_xll.BDP("93974DYB Muni","YIELD_ON_ISSUE_DATE")</f>
        <v>#N/A Requesting Data...</v>
      </c>
      <c r="N153" t="str">
        <f>_xll.BDP("93974DYB Muni","YTW_SPREAD_TO_MATURITY_AT_ISSU")</f>
        <v>#N/A Requesting Data...</v>
      </c>
      <c r="O153" t="str">
        <f>_xll.BDP("93974DYB Muni","BVAL_MID_YTM")</f>
        <v>#N/A Requesting Data...</v>
      </c>
      <c r="P153" t="str">
        <f>_xll.BDP("93974DYB Muni","MUNI_TAX_PROV")</f>
        <v>#N/A Requesting Data...</v>
      </c>
      <c r="Q153" t="str">
        <f>_xll.BDP("93974DYB Muni","MUNI_FED_TAX")</f>
        <v>#N/A Requesting Data...</v>
      </c>
      <c r="R153" t="str">
        <f>_xll.BDP("93974DYB Muni","MUNI_MSRB_VOLUME")</f>
        <v>#N/A Requesting Data...</v>
      </c>
      <c r="S153" t="str">
        <f>_xll.BDP("93974DYB Muni","BB_COMPOSITE")</f>
        <v>#N/A Requesting Data...</v>
      </c>
      <c r="T153" t="str">
        <f>_xll.BDP("93974DYB Muni","LQA_LIQUIDITY_SCORE")</f>
        <v>#N/A Requesting Data...</v>
      </c>
    </row>
    <row r="154" spans="1:20" x14ac:dyDescent="0.25">
      <c r="A154" t="str">
        <f>_xll.BDP("889396RQ Muni","ID_CUSIP")</f>
        <v>#N/A Requesting Data...</v>
      </c>
      <c r="B154" t="s">
        <v>87</v>
      </c>
      <c r="C154" t="str">
        <f>_xll.BDP("889396RQ Muni","INSURANCE_STATUS")</f>
        <v>#N/A Requesting Data...</v>
      </c>
      <c r="D154" t="str">
        <f>_xll.BDP("889396RQ Muni","STATE_CODE")</f>
        <v>#N/A Requesting Data...</v>
      </c>
      <c r="E154" t="str">
        <f>_xll.BDP("889396RQ Muni","COUNTY_LOCATION_ISSUER")</f>
        <v>#N/A Requesting Data...</v>
      </c>
      <c r="F154" t="str">
        <f>_xll.BDP("889396RQ Muni","DUR_ADJ_MID")</f>
        <v>#N/A Requesting Data...</v>
      </c>
      <c r="G154" t="str">
        <f>_xll.BDP("889396RQ Muni","SPREAD_AT_ISSUANCE_TO_WORST")</f>
        <v>#N/A Requesting Data...</v>
      </c>
      <c r="H154" t="str">
        <f>_xll.BDP("889396RQ Muni","ISSUE_DT")</f>
        <v>#N/A Requesting Data...</v>
      </c>
      <c r="I154" t="str">
        <f>_xll.BDS("889396RQ Muni","MUNI_PURPOSE_SCHED", "aggregate=y")</f>
        <v>#N/A Review</v>
      </c>
      <c r="J154" t="str">
        <f>_xll.BDP("889396RQ Muni","CPN")</f>
        <v>#N/A Requesting Data...</v>
      </c>
      <c r="K154" t="str">
        <f>_xll.BDP("889396RQ Muni","MATURITY")</f>
        <v>#N/A Requesting Data...</v>
      </c>
      <c r="L154">
        <v>2020000</v>
      </c>
      <c r="M154" t="str">
        <f>_xll.BDP("889396RQ Muni","YIELD_ON_ISSUE_DATE")</f>
        <v>#N/A Requesting Data...</v>
      </c>
      <c r="N154" t="str">
        <f>_xll.BDP("889396RQ Muni","YTW_SPREAD_TO_MATURITY_AT_ISSU")</f>
        <v>#N/A Requesting Data...</v>
      </c>
      <c r="O154" t="str">
        <f>_xll.BDP("889396RQ Muni","BVAL_MID_YTM")</f>
        <v>#N/A Requesting Data...</v>
      </c>
      <c r="P154" t="str">
        <f>_xll.BDP("889396RQ Muni","MUNI_TAX_PROV")</f>
        <v>#N/A Requesting Data...</v>
      </c>
      <c r="Q154" t="str">
        <f>_xll.BDP("889396RQ Muni","MUNI_FED_TAX")</f>
        <v>#N/A Requesting Data...</v>
      </c>
      <c r="R154" t="str">
        <f>_xll.BDP("889396RQ Muni","MUNI_MSRB_VOLUME")</f>
        <v>#N/A Requesting Data...</v>
      </c>
      <c r="S154" t="str">
        <f>_xll.BDP("889396RQ Muni","BB_COMPOSITE")</f>
        <v>#N/A Requesting Data...</v>
      </c>
      <c r="T154" t="str">
        <f>_xll.BDP("889396RQ Muni","LQA_LIQUIDITY_SCORE")</f>
        <v>#N/A Requesting Data...</v>
      </c>
    </row>
    <row r="155" spans="1:20" x14ac:dyDescent="0.25">
      <c r="A155" t="str">
        <f>_xll.BDP("558614GG Muni","ID_CUSIP")</f>
        <v>#N/A Requesting Data...</v>
      </c>
      <c r="B155" t="s">
        <v>41</v>
      </c>
      <c r="C155" t="str">
        <f>_xll.BDP("558614GG Muni","INSURANCE_STATUS")</f>
        <v>#N/A Requesting Data...</v>
      </c>
      <c r="D155" t="str">
        <f>_xll.BDP("558614GG Muni","STATE_CODE")</f>
        <v>#N/A Requesting Data...</v>
      </c>
      <c r="E155" t="str">
        <f>_xll.BDP("558614GG Muni","COUNTY_LOCATION_ISSUER")</f>
        <v>#N/A Requesting Data...</v>
      </c>
      <c r="F155" t="str">
        <f>_xll.BDP("558614GG Muni","DUR_ADJ_MID")</f>
        <v>#N/A Requesting Data...</v>
      </c>
      <c r="G155" t="str">
        <f>_xll.BDP("558614GG Muni","SPREAD_AT_ISSUANCE_TO_WORST")</f>
        <v>#N/A Requesting Data...</v>
      </c>
      <c r="H155" t="str">
        <f>_xll.BDP("558614GG Muni","ISSUE_DT")</f>
        <v>#N/A Requesting Data...</v>
      </c>
      <c r="I155" t="str">
        <f>_xll.BDS("558614GG Muni","MUNI_PURPOSE_SCHED", "aggregate=y")</f>
        <v>#N/A Review</v>
      </c>
      <c r="J155" t="str">
        <f>_xll.BDP("558614GG Muni","CPN")</f>
        <v>#N/A Requesting Data...</v>
      </c>
      <c r="K155" t="str">
        <f>_xll.BDP("558614GG Muni","MATURITY")</f>
        <v>#N/A Requesting Data...</v>
      </c>
      <c r="L155">
        <v>2200000</v>
      </c>
      <c r="M155" t="str">
        <f>_xll.BDP("558614GG Muni","YIELD_ON_ISSUE_DATE")</f>
        <v>#N/A Requesting Data...</v>
      </c>
      <c r="N155" t="str">
        <f>_xll.BDP("558614GG Muni","YTW_SPREAD_TO_MATURITY_AT_ISSU")</f>
        <v>#N/A Requesting Data...</v>
      </c>
      <c r="O155" t="str">
        <f>_xll.BDP("558614GG Muni","BVAL_MID_YTM")</f>
        <v>#N/A Requesting Data...</v>
      </c>
      <c r="P155" t="str">
        <f>_xll.BDP("558614GG Muni","MUNI_TAX_PROV")</f>
        <v>#N/A Requesting Data...</v>
      </c>
      <c r="Q155" t="str">
        <f>_xll.BDP("558614GG Muni","MUNI_FED_TAX")</f>
        <v>#N/A Requesting Data...</v>
      </c>
      <c r="R155" t="str">
        <f>_xll.BDP("558614GG Muni","MUNI_MSRB_VOLUME")</f>
        <v>#N/A Requesting Data...</v>
      </c>
      <c r="S155" t="str">
        <f>_xll.BDP("558614GG Muni","BB_COMPOSITE")</f>
        <v>#N/A Requesting Data...</v>
      </c>
      <c r="T155" t="str">
        <f>_xll.BDP("558614GG Muni","LQA_LIQUIDITY_SCORE")</f>
        <v>#N/A Requesting Data...</v>
      </c>
    </row>
    <row r="156" spans="1:20" x14ac:dyDescent="0.25">
      <c r="A156" t="str">
        <f>_xll.BDP("283059FG Muni","ID_CUSIP")</f>
        <v>#N/A Requesting Data...</v>
      </c>
      <c r="B156" t="s">
        <v>103</v>
      </c>
      <c r="C156" t="str">
        <f>_xll.BDP("283059FG Muni","INSURANCE_STATUS")</f>
        <v>#N/A Requesting Data...</v>
      </c>
      <c r="D156" t="str">
        <f>_xll.BDP("283059FG Muni","STATE_CODE")</f>
        <v>#N/A Requesting Data...</v>
      </c>
      <c r="E156" t="str">
        <f>_xll.BDP("283059FG Muni","COUNTY_LOCATION_ISSUER")</f>
        <v>#N/A Requesting Data...</v>
      </c>
      <c r="F156" t="str">
        <f>_xll.BDP("283059FG Muni","DUR_ADJ_MID")</f>
        <v>#N/A Requesting Data...</v>
      </c>
      <c r="G156" t="str">
        <f>_xll.BDP("283059FG Muni","SPREAD_AT_ISSUANCE_TO_WORST")</f>
        <v>#N/A Requesting Data...</v>
      </c>
      <c r="H156" t="str">
        <f>_xll.BDP("283059FG Muni","ISSUE_DT")</f>
        <v>#N/A Requesting Data...</v>
      </c>
      <c r="I156" t="str">
        <f>_xll.BDS("283059FG Muni","MUNI_PURPOSE_SCHED", "aggregate=y")</f>
        <v>#N/A Review</v>
      </c>
      <c r="J156" t="str">
        <f>_xll.BDP("283059FG Muni","CPN")</f>
        <v>#N/A Requesting Data...</v>
      </c>
      <c r="K156" t="str">
        <f>_xll.BDP("283059FG Muni","MATURITY")</f>
        <v>#N/A Requesting Data...</v>
      </c>
      <c r="L156">
        <v>6445000</v>
      </c>
      <c r="M156" t="str">
        <f>_xll.BDP("283059FG Muni","YIELD_ON_ISSUE_DATE")</f>
        <v>#N/A Requesting Data...</v>
      </c>
      <c r="N156" t="str">
        <f>_xll.BDP("283059FG Muni","YTW_SPREAD_TO_MATURITY_AT_ISSU")</f>
        <v>#N/A Requesting Data...</v>
      </c>
      <c r="O156" t="str">
        <f>_xll.BDP("283059FG Muni","BVAL_MID_YTM")</f>
        <v>#N/A Requesting Data...</v>
      </c>
      <c r="P156" t="str">
        <f>_xll.BDP("283059FG Muni","MUNI_TAX_PROV")</f>
        <v>#N/A Requesting Data...</v>
      </c>
      <c r="Q156" t="str">
        <f>_xll.BDP("283059FG Muni","MUNI_FED_TAX")</f>
        <v>#N/A Requesting Data...</v>
      </c>
      <c r="R156" t="str">
        <f>_xll.BDP("283059FG Muni","MUNI_MSRB_VOLUME")</f>
        <v>#N/A Requesting Data...</v>
      </c>
      <c r="S156" t="str">
        <f>_xll.BDP("283059FG Muni","BB_COMPOSITE")</f>
        <v>#N/A Requesting Data...</v>
      </c>
      <c r="T156" t="str">
        <f>_xll.BDP("283059FG Muni","LQA_LIQUIDITY_SCORE")</f>
        <v>#N/A Requesting Data...</v>
      </c>
    </row>
    <row r="157" spans="1:20" x14ac:dyDescent="0.25">
      <c r="A157" t="str">
        <f>_xll.BDP("45506DYF Muni","ID_CUSIP")</f>
        <v>#N/A Requesting Data...</v>
      </c>
      <c r="B157" t="s">
        <v>42</v>
      </c>
      <c r="C157" t="str">
        <f>_xll.BDP("45506DYF Muni","INSURANCE_STATUS")</f>
        <v>#N/A Requesting Data...</v>
      </c>
      <c r="D157" t="str">
        <f>_xll.BDP("45506DYF Muni","STATE_CODE")</f>
        <v>#N/A Requesting Data...</v>
      </c>
      <c r="E157" t="str">
        <f>_xll.BDP("45506DYF Muni","COUNTY_LOCATION_ISSUER")</f>
        <v>#N/A Requesting Data...</v>
      </c>
      <c r="F157" t="str">
        <f>_xll.BDP("45506DYF Muni","DUR_ADJ_MID")</f>
        <v>#N/A Requesting Data...</v>
      </c>
      <c r="G157" t="str">
        <f>_xll.BDP("45506DYF Muni","SPREAD_AT_ISSUANCE_TO_WORST")</f>
        <v>#N/A Requesting Data...</v>
      </c>
      <c r="H157" t="str">
        <f>_xll.BDP("45506DYF Muni","ISSUE_DT")</f>
        <v>#N/A Requesting Data...</v>
      </c>
      <c r="I157" t="str">
        <f>_xll.BDS("45506DYF Muni","MUNI_PURPOSE_SCHED", "aggregate=y")</f>
        <v>#N/A Review</v>
      </c>
      <c r="J157" t="str">
        <f>_xll.BDP("45506DYF Muni","CPN")</f>
        <v>#N/A Requesting Data...</v>
      </c>
      <c r="K157" t="str">
        <f>_xll.BDP("45506DYF Muni","MATURITY")</f>
        <v>#N/A Requesting Data...</v>
      </c>
      <c r="L157">
        <v>3800000</v>
      </c>
      <c r="M157" t="str">
        <f>_xll.BDP("45506DYF Muni","YIELD_ON_ISSUE_DATE")</f>
        <v>#N/A Requesting Data...</v>
      </c>
      <c r="N157" t="str">
        <f>_xll.BDP("45506DYF Muni","YTW_SPREAD_TO_MATURITY_AT_ISSU")</f>
        <v>#N/A Requesting Data...</v>
      </c>
      <c r="O157" t="str">
        <f>_xll.BDP("45506DYF Muni","BVAL_MID_YTM")</f>
        <v>#N/A Requesting Data...</v>
      </c>
      <c r="P157" t="str">
        <f>_xll.BDP("45506DYF Muni","MUNI_TAX_PROV")</f>
        <v>#N/A Requesting Data...</v>
      </c>
      <c r="Q157" t="str">
        <f>_xll.BDP("45506DYF Muni","MUNI_FED_TAX")</f>
        <v>#N/A Requesting Data...</v>
      </c>
      <c r="R157" t="str">
        <f>_xll.BDP("45506DYF Muni","MUNI_MSRB_VOLUME")</f>
        <v>#N/A Requesting Data...</v>
      </c>
      <c r="S157" t="str">
        <f>_xll.BDP("45506DYF Muni","BB_COMPOSITE")</f>
        <v>#N/A Requesting Data...</v>
      </c>
      <c r="T157" t="str">
        <f>_xll.BDP("45506DYF Muni","LQA_LIQUIDITY_SCORE")</f>
        <v>#N/A Requesting Data...</v>
      </c>
    </row>
    <row r="158" spans="1:20" x14ac:dyDescent="0.25">
      <c r="A158" t="str">
        <f>_xll.BDP("61336SBG Muni","ID_CUSIP")</f>
        <v>#N/A Requesting Data...</v>
      </c>
      <c r="B158" t="s">
        <v>104</v>
      </c>
      <c r="C158" t="str">
        <f>_xll.BDP("61336SBG Muni","INSURANCE_STATUS")</f>
        <v>#N/A Requesting Data...</v>
      </c>
      <c r="D158" t="str">
        <f>_xll.BDP("61336SBG Muni","STATE_CODE")</f>
        <v>#N/A Requesting Data...</v>
      </c>
      <c r="E158" t="str">
        <f>_xll.BDP("61336SBG Muni","COUNTY_LOCATION_ISSUER")</f>
        <v>#N/A Requesting Data...</v>
      </c>
      <c r="F158" t="str">
        <f>_xll.BDP("61336SBG Muni","DUR_ADJ_MID")</f>
        <v>#N/A Requesting Data...</v>
      </c>
      <c r="G158" t="str">
        <f>_xll.BDP("61336SBG Muni","SPREAD_AT_ISSUANCE_TO_WORST")</f>
        <v>#N/A Requesting Data...</v>
      </c>
      <c r="H158" t="str">
        <f>_xll.BDP("61336SBG Muni","ISSUE_DT")</f>
        <v>#N/A Requesting Data...</v>
      </c>
      <c r="I158" t="str">
        <f>_xll.BDS("61336SBG Muni","MUNI_PURPOSE_SCHED", "aggregate=y")</f>
        <v>#N/A Review</v>
      </c>
      <c r="J158" t="str">
        <f>_xll.BDP("61336SBG Muni","CPN")</f>
        <v>#N/A Requesting Data...</v>
      </c>
      <c r="K158" t="str">
        <f>_xll.BDP("61336SBG Muni","MATURITY")</f>
        <v>#N/A Requesting Data...</v>
      </c>
      <c r="L158">
        <v>2115000</v>
      </c>
      <c r="M158" t="str">
        <f>_xll.BDP("61336SBG Muni","YIELD_ON_ISSUE_DATE")</f>
        <v>#N/A Requesting Data...</v>
      </c>
      <c r="N158" t="str">
        <f>_xll.BDP("61336SBG Muni","YTW_SPREAD_TO_MATURITY_AT_ISSU")</f>
        <v>#N/A Requesting Data...</v>
      </c>
      <c r="O158" t="str">
        <f>_xll.BDP("61336SBG Muni","BVAL_MID_YTM")</f>
        <v>#N/A Requesting Data...</v>
      </c>
      <c r="P158" t="str">
        <f>_xll.BDP("61336SBG Muni","MUNI_TAX_PROV")</f>
        <v>#N/A Requesting Data...</v>
      </c>
      <c r="Q158" t="str">
        <f>_xll.BDP("61336SBG Muni","MUNI_FED_TAX")</f>
        <v>#N/A Requesting Data...</v>
      </c>
      <c r="R158" t="str">
        <f>_xll.BDP("61336SBG Muni","MUNI_MSRB_VOLUME")</f>
        <v>#N/A Requesting Data...</v>
      </c>
      <c r="S158" t="str">
        <f>_xll.BDP("61336SBG Muni","BB_COMPOSITE")</f>
        <v>#N/A Requesting Data...</v>
      </c>
      <c r="T158" t="str">
        <f>_xll.BDP("61336SBG Muni","LQA_LIQUIDITY_SCORE")</f>
        <v>#N/A Requesting Data...</v>
      </c>
    </row>
    <row r="159" spans="1:20" x14ac:dyDescent="0.25">
      <c r="A159" t="str">
        <f>_xll.BDP("93974DYY Muni","ID_CUSIP")</f>
        <v>#N/A Requesting Data...</v>
      </c>
      <c r="B159" t="s">
        <v>67</v>
      </c>
      <c r="C159" t="str">
        <f>_xll.BDP("93974DYY Muni","INSURANCE_STATUS")</f>
        <v>#N/A Requesting Data...</v>
      </c>
      <c r="D159" t="str">
        <f>_xll.BDP("93974DYY Muni","STATE_CODE")</f>
        <v>#N/A Requesting Data...</v>
      </c>
      <c r="E159" t="str">
        <f>_xll.BDP("93974DYY Muni","COUNTY_LOCATION_ISSUER")</f>
        <v>#N/A Requesting Data...</v>
      </c>
      <c r="F159" t="str">
        <f>_xll.BDP("93974DYY Muni","DUR_ADJ_MID")</f>
        <v>#N/A Requesting Data...</v>
      </c>
      <c r="G159" t="str">
        <f>_xll.BDP("93974DYY Muni","SPREAD_AT_ISSUANCE_TO_WORST")</f>
        <v>#N/A Requesting Data...</v>
      </c>
      <c r="H159" t="str">
        <f>_xll.BDP("93974DYY Muni","ISSUE_DT")</f>
        <v>#N/A Requesting Data...</v>
      </c>
      <c r="I159" t="str">
        <f>_xll.BDS("93974DYY Muni","MUNI_PURPOSE_SCHED", "aggregate=y")</f>
        <v>#N/A Review</v>
      </c>
      <c r="J159" t="str">
        <f>_xll.BDP("93974DYY Muni","CPN")</f>
        <v>#N/A Requesting Data...</v>
      </c>
      <c r="K159" t="str">
        <f>_xll.BDP("93974DYY Muni","MATURITY")</f>
        <v>#N/A Requesting Data...</v>
      </c>
      <c r="L159">
        <v>13600000</v>
      </c>
      <c r="M159" t="str">
        <f>_xll.BDP("93974DYY Muni","YIELD_ON_ISSUE_DATE")</f>
        <v>#N/A Requesting Data...</v>
      </c>
      <c r="N159" t="str">
        <f>_xll.BDP("93974DYY Muni","YTW_SPREAD_TO_MATURITY_AT_ISSU")</f>
        <v>#N/A Requesting Data...</v>
      </c>
      <c r="O159" t="str">
        <f>_xll.BDP("93974DYY Muni","BVAL_MID_YTM")</f>
        <v>#N/A Requesting Data...</v>
      </c>
      <c r="P159" t="str">
        <f>_xll.BDP("93974DYY Muni","MUNI_TAX_PROV")</f>
        <v>#N/A Requesting Data...</v>
      </c>
      <c r="Q159" t="str">
        <f>_xll.BDP("93974DYY Muni","MUNI_FED_TAX")</f>
        <v>#N/A Requesting Data...</v>
      </c>
      <c r="R159" t="str">
        <f>_xll.BDP("93974DYY Muni","MUNI_MSRB_VOLUME")</f>
        <v>#N/A Requesting Data...</v>
      </c>
      <c r="S159" t="str">
        <f>_xll.BDP("93974DYY Muni","BB_COMPOSITE")</f>
        <v>#N/A Requesting Data...</v>
      </c>
      <c r="T159" t="str">
        <f>_xll.BDP("93974DYY Muni","LQA_LIQUIDITY_SCORE")</f>
        <v>#N/A Requesting Data...</v>
      </c>
    </row>
    <row r="160" spans="1:20" x14ac:dyDescent="0.25">
      <c r="A160" t="str">
        <f>_xll.BDP("8372272R Muni","ID_CUSIP")</f>
        <v>#N/A Requesting Data...</v>
      </c>
      <c r="B160" t="s">
        <v>105</v>
      </c>
      <c r="C160" t="str">
        <f>_xll.BDP("8372272R Muni","INSURANCE_STATUS")</f>
        <v>#N/A Requesting Data...</v>
      </c>
      <c r="D160" t="str">
        <f>_xll.BDP("8372272R Muni","STATE_CODE")</f>
        <v>#N/A Requesting Data...</v>
      </c>
      <c r="E160" t="str">
        <f>_xll.BDP("8372272R Muni","COUNTY_LOCATION_ISSUER")</f>
        <v>#N/A Requesting Data...</v>
      </c>
      <c r="F160" t="str">
        <f>_xll.BDP("8372272R Muni","DUR_ADJ_MID")</f>
        <v>#N/A Requesting Data...</v>
      </c>
      <c r="G160" t="str">
        <f>_xll.BDP("8372272R Muni","SPREAD_AT_ISSUANCE_TO_WORST")</f>
        <v>#N/A Requesting Data...</v>
      </c>
      <c r="H160" t="str">
        <f>_xll.BDP("8372272R Muni","ISSUE_DT")</f>
        <v>#N/A Requesting Data...</v>
      </c>
      <c r="I160" t="str">
        <f>_xll.BDS("8372272R Muni","MUNI_PURPOSE_SCHED", "aggregate=y")</f>
        <v>#N/A Review</v>
      </c>
      <c r="J160" t="str">
        <f>_xll.BDP("8372272R Muni","CPN")</f>
        <v>#N/A Requesting Data...</v>
      </c>
      <c r="K160" t="str">
        <f>_xll.BDP("8372272R Muni","MATURITY")</f>
        <v>#N/A Requesting Data...</v>
      </c>
      <c r="L160">
        <v>415000</v>
      </c>
      <c r="M160" t="str">
        <f>_xll.BDP("8372272R Muni","YIELD_ON_ISSUE_DATE")</f>
        <v>#N/A Requesting Data...</v>
      </c>
      <c r="N160" t="str">
        <f>_xll.BDP("8372272R Muni","YTW_SPREAD_TO_MATURITY_AT_ISSU")</f>
        <v>#N/A Requesting Data...</v>
      </c>
      <c r="O160" t="str">
        <f>_xll.BDP("8372272R Muni","BVAL_MID_YTM")</f>
        <v>#N/A Requesting Data...</v>
      </c>
      <c r="P160" t="str">
        <f>_xll.BDP("8372272R Muni","MUNI_TAX_PROV")</f>
        <v>#N/A Requesting Data...</v>
      </c>
      <c r="Q160" t="str">
        <f>_xll.BDP("8372272R Muni","MUNI_FED_TAX")</f>
        <v>#N/A Requesting Data...</v>
      </c>
      <c r="R160" t="str">
        <f>_xll.BDP("8372272R Muni","MUNI_MSRB_VOLUME")</f>
        <v>#N/A Requesting Data...</v>
      </c>
      <c r="S160" t="str">
        <f>_xll.BDP("8372272R Muni","BB_COMPOSITE")</f>
        <v>#N/A Requesting Data...</v>
      </c>
      <c r="T160" t="str">
        <f>_xll.BDP("8372272R Muni","LQA_LIQUIDITY_SCORE")</f>
        <v>#N/A Requesting Data...</v>
      </c>
    </row>
    <row r="161" spans="1:20" x14ac:dyDescent="0.25">
      <c r="A161" t="str">
        <f>_xll.BDP("143813AJ Muni","ID_CUSIP")</f>
        <v>#N/A Requesting Data...</v>
      </c>
      <c r="B161" t="s">
        <v>106</v>
      </c>
      <c r="C161" t="str">
        <f>_xll.BDP("143813AJ Muni","INSURANCE_STATUS")</f>
        <v>#N/A Requesting Data...</v>
      </c>
      <c r="D161" t="str">
        <f>_xll.BDP("143813AJ Muni","STATE_CODE")</f>
        <v>#N/A Requesting Data...</v>
      </c>
      <c r="E161" t="str">
        <f>_xll.BDP("143813AJ Muni","COUNTY_LOCATION_ISSUER")</f>
        <v>#N/A Requesting Data...</v>
      </c>
      <c r="F161" t="str">
        <f>_xll.BDP("143813AJ Muni","DUR_ADJ_MID")</f>
        <v>#N/A Requesting Data...</v>
      </c>
      <c r="G161" t="str">
        <f>_xll.BDP("143813AJ Muni","SPREAD_AT_ISSUANCE_TO_WORST")</f>
        <v>#N/A Requesting Data...</v>
      </c>
      <c r="H161" t="str">
        <f>_xll.BDP("143813AJ Muni","ISSUE_DT")</f>
        <v>#N/A Requesting Data...</v>
      </c>
      <c r="I161" t="str">
        <f>_xll.BDS("143813AJ Muni","MUNI_PURPOSE_SCHED", "aggregate=y")</f>
        <v>#N/A Review</v>
      </c>
      <c r="J161" t="str">
        <f>_xll.BDP("143813AJ Muni","CPN")</f>
        <v>#N/A Requesting Data...</v>
      </c>
      <c r="K161" t="str">
        <f>_xll.BDP("143813AJ Muni","MATURITY")</f>
        <v>#N/A Requesting Data...</v>
      </c>
      <c r="L161">
        <v>1260000</v>
      </c>
      <c r="M161" t="str">
        <f>_xll.BDP("143813AJ Muni","YIELD_ON_ISSUE_DATE")</f>
        <v>#N/A Requesting Data...</v>
      </c>
      <c r="N161" t="str">
        <f>_xll.BDP("143813AJ Muni","YTW_SPREAD_TO_MATURITY_AT_ISSU")</f>
        <v>#N/A Requesting Data...</v>
      </c>
      <c r="O161" t="str">
        <f>_xll.BDP("143813AJ Muni","BVAL_MID_YTM")</f>
        <v>#N/A Requesting Data...</v>
      </c>
      <c r="P161" t="str">
        <f>_xll.BDP("143813AJ Muni","MUNI_TAX_PROV")</f>
        <v>#N/A Requesting Data...</v>
      </c>
      <c r="Q161" t="str">
        <f>_xll.BDP("143813AJ Muni","MUNI_FED_TAX")</f>
        <v>#N/A Requesting Data...</v>
      </c>
      <c r="R161" t="str">
        <f>_xll.BDP("143813AJ Muni","MUNI_MSRB_VOLUME")</f>
        <v>#N/A Requesting Data...</v>
      </c>
      <c r="S161" t="str">
        <f>_xll.BDP("143813AJ Muni","BB_COMPOSITE")</f>
        <v>#N/A Requesting Data...</v>
      </c>
      <c r="T161" t="str">
        <f>_xll.BDP("143813AJ Muni","LQA_LIQUIDITY_SCORE")</f>
        <v>#N/A Requesting Data...</v>
      </c>
    </row>
    <row r="162" spans="1:20" x14ac:dyDescent="0.25">
      <c r="A162" t="str">
        <f>_xll.BDP("426170NL Muni","ID_CUSIP")</f>
        <v>#N/A Requesting Data...</v>
      </c>
      <c r="B162" t="s">
        <v>52</v>
      </c>
      <c r="C162" t="str">
        <f>_xll.BDP("426170NL Muni","INSURANCE_STATUS")</f>
        <v>#N/A Requesting Data...</v>
      </c>
      <c r="D162" t="str">
        <f>_xll.BDP("426170NL Muni","STATE_CODE")</f>
        <v>#N/A Requesting Data...</v>
      </c>
      <c r="E162" t="str">
        <f>_xll.BDP("426170NL Muni","COUNTY_LOCATION_ISSUER")</f>
        <v>#N/A Requesting Data...</v>
      </c>
      <c r="F162" t="str">
        <f>_xll.BDP("426170NL Muni","DUR_ADJ_MID")</f>
        <v>#N/A Requesting Data...</v>
      </c>
      <c r="G162" t="str">
        <f>_xll.BDP("426170NL Muni","SPREAD_AT_ISSUANCE_TO_WORST")</f>
        <v>#N/A Requesting Data...</v>
      </c>
      <c r="H162" t="str">
        <f>_xll.BDP("426170NL Muni","ISSUE_DT")</f>
        <v>#N/A Requesting Data...</v>
      </c>
      <c r="I162" t="str">
        <f>_xll.BDS("426170NL Muni","MUNI_PURPOSE_SCHED", "aggregate=y")</f>
        <v>#N/A Review</v>
      </c>
      <c r="J162" t="str">
        <f>_xll.BDP("426170NL Muni","CPN")</f>
        <v>#N/A Requesting Data...</v>
      </c>
      <c r="K162" t="str">
        <f>_xll.BDP("426170NL Muni","MATURITY")</f>
        <v>#N/A Requesting Data...</v>
      </c>
      <c r="L162">
        <v>5445000</v>
      </c>
      <c r="M162" t="str">
        <f>_xll.BDP("426170NL Muni","YIELD_ON_ISSUE_DATE")</f>
        <v>#N/A Requesting Data...</v>
      </c>
      <c r="N162" t="str">
        <f>_xll.BDP("426170NL Muni","YTW_SPREAD_TO_MATURITY_AT_ISSU")</f>
        <v>#N/A Requesting Data...</v>
      </c>
      <c r="O162" t="str">
        <f>_xll.BDP("426170NL Muni","BVAL_MID_YTM")</f>
        <v>#N/A Requesting Data...</v>
      </c>
      <c r="P162" t="str">
        <f>_xll.BDP("426170NL Muni","MUNI_TAX_PROV")</f>
        <v>#N/A Requesting Data...</v>
      </c>
      <c r="Q162" t="str">
        <f>_xll.BDP("426170NL Muni","MUNI_FED_TAX")</f>
        <v>#N/A Requesting Data...</v>
      </c>
      <c r="R162" t="str">
        <f>_xll.BDP("426170NL Muni","MUNI_MSRB_VOLUME")</f>
        <v>#N/A Requesting Data...</v>
      </c>
      <c r="S162" t="str">
        <f>_xll.BDP("426170NL Muni","BB_COMPOSITE")</f>
        <v>#N/A Requesting Data...</v>
      </c>
      <c r="T162" t="str">
        <f>_xll.BDP("426170NL Muni","LQA_LIQUIDITY_SCORE")</f>
        <v>#N/A Requesting Data...</v>
      </c>
    </row>
    <row r="163" spans="1:20" x14ac:dyDescent="0.25">
      <c r="A163" t="str">
        <f>_xll.BDP("199437MD Muni","ID_CUSIP")</f>
        <v>#N/A Requesting Data...</v>
      </c>
      <c r="B163" t="s">
        <v>107</v>
      </c>
      <c r="C163" t="str">
        <f>_xll.BDP("199437MD Muni","INSURANCE_STATUS")</f>
        <v>#N/A Requesting Data...</v>
      </c>
      <c r="D163" t="str">
        <f>_xll.BDP("199437MD Muni","STATE_CODE")</f>
        <v>#N/A Requesting Data...</v>
      </c>
      <c r="E163" t="str">
        <f>_xll.BDP("199437MD Muni","COUNTY_LOCATION_ISSUER")</f>
        <v>#N/A Requesting Data...</v>
      </c>
      <c r="F163" t="str">
        <f>_xll.BDP("199437MD Muni","DUR_ADJ_MID")</f>
        <v>#N/A Requesting Data...</v>
      </c>
      <c r="G163" t="str">
        <f>_xll.BDP("199437MD Muni","SPREAD_AT_ISSUANCE_TO_WORST")</f>
        <v>#N/A Requesting Data...</v>
      </c>
      <c r="H163" t="str">
        <f>_xll.BDP("199437MD Muni","ISSUE_DT")</f>
        <v>#N/A Requesting Data...</v>
      </c>
      <c r="I163" t="str">
        <f>_xll.BDS("199437MD Muni","MUNI_PURPOSE_SCHED", "aggregate=y")</f>
        <v>#N/A Review</v>
      </c>
      <c r="J163" t="str">
        <f>_xll.BDP("199437MD Muni","CPN")</f>
        <v>#N/A Requesting Data...</v>
      </c>
      <c r="K163" t="str">
        <f>_xll.BDP("199437MD Muni","MATURITY")</f>
        <v>#N/A Requesting Data...</v>
      </c>
      <c r="L163">
        <v>665000</v>
      </c>
      <c r="M163" t="str">
        <f>_xll.BDP("199437MD Muni","YIELD_ON_ISSUE_DATE")</f>
        <v>#N/A Requesting Data...</v>
      </c>
      <c r="N163" t="str">
        <f>_xll.BDP("199437MD Muni","YTW_SPREAD_TO_MATURITY_AT_ISSU")</f>
        <v>#N/A Requesting Data...</v>
      </c>
      <c r="O163" t="str">
        <f>_xll.BDP("199437MD Muni","BVAL_MID_YTM")</f>
        <v>#N/A Requesting Data...</v>
      </c>
      <c r="P163" t="str">
        <f>_xll.BDP("199437MD Muni","MUNI_TAX_PROV")</f>
        <v>#N/A Requesting Data...</v>
      </c>
      <c r="Q163" t="str">
        <f>_xll.BDP("199437MD Muni","MUNI_FED_TAX")</f>
        <v>#N/A Requesting Data...</v>
      </c>
      <c r="R163" t="str">
        <f>_xll.BDP("199437MD Muni","MUNI_MSRB_VOLUME")</f>
        <v>#N/A Requesting Data...</v>
      </c>
      <c r="S163" t="str">
        <f>_xll.BDP("199437MD Muni","BB_COMPOSITE")</f>
        <v>#N/A Requesting Data...</v>
      </c>
      <c r="T163" t="str">
        <f>_xll.BDP("199437MD Muni","LQA_LIQUIDITY_SCORE")</f>
        <v>#N/A Requesting Data...</v>
      </c>
    </row>
    <row r="164" spans="1:20" x14ac:dyDescent="0.25">
      <c r="A164" t="str">
        <f>_xll.BDP("13050PAH Muni","ID_CUSIP")</f>
        <v>#N/A Requesting Data...</v>
      </c>
      <c r="B164" t="s">
        <v>108</v>
      </c>
      <c r="C164" t="str">
        <f>_xll.BDP("13050PAH Muni","INSURANCE_STATUS")</f>
        <v>#N/A Requesting Data...</v>
      </c>
      <c r="D164" t="str">
        <f>_xll.BDP("13050PAH Muni","STATE_CODE")</f>
        <v>#N/A Requesting Data...</v>
      </c>
      <c r="E164" t="str">
        <f>_xll.BDP("13050PAH Muni","COUNTY_LOCATION_ISSUER")</f>
        <v>#N/A Requesting Data...</v>
      </c>
      <c r="F164" t="str">
        <f>_xll.BDP("13050PAH Muni","DUR_ADJ_MID")</f>
        <v>#N/A Requesting Data...</v>
      </c>
      <c r="G164" t="str">
        <f>_xll.BDP("13050PAH Muni","SPREAD_AT_ISSUANCE_TO_WORST")</f>
        <v>#N/A Requesting Data...</v>
      </c>
      <c r="H164" t="str">
        <f>_xll.BDP("13050PAH Muni","ISSUE_DT")</f>
        <v>#N/A Requesting Data...</v>
      </c>
      <c r="I164" t="str">
        <f>_xll.BDS("13050PAH Muni","MUNI_PURPOSE_SCHED", "aggregate=y")</f>
        <v>#N/A Review</v>
      </c>
      <c r="J164" t="str">
        <f>_xll.BDP("13050PAH Muni","CPN")</f>
        <v>#N/A Requesting Data...</v>
      </c>
      <c r="K164" t="str">
        <f>_xll.BDP("13050PAH Muni","MATURITY")</f>
        <v>#N/A Requesting Data...</v>
      </c>
      <c r="L164">
        <v>1050000</v>
      </c>
      <c r="M164" t="str">
        <f>_xll.BDP("13050PAH Muni","YIELD_ON_ISSUE_DATE")</f>
        <v>#N/A Requesting Data...</v>
      </c>
      <c r="N164" t="str">
        <f>_xll.BDP("13050PAH Muni","YTW_SPREAD_TO_MATURITY_AT_ISSU")</f>
        <v>#N/A Requesting Data...</v>
      </c>
      <c r="O164" t="str">
        <f>_xll.BDP("13050PAH Muni","BVAL_MID_YTM")</f>
        <v>#N/A Requesting Data...</v>
      </c>
      <c r="P164" t="str">
        <f>_xll.BDP("13050PAH Muni","MUNI_TAX_PROV")</f>
        <v>#N/A Requesting Data...</v>
      </c>
      <c r="Q164" t="str">
        <f>_xll.BDP("13050PAH Muni","MUNI_FED_TAX")</f>
        <v>#N/A Requesting Data...</v>
      </c>
      <c r="R164" t="str">
        <f>_xll.BDP("13050PAH Muni","MUNI_MSRB_VOLUME")</f>
        <v>#N/A Requesting Data...</v>
      </c>
      <c r="S164" t="str">
        <f>_xll.BDP("13050PAH Muni","BB_COMPOSITE")</f>
        <v>#N/A Requesting Data...</v>
      </c>
      <c r="T164" t="str">
        <f>_xll.BDP("13050PAH Muni","LQA_LIQUIDITY_SCORE")</f>
        <v>#N/A Requesting Data...</v>
      </c>
    </row>
    <row r="165" spans="1:20" x14ac:dyDescent="0.25">
      <c r="A165" t="str">
        <f>_xll.BDP("45506DYB Muni","ID_CUSIP")</f>
        <v>#N/A Requesting Data...</v>
      </c>
      <c r="B165" t="s">
        <v>42</v>
      </c>
      <c r="C165" t="str">
        <f>_xll.BDP("45506DYB Muni","INSURANCE_STATUS")</f>
        <v>#N/A Requesting Data...</v>
      </c>
      <c r="D165" t="str">
        <f>_xll.BDP("45506DYB Muni","STATE_CODE")</f>
        <v>#N/A Requesting Data...</v>
      </c>
      <c r="E165" t="str">
        <f>_xll.BDP("45506DYB Muni","COUNTY_LOCATION_ISSUER")</f>
        <v>#N/A Requesting Data...</v>
      </c>
      <c r="F165" t="str">
        <f>_xll.BDP("45506DYB Muni","DUR_ADJ_MID")</f>
        <v>#N/A Requesting Data...</v>
      </c>
      <c r="G165" t="str">
        <f>_xll.BDP("45506DYB Muni","SPREAD_AT_ISSUANCE_TO_WORST")</f>
        <v>#N/A Requesting Data...</v>
      </c>
      <c r="H165" t="str">
        <f>_xll.BDP("45506DYB Muni","ISSUE_DT")</f>
        <v>#N/A Requesting Data...</v>
      </c>
      <c r="I165" t="str">
        <f>_xll.BDS("45506DYB Muni","MUNI_PURPOSE_SCHED", "aggregate=y")</f>
        <v>#N/A Review</v>
      </c>
      <c r="J165" t="str">
        <f>_xll.BDP("45506DYB Muni","CPN")</f>
        <v>#N/A Requesting Data...</v>
      </c>
      <c r="K165" t="str">
        <f>_xll.BDP("45506DYB Muni","MATURITY")</f>
        <v>#N/A Requesting Data...</v>
      </c>
      <c r="L165">
        <v>3445000</v>
      </c>
      <c r="M165" t="str">
        <f>_xll.BDP("45506DYB Muni","YIELD_ON_ISSUE_DATE")</f>
        <v>#N/A Requesting Data...</v>
      </c>
      <c r="N165" t="str">
        <f>_xll.BDP("45506DYB Muni","YTW_SPREAD_TO_MATURITY_AT_ISSU")</f>
        <v>#N/A Requesting Data...</v>
      </c>
      <c r="O165" t="str">
        <f>_xll.BDP("45506DYB Muni","BVAL_MID_YTM")</f>
        <v>#N/A Requesting Data...</v>
      </c>
      <c r="P165" t="str">
        <f>_xll.BDP("45506DYB Muni","MUNI_TAX_PROV")</f>
        <v>#N/A Requesting Data...</v>
      </c>
      <c r="Q165" t="str">
        <f>_xll.BDP("45506DYB Muni","MUNI_FED_TAX")</f>
        <v>#N/A Requesting Data...</v>
      </c>
      <c r="R165" t="str">
        <f>_xll.BDP("45506DYB Muni","MUNI_MSRB_VOLUME")</f>
        <v>#N/A Requesting Data...</v>
      </c>
      <c r="S165" t="str">
        <f>_xll.BDP("45506DYB Muni","BB_COMPOSITE")</f>
        <v>#N/A Requesting Data...</v>
      </c>
      <c r="T165" t="str">
        <f>_xll.BDP("45506DYB Muni","LQA_LIQUIDITY_SCORE")</f>
        <v>#N/A Requesting Data...</v>
      </c>
    </row>
    <row r="166" spans="1:20" x14ac:dyDescent="0.25">
      <c r="A166" t="str">
        <f>_xll.BDP("982674KJ Muni","ID_CUSIP")</f>
        <v>#N/A Requesting Data...</v>
      </c>
      <c r="B166" t="s">
        <v>109</v>
      </c>
      <c r="C166" t="str">
        <f>_xll.BDP("982674KJ Muni","INSURANCE_STATUS")</f>
        <v>#N/A Requesting Data...</v>
      </c>
      <c r="D166" t="str">
        <f>_xll.BDP("982674KJ Muni","STATE_CODE")</f>
        <v>#N/A Requesting Data...</v>
      </c>
      <c r="E166" t="str">
        <f>_xll.BDP("982674KJ Muni","COUNTY_LOCATION_ISSUER")</f>
        <v>#N/A Requesting Data...</v>
      </c>
      <c r="F166" t="str">
        <f>_xll.BDP("982674KJ Muni","DUR_ADJ_MID")</f>
        <v>#N/A Requesting Data...</v>
      </c>
      <c r="G166" t="str">
        <f>_xll.BDP("982674KJ Muni","SPREAD_AT_ISSUANCE_TO_WORST")</f>
        <v>#N/A Requesting Data...</v>
      </c>
      <c r="H166" t="str">
        <f>_xll.BDP("982674KJ Muni","ISSUE_DT")</f>
        <v>#N/A Requesting Data...</v>
      </c>
      <c r="I166" t="str">
        <f>_xll.BDS("982674KJ Muni","MUNI_PURPOSE_SCHED", "aggregate=y")</f>
        <v>#N/A Review</v>
      </c>
      <c r="J166" t="str">
        <f>_xll.BDP("982674KJ Muni","CPN")</f>
        <v>#N/A Requesting Data...</v>
      </c>
      <c r="K166" t="str">
        <f>_xll.BDP("982674KJ Muni","MATURITY")</f>
        <v>#N/A Requesting Data...</v>
      </c>
      <c r="L166">
        <v>2605000</v>
      </c>
      <c r="M166" t="str">
        <f>_xll.BDP("982674KJ Muni","YIELD_ON_ISSUE_DATE")</f>
        <v>#N/A Requesting Data...</v>
      </c>
      <c r="N166" t="str">
        <f>_xll.BDP("982674KJ Muni","YTW_SPREAD_TO_MATURITY_AT_ISSU")</f>
        <v>#N/A Requesting Data...</v>
      </c>
      <c r="O166" t="str">
        <f>_xll.BDP("982674KJ Muni","BVAL_MID_YTM")</f>
        <v>#N/A Requesting Data...</v>
      </c>
      <c r="P166" t="str">
        <f>_xll.BDP("982674KJ Muni","MUNI_TAX_PROV")</f>
        <v>#N/A Requesting Data...</v>
      </c>
      <c r="Q166" t="str">
        <f>_xll.BDP("982674KJ Muni","MUNI_FED_TAX")</f>
        <v>#N/A Requesting Data...</v>
      </c>
      <c r="R166" t="str">
        <f>_xll.BDP("982674KJ Muni","MUNI_MSRB_VOLUME")</f>
        <v>#N/A Requesting Data...</v>
      </c>
      <c r="S166" t="str">
        <f>_xll.BDP("982674KJ Muni","BB_COMPOSITE")</f>
        <v>#N/A Requesting Data...</v>
      </c>
      <c r="T166" t="str">
        <f>_xll.BDP("982674KJ Muni","LQA_LIQUIDITY_SCORE")</f>
        <v>#N/A Requesting Data...</v>
      </c>
    </row>
    <row r="167" spans="1:20" x14ac:dyDescent="0.25">
      <c r="A167" t="str">
        <f>_xll.BDP("46246K2Y Muni","ID_CUSIP")</f>
        <v>#N/A Requesting Data...</v>
      </c>
      <c r="B167" t="s">
        <v>110</v>
      </c>
      <c r="C167" t="str">
        <f>_xll.BDP("46246K2Y Muni","INSURANCE_STATUS")</f>
        <v>#N/A Requesting Data...</v>
      </c>
      <c r="D167" t="str">
        <f>_xll.BDP("46246K2Y Muni","STATE_CODE")</f>
        <v>#N/A Requesting Data...</v>
      </c>
      <c r="E167" t="str">
        <f>_xll.BDP("46246K2Y Muni","COUNTY_LOCATION_ISSUER")</f>
        <v>#N/A Requesting Data...</v>
      </c>
      <c r="F167" t="str">
        <f>_xll.BDP("46246K2Y Muni","DUR_ADJ_MID")</f>
        <v>#N/A Requesting Data...</v>
      </c>
      <c r="G167" t="str">
        <f>_xll.BDP("46246K2Y Muni","SPREAD_AT_ISSUANCE_TO_WORST")</f>
        <v>#N/A Requesting Data...</v>
      </c>
      <c r="H167" t="str">
        <f>_xll.BDP("46246K2Y Muni","ISSUE_DT")</f>
        <v>#N/A Requesting Data...</v>
      </c>
      <c r="I167" t="str">
        <f>_xll.BDS("46246K2Y Muni","MUNI_PURPOSE_SCHED", "aggregate=y")</f>
        <v>#N/A Review</v>
      </c>
      <c r="J167" t="str">
        <f>_xll.BDP("46246K2Y Muni","CPN")</f>
        <v>#N/A Requesting Data...</v>
      </c>
      <c r="K167" t="str">
        <f>_xll.BDP("46246K2Y Muni","MATURITY")</f>
        <v>#N/A Requesting Data...</v>
      </c>
      <c r="L167">
        <v>14390000</v>
      </c>
      <c r="M167" t="str">
        <f>_xll.BDP("46246K2Y Muni","YIELD_ON_ISSUE_DATE")</f>
        <v>#N/A Requesting Data...</v>
      </c>
      <c r="N167" t="str">
        <f>_xll.BDP("46246K2Y Muni","YTW_SPREAD_TO_MATURITY_AT_ISSU")</f>
        <v>#N/A Requesting Data...</v>
      </c>
      <c r="O167" t="str">
        <f>_xll.BDP("46246K2Y Muni","BVAL_MID_YTM")</f>
        <v>#N/A Requesting Data...</v>
      </c>
      <c r="P167" t="str">
        <f>_xll.BDP("46246K2Y Muni","MUNI_TAX_PROV")</f>
        <v>#N/A Requesting Data...</v>
      </c>
      <c r="Q167" t="str">
        <f>_xll.BDP("46246K2Y Muni","MUNI_FED_TAX")</f>
        <v>#N/A Requesting Data...</v>
      </c>
      <c r="R167" t="str">
        <f>_xll.BDP("46246K2Y Muni","MUNI_MSRB_VOLUME")</f>
        <v>#N/A Requesting Data...</v>
      </c>
      <c r="S167" t="str">
        <f>_xll.BDP("46246K2Y Muni","BB_COMPOSITE")</f>
        <v>#N/A Requesting Data...</v>
      </c>
      <c r="T167" t="str">
        <f>_xll.BDP("46246K2Y Muni","LQA_LIQUIDITY_SCORE")</f>
        <v>#N/A Requesting Data...</v>
      </c>
    </row>
    <row r="168" spans="1:20" x14ac:dyDescent="0.25">
      <c r="A168" t="str">
        <f>_xll.BDP("576051NF Muni","ID_CUSIP")</f>
        <v>#N/A Requesting Data...</v>
      </c>
      <c r="B168" t="s">
        <v>111</v>
      </c>
      <c r="C168" t="str">
        <f>_xll.BDP("576051NF Muni","INSURANCE_STATUS")</f>
        <v>#N/A Requesting Data...</v>
      </c>
      <c r="D168" t="str">
        <f>_xll.BDP("576051NF Muni","STATE_CODE")</f>
        <v>#N/A Requesting Data...</v>
      </c>
      <c r="E168" t="str">
        <f>_xll.BDP("576051NF Muni","COUNTY_LOCATION_ISSUER")</f>
        <v>#N/A Requesting Data...</v>
      </c>
      <c r="F168" t="str">
        <f>_xll.BDP("576051NF Muni","DUR_ADJ_MID")</f>
        <v>#N/A Requesting Data...</v>
      </c>
      <c r="G168" t="str">
        <f>_xll.BDP("576051NF Muni","SPREAD_AT_ISSUANCE_TO_WORST")</f>
        <v>#N/A Requesting Data...</v>
      </c>
      <c r="H168" t="str">
        <f>_xll.BDP("576051NF Muni","ISSUE_DT")</f>
        <v>#N/A Requesting Data...</v>
      </c>
      <c r="I168" t="str">
        <f>_xll.BDS("576051NF Muni","MUNI_PURPOSE_SCHED", "aggregate=y")</f>
        <v>#N/A Review</v>
      </c>
      <c r="J168" t="str">
        <f>_xll.BDP("576051NF Muni","CPN")</f>
        <v>#N/A Requesting Data...</v>
      </c>
      <c r="K168" t="str">
        <f>_xll.BDP("576051NF Muni","MATURITY")</f>
        <v>#N/A Requesting Data...</v>
      </c>
      <c r="L168">
        <v>1410000</v>
      </c>
      <c r="M168" t="str">
        <f>_xll.BDP("576051NF Muni","YIELD_ON_ISSUE_DATE")</f>
        <v>#N/A Requesting Data...</v>
      </c>
      <c r="N168" t="str">
        <f>_xll.BDP("576051NF Muni","YTW_SPREAD_TO_MATURITY_AT_ISSU")</f>
        <v>#N/A Requesting Data...</v>
      </c>
      <c r="O168" t="str">
        <f>_xll.BDP("576051NF Muni","BVAL_MID_YTM")</f>
        <v>#N/A Requesting Data...</v>
      </c>
      <c r="P168" t="str">
        <f>_xll.BDP("576051NF Muni","MUNI_TAX_PROV")</f>
        <v>#N/A Requesting Data...</v>
      </c>
      <c r="Q168" t="str">
        <f>_xll.BDP("576051NF Muni","MUNI_FED_TAX")</f>
        <v>#N/A Requesting Data...</v>
      </c>
      <c r="R168" t="str">
        <f>_xll.BDP("576051NF Muni","MUNI_MSRB_VOLUME")</f>
        <v>#N/A Requesting Data...</v>
      </c>
      <c r="S168" t="str">
        <f>_xll.BDP("576051NF Muni","BB_COMPOSITE")</f>
        <v>#N/A Requesting Data...</v>
      </c>
      <c r="T168" t="str">
        <f>_xll.BDP("576051NF Muni","LQA_LIQUIDITY_SCORE")</f>
        <v>#N/A Requesting Data...</v>
      </c>
    </row>
    <row r="169" spans="1:20" x14ac:dyDescent="0.25">
      <c r="A169" t="str">
        <f>_xll.BDP("70360PED Muni","ID_CUSIP")</f>
        <v>#N/A Requesting Data...</v>
      </c>
      <c r="B169" t="s">
        <v>37</v>
      </c>
      <c r="C169" t="str">
        <f>_xll.BDP("70360PED Muni","INSURANCE_STATUS")</f>
        <v>#N/A Requesting Data...</v>
      </c>
      <c r="D169" t="str">
        <f>_xll.BDP("70360PED Muni","STATE_CODE")</f>
        <v>#N/A Requesting Data...</v>
      </c>
      <c r="E169" t="str">
        <f>_xll.BDP("70360PED Muni","COUNTY_LOCATION_ISSUER")</f>
        <v>#N/A Requesting Data...</v>
      </c>
      <c r="F169" t="str">
        <f>_xll.BDP("70360PED Muni","DUR_ADJ_MID")</f>
        <v>#N/A Requesting Data...</v>
      </c>
      <c r="G169" t="str">
        <f>_xll.BDP("70360PED Muni","SPREAD_AT_ISSUANCE_TO_WORST")</f>
        <v>#N/A Requesting Data...</v>
      </c>
      <c r="H169" t="str">
        <f>_xll.BDP("70360PED Muni","ISSUE_DT")</f>
        <v>#N/A Requesting Data...</v>
      </c>
      <c r="I169" t="str">
        <f>_xll.BDS("70360PED Muni","MUNI_PURPOSE_SCHED", "aggregate=y")</f>
        <v>#N/A Review</v>
      </c>
      <c r="J169" t="str">
        <f>_xll.BDP("70360PED Muni","CPN")</f>
        <v>#N/A Requesting Data...</v>
      </c>
      <c r="K169" t="str">
        <f>_xll.BDP("70360PED Muni","MATURITY")</f>
        <v>#N/A Requesting Data...</v>
      </c>
      <c r="L169">
        <v>3470000</v>
      </c>
      <c r="M169" t="str">
        <f>_xll.BDP("70360PED Muni","YIELD_ON_ISSUE_DATE")</f>
        <v>#N/A Requesting Data...</v>
      </c>
      <c r="N169" t="str">
        <f>_xll.BDP("70360PED Muni","YTW_SPREAD_TO_MATURITY_AT_ISSU")</f>
        <v>#N/A Requesting Data...</v>
      </c>
      <c r="O169" t="str">
        <f>_xll.BDP("70360PED Muni","BVAL_MID_YTM")</f>
        <v>#N/A Requesting Data...</v>
      </c>
      <c r="P169" t="str">
        <f>_xll.BDP("70360PED Muni","MUNI_TAX_PROV")</f>
        <v>#N/A Requesting Data...</v>
      </c>
      <c r="Q169" t="str">
        <f>_xll.BDP("70360PED Muni","MUNI_FED_TAX")</f>
        <v>#N/A Requesting Data...</v>
      </c>
      <c r="R169" t="str">
        <f>_xll.BDP("70360PED Muni","MUNI_MSRB_VOLUME")</f>
        <v>#N/A Requesting Data...</v>
      </c>
      <c r="S169" t="str">
        <f>_xll.BDP("70360PED Muni","BB_COMPOSITE")</f>
        <v>#N/A Requesting Data...</v>
      </c>
      <c r="T169" t="str">
        <f>_xll.BDP("70360PED Muni","LQA_LIQUIDITY_SCORE")</f>
        <v>#N/A Requesting Data...</v>
      </c>
    </row>
    <row r="170" spans="1:20" x14ac:dyDescent="0.25">
      <c r="A170" t="str">
        <f>_xll.BDP("67765QDG Muni","ID_CUSIP")</f>
        <v>#N/A Requesting Data...</v>
      </c>
      <c r="B170" t="s">
        <v>32</v>
      </c>
      <c r="C170" t="str">
        <f>_xll.BDP("67765QDG Muni","INSURANCE_STATUS")</f>
        <v>#N/A Requesting Data...</v>
      </c>
      <c r="D170" t="str">
        <f>_xll.BDP("67765QDG Muni","STATE_CODE")</f>
        <v>#N/A Requesting Data...</v>
      </c>
      <c r="E170" t="str">
        <f>_xll.BDP("67765QDG Muni","COUNTY_LOCATION_ISSUER")</f>
        <v>#N/A Requesting Data...</v>
      </c>
      <c r="F170" t="str">
        <f>_xll.BDP("67765QDG Muni","DUR_ADJ_MID")</f>
        <v>#N/A Requesting Data...</v>
      </c>
      <c r="G170" t="str">
        <f>_xll.BDP("67765QDG Muni","SPREAD_AT_ISSUANCE_TO_WORST")</f>
        <v>#N/A Requesting Data...</v>
      </c>
      <c r="H170" t="str">
        <f>_xll.BDP("67765QDG Muni","ISSUE_DT")</f>
        <v>#N/A Requesting Data...</v>
      </c>
      <c r="I170" t="str">
        <f>_xll.BDS("67765QDG Muni","MUNI_PURPOSE_SCHED", "aggregate=y")</f>
        <v>#N/A Review</v>
      </c>
      <c r="J170" t="str">
        <f>_xll.BDP("67765QDG Muni","CPN")</f>
        <v>#N/A Requesting Data...</v>
      </c>
      <c r="K170" t="str">
        <f>_xll.BDP("67765QDG Muni","MATURITY")</f>
        <v>#N/A Requesting Data...</v>
      </c>
      <c r="L170">
        <v>6500000</v>
      </c>
      <c r="M170" t="str">
        <f>_xll.BDP("67765QDG Muni","YIELD_ON_ISSUE_DATE")</f>
        <v>#N/A Requesting Data...</v>
      </c>
      <c r="N170" t="str">
        <f>_xll.BDP("67765QDG Muni","YTW_SPREAD_TO_MATURITY_AT_ISSU")</f>
        <v>#N/A Requesting Data...</v>
      </c>
      <c r="O170" t="str">
        <f>_xll.BDP("67765QDG Muni","BVAL_MID_YTM")</f>
        <v>#N/A Requesting Data...</v>
      </c>
      <c r="P170" t="str">
        <f>_xll.BDP("67765QDG Muni","MUNI_TAX_PROV")</f>
        <v>#N/A Requesting Data...</v>
      </c>
      <c r="Q170" t="str">
        <f>_xll.BDP("67765QDG Muni","MUNI_FED_TAX")</f>
        <v>#N/A Requesting Data...</v>
      </c>
      <c r="R170" t="str">
        <f>_xll.BDP("67765QDG Muni","MUNI_MSRB_VOLUME")</f>
        <v>#N/A Requesting Data...</v>
      </c>
      <c r="S170" t="str">
        <f>_xll.BDP("67765QDG Muni","BB_COMPOSITE")</f>
        <v>#N/A Requesting Data...</v>
      </c>
      <c r="T170" t="str">
        <f>_xll.BDP("67765QDG Muni","LQA_LIQUIDITY_SCORE")</f>
        <v>#N/A Requesting Data...</v>
      </c>
    </row>
    <row r="171" spans="1:20" x14ac:dyDescent="0.25">
      <c r="A171" t="str">
        <f>_xll.BDP("517039TE Muni","ID_CUSIP")</f>
        <v>#N/A Requesting Data...</v>
      </c>
      <c r="B171" t="s">
        <v>66</v>
      </c>
      <c r="C171" t="str">
        <f>_xll.BDP("517039TE Muni","INSURANCE_STATUS")</f>
        <v>#N/A Requesting Data...</v>
      </c>
      <c r="D171" t="str">
        <f>_xll.BDP("517039TE Muni","STATE_CODE")</f>
        <v>#N/A Requesting Data...</v>
      </c>
      <c r="E171" t="str">
        <f>_xll.BDP("517039TE Muni","COUNTY_LOCATION_ISSUER")</f>
        <v>#N/A Requesting Data...</v>
      </c>
      <c r="F171" t="str">
        <f>_xll.BDP("517039TE Muni","DUR_ADJ_MID")</f>
        <v>#N/A Requesting Data...</v>
      </c>
      <c r="G171" t="str">
        <f>_xll.BDP("517039TE Muni","SPREAD_AT_ISSUANCE_TO_WORST")</f>
        <v>#N/A Requesting Data...</v>
      </c>
      <c r="H171" t="str">
        <f>_xll.BDP("517039TE Muni","ISSUE_DT")</f>
        <v>#N/A Requesting Data...</v>
      </c>
      <c r="I171" t="str">
        <f>_xll.BDS("517039TE Muni","MUNI_PURPOSE_SCHED", "aggregate=y")</f>
        <v>#N/A Review</v>
      </c>
      <c r="J171" t="str">
        <f>_xll.BDP("517039TE Muni","CPN")</f>
        <v>#N/A Requesting Data...</v>
      </c>
      <c r="K171" t="str">
        <f>_xll.BDP("517039TE Muni","MATURITY")</f>
        <v>#N/A Requesting Data...</v>
      </c>
      <c r="L171">
        <v>1525000</v>
      </c>
      <c r="M171" t="str">
        <f>_xll.BDP("517039TE Muni","YIELD_ON_ISSUE_DATE")</f>
        <v>#N/A Requesting Data...</v>
      </c>
      <c r="N171" t="str">
        <f>_xll.BDP("517039TE Muni","YTW_SPREAD_TO_MATURITY_AT_ISSU")</f>
        <v>#N/A Requesting Data...</v>
      </c>
      <c r="O171" t="str">
        <f>_xll.BDP("517039TE Muni","BVAL_MID_YTM")</f>
        <v>#N/A Requesting Data...</v>
      </c>
      <c r="P171" t="str">
        <f>_xll.BDP("517039TE Muni","MUNI_TAX_PROV")</f>
        <v>#N/A Requesting Data...</v>
      </c>
      <c r="Q171" t="str">
        <f>_xll.BDP("517039TE Muni","MUNI_FED_TAX")</f>
        <v>#N/A Requesting Data...</v>
      </c>
      <c r="R171" t="str">
        <f>_xll.BDP("517039TE Muni","MUNI_MSRB_VOLUME")</f>
        <v>#N/A Requesting Data...</v>
      </c>
      <c r="S171" t="str">
        <f>_xll.BDP("517039TE Muni","BB_COMPOSITE")</f>
        <v>#N/A Requesting Data...</v>
      </c>
      <c r="T171" t="str">
        <f>_xll.BDP("517039TE Muni","LQA_LIQUIDITY_SCORE")</f>
        <v>#N/A Requesting Data...</v>
      </c>
    </row>
    <row r="172" spans="1:20" x14ac:dyDescent="0.25">
      <c r="A172" t="str">
        <f>_xll.BDP("929831KH Muni","ID_CUSIP")</f>
        <v>#N/A Requesting Data...</v>
      </c>
      <c r="B172" t="s">
        <v>112</v>
      </c>
      <c r="C172" t="str">
        <f>_xll.BDP("929831KH Muni","INSURANCE_STATUS")</f>
        <v>#N/A Requesting Data...</v>
      </c>
      <c r="D172" t="str">
        <f>_xll.BDP("929831KH Muni","STATE_CODE")</f>
        <v>#N/A Requesting Data...</v>
      </c>
      <c r="E172" t="str">
        <f>_xll.BDP("929831KH Muni","COUNTY_LOCATION_ISSUER")</f>
        <v>#N/A Requesting Data...</v>
      </c>
      <c r="F172" t="str">
        <f>_xll.BDP("929831KH Muni","DUR_ADJ_MID")</f>
        <v>#N/A Requesting Data...</v>
      </c>
      <c r="G172" t="str">
        <f>_xll.BDP("929831KH Muni","SPREAD_AT_ISSUANCE_TO_WORST")</f>
        <v>#N/A Requesting Data...</v>
      </c>
      <c r="H172" t="str">
        <f>_xll.BDP("929831KH Muni","ISSUE_DT")</f>
        <v>#N/A Requesting Data...</v>
      </c>
      <c r="I172" t="str">
        <f>_xll.BDS("929831KH Muni","MUNI_PURPOSE_SCHED", "aggregate=y")</f>
        <v>#N/A Review</v>
      </c>
      <c r="J172" t="str">
        <f>_xll.BDP("929831KH Muni","CPN")</f>
        <v>#N/A Requesting Data...</v>
      </c>
      <c r="K172" t="str">
        <f>_xll.BDP("929831KH Muni","MATURITY")</f>
        <v>#N/A Requesting Data...</v>
      </c>
      <c r="L172">
        <v>3930000</v>
      </c>
      <c r="M172" t="str">
        <f>_xll.BDP("929831KH Muni","YIELD_ON_ISSUE_DATE")</f>
        <v>#N/A Requesting Data...</v>
      </c>
      <c r="N172" t="str">
        <f>_xll.BDP("929831KH Muni","YTW_SPREAD_TO_MATURITY_AT_ISSU")</f>
        <v>#N/A Requesting Data...</v>
      </c>
      <c r="O172" t="str">
        <f>_xll.BDP("929831KH Muni","BVAL_MID_YTM")</f>
        <v>#N/A Requesting Data...</v>
      </c>
      <c r="P172" t="str">
        <f>_xll.BDP("929831KH Muni","MUNI_TAX_PROV")</f>
        <v>#N/A Requesting Data...</v>
      </c>
      <c r="Q172" t="str">
        <f>_xll.BDP("929831KH Muni","MUNI_FED_TAX")</f>
        <v>#N/A Requesting Data...</v>
      </c>
      <c r="R172" t="str">
        <f>_xll.BDP("929831KH Muni","MUNI_MSRB_VOLUME")</f>
        <v>#N/A Requesting Data...</v>
      </c>
      <c r="S172" t="str">
        <f>_xll.BDP("929831KH Muni","BB_COMPOSITE")</f>
        <v>#N/A Requesting Data...</v>
      </c>
      <c r="T172" t="str">
        <f>_xll.BDP("929831KH Muni","LQA_LIQUIDITY_SCORE")</f>
        <v>#N/A Requesting Data...</v>
      </c>
    </row>
    <row r="173" spans="1:20" x14ac:dyDescent="0.25">
      <c r="A173" t="str">
        <f>_xll.BDP("916091GD Muni","ID_CUSIP")</f>
        <v>#N/A Requesting Data...</v>
      </c>
      <c r="B173" t="s">
        <v>90</v>
      </c>
      <c r="C173" t="str">
        <f>_xll.BDP("916091GD Muni","INSURANCE_STATUS")</f>
        <v>#N/A Requesting Data...</v>
      </c>
      <c r="D173" t="str">
        <f>_xll.BDP("916091GD Muni","STATE_CODE")</f>
        <v>#N/A Requesting Data...</v>
      </c>
      <c r="E173" t="str">
        <f>_xll.BDP("916091GD Muni","COUNTY_LOCATION_ISSUER")</f>
        <v>#N/A Requesting Data...</v>
      </c>
      <c r="F173" t="str">
        <f>_xll.BDP("916091GD Muni","DUR_ADJ_MID")</f>
        <v>#N/A Requesting Data...</v>
      </c>
      <c r="G173" t="str">
        <f>_xll.BDP("916091GD Muni","SPREAD_AT_ISSUANCE_TO_WORST")</f>
        <v>#N/A Requesting Data...</v>
      </c>
      <c r="H173" t="str">
        <f>_xll.BDP("916091GD Muni","ISSUE_DT")</f>
        <v>#N/A Requesting Data...</v>
      </c>
      <c r="I173" t="str">
        <f>_xll.BDS("916091GD Muni","MUNI_PURPOSE_SCHED", "aggregate=y")</f>
        <v>#N/A Review</v>
      </c>
      <c r="J173" t="str">
        <f>_xll.BDP("916091GD Muni","CPN")</f>
        <v>#N/A Requesting Data...</v>
      </c>
      <c r="K173" t="str">
        <f>_xll.BDP("916091GD Muni","MATURITY")</f>
        <v>#N/A Requesting Data...</v>
      </c>
      <c r="L173">
        <v>320000</v>
      </c>
      <c r="M173" t="str">
        <f>_xll.BDP("916091GD Muni","YIELD_ON_ISSUE_DATE")</f>
        <v>#N/A Requesting Data...</v>
      </c>
      <c r="N173" t="str">
        <f>_xll.BDP("916091GD Muni","YTW_SPREAD_TO_MATURITY_AT_ISSU")</f>
        <v>#N/A Requesting Data...</v>
      </c>
      <c r="O173" t="str">
        <f>_xll.BDP("916091GD Muni","BVAL_MID_YTM")</f>
        <v>#N/A Requesting Data...</v>
      </c>
      <c r="P173" t="str">
        <f>_xll.BDP("916091GD Muni","MUNI_TAX_PROV")</f>
        <v>#N/A Requesting Data...</v>
      </c>
      <c r="Q173" t="str">
        <f>_xll.BDP("916091GD Muni","MUNI_FED_TAX")</f>
        <v>#N/A Requesting Data...</v>
      </c>
      <c r="R173" t="str">
        <f>_xll.BDP("916091GD Muni","MUNI_MSRB_VOLUME")</f>
        <v>#N/A Requesting Data...</v>
      </c>
      <c r="S173" t="str">
        <f>_xll.BDP("916091GD Muni","BB_COMPOSITE")</f>
        <v>#N/A Requesting Data...</v>
      </c>
      <c r="T173" t="str">
        <f>_xll.BDP("916091GD Muni","LQA_LIQUIDITY_SCORE")</f>
        <v>#N/A Requesting Data...</v>
      </c>
    </row>
    <row r="174" spans="1:20" x14ac:dyDescent="0.25">
      <c r="A174" t="str">
        <f>_xll.BDP("17939MBS Muni","ID_CUSIP")</f>
        <v>#N/A Requesting Data...</v>
      </c>
      <c r="B174" t="s">
        <v>113</v>
      </c>
      <c r="C174" t="str">
        <f>_xll.BDP("17939MBS Muni","INSURANCE_STATUS")</f>
        <v>#N/A Requesting Data...</v>
      </c>
      <c r="D174" t="str">
        <f>_xll.BDP("17939MBS Muni","STATE_CODE")</f>
        <v>#N/A Requesting Data...</v>
      </c>
      <c r="E174" t="str">
        <f>_xll.BDP("17939MBS Muni","COUNTY_LOCATION_ISSUER")</f>
        <v>#N/A Requesting Data...</v>
      </c>
      <c r="F174" t="str">
        <f>_xll.BDP("17939MBS Muni","DUR_ADJ_MID")</f>
        <v>#N/A Requesting Data...</v>
      </c>
      <c r="G174" t="str">
        <f>_xll.BDP("17939MBS Muni","SPREAD_AT_ISSUANCE_TO_WORST")</f>
        <v>#N/A Requesting Data...</v>
      </c>
      <c r="H174" t="str">
        <f>_xll.BDP("17939MBS Muni","ISSUE_DT")</f>
        <v>#N/A Requesting Data...</v>
      </c>
      <c r="I174" t="str">
        <f>_xll.BDS("17939MBS Muni","MUNI_PURPOSE_SCHED", "aggregate=y")</f>
        <v>#N/A Review</v>
      </c>
      <c r="J174" t="str">
        <f>_xll.BDP("17939MBS Muni","CPN")</f>
        <v>#N/A Requesting Data...</v>
      </c>
      <c r="K174" t="str">
        <f>_xll.BDP("17939MBS Muni","MATURITY")</f>
        <v>#N/A Requesting Data...</v>
      </c>
      <c r="L174">
        <v>415000</v>
      </c>
      <c r="M174" t="str">
        <f>_xll.BDP("17939MBS Muni","YIELD_ON_ISSUE_DATE")</f>
        <v>#N/A Requesting Data...</v>
      </c>
      <c r="N174" t="str">
        <f>_xll.BDP("17939MBS Muni","YTW_SPREAD_TO_MATURITY_AT_ISSU")</f>
        <v>#N/A Requesting Data...</v>
      </c>
      <c r="O174" t="str">
        <f>_xll.BDP("17939MBS Muni","BVAL_MID_YTM")</f>
        <v>#N/A Requesting Data...</v>
      </c>
      <c r="P174" t="str">
        <f>_xll.BDP("17939MBS Muni","MUNI_TAX_PROV")</f>
        <v>#N/A Requesting Data...</v>
      </c>
      <c r="Q174" t="str">
        <f>_xll.BDP("17939MBS Muni","MUNI_FED_TAX")</f>
        <v>#N/A Requesting Data...</v>
      </c>
      <c r="R174" t="str">
        <f>_xll.BDP("17939MBS Muni","MUNI_MSRB_VOLUME")</f>
        <v>#N/A Requesting Data...</v>
      </c>
      <c r="S174" t="str">
        <f>_xll.BDP("17939MBS Muni","BB_COMPOSITE")</f>
        <v>#N/A Requesting Data...</v>
      </c>
      <c r="T174" t="str">
        <f>_xll.BDP("17939MBS Muni","LQA_LIQUIDITY_SCORE")</f>
        <v>#N/A Requesting Data...</v>
      </c>
    </row>
    <row r="175" spans="1:20" x14ac:dyDescent="0.25">
      <c r="A175" t="str">
        <f>_xll.BDP("662903QS Muni","ID_CUSIP")</f>
        <v>#N/A Requesting Data...</v>
      </c>
      <c r="B175" t="s">
        <v>114</v>
      </c>
      <c r="C175" t="str">
        <f>_xll.BDP("662903QS Muni","INSURANCE_STATUS")</f>
        <v>#N/A Requesting Data...</v>
      </c>
      <c r="D175" t="str">
        <f>_xll.BDP("662903QS Muni","STATE_CODE")</f>
        <v>#N/A Requesting Data...</v>
      </c>
      <c r="E175" t="str">
        <f>_xll.BDP("662903QS Muni","COUNTY_LOCATION_ISSUER")</f>
        <v>#N/A Requesting Data...</v>
      </c>
      <c r="F175" t="str">
        <f>_xll.BDP("662903QS Muni","DUR_ADJ_MID")</f>
        <v>#N/A Requesting Data...</v>
      </c>
      <c r="G175" t="str">
        <f>_xll.BDP("662903QS Muni","SPREAD_AT_ISSUANCE_TO_WORST")</f>
        <v>#N/A Requesting Data...</v>
      </c>
      <c r="H175" t="str">
        <f>_xll.BDP("662903QS Muni","ISSUE_DT")</f>
        <v>#N/A Requesting Data...</v>
      </c>
      <c r="I175" t="str">
        <f>_xll.BDS("662903QS Muni","MUNI_PURPOSE_SCHED", "aggregate=y")</f>
        <v>#N/A Review</v>
      </c>
      <c r="J175" t="str">
        <f>_xll.BDP("662903QS Muni","CPN")</f>
        <v>#N/A Requesting Data...</v>
      </c>
      <c r="K175" t="str">
        <f>_xll.BDP("662903QS Muni","MATURITY")</f>
        <v>#N/A Requesting Data...</v>
      </c>
      <c r="L175">
        <v>8025000</v>
      </c>
      <c r="M175" t="str">
        <f>_xll.BDP("662903QS Muni","YIELD_ON_ISSUE_DATE")</f>
        <v>#N/A Requesting Data...</v>
      </c>
      <c r="N175" t="str">
        <f>_xll.BDP("662903QS Muni","YTW_SPREAD_TO_MATURITY_AT_ISSU")</f>
        <v>#N/A Requesting Data...</v>
      </c>
      <c r="O175" t="str">
        <f>_xll.BDP("662903QS Muni","BVAL_MID_YTM")</f>
        <v>#N/A Requesting Data...</v>
      </c>
      <c r="P175" t="str">
        <f>_xll.BDP("662903QS Muni","MUNI_TAX_PROV")</f>
        <v>#N/A Requesting Data...</v>
      </c>
      <c r="Q175" t="str">
        <f>_xll.BDP("662903QS Muni","MUNI_FED_TAX")</f>
        <v>#N/A Requesting Data...</v>
      </c>
      <c r="R175" t="str">
        <f>_xll.BDP("662903QS Muni","MUNI_MSRB_VOLUME")</f>
        <v>#N/A Requesting Data...</v>
      </c>
      <c r="S175" t="str">
        <f>_xll.BDP("662903QS Muni","BB_COMPOSITE")</f>
        <v>#N/A Requesting Data...</v>
      </c>
      <c r="T175" t="str">
        <f>_xll.BDP("662903QS Muni","LQA_LIQUIDITY_SCORE")</f>
        <v>#N/A Requesting Data...</v>
      </c>
    </row>
    <row r="176" spans="1:20" x14ac:dyDescent="0.25">
      <c r="A176" t="str">
        <f>_xll.BDP("67765QDK Muni","ID_CUSIP")</f>
        <v>#N/A Requesting Data...</v>
      </c>
      <c r="B176" t="s">
        <v>32</v>
      </c>
      <c r="C176" t="str">
        <f>_xll.BDP("67765QDK Muni","INSURANCE_STATUS")</f>
        <v>#N/A Requesting Data...</v>
      </c>
      <c r="D176" t="str">
        <f>_xll.BDP("67765QDK Muni","STATE_CODE")</f>
        <v>#N/A Requesting Data...</v>
      </c>
      <c r="E176" t="str">
        <f>_xll.BDP("67765QDK Muni","COUNTY_LOCATION_ISSUER")</f>
        <v>#N/A Requesting Data...</v>
      </c>
      <c r="F176" t="str">
        <f>_xll.BDP("67765QDK Muni","DUR_ADJ_MID")</f>
        <v>#N/A Requesting Data...</v>
      </c>
      <c r="G176" t="str">
        <f>_xll.BDP("67765QDK Muni","SPREAD_AT_ISSUANCE_TO_WORST")</f>
        <v>#N/A Requesting Data...</v>
      </c>
      <c r="H176" t="str">
        <f>_xll.BDP("67765QDK Muni","ISSUE_DT")</f>
        <v>#N/A Requesting Data...</v>
      </c>
      <c r="I176" t="str">
        <f>_xll.BDS("67765QDK Muni","MUNI_PURPOSE_SCHED", "aggregate=y")</f>
        <v>#N/A Review</v>
      </c>
      <c r="J176" t="str">
        <f>_xll.BDP("67765QDK Muni","CPN")</f>
        <v>#N/A Requesting Data...</v>
      </c>
      <c r="K176" t="str">
        <f>_xll.BDP("67765QDK Muni","MATURITY")</f>
        <v>#N/A Requesting Data...</v>
      </c>
      <c r="L176">
        <v>6500000</v>
      </c>
      <c r="M176" t="str">
        <f>_xll.BDP("67765QDK Muni","YIELD_ON_ISSUE_DATE")</f>
        <v>#N/A Requesting Data...</v>
      </c>
      <c r="N176" t="str">
        <f>_xll.BDP("67765QDK Muni","YTW_SPREAD_TO_MATURITY_AT_ISSU")</f>
        <v>#N/A Requesting Data...</v>
      </c>
      <c r="O176" t="str">
        <f>_xll.BDP("67765QDK Muni","BVAL_MID_YTM")</f>
        <v>#N/A Requesting Data...</v>
      </c>
      <c r="P176" t="str">
        <f>_xll.BDP("67765QDK Muni","MUNI_TAX_PROV")</f>
        <v>#N/A Requesting Data...</v>
      </c>
      <c r="Q176" t="str">
        <f>_xll.BDP("67765QDK Muni","MUNI_FED_TAX")</f>
        <v>#N/A Requesting Data...</v>
      </c>
      <c r="R176" t="str">
        <f>_xll.BDP("67765QDK Muni","MUNI_MSRB_VOLUME")</f>
        <v>#N/A Requesting Data...</v>
      </c>
      <c r="S176" t="str">
        <f>_xll.BDP("67765QDK Muni","BB_COMPOSITE")</f>
        <v>#N/A Requesting Data...</v>
      </c>
      <c r="T176" t="str">
        <f>_xll.BDP("67765QDK Muni","LQA_LIQUIDITY_SCORE")</f>
        <v>#N/A Requesting Data...</v>
      </c>
    </row>
    <row r="177" spans="1:20" x14ac:dyDescent="0.25">
      <c r="A177" t="str">
        <f>_xll.BDP("793323TV Muni","ID_CUSIP")</f>
        <v>#N/A Requesting Data...</v>
      </c>
      <c r="B177" t="s">
        <v>54</v>
      </c>
      <c r="C177" t="str">
        <f>_xll.BDP("793323TV Muni","INSURANCE_STATUS")</f>
        <v>#N/A Requesting Data...</v>
      </c>
      <c r="D177" t="str">
        <f>_xll.BDP("793323TV Muni","STATE_CODE")</f>
        <v>#N/A Requesting Data...</v>
      </c>
      <c r="E177" t="str">
        <f>_xll.BDP("793323TV Muni","COUNTY_LOCATION_ISSUER")</f>
        <v>#N/A Requesting Data...</v>
      </c>
      <c r="F177" t="str">
        <f>_xll.BDP("793323TV Muni","DUR_ADJ_MID")</f>
        <v>#N/A Requesting Data...</v>
      </c>
      <c r="G177" t="str">
        <f>_xll.BDP("793323TV Muni","SPREAD_AT_ISSUANCE_TO_WORST")</f>
        <v>#N/A Requesting Data...</v>
      </c>
      <c r="H177" t="str">
        <f>_xll.BDP("793323TV Muni","ISSUE_DT")</f>
        <v>#N/A Requesting Data...</v>
      </c>
      <c r="I177" t="str">
        <f>_xll.BDS("793323TV Muni","MUNI_PURPOSE_SCHED", "aggregate=y")</f>
        <v>#N/A Review</v>
      </c>
      <c r="J177" t="str">
        <f>_xll.BDP("793323TV Muni","CPN")</f>
        <v>#N/A Requesting Data...</v>
      </c>
      <c r="K177" t="str">
        <f>_xll.BDP("793323TV Muni","MATURITY")</f>
        <v>#N/A Requesting Data...</v>
      </c>
      <c r="L177">
        <v>945000</v>
      </c>
      <c r="M177" t="str">
        <f>_xll.BDP("793323TV Muni","YIELD_ON_ISSUE_DATE")</f>
        <v>#N/A Requesting Data...</v>
      </c>
      <c r="N177" t="str">
        <f>_xll.BDP("793323TV Muni","YTW_SPREAD_TO_MATURITY_AT_ISSU")</f>
        <v>#N/A Requesting Data...</v>
      </c>
      <c r="O177" t="str">
        <f>_xll.BDP("793323TV Muni","BVAL_MID_YTM")</f>
        <v>#N/A Requesting Data...</v>
      </c>
      <c r="P177" t="str">
        <f>_xll.BDP("793323TV Muni","MUNI_TAX_PROV")</f>
        <v>#N/A Requesting Data...</v>
      </c>
      <c r="Q177" t="str">
        <f>_xll.BDP("793323TV Muni","MUNI_FED_TAX")</f>
        <v>#N/A Requesting Data...</v>
      </c>
      <c r="R177" t="str">
        <f>_xll.BDP("793323TV Muni","MUNI_MSRB_VOLUME")</f>
        <v>#N/A Requesting Data...</v>
      </c>
      <c r="S177" t="str">
        <f>_xll.BDP("793323TV Muni","BB_COMPOSITE")</f>
        <v>#N/A Requesting Data...</v>
      </c>
      <c r="T177" t="str">
        <f>_xll.BDP("793323TV Muni","LQA_LIQUIDITY_SCORE")</f>
        <v>#N/A Requesting Data...</v>
      </c>
    </row>
    <row r="178" spans="1:20" x14ac:dyDescent="0.25">
      <c r="A178" t="str">
        <f>_xll.BDP("13063CT7 Muni","ID_CUSIP")</f>
        <v>#N/A Requesting Data...</v>
      </c>
      <c r="B178" t="s">
        <v>21</v>
      </c>
      <c r="C178" t="str">
        <f>_xll.BDP("13063CT7 Muni","INSURANCE_STATUS")</f>
        <v>#N/A Requesting Data...</v>
      </c>
      <c r="D178" t="str">
        <f>_xll.BDP("13063CT7 Muni","STATE_CODE")</f>
        <v>#N/A Requesting Data...</v>
      </c>
      <c r="E178" t="str">
        <f>_xll.BDP("13063CT7 Muni","COUNTY_LOCATION_ISSUER")</f>
        <v>#N/A Requesting Data...</v>
      </c>
      <c r="F178" t="str">
        <f>_xll.BDP("13063CT7 Muni","DUR_ADJ_MID")</f>
        <v>#N/A Requesting Data...</v>
      </c>
      <c r="G178" t="str">
        <f>_xll.BDP("13063CT7 Muni","SPREAD_AT_ISSUANCE_TO_WORST")</f>
        <v>#N/A Requesting Data...</v>
      </c>
      <c r="H178" t="str">
        <f>_xll.BDP("13063CT7 Muni","ISSUE_DT")</f>
        <v>#N/A Requesting Data...</v>
      </c>
      <c r="I178" t="str">
        <f>_xll.BDS("13063CT7 Muni","MUNI_PURPOSE_SCHED", "aggregate=y")</f>
        <v>#N/A Review</v>
      </c>
      <c r="J178" t="str">
        <f>_xll.BDP("13063CT7 Muni","CPN")</f>
        <v>#N/A Requesting Data...</v>
      </c>
      <c r="K178" t="str">
        <f>_xll.BDP("13063CT7 Muni","MATURITY")</f>
        <v>#N/A Requesting Data...</v>
      </c>
      <c r="L178">
        <v>22500000</v>
      </c>
      <c r="M178" t="str">
        <f>_xll.BDP("13063CT7 Muni","YIELD_ON_ISSUE_DATE")</f>
        <v>#N/A Requesting Data...</v>
      </c>
      <c r="N178" t="str">
        <f>_xll.BDP("13063CT7 Muni","YTW_SPREAD_TO_MATURITY_AT_ISSU")</f>
        <v>#N/A Requesting Data...</v>
      </c>
      <c r="O178" t="str">
        <f>_xll.BDP("13063CT7 Muni","BVAL_MID_YTM")</f>
        <v>#N/A Requesting Data...</v>
      </c>
      <c r="P178" t="str">
        <f>_xll.BDP("13063CT7 Muni","MUNI_TAX_PROV")</f>
        <v>#N/A Requesting Data...</v>
      </c>
      <c r="Q178" t="str">
        <f>_xll.BDP("13063CT7 Muni","MUNI_FED_TAX")</f>
        <v>#N/A Requesting Data...</v>
      </c>
      <c r="R178" t="str">
        <f>_xll.BDP("13063CT7 Muni","MUNI_MSRB_VOLUME")</f>
        <v>#N/A Requesting Data...</v>
      </c>
      <c r="S178" t="str">
        <f>_xll.BDP("13063CT7 Muni","BB_COMPOSITE")</f>
        <v>#N/A Requesting Data...</v>
      </c>
      <c r="T178" t="str">
        <f>_xll.BDP("13063CT7 Muni","LQA_LIQUIDITY_SCORE")</f>
        <v>#N/A Requesting Data...</v>
      </c>
    </row>
    <row r="179" spans="1:20" x14ac:dyDescent="0.25">
      <c r="A179" t="str">
        <f>_xll.BDP("246045MR Muni","ID_CUSIP")</f>
        <v>#N/A Requesting Data...</v>
      </c>
      <c r="B179" t="s">
        <v>89</v>
      </c>
      <c r="C179" t="str">
        <f>_xll.BDP("246045MR Muni","INSURANCE_STATUS")</f>
        <v>#N/A Requesting Data...</v>
      </c>
      <c r="D179" t="str">
        <f>_xll.BDP("246045MR Muni","STATE_CODE")</f>
        <v>#N/A Requesting Data...</v>
      </c>
      <c r="E179" t="str">
        <f>_xll.BDP("246045MR Muni","COUNTY_LOCATION_ISSUER")</f>
        <v>#N/A Requesting Data...</v>
      </c>
      <c r="F179" t="str">
        <f>_xll.BDP("246045MR Muni","DUR_ADJ_MID")</f>
        <v>#N/A Requesting Data...</v>
      </c>
      <c r="G179" t="str">
        <f>_xll.BDP("246045MR Muni","SPREAD_AT_ISSUANCE_TO_WORST")</f>
        <v>#N/A Requesting Data...</v>
      </c>
      <c r="H179" t="str">
        <f>_xll.BDP("246045MR Muni","ISSUE_DT")</f>
        <v>#N/A Requesting Data...</v>
      </c>
      <c r="I179" t="str">
        <f>_xll.BDS("246045MR Muni","MUNI_PURPOSE_SCHED", "aggregate=y")</f>
        <v>#N/A Review</v>
      </c>
      <c r="J179" t="str">
        <f>_xll.BDP("246045MR Muni","CPN")</f>
        <v>#N/A Requesting Data...</v>
      </c>
      <c r="K179" t="str">
        <f>_xll.BDP("246045MR Muni","MATURITY")</f>
        <v>#N/A Requesting Data...</v>
      </c>
      <c r="L179">
        <v>1245000</v>
      </c>
      <c r="M179" t="str">
        <f>_xll.BDP("246045MR Muni","YIELD_ON_ISSUE_DATE")</f>
        <v>#N/A Requesting Data...</v>
      </c>
      <c r="N179" t="str">
        <f>_xll.BDP("246045MR Muni","YTW_SPREAD_TO_MATURITY_AT_ISSU")</f>
        <v>#N/A Requesting Data...</v>
      </c>
      <c r="O179" t="str">
        <f>_xll.BDP("246045MR Muni","BVAL_MID_YTM")</f>
        <v>#N/A Requesting Data...</v>
      </c>
      <c r="P179" t="str">
        <f>_xll.BDP("246045MR Muni","MUNI_TAX_PROV")</f>
        <v>#N/A Requesting Data...</v>
      </c>
      <c r="Q179" t="str">
        <f>_xll.BDP("246045MR Muni","MUNI_FED_TAX")</f>
        <v>#N/A Requesting Data...</v>
      </c>
      <c r="R179" t="str">
        <f>_xll.BDP("246045MR Muni","MUNI_MSRB_VOLUME")</f>
        <v>#N/A Requesting Data...</v>
      </c>
      <c r="S179" t="str">
        <f>_xll.BDP("246045MR Muni","BB_COMPOSITE")</f>
        <v>#N/A Requesting Data...</v>
      </c>
      <c r="T179" t="str">
        <f>_xll.BDP("246045MR Muni","LQA_LIQUIDITY_SCORE")</f>
        <v>#N/A Requesting Data...</v>
      </c>
    </row>
    <row r="180" spans="1:20" x14ac:dyDescent="0.25">
      <c r="A180" t="str">
        <f>_xll.BDP("79642B3M Muni","ID_CUSIP")</f>
        <v>#N/A Requesting Data...</v>
      </c>
      <c r="B180" t="s">
        <v>64</v>
      </c>
      <c r="C180" t="str">
        <f>_xll.BDP("79642B3M Muni","INSURANCE_STATUS")</f>
        <v>#N/A Requesting Data...</v>
      </c>
      <c r="D180" t="str">
        <f>_xll.BDP("79642B3M Muni","STATE_CODE")</f>
        <v>#N/A Requesting Data...</v>
      </c>
      <c r="E180" t="str">
        <f>_xll.BDP("79642B3M Muni","COUNTY_LOCATION_ISSUER")</f>
        <v>#N/A Requesting Data...</v>
      </c>
      <c r="F180" t="str">
        <f>_xll.BDP("79642B3M Muni","DUR_ADJ_MID")</f>
        <v>#N/A Requesting Data...</v>
      </c>
      <c r="G180" t="str">
        <f>_xll.BDP("79642B3M Muni","SPREAD_AT_ISSUANCE_TO_WORST")</f>
        <v>#N/A Requesting Data...</v>
      </c>
      <c r="H180" t="str">
        <f>_xll.BDP("79642B3M Muni","ISSUE_DT")</f>
        <v>#N/A Requesting Data...</v>
      </c>
      <c r="I180" t="str">
        <f>_xll.BDS("79642B3M Muni","MUNI_PURPOSE_SCHED", "aggregate=y")</f>
        <v>#N/A Review</v>
      </c>
      <c r="J180" t="str">
        <f>_xll.BDP("79642B3M Muni","CPN")</f>
        <v>#N/A Requesting Data...</v>
      </c>
      <c r="K180" t="str">
        <f>_xll.BDP("79642B3M Muni","MATURITY")</f>
        <v>#N/A Requesting Data...</v>
      </c>
      <c r="L180">
        <v>4075000</v>
      </c>
      <c r="M180" t="str">
        <f>_xll.BDP("79642B3M Muni","YIELD_ON_ISSUE_DATE")</f>
        <v>#N/A Requesting Data...</v>
      </c>
      <c r="N180" t="str">
        <f>_xll.BDP("79642B3M Muni","YTW_SPREAD_TO_MATURITY_AT_ISSU")</f>
        <v>#N/A Requesting Data...</v>
      </c>
      <c r="O180" t="str">
        <f>_xll.BDP("79642B3M Muni","BVAL_MID_YTM")</f>
        <v>#N/A Requesting Data...</v>
      </c>
      <c r="P180" t="str">
        <f>_xll.BDP("79642B3M Muni","MUNI_TAX_PROV")</f>
        <v>#N/A Requesting Data...</v>
      </c>
      <c r="Q180" t="str">
        <f>_xll.BDP("79642B3M Muni","MUNI_FED_TAX")</f>
        <v>#N/A Requesting Data...</v>
      </c>
      <c r="R180" t="str">
        <f>_xll.BDP("79642B3M Muni","MUNI_MSRB_VOLUME")</f>
        <v>#N/A Requesting Data...</v>
      </c>
      <c r="S180" t="str">
        <f>_xll.BDP("79642B3M Muni","BB_COMPOSITE")</f>
        <v>#N/A Requesting Data...</v>
      </c>
      <c r="T180" t="str">
        <f>_xll.BDP("79642B3M Muni","LQA_LIQUIDITY_SCORE")</f>
        <v>#N/A Requesting Data...</v>
      </c>
    </row>
    <row r="181" spans="1:20" x14ac:dyDescent="0.25">
      <c r="A181" t="str">
        <f>_xll.BDP("287371FJ Muni","ID_CUSIP")</f>
        <v>#N/A Requesting Data...</v>
      </c>
      <c r="B181" t="s">
        <v>115</v>
      </c>
      <c r="C181" t="str">
        <f>_xll.BDP("287371FJ Muni","INSURANCE_STATUS")</f>
        <v>#N/A Requesting Data...</v>
      </c>
      <c r="D181" t="str">
        <f>_xll.BDP("287371FJ Muni","STATE_CODE")</f>
        <v>#N/A Requesting Data...</v>
      </c>
      <c r="E181" t="str">
        <f>_xll.BDP("287371FJ Muni","COUNTY_LOCATION_ISSUER")</f>
        <v>#N/A Requesting Data...</v>
      </c>
      <c r="F181" t="str">
        <f>_xll.BDP("287371FJ Muni","DUR_ADJ_MID")</f>
        <v>#N/A Requesting Data...</v>
      </c>
      <c r="G181" t="str">
        <f>_xll.BDP("287371FJ Muni","SPREAD_AT_ISSUANCE_TO_WORST")</f>
        <v>#N/A Requesting Data...</v>
      </c>
      <c r="H181" t="str">
        <f>_xll.BDP("287371FJ Muni","ISSUE_DT")</f>
        <v>#N/A Requesting Data...</v>
      </c>
      <c r="I181" t="str">
        <f>_xll.BDS("287371FJ Muni","MUNI_PURPOSE_SCHED", "aggregate=y")</f>
        <v>#N/A Review</v>
      </c>
      <c r="J181" t="str">
        <f>_xll.BDP("287371FJ Muni","CPN")</f>
        <v>#N/A Requesting Data...</v>
      </c>
      <c r="K181" t="str">
        <f>_xll.BDP("287371FJ Muni","MATURITY")</f>
        <v>#N/A Requesting Data...</v>
      </c>
      <c r="L181">
        <v>90000</v>
      </c>
      <c r="M181" t="str">
        <f>_xll.BDP("287371FJ Muni","YIELD_ON_ISSUE_DATE")</f>
        <v>#N/A Requesting Data...</v>
      </c>
      <c r="N181" t="str">
        <f>_xll.BDP("287371FJ Muni","YTW_SPREAD_TO_MATURITY_AT_ISSU")</f>
        <v>#N/A Requesting Data...</v>
      </c>
      <c r="O181" t="str">
        <f>_xll.BDP("287371FJ Muni","BVAL_MID_YTM")</f>
        <v>#N/A Requesting Data...</v>
      </c>
      <c r="P181" t="str">
        <f>_xll.BDP("287371FJ Muni","MUNI_TAX_PROV")</f>
        <v>#N/A Requesting Data...</v>
      </c>
      <c r="Q181" t="str">
        <f>_xll.BDP("287371FJ Muni","MUNI_FED_TAX")</f>
        <v>#N/A Requesting Data...</v>
      </c>
      <c r="R181" t="str">
        <f>_xll.BDP("287371FJ Muni","MUNI_MSRB_VOLUME")</f>
        <v>#N/A Requesting Data...</v>
      </c>
      <c r="S181" t="str">
        <f>_xll.BDP("287371FJ Muni","BB_COMPOSITE")</f>
        <v>#N/A Requesting Data...</v>
      </c>
      <c r="T181" t="str">
        <f>_xll.BDP("287371FJ Muni","LQA_LIQUIDITY_SCORE")</f>
        <v>#N/A Requesting Data...</v>
      </c>
    </row>
    <row r="182" spans="1:20" x14ac:dyDescent="0.25">
      <c r="A182" t="str">
        <f>_xll.BDP("355748TC Muni","ID_CUSIP")</f>
        <v>#N/A Requesting Data...</v>
      </c>
      <c r="B182" t="s">
        <v>116</v>
      </c>
      <c r="C182" t="str">
        <f>_xll.BDP("355748TC Muni","INSURANCE_STATUS")</f>
        <v>#N/A Requesting Data...</v>
      </c>
      <c r="D182" t="str">
        <f>_xll.BDP("355748TC Muni","STATE_CODE")</f>
        <v>#N/A Requesting Data...</v>
      </c>
      <c r="E182" t="str">
        <f>_xll.BDP("355748TC Muni","COUNTY_LOCATION_ISSUER")</f>
        <v>#N/A Requesting Data...</v>
      </c>
      <c r="F182" t="str">
        <f>_xll.BDP("355748TC Muni","DUR_ADJ_MID")</f>
        <v>#N/A Requesting Data...</v>
      </c>
      <c r="G182" t="str">
        <f>_xll.BDP("355748TC Muni","SPREAD_AT_ISSUANCE_TO_WORST")</f>
        <v>#N/A Requesting Data...</v>
      </c>
      <c r="H182" t="str">
        <f>_xll.BDP("355748TC Muni","ISSUE_DT")</f>
        <v>#N/A Requesting Data...</v>
      </c>
      <c r="I182" t="str">
        <f>_xll.BDS("355748TC Muni","MUNI_PURPOSE_SCHED", "aggregate=y")</f>
        <v>#N/A Review</v>
      </c>
      <c r="J182" t="str">
        <f>_xll.BDP("355748TC Muni","CPN")</f>
        <v>#N/A Requesting Data...</v>
      </c>
      <c r="K182" t="str">
        <f>_xll.BDP("355748TC Muni","MATURITY")</f>
        <v>#N/A Requesting Data...</v>
      </c>
      <c r="L182">
        <v>875000</v>
      </c>
      <c r="M182" t="str">
        <f>_xll.BDP("355748TC Muni","YIELD_ON_ISSUE_DATE")</f>
        <v>#N/A Requesting Data...</v>
      </c>
      <c r="N182" t="str">
        <f>_xll.BDP("355748TC Muni","YTW_SPREAD_TO_MATURITY_AT_ISSU")</f>
        <v>#N/A Requesting Data...</v>
      </c>
      <c r="O182" t="str">
        <f>_xll.BDP("355748TC Muni","BVAL_MID_YTM")</f>
        <v>#N/A Requesting Data...</v>
      </c>
      <c r="P182" t="str">
        <f>_xll.BDP("355748TC Muni","MUNI_TAX_PROV")</f>
        <v>#N/A Requesting Data...</v>
      </c>
      <c r="Q182" t="str">
        <f>_xll.BDP("355748TC Muni","MUNI_FED_TAX")</f>
        <v>#N/A Requesting Data...</v>
      </c>
      <c r="R182" t="str">
        <f>_xll.BDP("355748TC Muni","MUNI_MSRB_VOLUME")</f>
        <v>#N/A Requesting Data...</v>
      </c>
      <c r="S182" t="str">
        <f>_xll.BDP("355748TC Muni","BB_COMPOSITE")</f>
        <v>#N/A Requesting Data...</v>
      </c>
      <c r="T182" t="str">
        <f>_xll.BDP("355748TC Muni","LQA_LIQUIDITY_SCORE")</f>
        <v>#N/A Requesting Data...</v>
      </c>
    </row>
    <row r="183" spans="1:20" x14ac:dyDescent="0.25">
      <c r="A183" t="str">
        <f>_xll.BDP("49140M2Z Muni","ID_CUSIP")</f>
        <v>#N/A Requesting Data...</v>
      </c>
      <c r="B183" t="s">
        <v>117</v>
      </c>
      <c r="C183" t="str">
        <f>_xll.BDP("49140M2Z Muni","INSURANCE_STATUS")</f>
        <v>#N/A Requesting Data...</v>
      </c>
      <c r="D183" t="str">
        <f>_xll.BDP("49140M2Z Muni","STATE_CODE")</f>
        <v>#N/A Requesting Data...</v>
      </c>
      <c r="E183" t="str">
        <f>_xll.BDP("49140M2Z Muni","COUNTY_LOCATION_ISSUER")</f>
        <v>#N/A Requesting Data...</v>
      </c>
      <c r="F183" t="str">
        <f>_xll.BDP("49140M2Z Muni","DUR_ADJ_MID")</f>
        <v>#N/A Requesting Data...</v>
      </c>
      <c r="G183" t="str">
        <f>_xll.BDP("49140M2Z Muni","SPREAD_AT_ISSUANCE_TO_WORST")</f>
        <v>#N/A Requesting Data...</v>
      </c>
      <c r="H183" t="str">
        <f>_xll.BDP("49140M2Z Muni","ISSUE_DT")</f>
        <v>#N/A Requesting Data...</v>
      </c>
      <c r="I183" t="str">
        <f>_xll.BDS("49140M2Z Muni","MUNI_PURPOSE_SCHED", "aggregate=y")</f>
        <v>#N/A Review</v>
      </c>
      <c r="J183" t="str">
        <f>_xll.BDP("49140M2Z Muni","CPN")</f>
        <v>#N/A Requesting Data...</v>
      </c>
      <c r="K183" t="str">
        <f>_xll.BDP("49140M2Z Muni","MATURITY")</f>
        <v>#N/A Requesting Data...</v>
      </c>
      <c r="L183">
        <v>630000</v>
      </c>
      <c r="M183" t="str">
        <f>_xll.BDP("49140M2Z Muni","YIELD_ON_ISSUE_DATE")</f>
        <v>#N/A Requesting Data...</v>
      </c>
      <c r="N183" t="str">
        <f>_xll.BDP("49140M2Z Muni","YTW_SPREAD_TO_MATURITY_AT_ISSU")</f>
        <v>#N/A Requesting Data...</v>
      </c>
      <c r="O183" t="str">
        <f>_xll.BDP("49140M2Z Muni","BVAL_MID_YTM")</f>
        <v>#N/A Requesting Data...</v>
      </c>
      <c r="P183" t="str">
        <f>_xll.BDP("49140M2Z Muni","MUNI_TAX_PROV")</f>
        <v>#N/A Requesting Data...</v>
      </c>
      <c r="Q183" t="str">
        <f>_xll.BDP("49140M2Z Muni","MUNI_FED_TAX")</f>
        <v>#N/A Requesting Data...</v>
      </c>
      <c r="R183" t="str">
        <f>_xll.BDP("49140M2Z Muni","MUNI_MSRB_VOLUME")</f>
        <v>#N/A Requesting Data...</v>
      </c>
      <c r="S183" t="str">
        <f>_xll.BDP("49140M2Z Muni","BB_COMPOSITE")</f>
        <v>#N/A Requesting Data...</v>
      </c>
      <c r="T183" t="str">
        <f>_xll.BDP("49140M2Z Muni","LQA_LIQUIDITY_SCORE")</f>
        <v>#N/A Requesting Data...</v>
      </c>
    </row>
    <row r="184" spans="1:20" x14ac:dyDescent="0.25">
      <c r="A184" t="str">
        <f>_xll.BDP("628577LL Muni","ID_CUSIP")</f>
        <v>#N/A Requesting Data...</v>
      </c>
      <c r="B184" t="s">
        <v>118</v>
      </c>
      <c r="C184" t="str">
        <f>_xll.BDP("628577LL Muni","INSURANCE_STATUS")</f>
        <v>#N/A Requesting Data...</v>
      </c>
      <c r="D184" t="str">
        <f>_xll.BDP("628577LL Muni","STATE_CODE")</f>
        <v>#N/A Requesting Data...</v>
      </c>
      <c r="E184" t="str">
        <f>_xll.BDP("628577LL Muni","COUNTY_LOCATION_ISSUER")</f>
        <v>#N/A Requesting Data...</v>
      </c>
      <c r="F184" t="str">
        <f>_xll.BDP("628577LL Muni","DUR_ADJ_MID")</f>
        <v>#N/A Requesting Data...</v>
      </c>
      <c r="G184" t="str">
        <f>_xll.BDP("628577LL Muni","SPREAD_AT_ISSUANCE_TO_WORST")</f>
        <v>#N/A Requesting Data...</v>
      </c>
      <c r="H184" t="str">
        <f>_xll.BDP("628577LL Muni","ISSUE_DT")</f>
        <v>#N/A Requesting Data...</v>
      </c>
      <c r="I184" t="str">
        <f>_xll.BDS("628577LL Muni","MUNI_PURPOSE_SCHED", "aggregate=y")</f>
        <v>#N/A Review</v>
      </c>
      <c r="J184" t="str">
        <f>_xll.BDP("628577LL Muni","CPN")</f>
        <v>#N/A Requesting Data...</v>
      </c>
      <c r="K184" t="str">
        <f>_xll.BDP("628577LL Muni","MATURITY")</f>
        <v>#N/A Requesting Data...</v>
      </c>
      <c r="L184">
        <v>1185000</v>
      </c>
      <c r="M184" t="str">
        <f>_xll.BDP("628577LL Muni","YIELD_ON_ISSUE_DATE")</f>
        <v>#N/A Requesting Data...</v>
      </c>
      <c r="N184" t="str">
        <f>_xll.BDP("628577LL Muni","YTW_SPREAD_TO_MATURITY_AT_ISSU")</f>
        <v>#N/A Requesting Data...</v>
      </c>
      <c r="O184" t="str">
        <f>_xll.BDP("628577LL Muni","BVAL_MID_YTM")</f>
        <v>#N/A Requesting Data...</v>
      </c>
      <c r="P184" t="str">
        <f>_xll.BDP("628577LL Muni","MUNI_TAX_PROV")</f>
        <v>#N/A Requesting Data...</v>
      </c>
      <c r="Q184" t="str">
        <f>_xll.BDP("628577LL Muni","MUNI_FED_TAX")</f>
        <v>#N/A Requesting Data...</v>
      </c>
      <c r="R184" t="str">
        <f>_xll.BDP("628577LL Muni","MUNI_MSRB_VOLUME")</f>
        <v>#N/A Requesting Data...</v>
      </c>
      <c r="S184" t="str">
        <f>_xll.BDP("628577LL Muni","BB_COMPOSITE")</f>
        <v>#N/A Requesting Data...</v>
      </c>
      <c r="T184" t="str">
        <f>_xll.BDP("628577LL Muni","LQA_LIQUIDITY_SCORE")</f>
        <v>#N/A Requesting Data...</v>
      </c>
    </row>
    <row r="185" spans="1:20" x14ac:dyDescent="0.25">
      <c r="A185" t="str">
        <f>_xll.BDP("509624NE Muni","ID_CUSIP")</f>
        <v>#N/A Requesting Data...</v>
      </c>
      <c r="B185" t="s">
        <v>119</v>
      </c>
      <c r="C185" t="str">
        <f>_xll.BDP("509624NE Muni","INSURANCE_STATUS")</f>
        <v>#N/A Requesting Data...</v>
      </c>
      <c r="D185" t="str">
        <f>_xll.BDP("509624NE Muni","STATE_CODE")</f>
        <v>#N/A Requesting Data...</v>
      </c>
      <c r="E185" t="str">
        <f>_xll.BDP("509624NE Muni","COUNTY_LOCATION_ISSUER")</f>
        <v>#N/A Requesting Data...</v>
      </c>
      <c r="F185" t="str">
        <f>_xll.BDP("509624NE Muni","DUR_ADJ_MID")</f>
        <v>#N/A Requesting Data...</v>
      </c>
      <c r="G185" t="str">
        <f>_xll.BDP("509624NE Muni","SPREAD_AT_ISSUANCE_TO_WORST")</f>
        <v>#N/A Requesting Data...</v>
      </c>
      <c r="H185" t="str">
        <f>_xll.BDP("509624NE Muni","ISSUE_DT")</f>
        <v>#N/A Requesting Data...</v>
      </c>
      <c r="I185" t="str">
        <f>_xll.BDS("509624NE Muni","MUNI_PURPOSE_SCHED", "aggregate=y")</f>
        <v>#N/A Review</v>
      </c>
      <c r="J185" t="str">
        <f>_xll.BDP("509624NE Muni","CPN")</f>
        <v>#N/A Requesting Data...</v>
      </c>
      <c r="K185" t="str">
        <f>_xll.BDP("509624NE Muni","MATURITY")</f>
        <v>#N/A Requesting Data...</v>
      </c>
      <c r="L185">
        <v>725000</v>
      </c>
      <c r="M185" t="str">
        <f>_xll.BDP("509624NE Muni","YIELD_ON_ISSUE_DATE")</f>
        <v>#N/A Requesting Data...</v>
      </c>
      <c r="N185" t="str">
        <f>_xll.BDP("509624NE Muni","YTW_SPREAD_TO_MATURITY_AT_ISSU")</f>
        <v>#N/A Requesting Data...</v>
      </c>
      <c r="O185" t="str">
        <f>_xll.BDP("509624NE Muni","BVAL_MID_YTM")</f>
        <v>#N/A Requesting Data...</v>
      </c>
      <c r="P185" t="str">
        <f>_xll.BDP("509624NE Muni","MUNI_TAX_PROV")</f>
        <v>#N/A Requesting Data...</v>
      </c>
      <c r="Q185" t="str">
        <f>_xll.BDP("509624NE Muni","MUNI_FED_TAX")</f>
        <v>#N/A Requesting Data...</v>
      </c>
      <c r="R185" t="str">
        <f>_xll.BDP("509624NE Muni","MUNI_MSRB_VOLUME")</f>
        <v>#N/A Requesting Data...</v>
      </c>
      <c r="S185" t="str">
        <f>_xll.BDP("509624NE Muni","BB_COMPOSITE")</f>
        <v>#N/A Requesting Data...</v>
      </c>
      <c r="T185" t="str">
        <f>_xll.BDP("509624NE Muni","LQA_LIQUIDITY_SCORE")</f>
        <v>#N/A Requesting Data...</v>
      </c>
    </row>
    <row r="186" spans="1:20" x14ac:dyDescent="0.25">
      <c r="A186" t="str">
        <f>_xll.BDP("65956NGN Muni","ID_CUSIP")</f>
        <v>#N/A Requesting Data...</v>
      </c>
      <c r="B186" t="s">
        <v>120</v>
      </c>
      <c r="C186" t="str">
        <f>_xll.BDP("65956NGN Muni","INSURANCE_STATUS")</f>
        <v>#N/A Requesting Data...</v>
      </c>
      <c r="D186" t="str">
        <f>_xll.BDP("65956NGN Muni","STATE_CODE")</f>
        <v>#N/A Requesting Data...</v>
      </c>
      <c r="E186" t="str">
        <f>_xll.BDP("65956NGN Muni","COUNTY_LOCATION_ISSUER")</f>
        <v>#N/A Requesting Data...</v>
      </c>
      <c r="F186" t="str">
        <f>_xll.BDP("65956NGN Muni","DUR_ADJ_MID")</f>
        <v>#N/A Requesting Data...</v>
      </c>
      <c r="G186" t="str">
        <f>_xll.BDP("65956NGN Muni","SPREAD_AT_ISSUANCE_TO_WORST")</f>
        <v>#N/A Requesting Data...</v>
      </c>
      <c r="H186" t="str">
        <f>_xll.BDP("65956NGN Muni","ISSUE_DT")</f>
        <v>#N/A Requesting Data...</v>
      </c>
      <c r="I186" t="str">
        <f>_xll.BDS("65956NGN Muni","MUNI_PURPOSE_SCHED", "aggregate=y")</f>
        <v>#N/A Review</v>
      </c>
      <c r="J186" t="str">
        <f>_xll.BDP("65956NGN Muni","CPN")</f>
        <v>#N/A Requesting Data...</v>
      </c>
      <c r="K186" t="str">
        <f>_xll.BDP("65956NGN Muni","MATURITY")</f>
        <v>#N/A Requesting Data...</v>
      </c>
      <c r="L186">
        <v>9515000</v>
      </c>
      <c r="M186" t="str">
        <f>_xll.BDP("65956NGN Muni","YIELD_ON_ISSUE_DATE")</f>
        <v>#N/A Requesting Data...</v>
      </c>
      <c r="N186" t="str">
        <f>_xll.BDP("65956NGN Muni","YTW_SPREAD_TO_MATURITY_AT_ISSU")</f>
        <v>#N/A Requesting Data...</v>
      </c>
      <c r="O186" t="str">
        <f>_xll.BDP("65956NGN Muni","BVAL_MID_YTM")</f>
        <v>#N/A Requesting Data...</v>
      </c>
      <c r="P186" t="str">
        <f>_xll.BDP("65956NGN Muni","MUNI_TAX_PROV")</f>
        <v>#N/A Requesting Data...</v>
      </c>
      <c r="Q186" t="str">
        <f>_xll.BDP("65956NGN Muni","MUNI_FED_TAX")</f>
        <v>#N/A Requesting Data...</v>
      </c>
      <c r="R186" t="str">
        <f>_xll.BDP("65956NGN Muni","MUNI_MSRB_VOLUME")</f>
        <v>#N/A Requesting Data...</v>
      </c>
      <c r="S186" t="str">
        <f>_xll.BDP("65956NGN Muni","BB_COMPOSITE")</f>
        <v>#N/A Requesting Data...</v>
      </c>
      <c r="T186" t="str">
        <f>_xll.BDP("65956NGN Muni","LQA_LIQUIDITY_SCORE")</f>
        <v>#N/A Requesting Data...</v>
      </c>
    </row>
    <row r="187" spans="1:20" x14ac:dyDescent="0.25">
      <c r="A187" t="str">
        <f>_xll.BDP("676306DL Muni","ID_CUSIP")</f>
        <v>#N/A Requesting Data...</v>
      </c>
      <c r="B187" t="s">
        <v>77</v>
      </c>
      <c r="C187" t="str">
        <f>_xll.BDP("676306DL Muni","INSURANCE_STATUS")</f>
        <v>#N/A Requesting Data...</v>
      </c>
      <c r="D187" t="str">
        <f>_xll.BDP("676306DL Muni","STATE_CODE")</f>
        <v>#N/A Requesting Data...</v>
      </c>
      <c r="E187" t="str">
        <f>_xll.BDP("676306DL Muni","COUNTY_LOCATION_ISSUER")</f>
        <v>#N/A Requesting Data...</v>
      </c>
      <c r="F187" t="str">
        <f>_xll.BDP("676306DL Muni","DUR_ADJ_MID")</f>
        <v>#N/A Requesting Data...</v>
      </c>
      <c r="G187" t="str">
        <f>_xll.BDP("676306DL Muni","SPREAD_AT_ISSUANCE_TO_WORST")</f>
        <v>#N/A Requesting Data...</v>
      </c>
      <c r="H187" t="str">
        <f>_xll.BDP("676306DL Muni","ISSUE_DT")</f>
        <v>#N/A Requesting Data...</v>
      </c>
      <c r="I187" t="str">
        <f>_xll.BDS("676306DL Muni","MUNI_PURPOSE_SCHED", "aggregate=y")</f>
        <v>#N/A Review</v>
      </c>
      <c r="J187" t="str">
        <f>_xll.BDP("676306DL Muni","CPN")</f>
        <v>#N/A Requesting Data...</v>
      </c>
      <c r="K187" t="str">
        <f>_xll.BDP("676306DL Muni","MATURITY")</f>
        <v>#N/A Requesting Data...</v>
      </c>
      <c r="L187">
        <v>1900000</v>
      </c>
      <c r="M187" t="str">
        <f>_xll.BDP("676306DL Muni","YIELD_ON_ISSUE_DATE")</f>
        <v>#N/A Requesting Data...</v>
      </c>
      <c r="N187" t="str">
        <f>_xll.BDP("676306DL Muni","YTW_SPREAD_TO_MATURITY_AT_ISSU")</f>
        <v>#N/A Requesting Data...</v>
      </c>
      <c r="O187" t="str">
        <f>_xll.BDP("676306DL Muni","BVAL_MID_YTM")</f>
        <v>#N/A Requesting Data...</v>
      </c>
      <c r="P187" t="str">
        <f>_xll.BDP("676306DL Muni","MUNI_TAX_PROV")</f>
        <v>#N/A Requesting Data...</v>
      </c>
      <c r="Q187" t="str">
        <f>_xll.BDP("676306DL Muni","MUNI_FED_TAX")</f>
        <v>#N/A Requesting Data...</v>
      </c>
      <c r="R187" t="str">
        <f>_xll.BDP("676306DL Muni","MUNI_MSRB_VOLUME")</f>
        <v>#N/A Requesting Data...</v>
      </c>
      <c r="S187" t="str">
        <f>_xll.BDP("676306DL Muni","BB_COMPOSITE")</f>
        <v>#N/A Requesting Data...</v>
      </c>
      <c r="T187" t="str">
        <f>_xll.BDP("676306DL Muni","LQA_LIQUIDITY_SCORE")</f>
        <v>#N/A Requesting Data...</v>
      </c>
    </row>
    <row r="188" spans="1:20" x14ac:dyDescent="0.25">
      <c r="A188" t="str">
        <f>_xll.BDP("864881QF Muni","ID_CUSIP")</f>
        <v>#N/A Requesting Data...</v>
      </c>
      <c r="B188" t="s">
        <v>121</v>
      </c>
      <c r="C188" t="str">
        <f>_xll.BDP("864881QF Muni","INSURANCE_STATUS")</f>
        <v>#N/A Requesting Data...</v>
      </c>
      <c r="D188" t="str">
        <f>_xll.BDP("864881QF Muni","STATE_CODE")</f>
        <v>#N/A Requesting Data...</v>
      </c>
      <c r="E188" t="str">
        <f>_xll.BDP("864881QF Muni","COUNTY_LOCATION_ISSUER")</f>
        <v>#N/A Requesting Data...</v>
      </c>
      <c r="F188" t="str">
        <f>_xll.BDP("864881QF Muni","DUR_ADJ_MID")</f>
        <v>#N/A Requesting Data...</v>
      </c>
      <c r="G188" t="str">
        <f>_xll.BDP("864881QF Muni","SPREAD_AT_ISSUANCE_TO_WORST")</f>
        <v>#N/A Requesting Data...</v>
      </c>
      <c r="H188" t="str">
        <f>_xll.BDP("864881QF Muni","ISSUE_DT")</f>
        <v>#N/A Requesting Data...</v>
      </c>
      <c r="I188" t="str">
        <f>_xll.BDS("864881QF Muni","MUNI_PURPOSE_SCHED", "aggregate=y")</f>
        <v>#N/A Review</v>
      </c>
      <c r="J188" t="str">
        <f>_xll.BDP("864881QF Muni","CPN")</f>
        <v>#N/A Requesting Data...</v>
      </c>
      <c r="K188" t="str">
        <f>_xll.BDP("864881QF Muni","MATURITY")</f>
        <v>#N/A Requesting Data...</v>
      </c>
      <c r="L188">
        <v>2780000</v>
      </c>
      <c r="M188" t="str">
        <f>_xll.BDP("864881QF Muni","YIELD_ON_ISSUE_DATE")</f>
        <v>#N/A Requesting Data...</v>
      </c>
      <c r="N188" t="str">
        <f>_xll.BDP("864881QF Muni","YTW_SPREAD_TO_MATURITY_AT_ISSU")</f>
        <v>#N/A Requesting Data...</v>
      </c>
      <c r="O188" t="str">
        <f>_xll.BDP("864881QF Muni","BVAL_MID_YTM")</f>
        <v>#N/A Requesting Data...</v>
      </c>
      <c r="P188" t="str">
        <f>_xll.BDP("864881QF Muni","MUNI_TAX_PROV")</f>
        <v>#N/A Requesting Data...</v>
      </c>
      <c r="Q188" t="str">
        <f>_xll.BDP("864881QF Muni","MUNI_FED_TAX")</f>
        <v>#N/A Requesting Data...</v>
      </c>
      <c r="R188" t="str">
        <f>_xll.BDP("864881QF Muni","MUNI_MSRB_VOLUME")</f>
        <v>#N/A Requesting Data...</v>
      </c>
      <c r="S188" t="str">
        <f>_xll.BDP("864881QF Muni","BB_COMPOSITE")</f>
        <v>#N/A Requesting Data...</v>
      </c>
      <c r="T188" t="str">
        <f>_xll.BDP("864881QF Muni","LQA_LIQUIDITY_SCORE")</f>
        <v>#N/A Requesting Data...</v>
      </c>
    </row>
    <row r="189" spans="1:20" x14ac:dyDescent="0.25">
      <c r="A189" t="str">
        <f>_xll.BDP("8827233L Muni","ID_CUSIP")</f>
        <v>#N/A Requesting Data...</v>
      </c>
      <c r="B189" t="s">
        <v>95</v>
      </c>
      <c r="C189" t="str">
        <f>_xll.BDP("8827233L Muni","INSURANCE_STATUS")</f>
        <v>#N/A Requesting Data...</v>
      </c>
      <c r="D189" t="str">
        <f>_xll.BDP("8827233L Muni","STATE_CODE")</f>
        <v>#N/A Requesting Data...</v>
      </c>
      <c r="E189" t="str">
        <f>_xll.BDP("8827233L Muni","COUNTY_LOCATION_ISSUER")</f>
        <v>#N/A Requesting Data...</v>
      </c>
      <c r="F189" t="str">
        <f>_xll.BDP("8827233L Muni","DUR_ADJ_MID")</f>
        <v>#N/A Requesting Data...</v>
      </c>
      <c r="G189" t="str">
        <f>_xll.BDP("8827233L Muni","SPREAD_AT_ISSUANCE_TO_WORST")</f>
        <v>#N/A Requesting Data...</v>
      </c>
      <c r="H189" t="str">
        <f>_xll.BDP("8827233L Muni","ISSUE_DT")</f>
        <v>#N/A Requesting Data...</v>
      </c>
      <c r="I189" t="str">
        <f>_xll.BDS("8827233L Muni","MUNI_PURPOSE_SCHED", "aggregate=y")</f>
        <v>#N/A Review</v>
      </c>
      <c r="J189" t="str">
        <f>_xll.BDP("8827233L Muni","CPN")</f>
        <v>#N/A Requesting Data...</v>
      </c>
      <c r="K189" t="str">
        <f>_xll.BDP("8827233L Muni","MATURITY")</f>
        <v>#N/A Requesting Data...</v>
      </c>
      <c r="L189">
        <v>1750000</v>
      </c>
      <c r="M189" t="str">
        <f>_xll.BDP("8827233L Muni","YIELD_ON_ISSUE_DATE")</f>
        <v>#N/A Requesting Data...</v>
      </c>
      <c r="N189" t="str">
        <f>_xll.BDP("8827233L Muni","YTW_SPREAD_TO_MATURITY_AT_ISSU")</f>
        <v>#N/A Requesting Data...</v>
      </c>
      <c r="O189" t="str">
        <f>_xll.BDP("8827233L Muni","BVAL_MID_YTM")</f>
        <v>#N/A Requesting Data...</v>
      </c>
      <c r="P189" t="str">
        <f>_xll.BDP("8827233L Muni","MUNI_TAX_PROV")</f>
        <v>#N/A Requesting Data...</v>
      </c>
      <c r="Q189" t="str">
        <f>_xll.BDP("8827233L Muni","MUNI_FED_TAX")</f>
        <v>#N/A Requesting Data...</v>
      </c>
      <c r="R189" t="str">
        <f>_xll.BDP("8827233L Muni","MUNI_MSRB_VOLUME")</f>
        <v>#N/A Requesting Data...</v>
      </c>
      <c r="S189" t="str">
        <f>_xll.BDP("8827233L Muni","BB_COMPOSITE")</f>
        <v>#N/A Requesting Data...</v>
      </c>
      <c r="T189" t="str">
        <f>_xll.BDP("8827233L Muni","LQA_LIQUIDITY_SCORE")</f>
        <v>#N/A Requesting Data...</v>
      </c>
    </row>
    <row r="190" spans="1:20" x14ac:dyDescent="0.25">
      <c r="A190" t="str">
        <f>_xll.BDP("97705MFD Muni","ID_CUSIP")</f>
        <v>#N/A Requesting Data...</v>
      </c>
      <c r="B190" t="s">
        <v>63</v>
      </c>
      <c r="C190" t="str">
        <f>_xll.BDP("97705MFD Muni","INSURANCE_STATUS")</f>
        <v>#N/A Requesting Data...</v>
      </c>
      <c r="D190" t="str">
        <f>_xll.BDP("97705MFD Muni","STATE_CODE")</f>
        <v>#N/A Requesting Data...</v>
      </c>
      <c r="E190" t="str">
        <f>_xll.BDP("97705MFD Muni","COUNTY_LOCATION_ISSUER")</f>
        <v>#N/A Requesting Data...</v>
      </c>
      <c r="F190" t="str">
        <f>_xll.BDP("97705MFD Muni","DUR_ADJ_MID")</f>
        <v>#N/A Requesting Data...</v>
      </c>
      <c r="G190" t="str">
        <f>_xll.BDP("97705MFD Muni","SPREAD_AT_ISSUANCE_TO_WORST")</f>
        <v>#N/A Requesting Data...</v>
      </c>
      <c r="H190" t="str">
        <f>_xll.BDP("97705MFD Muni","ISSUE_DT")</f>
        <v>#N/A Requesting Data...</v>
      </c>
      <c r="I190" t="str">
        <f>_xll.BDS("97705MFD Muni","MUNI_PURPOSE_SCHED", "aggregate=y")</f>
        <v>#N/A Review</v>
      </c>
      <c r="J190" t="str">
        <f>_xll.BDP("97705MFD Muni","CPN")</f>
        <v>#N/A Requesting Data...</v>
      </c>
      <c r="K190" t="str">
        <f>_xll.BDP("97705MFD Muni","MATURITY")</f>
        <v>#N/A Requesting Data...</v>
      </c>
      <c r="L190">
        <v>14360000</v>
      </c>
      <c r="M190" t="str">
        <f>_xll.BDP("97705MFD Muni","YIELD_ON_ISSUE_DATE")</f>
        <v>#N/A Requesting Data...</v>
      </c>
      <c r="N190" t="str">
        <f>_xll.BDP("97705MFD Muni","YTW_SPREAD_TO_MATURITY_AT_ISSU")</f>
        <v>#N/A Requesting Data...</v>
      </c>
      <c r="O190" t="str">
        <f>_xll.BDP("97705MFD Muni","BVAL_MID_YTM")</f>
        <v>#N/A Requesting Data...</v>
      </c>
      <c r="P190" t="str">
        <f>_xll.BDP("97705MFD Muni","MUNI_TAX_PROV")</f>
        <v>#N/A Requesting Data...</v>
      </c>
      <c r="Q190" t="str">
        <f>_xll.BDP("97705MFD Muni","MUNI_FED_TAX")</f>
        <v>#N/A Requesting Data...</v>
      </c>
      <c r="R190" t="str">
        <f>_xll.BDP("97705MFD Muni","MUNI_MSRB_VOLUME")</f>
        <v>#N/A Requesting Data...</v>
      </c>
      <c r="S190" t="str">
        <f>_xll.BDP("97705MFD Muni","BB_COMPOSITE")</f>
        <v>#N/A Requesting Data...</v>
      </c>
      <c r="T190" t="str">
        <f>_xll.BDP("97705MFD Muni","LQA_LIQUIDITY_SCORE")</f>
        <v>#N/A Requesting Data...</v>
      </c>
    </row>
    <row r="191" spans="1:20" x14ac:dyDescent="0.25">
      <c r="A191" t="str">
        <f>_xll.BDP("793323TX Muni","ID_CUSIP")</f>
        <v>#N/A Requesting Data...</v>
      </c>
      <c r="B191" t="s">
        <v>54</v>
      </c>
      <c r="C191" t="str">
        <f>_xll.BDP("793323TX Muni","INSURANCE_STATUS")</f>
        <v>#N/A Requesting Data...</v>
      </c>
      <c r="D191" t="str">
        <f>_xll.BDP("793323TX Muni","STATE_CODE")</f>
        <v>#N/A Requesting Data...</v>
      </c>
      <c r="E191" t="str">
        <f>_xll.BDP("793323TX Muni","COUNTY_LOCATION_ISSUER")</f>
        <v>#N/A Requesting Data...</v>
      </c>
      <c r="F191" t="str">
        <f>_xll.BDP("793323TX Muni","DUR_ADJ_MID")</f>
        <v>#N/A Requesting Data...</v>
      </c>
      <c r="G191" t="str">
        <f>_xll.BDP("793323TX Muni","SPREAD_AT_ISSUANCE_TO_WORST")</f>
        <v>#N/A Requesting Data...</v>
      </c>
      <c r="H191" t="str">
        <f>_xll.BDP("793323TX Muni","ISSUE_DT")</f>
        <v>#N/A Requesting Data...</v>
      </c>
      <c r="I191" t="str">
        <f>_xll.BDS("793323TX Muni","MUNI_PURPOSE_SCHED", "aggregate=y")</f>
        <v>#N/A Review</v>
      </c>
      <c r="J191" t="str">
        <f>_xll.BDP("793323TX Muni","CPN")</f>
        <v>#N/A Requesting Data...</v>
      </c>
      <c r="K191" t="str">
        <f>_xll.BDP("793323TX Muni","MATURITY")</f>
        <v>#N/A Requesting Data...</v>
      </c>
      <c r="L191">
        <v>1040000</v>
      </c>
      <c r="M191" t="str">
        <f>_xll.BDP("793323TX Muni","YIELD_ON_ISSUE_DATE")</f>
        <v>#N/A Requesting Data...</v>
      </c>
      <c r="N191" t="str">
        <f>_xll.BDP("793323TX Muni","YTW_SPREAD_TO_MATURITY_AT_ISSU")</f>
        <v>#N/A Requesting Data...</v>
      </c>
      <c r="O191" t="str">
        <f>_xll.BDP("793323TX Muni","BVAL_MID_YTM")</f>
        <v>#N/A Requesting Data...</v>
      </c>
      <c r="P191" t="str">
        <f>_xll.BDP("793323TX Muni","MUNI_TAX_PROV")</f>
        <v>#N/A Requesting Data...</v>
      </c>
      <c r="Q191" t="str">
        <f>_xll.BDP("793323TX Muni","MUNI_FED_TAX")</f>
        <v>#N/A Requesting Data...</v>
      </c>
      <c r="R191" t="str">
        <f>_xll.BDP("793323TX Muni","MUNI_MSRB_VOLUME")</f>
        <v>#N/A Requesting Data...</v>
      </c>
      <c r="S191" t="str">
        <f>_xll.BDP("793323TX Muni","BB_COMPOSITE")</f>
        <v>#N/A Requesting Data...</v>
      </c>
      <c r="T191" t="str">
        <f>_xll.BDP("793323TX Muni","LQA_LIQUIDITY_SCORE")</f>
        <v>#N/A Requesting Data...</v>
      </c>
    </row>
    <row r="192" spans="1:20" x14ac:dyDescent="0.25">
      <c r="A192" t="str">
        <f>_xll.BDP("684554EE Muni","ID_CUSIP")</f>
        <v>#N/A Requesting Data...</v>
      </c>
      <c r="B192" t="s">
        <v>122</v>
      </c>
      <c r="C192" t="str">
        <f>_xll.BDP("684554EE Muni","INSURANCE_STATUS")</f>
        <v>#N/A Requesting Data...</v>
      </c>
      <c r="D192" t="str">
        <f>_xll.BDP("684554EE Muni","STATE_CODE")</f>
        <v>#N/A Requesting Data...</v>
      </c>
      <c r="E192" t="str">
        <f>_xll.BDP("684554EE Muni","COUNTY_LOCATION_ISSUER")</f>
        <v>#N/A Requesting Data...</v>
      </c>
      <c r="F192" t="str">
        <f>_xll.BDP("684554EE Muni","DUR_ADJ_MID")</f>
        <v>#N/A Requesting Data...</v>
      </c>
      <c r="G192" t="str">
        <f>_xll.BDP("684554EE Muni","SPREAD_AT_ISSUANCE_TO_WORST")</f>
        <v>#N/A Requesting Data...</v>
      </c>
      <c r="H192" t="str">
        <f>_xll.BDP("684554EE Muni","ISSUE_DT")</f>
        <v>#N/A Requesting Data...</v>
      </c>
      <c r="I192" t="str">
        <f>_xll.BDS("684554EE Muni","MUNI_PURPOSE_SCHED", "aggregate=y")</f>
        <v>#N/A Review</v>
      </c>
      <c r="J192" t="str">
        <f>_xll.BDP("684554EE Muni","CPN")</f>
        <v>#N/A Requesting Data...</v>
      </c>
      <c r="K192" t="str">
        <f>_xll.BDP("684554EE Muni","MATURITY")</f>
        <v>#N/A Requesting Data...</v>
      </c>
      <c r="L192">
        <v>3970000</v>
      </c>
      <c r="M192" t="str">
        <f>_xll.BDP("684554EE Muni","YIELD_ON_ISSUE_DATE")</f>
        <v>#N/A Requesting Data...</v>
      </c>
      <c r="N192" t="str">
        <f>_xll.BDP("684554EE Muni","YTW_SPREAD_TO_MATURITY_AT_ISSU")</f>
        <v>#N/A Requesting Data...</v>
      </c>
      <c r="O192" t="str">
        <f>_xll.BDP("684554EE Muni","BVAL_MID_YTM")</f>
        <v>#N/A Requesting Data...</v>
      </c>
      <c r="P192" t="str">
        <f>_xll.BDP("684554EE Muni","MUNI_TAX_PROV")</f>
        <v>#N/A Requesting Data...</v>
      </c>
      <c r="Q192" t="str">
        <f>_xll.BDP("684554EE Muni","MUNI_FED_TAX")</f>
        <v>#N/A Requesting Data...</v>
      </c>
      <c r="R192" t="str">
        <f>_xll.BDP("684554EE Muni","MUNI_MSRB_VOLUME")</f>
        <v>#N/A Requesting Data...</v>
      </c>
      <c r="S192" t="str">
        <f>_xll.BDP("684554EE Muni","BB_COMPOSITE")</f>
        <v>#N/A Requesting Data...</v>
      </c>
      <c r="T192" t="str">
        <f>_xll.BDP("684554EE Muni","LQA_LIQUIDITY_SCORE")</f>
        <v>#N/A Requesting Data...</v>
      </c>
    </row>
    <row r="193" spans="1:20" x14ac:dyDescent="0.25">
      <c r="A193" t="str">
        <f>_xll.BDP("373064B2 Muni","ID_CUSIP")</f>
        <v>#N/A Requesting Data...</v>
      </c>
      <c r="B193" t="s">
        <v>97</v>
      </c>
      <c r="C193" t="str">
        <f>_xll.BDP("373064B2 Muni","INSURANCE_STATUS")</f>
        <v>#N/A Requesting Data...</v>
      </c>
      <c r="D193" t="str">
        <f>_xll.BDP("373064B2 Muni","STATE_CODE")</f>
        <v>#N/A Requesting Data...</v>
      </c>
      <c r="E193" t="str">
        <f>_xll.BDP("373064B2 Muni","COUNTY_LOCATION_ISSUER")</f>
        <v>#N/A Requesting Data...</v>
      </c>
      <c r="F193" t="str">
        <f>_xll.BDP("373064B2 Muni","DUR_ADJ_MID")</f>
        <v>#N/A Requesting Data...</v>
      </c>
      <c r="G193" t="str">
        <f>_xll.BDP("373064B2 Muni","SPREAD_AT_ISSUANCE_TO_WORST")</f>
        <v>#N/A Requesting Data...</v>
      </c>
      <c r="H193" t="str">
        <f>_xll.BDP("373064B2 Muni","ISSUE_DT")</f>
        <v>#N/A Requesting Data...</v>
      </c>
      <c r="I193" t="str">
        <f>_xll.BDS("373064B2 Muni","MUNI_PURPOSE_SCHED", "aggregate=y")</f>
        <v>#N/A Review</v>
      </c>
      <c r="J193" t="str">
        <f>_xll.BDP("373064B2 Muni","CPN")</f>
        <v>#N/A Requesting Data...</v>
      </c>
      <c r="K193" t="str">
        <f>_xll.BDP("373064B2 Muni","MATURITY")</f>
        <v>#N/A Requesting Data...</v>
      </c>
      <c r="L193">
        <v>435000</v>
      </c>
      <c r="M193" t="str">
        <f>_xll.BDP("373064B2 Muni","YIELD_ON_ISSUE_DATE")</f>
        <v>#N/A Requesting Data...</v>
      </c>
      <c r="N193" t="str">
        <f>_xll.BDP("373064B2 Muni","YTW_SPREAD_TO_MATURITY_AT_ISSU")</f>
        <v>#N/A Requesting Data...</v>
      </c>
      <c r="O193" t="str">
        <f>_xll.BDP("373064B2 Muni","BVAL_MID_YTM")</f>
        <v>#N/A Requesting Data...</v>
      </c>
      <c r="P193" t="str">
        <f>_xll.BDP("373064B2 Muni","MUNI_TAX_PROV")</f>
        <v>#N/A Requesting Data...</v>
      </c>
      <c r="Q193" t="str">
        <f>_xll.BDP("373064B2 Muni","MUNI_FED_TAX")</f>
        <v>#N/A Requesting Data...</v>
      </c>
      <c r="R193" t="str">
        <f>_xll.BDP("373064B2 Muni","MUNI_MSRB_VOLUME")</f>
        <v>#N/A Requesting Data...</v>
      </c>
      <c r="S193" t="str">
        <f>_xll.BDP("373064B2 Muni","BB_COMPOSITE")</f>
        <v>#N/A Requesting Data...</v>
      </c>
      <c r="T193" t="str">
        <f>_xll.BDP("373064B2 Muni","LQA_LIQUIDITY_SCORE")</f>
        <v>#N/A Requesting Data...</v>
      </c>
    </row>
    <row r="194" spans="1:20" x14ac:dyDescent="0.25">
      <c r="A194" t="str">
        <f>_xll.BDP("602431JP Muni","ID_CUSIP")</f>
        <v>#N/A Requesting Data...</v>
      </c>
      <c r="B194" t="s">
        <v>123</v>
      </c>
      <c r="C194" t="str">
        <f>_xll.BDP("602431JP Muni","INSURANCE_STATUS")</f>
        <v>#N/A Requesting Data...</v>
      </c>
      <c r="D194" t="str">
        <f>_xll.BDP("602431JP Muni","STATE_CODE")</f>
        <v>#N/A Requesting Data...</v>
      </c>
      <c r="E194" t="str">
        <f>_xll.BDP("602431JP Muni","COUNTY_LOCATION_ISSUER")</f>
        <v>#N/A Requesting Data...</v>
      </c>
      <c r="F194" t="str">
        <f>_xll.BDP("602431JP Muni","DUR_ADJ_MID")</f>
        <v>#N/A Requesting Data...</v>
      </c>
      <c r="G194" t="str">
        <f>_xll.BDP("602431JP Muni","SPREAD_AT_ISSUANCE_TO_WORST")</f>
        <v>#N/A Requesting Data...</v>
      </c>
      <c r="H194" t="str">
        <f>_xll.BDP("602431JP Muni","ISSUE_DT")</f>
        <v>#N/A Requesting Data...</v>
      </c>
      <c r="I194" t="str">
        <f>_xll.BDS("602431JP Muni","MUNI_PURPOSE_SCHED", "aggregate=y")</f>
        <v>#N/A Review</v>
      </c>
      <c r="J194" t="str">
        <f>_xll.BDP("602431JP Muni","CPN")</f>
        <v>#N/A Requesting Data...</v>
      </c>
      <c r="K194" t="str">
        <f>_xll.BDP("602431JP Muni","MATURITY")</f>
        <v>#N/A Requesting Data...</v>
      </c>
      <c r="L194">
        <v>465000</v>
      </c>
      <c r="M194" t="str">
        <f>_xll.BDP("602431JP Muni","YIELD_ON_ISSUE_DATE")</f>
        <v>#N/A Requesting Data...</v>
      </c>
      <c r="N194" t="str">
        <f>_xll.BDP("602431JP Muni","YTW_SPREAD_TO_MATURITY_AT_ISSU")</f>
        <v>#N/A Requesting Data...</v>
      </c>
      <c r="O194" t="str">
        <f>_xll.BDP("602431JP Muni","BVAL_MID_YTM")</f>
        <v>#N/A Requesting Data...</v>
      </c>
      <c r="P194" t="str">
        <f>_xll.BDP("602431JP Muni","MUNI_TAX_PROV")</f>
        <v>#N/A Requesting Data...</v>
      </c>
      <c r="Q194" t="str">
        <f>_xll.BDP("602431JP Muni","MUNI_FED_TAX")</f>
        <v>#N/A Requesting Data...</v>
      </c>
      <c r="R194" t="str">
        <f>_xll.BDP("602431JP Muni","MUNI_MSRB_VOLUME")</f>
        <v>#N/A Requesting Data...</v>
      </c>
      <c r="S194" t="str">
        <f>_xll.BDP("602431JP Muni","BB_COMPOSITE")</f>
        <v>#N/A Requesting Data...</v>
      </c>
      <c r="T194" t="str">
        <f>_xll.BDP("602431JP Muni","LQA_LIQUIDITY_SCORE")</f>
        <v>#N/A Requesting Data...</v>
      </c>
    </row>
    <row r="195" spans="1:20" x14ac:dyDescent="0.25">
      <c r="A195" t="str">
        <f>_xll.BDP("45506DYJ Muni","ID_CUSIP")</f>
        <v>#N/A Requesting Data...</v>
      </c>
      <c r="B195" t="s">
        <v>42</v>
      </c>
      <c r="C195" t="str">
        <f>_xll.BDP("45506DYJ Muni","INSURANCE_STATUS")</f>
        <v>#N/A Requesting Data...</v>
      </c>
      <c r="D195" t="str">
        <f>_xll.BDP("45506DYJ Muni","STATE_CODE")</f>
        <v>#N/A Requesting Data...</v>
      </c>
      <c r="E195" t="str">
        <f>_xll.BDP("45506DYJ Muni","COUNTY_LOCATION_ISSUER")</f>
        <v>#N/A Requesting Data...</v>
      </c>
      <c r="F195" t="str">
        <f>_xll.BDP("45506DYJ Muni","DUR_ADJ_MID")</f>
        <v>#N/A Requesting Data...</v>
      </c>
      <c r="G195" t="str">
        <f>_xll.BDP("45506DYJ Muni","SPREAD_AT_ISSUANCE_TO_WORST")</f>
        <v>#N/A Requesting Data...</v>
      </c>
      <c r="H195" t="str">
        <f>_xll.BDP("45506DYJ Muni","ISSUE_DT")</f>
        <v>#N/A Requesting Data...</v>
      </c>
      <c r="I195" t="str">
        <f>_xll.BDS("45506DYJ Muni","MUNI_PURPOSE_SCHED", "aggregate=y")</f>
        <v>#N/A Review</v>
      </c>
      <c r="J195" t="str">
        <f>_xll.BDP("45506DYJ Muni","CPN")</f>
        <v>#N/A Requesting Data...</v>
      </c>
      <c r="K195" t="str">
        <f>_xll.BDP("45506DYJ Muni","MATURITY")</f>
        <v>#N/A Requesting Data...</v>
      </c>
      <c r="L195">
        <v>2100000</v>
      </c>
      <c r="M195" t="str">
        <f>_xll.BDP("45506DYJ Muni","YIELD_ON_ISSUE_DATE")</f>
        <v>#N/A Requesting Data...</v>
      </c>
      <c r="N195" t="str">
        <f>_xll.BDP("45506DYJ Muni","YTW_SPREAD_TO_MATURITY_AT_ISSU")</f>
        <v>#N/A Requesting Data...</v>
      </c>
      <c r="O195" t="str">
        <f>_xll.BDP("45506DYJ Muni","BVAL_MID_YTM")</f>
        <v>#N/A Requesting Data...</v>
      </c>
      <c r="P195" t="str">
        <f>_xll.BDP("45506DYJ Muni","MUNI_TAX_PROV")</f>
        <v>#N/A Requesting Data...</v>
      </c>
      <c r="Q195" t="str">
        <f>_xll.BDP("45506DYJ Muni","MUNI_FED_TAX")</f>
        <v>#N/A Requesting Data...</v>
      </c>
      <c r="R195" t="str">
        <f>_xll.BDP("45506DYJ Muni","MUNI_MSRB_VOLUME")</f>
        <v>#N/A Requesting Data...</v>
      </c>
      <c r="S195" t="str">
        <f>_xll.BDP("45506DYJ Muni","BB_COMPOSITE")</f>
        <v>#N/A Requesting Data...</v>
      </c>
      <c r="T195" t="str">
        <f>_xll.BDP("45506DYJ Muni","LQA_LIQUIDITY_SCORE")</f>
        <v>#N/A Requesting Data...</v>
      </c>
    </row>
    <row r="196" spans="1:20" x14ac:dyDescent="0.25">
      <c r="A196" t="str">
        <f>_xll.BDP("509624ND Muni","ID_CUSIP")</f>
        <v>#N/A Requesting Data...</v>
      </c>
      <c r="B196" t="s">
        <v>119</v>
      </c>
      <c r="C196" t="str">
        <f>_xll.BDP("509624ND Muni","INSURANCE_STATUS")</f>
        <v>#N/A Requesting Data...</v>
      </c>
      <c r="D196" t="str">
        <f>_xll.BDP("509624ND Muni","STATE_CODE")</f>
        <v>#N/A Requesting Data...</v>
      </c>
      <c r="E196" t="str">
        <f>_xll.BDP("509624ND Muni","COUNTY_LOCATION_ISSUER")</f>
        <v>#N/A Requesting Data...</v>
      </c>
      <c r="F196" t="str">
        <f>_xll.BDP("509624ND Muni","DUR_ADJ_MID")</f>
        <v>#N/A Requesting Data...</v>
      </c>
      <c r="G196" t="str">
        <f>_xll.BDP("509624ND Muni","SPREAD_AT_ISSUANCE_TO_WORST")</f>
        <v>#N/A Requesting Data...</v>
      </c>
      <c r="H196" t="str">
        <f>_xll.BDP("509624ND Muni","ISSUE_DT")</f>
        <v>#N/A Requesting Data...</v>
      </c>
      <c r="I196" t="str">
        <f>_xll.BDS("509624ND Muni","MUNI_PURPOSE_SCHED", "aggregate=y")</f>
        <v>#N/A Review</v>
      </c>
      <c r="J196" t="str">
        <f>_xll.BDP("509624ND Muni","CPN")</f>
        <v>#N/A Requesting Data...</v>
      </c>
      <c r="K196" t="str">
        <f>_xll.BDP("509624ND Muni","MATURITY")</f>
        <v>#N/A Requesting Data...</v>
      </c>
      <c r="L196">
        <v>710000</v>
      </c>
      <c r="M196" t="str">
        <f>_xll.BDP("509624ND Muni","YIELD_ON_ISSUE_DATE")</f>
        <v>#N/A Requesting Data...</v>
      </c>
      <c r="N196" t="str">
        <f>_xll.BDP("509624ND Muni","YTW_SPREAD_TO_MATURITY_AT_ISSU")</f>
        <v>#N/A Requesting Data...</v>
      </c>
      <c r="O196" t="str">
        <f>_xll.BDP("509624ND Muni","BVAL_MID_YTM")</f>
        <v>#N/A Requesting Data...</v>
      </c>
      <c r="P196" t="str">
        <f>_xll.BDP("509624ND Muni","MUNI_TAX_PROV")</f>
        <v>#N/A Requesting Data...</v>
      </c>
      <c r="Q196" t="str">
        <f>_xll.BDP("509624ND Muni","MUNI_FED_TAX")</f>
        <v>#N/A Requesting Data...</v>
      </c>
      <c r="R196" t="str">
        <f>_xll.BDP("509624ND Muni","MUNI_MSRB_VOLUME")</f>
        <v>#N/A Requesting Data...</v>
      </c>
      <c r="S196" t="str">
        <f>_xll.BDP("509624ND Muni","BB_COMPOSITE")</f>
        <v>#N/A Requesting Data...</v>
      </c>
      <c r="T196" t="str">
        <f>_xll.BDP("509624ND Muni","LQA_LIQUIDITY_SCORE")</f>
        <v>#N/A Requesting Data...</v>
      </c>
    </row>
    <row r="197" spans="1:20" x14ac:dyDescent="0.25">
      <c r="A197" t="str">
        <f>_xll.BDP("579083SK Muni","ID_CUSIP")</f>
        <v>#N/A Requesting Data...</v>
      </c>
      <c r="B197" t="s">
        <v>124</v>
      </c>
      <c r="C197" t="str">
        <f>_xll.BDP("579083SK Muni","INSURANCE_STATUS")</f>
        <v>#N/A Requesting Data...</v>
      </c>
      <c r="D197" t="str">
        <f>_xll.BDP("579083SK Muni","STATE_CODE")</f>
        <v>#N/A Requesting Data...</v>
      </c>
      <c r="E197" t="str">
        <f>_xll.BDP("579083SK Muni","COUNTY_LOCATION_ISSUER")</f>
        <v>#N/A Requesting Data...</v>
      </c>
      <c r="F197" t="str">
        <f>_xll.BDP("579083SK Muni","DUR_ADJ_MID")</f>
        <v>#N/A Requesting Data...</v>
      </c>
      <c r="G197" t="str">
        <f>_xll.BDP("579083SK Muni","SPREAD_AT_ISSUANCE_TO_WORST")</f>
        <v>#N/A Requesting Data...</v>
      </c>
      <c r="H197" t="str">
        <f>_xll.BDP("579083SK Muni","ISSUE_DT")</f>
        <v>#N/A Requesting Data...</v>
      </c>
      <c r="I197" t="str">
        <f>_xll.BDS("579083SK Muni","MUNI_PURPOSE_SCHED", "aggregate=y")</f>
        <v>#N/A Review</v>
      </c>
      <c r="J197" t="str">
        <f>_xll.BDP("579083SK Muni","CPN")</f>
        <v>#N/A Requesting Data...</v>
      </c>
      <c r="K197" t="str">
        <f>_xll.BDP("579083SK Muni","MATURITY")</f>
        <v>#N/A Requesting Data...</v>
      </c>
      <c r="L197">
        <v>665000</v>
      </c>
      <c r="M197" t="str">
        <f>_xll.BDP("579083SK Muni","YIELD_ON_ISSUE_DATE")</f>
        <v>#N/A Requesting Data...</v>
      </c>
      <c r="N197" t="str">
        <f>_xll.BDP("579083SK Muni","YTW_SPREAD_TO_MATURITY_AT_ISSU")</f>
        <v>#N/A Requesting Data...</v>
      </c>
      <c r="O197" t="str">
        <f>_xll.BDP("579083SK Muni","BVAL_MID_YTM")</f>
        <v>#N/A Requesting Data...</v>
      </c>
      <c r="P197" t="str">
        <f>_xll.BDP("579083SK Muni","MUNI_TAX_PROV")</f>
        <v>#N/A Requesting Data...</v>
      </c>
      <c r="Q197" t="str">
        <f>_xll.BDP("579083SK Muni","MUNI_FED_TAX")</f>
        <v>#N/A Requesting Data...</v>
      </c>
      <c r="R197" t="str">
        <f>_xll.BDP("579083SK Muni","MUNI_MSRB_VOLUME")</f>
        <v>#N/A Requesting Data...</v>
      </c>
      <c r="S197" t="str">
        <f>_xll.BDP("579083SK Muni","BB_COMPOSITE")</f>
        <v>#N/A Requesting Data...</v>
      </c>
      <c r="T197" t="str">
        <f>_xll.BDP("579083SK Muni","LQA_LIQUIDITY_SCORE")</f>
        <v>#N/A Requesting Data...</v>
      </c>
    </row>
    <row r="198" spans="1:20" x14ac:dyDescent="0.25">
      <c r="A198" t="str">
        <f>_xll.BDP("769595BW Muni","ID_CUSIP")</f>
        <v>#N/A Requesting Data...</v>
      </c>
      <c r="B198" t="s">
        <v>125</v>
      </c>
      <c r="C198" t="str">
        <f>_xll.BDP("769595BW Muni","INSURANCE_STATUS")</f>
        <v>#N/A Requesting Data...</v>
      </c>
      <c r="D198" t="str">
        <f>_xll.BDP("769595BW Muni","STATE_CODE")</f>
        <v>#N/A Requesting Data...</v>
      </c>
      <c r="E198" t="str">
        <f>_xll.BDP("769595BW Muni","COUNTY_LOCATION_ISSUER")</f>
        <v>#N/A Requesting Data...</v>
      </c>
      <c r="F198" t="str">
        <f>_xll.BDP("769595BW Muni","DUR_ADJ_MID")</f>
        <v>#N/A Requesting Data...</v>
      </c>
      <c r="G198" t="str">
        <f>_xll.BDP("769595BW Muni","SPREAD_AT_ISSUANCE_TO_WORST")</f>
        <v>#N/A Requesting Data...</v>
      </c>
      <c r="H198" t="str">
        <f>_xll.BDP("769595BW Muni","ISSUE_DT")</f>
        <v>#N/A Requesting Data...</v>
      </c>
      <c r="I198" t="str">
        <f>_xll.BDS("769595BW Muni","MUNI_PURPOSE_SCHED", "aggregate=y")</f>
        <v>#N/A Review</v>
      </c>
      <c r="J198" t="str">
        <f>_xll.BDP("769595BW Muni","CPN")</f>
        <v>#N/A Requesting Data...</v>
      </c>
      <c r="K198" t="str">
        <f>_xll.BDP("769595BW Muni","MATURITY")</f>
        <v>#N/A Requesting Data...</v>
      </c>
      <c r="L198">
        <v>1130000</v>
      </c>
      <c r="M198" t="str">
        <f>_xll.BDP("769595BW Muni","YIELD_ON_ISSUE_DATE")</f>
        <v>#N/A Requesting Data...</v>
      </c>
      <c r="N198" t="str">
        <f>_xll.BDP("769595BW Muni","YTW_SPREAD_TO_MATURITY_AT_ISSU")</f>
        <v>#N/A Requesting Data...</v>
      </c>
      <c r="O198" t="str">
        <f>_xll.BDP("769595BW Muni","BVAL_MID_YTM")</f>
        <v>#N/A Requesting Data...</v>
      </c>
      <c r="P198" t="str">
        <f>_xll.BDP("769595BW Muni","MUNI_TAX_PROV")</f>
        <v>#N/A Requesting Data...</v>
      </c>
      <c r="Q198" t="str">
        <f>_xll.BDP("769595BW Muni","MUNI_FED_TAX")</f>
        <v>#N/A Requesting Data...</v>
      </c>
      <c r="R198" t="str">
        <f>_xll.BDP("769595BW Muni","MUNI_MSRB_VOLUME")</f>
        <v>#N/A Requesting Data...</v>
      </c>
      <c r="S198" t="str">
        <f>_xll.BDP("769595BW Muni","BB_COMPOSITE")</f>
        <v>#N/A Requesting Data...</v>
      </c>
      <c r="T198" t="str">
        <f>_xll.BDP("769595BW Muni","LQA_LIQUIDITY_SCORE")</f>
        <v>#N/A Requesting Data...</v>
      </c>
    </row>
    <row r="199" spans="1:20" x14ac:dyDescent="0.25">
      <c r="A199" t="str">
        <f>_xll.BDP("65956NGP Muni","ID_CUSIP")</f>
        <v>#N/A Requesting Data...</v>
      </c>
      <c r="B199" t="s">
        <v>120</v>
      </c>
      <c r="C199" t="str">
        <f>_xll.BDP("65956NGP Muni","INSURANCE_STATUS")</f>
        <v>#N/A Requesting Data...</v>
      </c>
      <c r="D199" t="str">
        <f>_xll.BDP("65956NGP Muni","STATE_CODE")</f>
        <v>#N/A Requesting Data...</v>
      </c>
      <c r="E199" t="str">
        <f>_xll.BDP("65956NGP Muni","COUNTY_LOCATION_ISSUER")</f>
        <v>#N/A Requesting Data...</v>
      </c>
      <c r="F199" t="str">
        <f>_xll.BDP("65956NGP Muni","DUR_ADJ_MID")</f>
        <v>#N/A Requesting Data...</v>
      </c>
      <c r="G199" t="str">
        <f>_xll.BDP("65956NGP Muni","SPREAD_AT_ISSUANCE_TO_WORST")</f>
        <v>#N/A Requesting Data...</v>
      </c>
      <c r="H199" t="str">
        <f>_xll.BDP("65956NGP Muni","ISSUE_DT")</f>
        <v>#N/A Requesting Data...</v>
      </c>
      <c r="I199" t="str">
        <f>_xll.BDS("65956NGP Muni","MUNI_PURPOSE_SCHED", "aggregate=y")</f>
        <v>#N/A Review</v>
      </c>
      <c r="J199" t="str">
        <f>_xll.BDP("65956NGP Muni","CPN")</f>
        <v>#N/A Requesting Data...</v>
      </c>
      <c r="K199" t="str">
        <f>_xll.BDP("65956NGP Muni","MATURITY")</f>
        <v>#N/A Requesting Data...</v>
      </c>
      <c r="L199">
        <v>9990000</v>
      </c>
      <c r="M199" t="str">
        <f>_xll.BDP("65956NGP Muni","YIELD_ON_ISSUE_DATE")</f>
        <v>#N/A Requesting Data...</v>
      </c>
      <c r="N199" t="str">
        <f>_xll.BDP("65956NGP Muni","YTW_SPREAD_TO_MATURITY_AT_ISSU")</f>
        <v>#N/A Requesting Data...</v>
      </c>
      <c r="O199" t="str">
        <f>_xll.BDP("65956NGP Muni","BVAL_MID_YTM")</f>
        <v>#N/A Requesting Data...</v>
      </c>
      <c r="P199" t="str">
        <f>_xll.BDP("65956NGP Muni","MUNI_TAX_PROV")</f>
        <v>#N/A Requesting Data...</v>
      </c>
      <c r="Q199" t="str">
        <f>_xll.BDP("65956NGP Muni","MUNI_FED_TAX")</f>
        <v>#N/A Requesting Data...</v>
      </c>
      <c r="R199" t="str">
        <f>_xll.BDP("65956NGP Muni","MUNI_MSRB_VOLUME")</f>
        <v>#N/A Requesting Data...</v>
      </c>
      <c r="S199" t="str">
        <f>_xll.BDP("65956NGP Muni","BB_COMPOSITE")</f>
        <v>#N/A Requesting Data...</v>
      </c>
      <c r="T199" t="str">
        <f>_xll.BDP("65956NGP Muni","LQA_LIQUIDITY_SCORE")</f>
        <v>#N/A Requesting Data...</v>
      </c>
    </row>
    <row r="200" spans="1:20" x14ac:dyDescent="0.25">
      <c r="A200" t="str">
        <f>_xll.BDP("882723K9 Muni","ID_CUSIP")</f>
        <v>#N/A Requesting Data...</v>
      </c>
      <c r="B200" t="s">
        <v>95</v>
      </c>
      <c r="C200" t="str">
        <f>_xll.BDP("882723K9 Muni","INSURANCE_STATUS")</f>
        <v>#N/A Requesting Data...</v>
      </c>
      <c r="D200" t="str">
        <f>_xll.BDP("882723K9 Muni","STATE_CODE")</f>
        <v>#N/A Requesting Data...</v>
      </c>
      <c r="E200" t="str">
        <f>_xll.BDP("882723K9 Muni","COUNTY_LOCATION_ISSUER")</f>
        <v>#N/A Requesting Data...</v>
      </c>
      <c r="F200" t="str">
        <f>_xll.BDP("882723K9 Muni","DUR_ADJ_MID")</f>
        <v>#N/A Requesting Data...</v>
      </c>
      <c r="G200" t="str">
        <f>_xll.BDP("882723K9 Muni","SPREAD_AT_ISSUANCE_TO_WORST")</f>
        <v>#N/A Requesting Data...</v>
      </c>
      <c r="H200" t="str">
        <f>_xll.BDP("882723K9 Muni","ISSUE_DT")</f>
        <v>#N/A Requesting Data...</v>
      </c>
      <c r="I200" t="str">
        <f>_xll.BDS("882723K9 Muni","MUNI_PURPOSE_SCHED", "aggregate=y")</f>
        <v>#N/A Review</v>
      </c>
      <c r="J200" t="str">
        <f>_xll.BDP("882723K9 Muni","CPN")</f>
        <v>#N/A Requesting Data...</v>
      </c>
      <c r="K200" t="str">
        <f>_xll.BDP("882723K9 Muni","MATURITY")</f>
        <v>#N/A Requesting Data...</v>
      </c>
      <c r="L200">
        <v>2325000</v>
      </c>
      <c r="M200" t="str">
        <f>_xll.BDP("882723K9 Muni","YIELD_ON_ISSUE_DATE")</f>
        <v>#N/A Requesting Data...</v>
      </c>
      <c r="N200" t="str">
        <f>_xll.BDP("882723K9 Muni","YTW_SPREAD_TO_MATURITY_AT_ISSU")</f>
        <v>#N/A Requesting Data...</v>
      </c>
      <c r="O200" t="str">
        <f>_xll.BDP("882723K9 Muni","BVAL_MID_YTM")</f>
        <v>#N/A Requesting Data...</v>
      </c>
      <c r="P200" t="str">
        <f>_xll.BDP("882723K9 Muni","MUNI_TAX_PROV")</f>
        <v>#N/A Requesting Data...</v>
      </c>
      <c r="Q200" t="str">
        <f>_xll.BDP("882723K9 Muni","MUNI_FED_TAX")</f>
        <v>#N/A Requesting Data...</v>
      </c>
      <c r="R200" t="str">
        <f>_xll.BDP("882723K9 Muni","MUNI_MSRB_VOLUME")</f>
        <v>#N/A Requesting Data...</v>
      </c>
      <c r="S200" t="str">
        <f>_xll.BDP("882723K9 Muni","BB_COMPOSITE")</f>
        <v>#N/A Requesting Data...</v>
      </c>
      <c r="T200" t="str">
        <f>_xll.BDP("882723K9 Muni","LQA_LIQUIDITY_SCORE")</f>
        <v>#N/A Requesting Data...</v>
      </c>
    </row>
    <row r="201" spans="1:20" x14ac:dyDescent="0.25">
      <c r="A201" t="str">
        <f>_xll.BDP("882854YB Muni","ID_CUSIP")</f>
        <v>#N/A Requesting Data...</v>
      </c>
      <c r="B201" t="s">
        <v>23</v>
      </c>
      <c r="C201" t="str">
        <f>_xll.BDP("882854YB Muni","INSURANCE_STATUS")</f>
        <v>#N/A Requesting Data...</v>
      </c>
      <c r="D201" t="str">
        <f>_xll.BDP("882854YB Muni","STATE_CODE")</f>
        <v>#N/A Requesting Data...</v>
      </c>
      <c r="E201" t="str">
        <f>_xll.BDP("882854YB Muni","COUNTY_LOCATION_ISSUER")</f>
        <v>#N/A Requesting Data...</v>
      </c>
      <c r="F201" t="str">
        <f>_xll.BDP("882854YB Muni","DUR_ADJ_MID")</f>
        <v>#N/A Requesting Data...</v>
      </c>
      <c r="G201" t="str">
        <f>_xll.BDP("882854YB Muni","SPREAD_AT_ISSUANCE_TO_WORST")</f>
        <v>#N/A Requesting Data...</v>
      </c>
      <c r="H201" t="str">
        <f>_xll.BDP("882854YB Muni","ISSUE_DT")</f>
        <v>#N/A Requesting Data...</v>
      </c>
      <c r="I201" t="str">
        <f>_xll.BDS("882854YB Muni","MUNI_PURPOSE_SCHED", "aggregate=y")</f>
        <v>#N/A Review</v>
      </c>
      <c r="J201" t="str">
        <f>_xll.BDP("882854YB Muni","CPN")</f>
        <v>#N/A Requesting Data...</v>
      </c>
      <c r="K201" t="str">
        <f>_xll.BDP("882854YB Muni","MATURITY")</f>
        <v>#N/A Requesting Data...</v>
      </c>
      <c r="L201">
        <v>11205000</v>
      </c>
      <c r="M201" t="str">
        <f>_xll.BDP("882854YB Muni","YIELD_ON_ISSUE_DATE")</f>
        <v>#N/A Requesting Data...</v>
      </c>
      <c r="N201" t="str">
        <f>_xll.BDP("882854YB Muni","YTW_SPREAD_TO_MATURITY_AT_ISSU")</f>
        <v>#N/A Requesting Data...</v>
      </c>
      <c r="O201" t="str">
        <f>_xll.BDP("882854YB Muni","BVAL_MID_YTM")</f>
        <v>#N/A Requesting Data...</v>
      </c>
      <c r="P201" t="str">
        <f>_xll.BDP("882854YB Muni","MUNI_TAX_PROV")</f>
        <v>#N/A Requesting Data...</v>
      </c>
      <c r="Q201" t="str">
        <f>_xll.BDP("882854YB Muni","MUNI_FED_TAX")</f>
        <v>#N/A Requesting Data...</v>
      </c>
      <c r="R201" t="str">
        <f>_xll.BDP("882854YB Muni","MUNI_MSRB_VOLUME")</f>
        <v>#N/A Requesting Data...</v>
      </c>
      <c r="S201" t="str">
        <f>_xll.BDP("882854YB Muni","BB_COMPOSITE")</f>
        <v>#N/A Requesting Data...</v>
      </c>
      <c r="T201" t="str">
        <f>_xll.BDP("882854YB Muni","LQA_LIQUIDITY_SCORE")</f>
        <v>#N/A Requesting Data...</v>
      </c>
    </row>
    <row r="202" spans="1:20" x14ac:dyDescent="0.25">
      <c r="A202" t="str">
        <f>_xll.BDP("93974DZA Muni","ID_CUSIP")</f>
        <v>#N/A Requesting Data...</v>
      </c>
      <c r="B202" t="s">
        <v>67</v>
      </c>
      <c r="C202" t="str">
        <f>_xll.BDP("93974DZA Muni","INSURANCE_STATUS")</f>
        <v>#N/A Requesting Data...</v>
      </c>
      <c r="D202" t="str">
        <f>_xll.BDP("93974DZA Muni","STATE_CODE")</f>
        <v>#N/A Requesting Data...</v>
      </c>
      <c r="E202" t="str">
        <f>_xll.BDP("93974DZA Muni","COUNTY_LOCATION_ISSUER")</f>
        <v>#N/A Requesting Data...</v>
      </c>
      <c r="F202" t="str">
        <f>_xll.BDP("93974DZA Muni","DUR_ADJ_MID")</f>
        <v>#N/A Requesting Data...</v>
      </c>
      <c r="G202" t="str">
        <f>_xll.BDP("93974DZA Muni","SPREAD_AT_ISSUANCE_TO_WORST")</f>
        <v>#N/A Requesting Data...</v>
      </c>
      <c r="H202" t="str">
        <f>_xll.BDP("93974DZA Muni","ISSUE_DT")</f>
        <v>#N/A Requesting Data...</v>
      </c>
      <c r="I202" t="str">
        <f>_xll.BDS("93974DZA Muni","MUNI_PURPOSE_SCHED", "aggregate=y")</f>
        <v>#N/A Review</v>
      </c>
      <c r="J202" t="str">
        <f>_xll.BDP("93974DZA Muni","CPN")</f>
        <v>#N/A Requesting Data...</v>
      </c>
      <c r="K202" t="str">
        <f>_xll.BDP("93974DZA Muni","MATURITY")</f>
        <v>#N/A Requesting Data...</v>
      </c>
      <c r="L202">
        <v>8435000</v>
      </c>
      <c r="M202" t="str">
        <f>_xll.BDP("93974DZA Muni","YIELD_ON_ISSUE_DATE")</f>
        <v>#N/A Requesting Data...</v>
      </c>
      <c r="N202" t="str">
        <f>_xll.BDP("93974DZA Muni","YTW_SPREAD_TO_MATURITY_AT_ISSU")</f>
        <v>#N/A Requesting Data...</v>
      </c>
      <c r="O202" t="str">
        <f>_xll.BDP("93974DZA Muni","BVAL_MID_YTM")</f>
        <v>#N/A Requesting Data...</v>
      </c>
      <c r="P202" t="str">
        <f>_xll.BDP("93974DZA Muni","MUNI_TAX_PROV")</f>
        <v>#N/A Requesting Data...</v>
      </c>
      <c r="Q202" t="str">
        <f>_xll.BDP("93974DZA Muni","MUNI_FED_TAX")</f>
        <v>#N/A Requesting Data...</v>
      </c>
      <c r="R202" t="str">
        <f>_xll.BDP("93974DZA Muni","MUNI_MSRB_VOLUME")</f>
        <v>#N/A Requesting Data...</v>
      </c>
      <c r="S202" t="str">
        <f>_xll.BDP("93974DZA Muni","BB_COMPOSITE")</f>
        <v>#N/A Requesting Data...</v>
      </c>
      <c r="T202" t="str">
        <f>_xll.BDP("93974DZA Muni","LQA_LIQUIDITY_SCORE")</f>
        <v>#N/A Requesting Data...</v>
      </c>
    </row>
    <row r="203" spans="1:20" x14ac:dyDescent="0.25">
      <c r="A203" t="str">
        <f>_xll.BDP("073186LR Muni","ID_CUSIP")</f>
        <v>#N/A Requesting Data...</v>
      </c>
      <c r="B203" t="s">
        <v>126</v>
      </c>
      <c r="C203" t="str">
        <f>_xll.BDP("073186LR Muni","INSURANCE_STATUS")</f>
        <v>#N/A Requesting Data...</v>
      </c>
      <c r="D203" t="str">
        <f>_xll.BDP("073186LR Muni","STATE_CODE")</f>
        <v>#N/A Requesting Data...</v>
      </c>
      <c r="E203" t="str">
        <f>_xll.BDP("073186LR Muni","COUNTY_LOCATION_ISSUER")</f>
        <v>#N/A Requesting Data...</v>
      </c>
      <c r="F203" t="str">
        <f>_xll.BDP("073186LR Muni","DUR_ADJ_MID")</f>
        <v>#N/A Requesting Data...</v>
      </c>
      <c r="G203" t="str">
        <f>_xll.BDP("073186LR Muni","SPREAD_AT_ISSUANCE_TO_WORST")</f>
        <v>#N/A Requesting Data...</v>
      </c>
      <c r="H203" t="str">
        <f>_xll.BDP("073186LR Muni","ISSUE_DT")</f>
        <v>#N/A Requesting Data...</v>
      </c>
      <c r="I203" t="str">
        <f>_xll.BDS("073186LR Muni","MUNI_PURPOSE_SCHED", "aggregate=y")</f>
        <v>#N/A Review</v>
      </c>
      <c r="J203" t="str">
        <f>_xll.BDP("073186LR Muni","CPN")</f>
        <v>#N/A Requesting Data...</v>
      </c>
      <c r="K203" t="str">
        <f>_xll.BDP("073186LR Muni","MATURITY")</f>
        <v>#N/A Requesting Data...</v>
      </c>
      <c r="L203">
        <v>845000</v>
      </c>
      <c r="M203" t="str">
        <f>_xll.BDP("073186LR Muni","YIELD_ON_ISSUE_DATE")</f>
        <v>#N/A Requesting Data...</v>
      </c>
      <c r="N203" t="str">
        <f>_xll.BDP("073186LR Muni","YTW_SPREAD_TO_MATURITY_AT_ISSU")</f>
        <v>#N/A Requesting Data...</v>
      </c>
      <c r="O203" t="str">
        <f>_xll.BDP("073186LR Muni","BVAL_MID_YTM")</f>
        <v>#N/A Requesting Data...</v>
      </c>
      <c r="P203" t="str">
        <f>_xll.BDP("073186LR Muni","MUNI_TAX_PROV")</f>
        <v>#N/A Requesting Data...</v>
      </c>
      <c r="Q203" t="str">
        <f>_xll.BDP("073186LR Muni","MUNI_FED_TAX")</f>
        <v>#N/A Requesting Data...</v>
      </c>
      <c r="R203" t="str">
        <f>_xll.BDP("073186LR Muni","MUNI_MSRB_VOLUME")</f>
        <v>#N/A Requesting Data...</v>
      </c>
      <c r="S203" t="str">
        <f>_xll.BDP("073186LR Muni","BB_COMPOSITE")</f>
        <v>#N/A Requesting Data...</v>
      </c>
      <c r="T203" t="str">
        <f>_xll.BDP("073186LR Muni","LQA_LIQUIDITY_SCORE")</f>
        <v>#N/A Requesting Data...</v>
      </c>
    </row>
    <row r="204" spans="1:20" x14ac:dyDescent="0.25">
      <c r="A204" t="str">
        <f>_xll.BDP("034033DD Muni","ID_CUSIP")</f>
        <v>#N/A Requesting Data...</v>
      </c>
      <c r="B204" t="s">
        <v>46</v>
      </c>
      <c r="C204" t="str">
        <f>_xll.BDP("034033DD Muni","INSURANCE_STATUS")</f>
        <v>#N/A Requesting Data...</v>
      </c>
      <c r="D204" t="str">
        <f>_xll.BDP("034033DD Muni","STATE_CODE")</f>
        <v>#N/A Requesting Data...</v>
      </c>
      <c r="E204" t="str">
        <f>_xll.BDP("034033DD Muni","COUNTY_LOCATION_ISSUER")</f>
        <v>#N/A Requesting Data...</v>
      </c>
      <c r="F204" t="str">
        <f>_xll.BDP("034033DD Muni","DUR_ADJ_MID")</f>
        <v>#N/A Requesting Data...</v>
      </c>
      <c r="G204" t="str">
        <f>_xll.BDP("034033DD Muni","SPREAD_AT_ISSUANCE_TO_WORST")</f>
        <v>#N/A Requesting Data...</v>
      </c>
      <c r="H204" t="str">
        <f>_xll.BDP("034033DD Muni","ISSUE_DT")</f>
        <v>#N/A Requesting Data...</v>
      </c>
      <c r="I204" t="str">
        <f>_xll.BDS("034033DD Muni","MUNI_PURPOSE_SCHED", "aggregate=y")</f>
        <v>#N/A Review</v>
      </c>
      <c r="J204" t="str">
        <f>_xll.BDP("034033DD Muni","CPN")</f>
        <v>#N/A Requesting Data...</v>
      </c>
      <c r="K204" t="str">
        <f>_xll.BDP("034033DD Muni","MATURITY")</f>
        <v>#N/A Requesting Data...</v>
      </c>
      <c r="L204">
        <v>655000</v>
      </c>
      <c r="M204" t="str">
        <f>_xll.BDP("034033DD Muni","YIELD_ON_ISSUE_DATE")</f>
        <v>#N/A Requesting Data...</v>
      </c>
      <c r="N204" t="str">
        <f>_xll.BDP("034033DD Muni","YTW_SPREAD_TO_MATURITY_AT_ISSU")</f>
        <v>#N/A Requesting Data...</v>
      </c>
      <c r="O204" t="str">
        <f>_xll.BDP("034033DD Muni","BVAL_MID_YTM")</f>
        <v>#N/A Requesting Data...</v>
      </c>
      <c r="P204" t="str">
        <f>_xll.BDP("034033DD Muni","MUNI_TAX_PROV")</f>
        <v>#N/A Requesting Data...</v>
      </c>
      <c r="Q204" t="str">
        <f>_xll.BDP("034033DD Muni","MUNI_FED_TAX")</f>
        <v>#N/A Requesting Data...</v>
      </c>
      <c r="R204" t="str">
        <f>_xll.BDP("034033DD Muni","MUNI_MSRB_VOLUME")</f>
        <v>#N/A Requesting Data...</v>
      </c>
      <c r="S204" t="str">
        <f>_xll.BDP("034033DD Muni","BB_COMPOSITE")</f>
        <v>#N/A Requesting Data...</v>
      </c>
      <c r="T204" t="str">
        <f>_xll.BDP("034033DD Muni","LQA_LIQUIDITY_SCORE")</f>
        <v>#N/A Requesting Data...</v>
      </c>
    </row>
    <row r="205" spans="1:20" x14ac:dyDescent="0.25">
      <c r="A205" t="str">
        <f>_xll.BDP("246045MT Muni","ID_CUSIP")</f>
        <v>#N/A Requesting Data...</v>
      </c>
      <c r="B205" t="s">
        <v>89</v>
      </c>
      <c r="C205" t="str">
        <f>_xll.BDP("246045MT Muni","INSURANCE_STATUS")</f>
        <v>#N/A Requesting Data...</v>
      </c>
      <c r="D205" t="str">
        <f>_xll.BDP("246045MT Muni","STATE_CODE")</f>
        <v>#N/A Requesting Data...</v>
      </c>
      <c r="E205" t="str">
        <f>_xll.BDP("246045MT Muni","COUNTY_LOCATION_ISSUER")</f>
        <v>#N/A Requesting Data...</v>
      </c>
      <c r="F205" t="str">
        <f>_xll.BDP("246045MT Muni","DUR_ADJ_MID")</f>
        <v>#N/A Requesting Data...</v>
      </c>
      <c r="G205" t="str">
        <f>_xll.BDP("246045MT Muni","SPREAD_AT_ISSUANCE_TO_WORST")</f>
        <v>#N/A Requesting Data...</v>
      </c>
      <c r="H205" t="str">
        <f>_xll.BDP("246045MT Muni","ISSUE_DT")</f>
        <v>#N/A Requesting Data...</v>
      </c>
      <c r="I205" t="str">
        <f>_xll.BDS("246045MT Muni","MUNI_PURPOSE_SCHED", "aggregate=y")</f>
        <v>#N/A Review</v>
      </c>
      <c r="J205" t="str">
        <f>_xll.BDP("246045MT Muni","CPN")</f>
        <v>#N/A Requesting Data...</v>
      </c>
      <c r="K205" t="str">
        <f>_xll.BDP("246045MT Muni","MATURITY")</f>
        <v>#N/A Requesting Data...</v>
      </c>
      <c r="L205">
        <v>1370000</v>
      </c>
      <c r="M205" t="str">
        <f>_xll.BDP("246045MT Muni","YIELD_ON_ISSUE_DATE")</f>
        <v>#N/A Requesting Data...</v>
      </c>
      <c r="N205" t="str">
        <f>_xll.BDP("246045MT Muni","YTW_SPREAD_TO_MATURITY_AT_ISSU")</f>
        <v>#N/A Requesting Data...</v>
      </c>
      <c r="O205" t="str">
        <f>_xll.BDP("246045MT Muni","BVAL_MID_YTM")</f>
        <v>#N/A Requesting Data...</v>
      </c>
      <c r="P205" t="str">
        <f>_xll.BDP("246045MT Muni","MUNI_TAX_PROV")</f>
        <v>#N/A Requesting Data...</v>
      </c>
      <c r="Q205" t="str">
        <f>_xll.BDP("246045MT Muni","MUNI_FED_TAX")</f>
        <v>#N/A Requesting Data...</v>
      </c>
      <c r="R205" t="str">
        <f>_xll.BDP("246045MT Muni","MUNI_MSRB_VOLUME")</f>
        <v>#N/A Requesting Data...</v>
      </c>
      <c r="S205" t="str">
        <f>_xll.BDP("246045MT Muni","BB_COMPOSITE")</f>
        <v>#N/A Requesting Data...</v>
      </c>
      <c r="T205" t="str">
        <f>_xll.BDP("246045MT Muni","LQA_LIQUIDITY_SCORE")</f>
        <v>#N/A Requesting Data...</v>
      </c>
    </row>
    <row r="206" spans="1:20" x14ac:dyDescent="0.25">
      <c r="A206" t="str">
        <f>_xll.BDP("050177FA Muni","ID_CUSIP")</f>
        <v>#N/A Requesting Data...</v>
      </c>
      <c r="B206" t="s">
        <v>127</v>
      </c>
      <c r="C206" t="str">
        <f>_xll.BDP("050177FA Muni","INSURANCE_STATUS")</f>
        <v>#N/A Requesting Data...</v>
      </c>
      <c r="D206" t="str">
        <f>_xll.BDP("050177FA Muni","STATE_CODE")</f>
        <v>#N/A Requesting Data...</v>
      </c>
      <c r="E206" t="str">
        <f>_xll.BDP("050177FA Muni","COUNTY_LOCATION_ISSUER")</f>
        <v>#N/A Requesting Data...</v>
      </c>
      <c r="F206" t="str">
        <f>_xll.BDP("050177FA Muni","DUR_ADJ_MID")</f>
        <v>#N/A Requesting Data...</v>
      </c>
      <c r="G206" t="str">
        <f>_xll.BDP("050177FA Muni","SPREAD_AT_ISSUANCE_TO_WORST")</f>
        <v>#N/A Requesting Data...</v>
      </c>
      <c r="H206" t="str">
        <f>_xll.BDP("050177FA Muni","ISSUE_DT")</f>
        <v>#N/A Requesting Data...</v>
      </c>
      <c r="I206" t="str">
        <f>_xll.BDS("050177FA Muni","MUNI_PURPOSE_SCHED", "aggregate=y")</f>
        <v>#N/A Review</v>
      </c>
      <c r="J206" t="str">
        <f>_xll.BDP("050177FA Muni","CPN")</f>
        <v>#N/A Requesting Data...</v>
      </c>
      <c r="K206" t="str">
        <f>_xll.BDP("050177FA Muni","MATURITY")</f>
        <v>#N/A Requesting Data...</v>
      </c>
      <c r="L206">
        <v>215000</v>
      </c>
      <c r="M206" t="str">
        <f>_xll.BDP("050177FA Muni","YIELD_ON_ISSUE_DATE")</f>
        <v>#N/A Requesting Data...</v>
      </c>
      <c r="N206" t="str">
        <f>_xll.BDP("050177FA Muni","YTW_SPREAD_TO_MATURITY_AT_ISSU")</f>
        <v>#N/A Requesting Data...</v>
      </c>
      <c r="O206" t="str">
        <f>_xll.BDP("050177FA Muni","BVAL_MID_YTM")</f>
        <v>#N/A Requesting Data...</v>
      </c>
      <c r="P206" t="str">
        <f>_xll.BDP("050177FA Muni","MUNI_TAX_PROV")</f>
        <v>#N/A Requesting Data...</v>
      </c>
      <c r="Q206" t="str">
        <f>_xll.BDP("050177FA Muni","MUNI_FED_TAX")</f>
        <v>#N/A Requesting Data...</v>
      </c>
      <c r="R206" t="str">
        <f>_xll.BDP("050177FA Muni","MUNI_MSRB_VOLUME")</f>
        <v>#N/A Requesting Data...</v>
      </c>
      <c r="S206" t="str">
        <f>_xll.BDP("050177FA Muni","BB_COMPOSITE")</f>
        <v>#N/A Requesting Data...</v>
      </c>
      <c r="T206" t="str">
        <f>_xll.BDP("050177FA Muni","LQA_LIQUIDITY_SCORE")</f>
        <v>#N/A Requesting Data...</v>
      </c>
    </row>
    <row r="207" spans="1:20" x14ac:dyDescent="0.25">
      <c r="A207" t="str">
        <f>_xll.BDP("67919PNB Muni","ID_CUSIP")</f>
        <v>#N/A Requesting Data...</v>
      </c>
      <c r="B207" t="s">
        <v>45</v>
      </c>
      <c r="C207" t="str">
        <f>_xll.BDP("67919PNB Muni","INSURANCE_STATUS")</f>
        <v>#N/A Requesting Data...</v>
      </c>
      <c r="D207" t="str">
        <f>_xll.BDP("67919PNB Muni","STATE_CODE")</f>
        <v>#N/A Requesting Data...</v>
      </c>
      <c r="E207" t="str">
        <f>_xll.BDP("67919PNB Muni","COUNTY_LOCATION_ISSUER")</f>
        <v>#N/A Requesting Data...</v>
      </c>
      <c r="F207" t="str">
        <f>_xll.BDP("67919PNB Muni","DUR_ADJ_MID")</f>
        <v>#N/A Requesting Data...</v>
      </c>
      <c r="G207" t="str">
        <f>_xll.BDP("67919PNB Muni","SPREAD_AT_ISSUANCE_TO_WORST")</f>
        <v>#N/A Requesting Data...</v>
      </c>
      <c r="H207" t="str">
        <f>_xll.BDP("67919PNB Muni","ISSUE_DT")</f>
        <v>#N/A Requesting Data...</v>
      </c>
      <c r="I207" t="str">
        <f>_xll.BDS("67919PNB Muni","MUNI_PURPOSE_SCHED", "aggregate=y")</f>
        <v>#N/A Review</v>
      </c>
      <c r="J207" t="str">
        <f>_xll.BDP("67919PNB Muni","CPN")</f>
        <v>#N/A Requesting Data...</v>
      </c>
      <c r="K207" t="str">
        <f>_xll.BDP("67919PNB Muni","MATURITY")</f>
        <v>#N/A Requesting Data...</v>
      </c>
      <c r="L207">
        <v>3110000</v>
      </c>
      <c r="M207" t="str">
        <f>_xll.BDP("67919PNB Muni","YIELD_ON_ISSUE_DATE")</f>
        <v>#N/A Requesting Data...</v>
      </c>
      <c r="N207" t="str">
        <f>_xll.BDP("67919PNB Muni","YTW_SPREAD_TO_MATURITY_AT_ISSU")</f>
        <v>#N/A Requesting Data...</v>
      </c>
      <c r="O207" t="str">
        <f>_xll.BDP("67919PNB Muni","BVAL_MID_YTM")</f>
        <v>#N/A Requesting Data...</v>
      </c>
      <c r="P207" t="str">
        <f>_xll.BDP("67919PNB Muni","MUNI_TAX_PROV")</f>
        <v>#N/A Requesting Data...</v>
      </c>
      <c r="Q207" t="str">
        <f>_xll.BDP("67919PNB Muni","MUNI_FED_TAX")</f>
        <v>#N/A Requesting Data...</v>
      </c>
      <c r="R207" t="str">
        <f>_xll.BDP("67919PNB Muni","MUNI_MSRB_VOLUME")</f>
        <v>#N/A Requesting Data...</v>
      </c>
      <c r="S207" t="str">
        <f>_xll.BDP("67919PNB Muni","BB_COMPOSITE")</f>
        <v>#N/A Requesting Data...</v>
      </c>
      <c r="T207" t="str">
        <f>_xll.BDP("67919PNB Muni","LQA_LIQUIDITY_SCORE")</f>
        <v>#N/A Requesting Data...</v>
      </c>
    </row>
    <row r="208" spans="1:20" x14ac:dyDescent="0.25">
      <c r="A208" t="str">
        <f>_xll.BDP("67920QKB Muni","ID_CUSIP")</f>
        <v>#N/A Requesting Data...</v>
      </c>
      <c r="B208" t="s">
        <v>45</v>
      </c>
      <c r="C208" t="str">
        <f>_xll.BDP("67920QKB Muni","INSURANCE_STATUS")</f>
        <v>#N/A Requesting Data...</v>
      </c>
      <c r="D208" t="str">
        <f>_xll.BDP("67920QKB Muni","STATE_CODE")</f>
        <v>#N/A Requesting Data...</v>
      </c>
      <c r="E208" t="str">
        <f>_xll.BDP("67920QKB Muni","COUNTY_LOCATION_ISSUER")</f>
        <v>#N/A Requesting Data...</v>
      </c>
      <c r="F208" t="str">
        <f>_xll.BDP("67920QKB Muni","DUR_ADJ_MID")</f>
        <v>#N/A Requesting Data...</v>
      </c>
      <c r="G208" t="str">
        <f>_xll.BDP("67920QKB Muni","SPREAD_AT_ISSUANCE_TO_WORST")</f>
        <v>#N/A Requesting Data...</v>
      </c>
      <c r="H208" t="str">
        <f>_xll.BDP("67920QKB Muni","ISSUE_DT")</f>
        <v>#N/A Requesting Data...</v>
      </c>
      <c r="I208" t="str">
        <f>_xll.BDS("67920QKB Muni","MUNI_PURPOSE_SCHED", "aggregate=y")</f>
        <v>#N/A Review</v>
      </c>
      <c r="J208" t="str">
        <f>_xll.BDP("67920QKB Muni","CPN")</f>
        <v>#N/A Requesting Data...</v>
      </c>
      <c r="K208" t="str">
        <f>_xll.BDP("67920QKB Muni","MATURITY")</f>
        <v>#N/A Requesting Data...</v>
      </c>
      <c r="L208">
        <v>435000</v>
      </c>
      <c r="M208" t="str">
        <f>_xll.BDP("67920QKB Muni","YIELD_ON_ISSUE_DATE")</f>
        <v>#N/A Requesting Data...</v>
      </c>
      <c r="N208" t="str">
        <f>_xll.BDP("67920QKB Muni","YTW_SPREAD_TO_MATURITY_AT_ISSU")</f>
        <v>#N/A Requesting Data...</v>
      </c>
      <c r="O208" t="str">
        <f>_xll.BDP("67920QKB Muni","BVAL_MID_YTM")</f>
        <v>#N/A Requesting Data...</v>
      </c>
      <c r="P208" t="str">
        <f>_xll.BDP("67920QKB Muni","MUNI_TAX_PROV")</f>
        <v>#N/A Requesting Data...</v>
      </c>
      <c r="Q208" t="str">
        <f>_xll.BDP("67920QKB Muni","MUNI_FED_TAX")</f>
        <v>#N/A Requesting Data...</v>
      </c>
      <c r="R208" t="str">
        <f>_xll.BDP("67920QKB Muni","MUNI_MSRB_VOLUME")</f>
        <v>#N/A Requesting Data...</v>
      </c>
      <c r="S208" t="str">
        <f>_xll.BDP("67920QKB Muni","BB_COMPOSITE")</f>
        <v>#N/A Requesting Data...</v>
      </c>
      <c r="T208" t="str">
        <f>_xll.BDP("67920QKB Muni","LQA_LIQUIDITY_SCORE")</f>
        <v>#N/A Requesting Data...</v>
      </c>
    </row>
    <row r="209" spans="1:20" x14ac:dyDescent="0.25">
      <c r="A209" t="str">
        <f>_xll.BDP("823653AX Muni","ID_CUSIP")</f>
        <v>#N/A Requesting Data...</v>
      </c>
      <c r="B209" t="s">
        <v>128</v>
      </c>
      <c r="C209" t="str">
        <f>_xll.BDP("823653AX Muni","INSURANCE_STATUS")</f>
        <v>#N/A Requesting Data...</v>
      </c>
      <c r="D209" t="str">
        <f>_xll.BDP("823653AX Muni","STATE_CODE")</f>
        <v>#N/A Requesting Data...</v>
      </c>
      <c r="E209" t="str">
        <f>_xll.BDP("823653AX Muni","COUNTY_LOCATION_ISSUER")</f>
        <v>#N/A Requesting Data...</v>
      </c>
      <c r="F209" t="str">
        <f>_xll.BDP("823653AX Muni","DUR_ADJ_MID")</f>
        <v>#N/A Requesting Data...</v>
      </c>
      <c r="G209" t="str">
        <f>_xll.BDP("823653AX Muni","SPREAD_AT_ISSUANCE_TO_WORST")</f>
        <v>#N/A Requesting Data...</v>
      </c>
      <c r="H209" t="str">
        <f>_xll.BDP("823653AX Muni","ISSUE_DT")</f>
        <v>#N/A Requesting Data...</v>
      </c>
      <c r="I209" t="str">
        <f>_xll.BDS("823653AX Muni","MUNI_PURPOSE_SCHED", "aggregate=y")</f>
        <v>#N/A Review</v>
      </c>
      <c r="J209" t="str">
        <f>_xll.BDP("823653AX Muni","CPN")</f>
        <v>#N/A Requesting Data...</v>
      </c>
      <c r="K209" t="str">
        <f>_xll.BDP("823653AX Muni","MATURITY")</f>
        <v>#N/A Requesting Data...</v>
      </c>
      <c r="L209">
        <v>540000</v>
      </c>
      <c r="M209" t="str">
        <f>_xll.BDP("823653AX Muni","YIELD_ON_ISSUE_DATE")</f>
        <v>#N/A Requesting Data...</v>
      </c>
      <c r="N209" t="str">
        <f>_xll.BDP("823653AX Muni","YTW_SPREAD_TO_MATURITY_AT_ISSU")</f>
        <v>#N/A Requesting Data...</v>
      </c>
      <c r="O209" t="str">
        <f>_xll.BDP("823653AX Muni","BVAL_MID_YTM")</f>
        <v>#N/A Requesting Data...</v>
      </c>
      <c r="P209" t="str">
        <f>_xll.BDP("823653AX Muni","MUNI_TAX_PROV")</f>
        <v>#N/A Requesting Data...</v>
      </c>
      <c r="Q209" t="str">
        <f>_xll.BDP("823653AX Muni","MUNI_FED_TAX")</f>
        <v>#N/A Requesting Data...</v>
      </c>
      <c r="R209" t="str">
        <f>_xll.BDP("823653AX Muni","MUNI_MSRB_VOLUME")</f>
        <v>#N/A Requesting Data...</v>
      </c>
      <c r="S209" t="str">
        <f>_xll.BDP("823653AX Muni","BB_COMPOSITE")</f>
        <v>#N/A Requesting Data...</v>
      </c>
      <c r="T209" t="str">
        <f>_xll.BDP("823653AX Muni","LQA_LIQUIDITY_SCORE")</f>
        <v>#N/A Requesting Data...</v>
      </c>
    </row>
    <row r="210" spans="1:20" x14ac:dyDescent="0.25">
      <c r="A210" t="str">
        <f>_xll.BDP("757419FM Muni","ID_CUSIP")</f>
        <v>#N/A Requesting Data...</v>
      </c>
      <c r="B210" t="s">
        <v>129</v>
      </c>
      <c r="C210" t="str">
        <f>_xll.BDP("757419FM Muni","INSURANCE_STATUS")</f>
        <v>#N/A Requesting Data...</v>
      </c>
      <c r="D210" t="str">
        <f>_xll.BDP("757419FM Muni","STATE_CODE")</f>
        <v>#N/A Requesting Data...</v>
      </c>
      <c r="E210" t="str">
        <f>_xll.BDP("757419FM Muni","COUNTY_LOCATION_ISSUER")</f>
        <v>#N/A Requesting Data...</v>
      </c>
      <c r="F210" t="str">
        <f>_xll.BDP("757419FM Muni","DUR_ADJ_MID")</f>
        <v>#N/A Requesting Data...</v>
      </c>
      <c r="G210" t="str">
        <f>_xll.BDP("757419FM Muni","SPREAD_AT_ISSUANCE_TO_WORST")</f>
        <v>#N/A Requesting Data...</v>
      </c>
      <c r="H210" t="str">
        <f>_xll.BDP("757419FM Muni","ISSUE_DT")</f>
        <v>#N/A Requesting Data...</v>
      </c>
      <c r="I210" t="str">
        <f>_xll.BDS("757419FM Muni","MUNI_PURPOSE_SCHED", "aggregate=y")</f>
        <v>#N/A Review</v>
      </c>
      <c r="J210" t="str">
        <f>_xll.BDP("757419FM Muni","CPN")</f>
        <v>#N/A Requesting Data...</v>
      </c>
      <c r="K210" t="str">
        <f>_xll.BDP("757419FM Muni","MATURITY")</f>
        <v>#N/A Requesting Data...</v>
      </c>
      <c r="L210">
        <v>400000</v>
      </c>
      <c r="M210" t="str">
        <f>_xll.BDP("757419FM Muni","YIELD_ON_ISSUE_DATE")</f>
        <v>#N/A Requesting Data...</v>
      </c>
      <c r="N210" t="str">
        <f>_xll.BDP("757419FM Muni","YTW_SPREAD_TO_MATURITY_AT_ISSU")</f>
        <v>#N/A Requesting Data...</v>
      </c>
      <c r="O210" t="str">
        <f>_xll.BDP("757419FM Muni","BVAL_MID_YTM")</f>
        <v>#N/A Requesting Data...</v>
      </c>
      <c r="P210" t="str">
        <f>_xll.BDP("757419FM Muni","MUNI_TAX_PROV")</f>
        <v>#N/A Requesting Data...</v>
      </c>
      <c r="Q210" t="str">
        <f>_xll.BDP("757419FM Muni","MUNI_FED_TAX")</f>
        <v>#N/A Requesting Data...</v>
      </c>
      <c r="R210" t="str">
        <f>_xll.BDP("757419FM Muni","MUNI_MSRB_VOLUME")</f>
        <v>#N/A Requesting Data...</v>
      </c>
      <c r="S210" t="str">
        <f>_xll.BDP("757419FM Muni","BB_COMPOSITE")</f>
        <v>#N/A Requesting Data...</v>
      </c>
      <c r="T210" t="str">
        <f>_xll.BDP("757419FM Muni","LQA_LIQUIDITY_SCORE")</f>
        <v>#N/A Requesting Data...</v>
      </c>
    </row>
    <row r="211" spans="1:20" x14ac:dyDescent="0.25">
      <c r="A211" t="str">
        <f>_xll.BDP("751100KW Muni","ID_CUSIP")</f>
        <v>#N/A Requesting Data...</v>
      </c>
      <c r="B211" t="s">
        <v>130</v>
      </c>
      <c r="C211" t="str">
        <f>_xll.BDP("751100KW Muni","INSURANCE_STATUS")</f>
        <v>#N/A Requesting Data...</v>
      </c>
      <c r="D211" t="str">
        <f>_xll.BDP("751100KW Muni","STATE_CODE")</f>
        <v>#N/A Requesting Data...</v>
      </c>
      <c r="E211" t="str">
        <f>_xll.BDP("751100KW Muni","COUNTY_LOCATION_ISSUER")</f>
        <v>#N/A Requesting Data...</v>
      </c>
      <c r="F211" t="str">
        <f>_xll.BDP("751100KW Muni","DUR_ADJ_MID")</f>
        <v>#N/A Requesting Data...</v>
      </c>
      <c r="G211" t="str">
        <f>_xll.BDP("751100KW Muni","SPREAD_AT_ISSUANCE_TO_WORST")</f>
        <v>#N/A Requesting Data...</v>
      </c>
      <c r="H211" t="str">
        <f>_xll.BDP("751100KW Muni","ISSUE_DT")</f>
        <v>#N/A Requesting Data...</v>
      </c>
      <c r="I211" t="str">
        <f>_xll.BDS("751100KW Muni","MUNI_PURPOSE_SCHED", "aggregate=y")</f>
        <v>#N/A Review</v>
      </c>
      <c r="J211" t="str">
        <f>_xll.BDP("751100KW Muni","CPN")</f>
        <v>#N/A Requesting Data...</v>
      </c>
      <c r="K211" t="str">
        <f>_xll.BDP("751100KW Muni","MATURITY")</f>
        <v>#N/A Requesting Data...</v>
      </c>
      <c r="L211">
        <v>2765000</v>
      </c>
      <c r="M211" t="str">
        <f>_xll.BDP("751100KW Muni","YIELD_ON_ISSUE_DATE")</f>
        <v>#N/A Requesting Data...</v>
      </c>
      <c r="N211" t="str">
        <f>_xll.BDP("751100KW Muni","YTW_SPREAD_TO_MATURITY_AT_ISSU")</f>
        <v>#N/A Requesting Data...</v>
      </c>
      <c r="O211" t="str">
        <f>_xll.BDP("751100KW Muni","BVAL_MID_YTM")</f>
        <v>#N/A Requesting Data...</v>
      </c>
      <c r="P211" t="str">
        <f>_xll.BDP("751100KW Muni","MUNI_TAX_PROV")</f>
        <v>#N/A Requesting Data...</v>
      </c>
      <c r="Q211" t="str">
        <f>_xll.BDP("751100KW Muni","MUNI_FED_TAX")</f>
        <v>#N/A Requesting Data...</v>
      </c>
      <c r="R211" t="str">
        <f>_xll.BDP("751100KW Muni","MUNI_MSRB_VOLUME")</f>
        <v>#N/A Requesting Data...</v>
      </c>
      <c r="S211" t="str">
        <f>_xll.BDP("751100KW Muni","BB_COMPOSITE")</f>
        <v>#N/A Requesting Data...</v>
      </c>
      <c r="T211" t="str">
        <f>_xll.BDP("751100KW Muni","LQA_LIQUIDITY_SCORE")</f>
        <v>#N/A Requesting Data...</v>
      </c>
    </row>
    <row r="212" spans="1:20" x14ac:dyDescent="0.25">
      <c r="A212" t="str">
        <f>_xll.BDP("751100KT Muni","ID_CUSIP")</f>
        <v>#N/A Requesting Data...</v>
      </c>
      <c r="B212" t="s">
        <v>130</v>
      </c>
      <c r="C212" t="str">
        <f>_xll.BDP("751100KT Muni","INSURANCE_STATUS")</f>
        <v>#N/A Requesting Data...</v>
      </c>
      <c r="D212" t="str">
        <f>_xll.BDP("751100KT Muni","STATE_CODE")</f>
        <v>#N/A Requesting Data...</v>
      </c>
      <c r="E212" t="str">
        <f>_xll.BDP("751100KT Muni","COUNTY_LOCATION_ISSUER")</f>
        <v>#N/A Requesting Data...</v>
      </c>
      <c r="F212" t="str">
        <f>_xll.BDP("751100KT Muni","DUR_ADJ_MID")</f>
        <v>#N/A Requesting Data...</v>
      </c>
      <c r="G212" t="str">
        <f>_xll.BDP("751100KT Muni","SPREAD_AT_ISSUANCE_TO_WORST")</f>
        <v>#N/A Requesting Data...</v>
      </c>
      <c r="H212" t="str">
        <f>_xll.BDP("751100KT Muni","ISSUE_DT")</f>
        <v>#N/A Requesting Data...</v>
      </c>
      <c r="I212" t="str">
        <f>_xll.BDS("751100KT Muni","MUNI_PURPOSE_SCHED", "aggregate=y")</f>
        <v>#N/A Review</v>
      </c>
      <c r="J212" t="str">
        <f>_xll.BDP("751100KT Muni","CPN")</f>
        <v>#N/A Requesting Data...</v>
      </c>
      <c r="K212" t="str">
        <f>_xll.BDP("751100KT Muni","MATURITY")</f>
        <v>#N/A Requesting Data...</v>
      </c>
      <c r="L212">
        <v>2390000</v>
      </c>
      <c r="M212" t="str">
        <f>_xll.BDP("751100KT Muni","YIELD_ON_ISSUE_DATE")</f>
        <v>#N/A Requesting Data...</v>
      </c>
      <c r="N212" t="str">
        <f>_xll.BDP("751100KT Muni","YTW_SPREAD_TO_MATURITY_AT_ISSU")</f>
        <v>#N/A Requesting Data...</v>
      </c>
      <c r="O212" t="str">
        <f>_xll.BDP("751100KT Muni","BVAL_MID_YTM")</f>
        <v>#N/A Requesting Data...</v>
      </c>
      <c r="P212" t="str">
        <f>_xll.BDP("751100KT Muni","MUNI_TAX_PROV")</f>
        <v>#N/A Requesting Data...</v>
      </c>
      <c r="Q212" t="str">
        <f>_xll.BDP("751100KT Muni","MUNI_FED_TAX")</f>
        <v>#N/A Requesting Data...</v>
      </c>
      <c r="R212" t="str">
        <f>_xll.BDP("751100KT Muni","MUNI_MSRB_VOLUME")</f>
        <v>#N/A Requesting Data...</v>
      </c>
      <c r="S212" t="str">
        <f>_xll.BDP("751100KT Muni","BB_COMPOSITE")</f>
        <v>#N/A Requesting Data...</v>
      </c>
      <c r="T212" t="str">
        <f>_xll.BDP("751100KT Muni","LQA_LIQUIDITY_SCORE")</f>
        <v>#N/A Requesting Data...</v>
      </c>
    </row>
    <row r="213" spans="1:20" x14ac:dyDescent="0.25">
      <c r="A213" t="str">
        <f>_xll.BDP("751100KV Muni","ID_CUSIP")</f>
        <v>#N/A Requesting Data...</v>
      </c>
      <c r="B213" t="s">
        <v>130</v>
      </c>
      <c r="C213" t="str">
        <f>_xll.BDP("751100KV Muni","INSURANCE_STATUS")</f>
        <v>#N/A Requesting Data...</v>
      </c>
      <c r="D213" t="str">
        <f>_xll.BDP("751100KV Muni","STATE_CODE")</f>
        <v>#N/A Requesting Data...</v>
      </c>
      <c r="E213" t="str">
        <f>_xll.BDP("751100KV Muni","COUNTY_LOCATION_ISSUER")</f>
        <v>#N/A Requesting Data...</v>
      </c>
      <c r="F213" t="str">
        <f>_xll.BDP("751100KV Muni","DUR_ADJ_MID")</f>
        <v>#N/A Requesting Data...</v>
      </c>
      <c r="G213" t="str">
        <f>_xll.BDP("751100KV Muni","SPREAD_AT_ISSUANCE_TO_WORST")</f>
        <v>#N/A Requesting Data...</v>
      </c>
      <c r="H213" t="str">
        <f>_xll.BDP("751100KV Muni","ISSUE_DT")</f>
        <v>#N/A Requesting Data...</v>
      </c>
      <c r="I213" t="str">
        <f>_xll.BDS("751100KV Muni","MUNI_PURPOSE_SCHED", "aggregate=y")</f>
        <v>#N/A Review</v>
      </c>
      <c r="J213" t="str">
        <f>_xll.BDP("751100KV Muni","CPN")</f>
        <v>#N/A Requesting Data...</v>
      </c>
      <c r="K213" t="str">
        <f>_xll.BDP("751100KV Muni","MATURITY")</f>
        <v>#N/A Requesting Data...</v>
      </c>
      <c r="L213">
        <v>2635000</v>
      </c>
      <c r="M213" t="str">
        <f>_xll.BDP("751100KV Muni","YIELD_ON_ISSUE_DATE")</f>
        <v>#N/A Requesting Data...</v>
      </c>
      <c r="N213" t="str">
        <f>_xll.BDP("751100KV Muni","YTW_SPREAD_TO_MATURITY_AT_ISSU")</f>
        <v>#N/A Requesting Data...</v>
      </c>
      <c r="O213" t="str">
        <f>_xll.BDP("751100KV Muni","BVAL_MID_YTM")</f>
        <v>#N/A Requesting Data...</v>
      </c>
      <c r="P213" t="str">
        <f>_xll.BDP("751100KV Muni","MUNI_TAX_PROV")</f>
        <v>#N/A Requesting Data...</v>
      </c>
      <c r="Q213" t="str">
        <f>_xll.BDP("751100KV Muni","MUNI_FED_TAX")</f>
        <v>#N/A Requesting Data...</v>
      </c>
      <c r="R213" t="str">
        <f>_xll.BDP("751100KV Muni","MUNI_MSRB_VOLUME")</f>
        <v>#N/A Requesting Data...</v>
      </c>
      <c r="S213" t="str">
        <f>_xll.BDP("751100KV Muni","BB_COMPOSITE")</f>
        <v>#N/A Requesting Data...</v>
      </c>
      <c r="T213" t="str">
        <f>_xll.BDP("751100KV Muni","LQA_LIQUIDITY_SCORE")</f>
        <v>#N/A Requesting Data...</v>
      </c>
    </row>
    <row r="214" spans="1:20" x14ac:dyDescent="0.25">
      <c r="A214" t="str">
        <f>_xll.BDP("752111HP Muni","ID_CUSIP")</f>
        <v>#N/A Requesting Data...</v>
      </c>
      <c r="B214" t="s">
        <v>131</v>
      </c>
      <c r="C214" t="str">
        <f>_xll.BDP("752111HP Muni","INSURANCE_STATUS")</f>
        <v>#N/A Requesting Data...</v>
      </c>
      <c r="D214" t="str">
        <f>_xll.BDP("752111HP Muni","STATE_CODE")</f>
        <v>#N/A Requesting Data...</v>
      </c>
      <c r="E214" t="str">
        <f>_xll.BDP("752111HP Muni","COUNTY_LOCATION_ISSUER")</f>
        <v>#N/A Requesting Data...</v>
      </c>
      <c r="F214" t="str">
        <f>_xll.BDP("752111HP Muni","DUR_ADJ_MID")</f>
        <v>#N/A Requesting Data...</v>
      </c>
      <c r="G214" t="str">
        <f>_xll.BDP("752111HP Muni","SPREAD_AT_ISSUANCE_TO_WORST")</f>
        <v>#N/A Requesting Data...</v>
      </c>
      <c r="H214" t="str">
        <f>_xll.BDP("752111HP Muni","ISSUE_DT")</f>
        <v>#N/A Requesting Data...</v>
      </c>
      <c r="I214" t="str">
        <f>_xll.BDS("752111HP Muni","MUNI_PURPOSE_SCHED", "aggregate=y")</f>
        <v>#N/A Review</v>
      </c>
      <c r="J214" t="str">
        <f>_xll.BDP("752111HP Muni","CPN")</f>
        <v>#N/A Requesting Data...</v>
      </c>
      <c r="K214" t="str">
        <f>_xll.BDP("752111HP Muni","MATURITY")</f>
        <v>#N/A Requesting Data...</v>
      </c>
      <c r="L214">
        <v>690000</v>
      </c>
      <c r="M214" t="str">
        <f>_xll.BDP("752111HP Muni","YIELD_ON_ISSUE_DATE")</f>
        <v>#N/A Requesting Data...</v>
      </c>
      <c r="N214" t="str">
        <f>_xll.BDP("752111HP Muni","YTW_SPREAD_TO_MATURITY_AT_ISSU")</f>
        <v>#N/A Requesting Data...</v>
      </c>
      <c r="O214" t="str">
        <f>_xll.BDP("752111HP Muni","BVAL_MID_YTM")</f>
        <v>#N/A Requesting Data...</v>
      </c>
      <c r="P214" t="str">
        <f>_xll.BDP("752111HP Muni","MUNI_TAX_PROV")</f>
        <v>#N/A Requesting Data...</v>
      </c>
      <c r="Q214" t="str">
        <f>_xll.BDP("752111HP Muni","MUNI_FED_TAX")</f>
        <v>#N/A Requesting Data...</v>
      </c>
      <c r="R214" t="str">
        <f>_xll.BDP("752111HP Muni","MUNI_MSRB_VOLUME")</f>
        <v>#N/A Requesting Data...</v>
      </c>
      <c r="S214" t="str">
        <f>_xll.BDP("752111HP Muni","BB_COMPOSITE")</f>
        <v>#N/A Requesting Data...</v>
      </c>
      <c r="T214" t="str">
        <f>_xll.BDP("752111HP Muni","LQA_LIQUIDITY_SCORE")</f>
        <v>#N/A Requesting Data...</v>
      </c>
    </row>
    <row r="215" spans="1:20" x14ac:dyDescent="0.25">
      <c r="A215" t="str">
        <f>_xll.BDP("727227D4 Muni","ID_CUSIP")</f>
        <v>#N/A Requesting Data...</v>
      </c>
      <c r="B215" t="s">
        <v>132</v>
      </c>
      <c r="C215" t="str">
        <f>_xll.BDP("727227D4 Muni","INSURANCE_STATUS")</f>
        <v>#N/A Requesting Data...</v>
      </c>
      <c r="D215" t="str">
        <f>_xll.BDP("727227D4 Muni","STATE_CODE")</f>
        <v>#N/A Requesting Data...</v>
      </c>
      <c r="E215" t="str">
        <f>_xll.BDP("727227D4 Muni","COUNTY_LOCATION_ISSUER")</f>
        <v>#N/A Requesting Data...</v>
      </c>
      <c r="F215" t="str">
        <f>_xll.BDP("727227D4 Muni","DUR_ADJ_MID")</f>
        <v>#N/A Requesting Data...</v>
      </c>
      <c r="G215" t="str">
        <f>_xll.BDP("727227D4 Muni","SPREAD_AT_ISSUANCE_TO_WORST")</f>
        <v>#N/A Requesting Data...</v>
      </c>
      <c r="H215" t="str">
        <f>_xll.BDP("727227D4 Muni","ISSUE_DT")</f>
        <v>#N/A Requesting Data...</v>
      </c>
      <c r="I215" t="str">
        <f>_xll.BDS("727227D4 Muni","MUNI_PURPOSE_SCHED", "aggregate=y")</f>
        <v>#N/A Review</v>
      </c>
      <c r="J215" t="str">
        <f>_xll.BDP("727227D4 Muni","CPN")</f>
        <v>#N/A Requesting Data...</v>
      </c>
      <c r="K215" t="str">
        <f>_xll.BDP("727227D4 Muni","MATURITY")</f>
        <v>#N/A Requesting Data...</v>
      </c>
      <c r="L215">
        <v>1020000</v>
      </c>
      <c r="M215" t="str">
        <f>_xll.BDP("727227D4 Muni","YIELD_ON_ISSUE_DATE")</f>
        <v>#N/A Requesting Data...</v>
      </c>
      <c r="N215" t="str">
        <f>_xll.BDP("727227D4 Muni","YTW_SPREAD_TO_MATURITY_AT_ISSU")</f>
        <v>#N/A Requesting Data...</v>
      </c>
      <c r="O215" t="str">
        <f>_xll.BDP("727227D4 Muni","BVAL_MID_YTM")</f>
        <v>#N/A Requesting Data...</v>
      </c>
      <c r="P215" t="str">
        <f>_xll.BDP("727227D4 Muni","MUNI_TAX_PROV")</f>
        <v>#N/A Requesting Data...</v>
      </c>
      <c r="Q215" t="str">
        <f>_xll.BDP("727227D4 Muni","MUNI_FED_TAX")</f>
        <v>#N/A Requesting Data...</v>
      </c>
      <c r="R215" t="str">
        <f>_xll.BDP("727227D4 Muni","MUNI_MSRB_VOLUME")</f>
        <v>#N/A Requesting Data...</v>
      </c>
      <c r="S215" t="str">
        <f>_xll.BDP("727227D4 Muni","BB_COMPOSITE")</f>
        <v>#N/A Requesting Data...</v>
      </c>
      <c r="T215" t="str">
        <f>_xll.BDP("727227D4 Muni","LQA_LIQUIDITY_SCORE")</f>
        <v>#N/A Requesting Data...</v>
      </c>
    </row>
    <row r="216" spans="1:20" x14ac:dyDescent="0.25">
      <c r="A216" t="str">
        <f>_xll.BDP("765378MN Muni","ID_CUSIP")</f>
        <v>#N/A Requesting Data...</v>
      </c>
      <c r="B216" t="s">
        <v>133</v>
      </c>
      <c r="C216" t="str">
        <f>_xll.BDP("765378MN Muni","INSURANCE_STATUS")</f>
        <v>#N/A Requesting Data...</v>
      </c>
      <c r="D216" t="str">
        <f>_xll.BDP("765378MN Muni","STATE_CODE")</f>
        <v>#N/A Requesting Data...</v>
      </c>
      <c r="E216" t="str">
        <f>_xll.BDP("765378MN Muni","COUNTY_LOCATION_ISSUER")</f>
        <v>#N/A Requesting Data...</v>
      </c>
      <c r="F216" t="str">
        <f>_xll.BDP("765378MN Muni","DUR_ADJ_MID")</f>
        <v>#N/A Requesting Data...</v>
      </c>
      <c r="G216" t="str">
        <f>_xll.BDP("765378MN Muni","SPREAD_AT_ISSUANCE_TO_WORST")</f>
        <v>#N/A Requesting Data...</v>
      </c>
      <c r="H216" t="str">
        <f>_xll.BDP("765378MN Muni","ISSUE_DT")</f>
        <v>#N/A Requesting Data...</v>
      </c>
      <c r="I216" t="str">
        <f>_xll.BDS("765378MN Muni","MUNI_PURPOSE_SCHED", "aggregate=y")</f>
        <v>#N/A Review</v>
      </c>
      <c r="J216" t="str">
        <f>_xll.BDP("765378MN Muni","CPN")</f>
        <v>#N/A Requesting Data...</v>
      </c>
      <c r="K216" t="str">
        <f>_xll.BDP("765378MN Muni","MATURITY")</f>
        <v>#N/A Requesting Data...</v>
      </c>
      <c r="L216">
        <v>760000</v>
      </c>
      <c r="M216" t="str">
        <f>_xll.BDP("765378MN Muni","YIELD_ON_ISSUE_DATE")</f>
        <v>#N/A Requesting Data...</v>
      </c>
      <c r="N216" t="str">
        <f>_xll.BDP("765378MN Muni","YTW_SPREAD_TO_MATURITY_AT_ISSU")</f>
        <v>#N/A Requesting Data...</v>
      </c>
      <c r="O216" t="str">
        <f>_xll.BDP("765378MN Muni","BVAL_MID_YTM")</f>
        <v>#N/A Requesting Data...</v>
      </c>
      <c r="P216" t="str">
        <f>_xll.BDP("765378MN Muni","MUNI_TAX_PROV")</f>
        <v>#N/A Requesting Data...</v>
      </c>
      <c r="Q216" t="str">
        <f>_xll.BDP("765378MN Muni","MUNI_FED_TAX")</f>
        <v>#N/A Requesting Data...</v>
      </c>
      <c r="R216" t="str">
        <f>_xll.BDP("765378MN Muni","MUNI_MSRB_VOLUME")</f>
        <v>#N/A Requesting Data...</v>
      </c>
      <c r="S216" t="str">
        <f>_xll.BDP("765378MN Muni","BB_COMPOSITE")</f>
        <v>#N/A Requesting Data...</v>
      </c>
      <c r="T216" t="str">
        <f>_xll.BDP("765378MN Muni","LQA_LIQUIDITY_SCORE")</f>
        <v>#N/A Requesting Data...</v>
      </c>
    </row>
    <row r="217" spans="1:20" x14ac:dyDescent="0.25">
      <c r="A217" t="str">
        <f>_xll.BDP("104889A4 Muni","ID_CUSIP")</f>
        <v>#N/A Requesting Data...</v>
      </c>
      <c r="B217" t="s">
        <v>134</v>
      </c>
      <c r="C217" t="str">
        <f>_xll.BDP("104889A4 Muni","INSURANCE_STATUS")</f>
        <v>#N/A Requesting Data...</v>
      </c>
      <c r="D217" t="str">
        <f>_xll.BDP("104889A4 Muni","STATE_CODE")</f>
        <v>#N/A Requesting Data...</v>
      </c>
      <c r="E217" t="str">
        <f>_xll.BDP("104889A4 Muni","COUNTY_LOCATION_ISSUER")</f>
        <v>#N/A Requesting Data...</v>
      </c>
      <c r="F217" t="str">
        <f>_xll.BDP("104889A4 Muni","DUR_ADJ_MID")</f>
        <v>#N/A Requesting Data...</v>
      </c>
      <c r="G217" t="str">
        <f>_xll.BDP("104889A4 Muni","SPREAD_AT_ISSUANCE_TO_WORST")</f>
        <v>#N/A Requesting Data...</v>
      </c>
      <c r="H217" t="str">
        <f>_xll.BDP("104889A4 Muni","ISSUE_DT")</f>
        <v>#N/A Requesting Data...</v>
      </c>
      <c r="I217" t="str">
        <f>_xll.BDS("104889A4 Muni","MUNI_PURPOSE_SCHED", "aggregate=y")</f>
        <v>#N/A Review</v>
      </c>
      <c r="J217" t="str">
        <f>_xll.BDP("104889A4 Muni","CPN")</f>
        <v>#N/A Requesting Data...</v>
      </c>
      <c r="K217" t="str">
        <f>_xll.BDP("104889A4 Muni","MATURITY")</f>
        <v>#N/A Requesting Data...</v>
      </c>
      <c r="L217">
        <v>660000</v>
      </c>
      <c r="M217" t="str">
        <f>_xll.BDP("104889A4 Muni","YIELD_ON_ISSUE_DATE")</f>
        <v>#N/A Requesting Data...</v>
      </c>
      <c r="N217" t="str">
        <f>_xll.BDP("104889A4 Muni","YTW_SPREAD_TO_MATURITY_AT_ISSU")</f>
        <v>#N/A Requesting Data...</v>
      </c>
      <c r="O217" t="str">
        <f>_xll.BDP("104889A4 Muni","BVAL_MID_YTM")</f>
        <v>#N/A Requesting Data...</v>
      </c>
      <c r="P217" t="str">
        <f>_xll.BDP("104889A4 Muni","MUNI_TAX_PROV")</f>
        <v>#N/A Requesting Data...</v>
      </c>
      <c r="Q217" t="str">
        <f>_xll.BDP("104889A4 Muni","MUNI_FED_TAX")</f>
        <v>#N/A Requesting Data...</v>
      </c>
      <c r="R217" t="str">
        <f>_xll.BDP("104889A4 Muni","MUNI_MSRB_VOLUME")</f>
        <v>#N/A Requesting Data...</v>
      </c>
      <c r="S217" t="str">
        <f>_xll.BDP("104889A4 Muni","BB_COMPOSITE")</f>
        <v>#N/A Requesting Data...</v>
      </c>
      <c r="T217" t="str">
        <f>_xll.BDP("104889A4 Muni","LQA_LIQUIDITY_SCORE")</f>
        <v>#N/A Requesting Data...</v>
      </c>
    </row>
    <row r="218" spans="1:20" x14ac:dyDescent="0.25">
      <c r="A218" t="str">
        <f>_xll.BDP("15240AAJ Muni","ID_CUSIP")</f>
        <v>#N/A Requesting Data...</v>
      </c>
      <c r="B218" t="s">
        <v>49</v>
      </c>
      <c r="C218" t="str">
        <f>_xll.BDP("15240AAJ Muni","INSURANCE_STATUS")</f>
        <v>#N/A Requesting Data...</v>
      </c>
      <c r="D218" t="str">
        <f>_xll.BDP("15240AAJ Muni","STATE_CODE")</f>
        <v>#N/A Requesting Data...</v>
      </c>
      <c r="E218" t="str">
        <f>_xll.BDP("15240AAJ Muni","COUNTY_LOCATION_ISSUER")</f>
        <v>#N/A Requesting Data...</v>
      </c>
      <c r="F218" t="str">
        <f>_xll.BDP("15240AAJ Muni","DUR_ADJ_MID")</f>
        <v>#N/A Requesting Data...</v>
      </c>
      <c r="G218" t="str">
        <f>_xll.BDP("15240AAJ Muni","SPREAD_AT_ISSUANCE_TO_WORST")</f>
        <v>#N/A Requesting Data...</v>
      </c>
      <c r="H218" t="str">
        <f>_xll.BDP("15240AAJ Muni","ISSUE_DT")</f>
        <v>#N/A Requesting Data...</v>
      </c>
      <c r="I218" t="str">
        <f>_xll.BDS("15240AAJ Muni","MUNI_PURPOSE_SCHED", "aggregate=y")</f>
        <v>#N/A Review</v>
      </c>
      <c r="J218" t="str">
        <f>_xll.BDP("15240AAJ Muni","CPN")</f>
        <v>#N/A Requesting Data...</v>
      </c>
      <c r="K218" t="str">
        <f>_xll.BDP("15240AAJ Muni","MATURITY")</f>
        <v>#N/A Requesting Data...</v>
      </c>
      <c r="L218">
        <v>2035000</v>
      </c>
      <c r="M218" t="str">
        <f>_xll.BDP("15240AAJ Muni","YIELD_ON_ISSUE_DATE")</f>
        <v>#N/A Requesting Data...</v>
      </c>
      <c r="N218" t="str">
        <f>_xll.BDP("15240AAJ Muni","YTW_SPREAD_TO_MATURITY_AT_ISSU")</f>
        <v>#N/A Requesting Data...</v>
      </c>
      <c r="O218" t="str">
        <f>_xll.BDP("15240AAJ Muni","BVAL_MID_YTM")</f>
        <v>#N/A Requesting Data...</v>
      </c>
      <c r="P218" t="str">
        <f>_xll.BDP("15240AAJ Muni","MUNI_TAX_PROV")</f>
        <v>#N/A Requesting Data...</v>
      </c>
      <c r="Q218" t="str">
        <f>_xll.BDP("15240AAJ Muni","MUNI_FED_TAX")</f>
        <v>#N/A Requesting Data...</v>
      </c>
      <c r="R218" t="str">
        <f>_xll.BDP("15240AAJ Muni","MUNI_MSRB_VOLUME")</f>
        <v>#N/A Requesting Data...</v>
      </c>
      <c r="S218" t="str">
        <f>_xll.BDP("15240AAJ Muni","BB_COMPOSITE")</f>
        <v>#N/A Requesting Data...</v>
      </c>
      <c r="T218" t="str">
        <f>_xll.BDP("15240AAJ Muni","LQA_LIQUIDITY_SCORE")</f>
        <v>#N/A Requesting Data...</v>
      </c>
    </row>
    <row r="219" spans="1:20" x14ac:dyDescent="0.25">
      <c r="A219" t="str">
        <f>_xll.BDP("071474BX Muni","ID_CUSIP")</f>
        <v>#N/A Requesting Data...</v>
      </c>
      <c r="B219" t="s">
        <v>135</v>
      </c>
      <c r="C219" t="str">
        <f>_xll.BDP("071474BX Muni","INSURANCE_STATUS")</f>
        <v>#N/A Requesting Data...</v>
      </c>
      <c r="D219" t="str">
        <f>_xll.BDP("071474BX Muni","STATE_CODE")</f>
        <v>#N/A Requesting Data...</v>
      </c>
      <c r="E219" t="str">
        <f>_xll.BDP("071474BX Muni","COUNTY_LOCATION_ISSUER")</f>
        <v>#N/A Requesting Data...</v>
      </c>
      <c r="F219" t="str">
        <f>_xll.BDP("071474BX Muni","DUR_ADJ_MID")</f>
        <v>#N/A Requesting Data...</v>
      </c>
      <c r="G219" t="str">
        <f>_xll.BDP("071474BX Muni","SPREAD_AT_ISSUANCE_TO_WORST")</f>
        <v>#N/A Requesting Data...</v>
      </c>
      <c r="H219" t="str">
        <f>_xll.BDP("071474BX Muni","ISSUE_DT")</f>
        <v>#N/A Requesting Data...</v>
      </c>
      <c r="I219" t="str">
        <f>_xll.BDS("071474BX Muni","MUNI_PURPOSE_SCHED", "aggregate=y")</f>
        <v>#N/A Review</v>
      </c>
      <c r="J219" t="str">
        <f>_xll.BDP("071474BX Muni","CPN")</f>
        <v>#N/A Requesting Data...</v>
      </c>
      <c r="K219" t="str">
        <f>_xll.BDP("071474BX Muni","MATURITY")</f>
        <v>#N/A Requesting Data...</v>
      </c>
      <c r="L219">
        <v>310000</v>
      </c>
      <c r="M219" t="str">
        <f>_xll.BDP("071474BX Muni","YIELD_ON_ISSUE_DATE")</f>
        <v>#N/A Requesting Data...</v>
      </c>
      <c r="N219" t="str">
        <f>_xll.BDP("071474BX Muni","YTW_SPREAD_TO_MATURITY_AT_ISSU")</f>
        <v>#N/A Requesting Data...</v>
      </c>
      <c r="O219" t="str">
        <f>_xll.BDP("071474BX Muni","BVAL_MID_YTM")</f>
        <v>#N/A Requesting Data...</v>
      </c>
      <c r="P219" t="str">
        <f>_xll.BDP("071474BX Muni","MUNI_TAX_PROV")</f>
        <v>#N/A Requesting Data...</v>
      </c>
      <c r="Q219" t="str">
        <f>_xll.BDP("071474BX Muni","MUNI_FED_TAX")</f>
        <v>#N/A Requesting Data...</v>
      </c>
      <c r="R219" t="str">
        <f>_xll.BDP("071474BX Muni","MUNI_MSRB_VOLUME")</f>
        <v>#N/A Requesting Data...</v>
      </c>
      <c r="S219" t="str">
        <f>_xll.BDP("071474BX Muni","BB_COMPOSITE")</f>
        <v>#N/A Requesting Data...</v>
      </c>
      <c r="T219" t="str">
        <f>_xll.BDP("071474BX Muni","LQA_LIQUIDITY_SCORE")</f>
        <v>#N/A Requesting Data...</v>
      </c>
    </row>
    <row r="220" spans="1:20" x14ac:dyDescent="0.25">
      <c r="A220" t="str">
        <f>_xll.BDP("566022RH Muni","ID_CUSIP")</f>
        <v>#N/A Requesting Data...</v>
      </c>
      <c r="B220" t="s">
        <v>136</v>
      </c>
      <c r="C220" t="str">
        <f>_xll.BDP("566022RH Muni","INSURANCE_STATUS")</f>
        <v>#N/A Requesting Data...</v>
      </c>
      <c r="D220" t="str">
        <f>_xll.BDP("566022RH Muni","STATE_CODE")</f>
        <v>#N/A Requesting Data...</v>
      </c>
      <c r="E220" t="str">
        <f>_xll.BDP("566022RH Muni","COUNTY_LOCATION_ISSUER")</f>
        <v>#N/A Requesting Data...</v>
      </c>
      <c r="F220" t="str">
        <f>_xll.BDP("566022RH Muni","DUR_ADJ_MID")</f>
        <v>#N/A Requesting Data...</v>
      </c>
      <c r="G220" t="str">
        <f>_xll.BDP("566022RH Muni","SPREAD_AT_ISSUANCE_TO_WORST")</f>
        <v>#N/A Requesting Data...</v>
      </c>
      <c r="H220" t="str">
        <f>_xll.BDP("566022RH Muni","ISSUE_DT")</f>
        <v>#N/A Requesting Data...</v>
      </c>
      <c r="I220" t="str">
        <f>_xll.BDS("566022RH Muni","MUNI_PURPOSE_SCHED", "aggregate=y")</f>
        <v>#N/A Review</v>
      </c>
      <c r="J220" t="str">
        <f>_xll.BDP("566022RH Muni","CPN")</f>
        <v>#N/A Requesting Data...</v>
      </c>
      <c r="K220" t="str">
        <f>_xll.BDP("566022RH Muni","MATURITY")</f>
        <v>#N/A Requesting Data...</v>
      </c>
      <c r="L220">
        <v>640000</v>
      </c>
      <c r="M220" t="str">
        <f>_xll.BDP("566022RH Muni","YIELD_ON_ISSUE_DATE")</f>
        <v>#N/A Requesting Data...</v>
      </c>
      <c r="N220" t="str">
        <f>_xll.BDP("566022RH Muni","YTW_SPREAD_TO_MATURITY_AT_ISSU")</f>
        <v>#N/A Requesting Data...</v>
      </c>
      <c r="O220" t="str">
        <f>_xll.BDP("566022RH Muni","BVAL_MID_YTM")</f>
        <v>#N/A Requesting Data...</v>
      </c>
      <c r="P220" t="str">
        <f>_xll.BDP("566022RH Muni","MUNI_TAX_PROV")</f>
        <v>#N/A Requesting Data...</v>
      </c>
      <c r="Q220" t="str">
        <f>_xll.BDP("566022RH Muni","MUNI_FED_TAX")</f>
        <v>#N/A Requesting Data...</v>
      </c>
      <c r="R220" t="str">
        <f>_xll.BDP("566022RH Muni","MUNI_MSRB_VOLUME")</f>
        <v>#N/A Requesting Data...</v>
      </c>
      <c r="S220" t="str">
        <f>_xll.BDP("566022RH Muni","BB_COMPOSITE")</f>
        <v>#N/A Requesting Data...</v>
      </c>
      <c r="T220" t="str">
        <f>_xll.BDP("566022RH Muni","LQA_LIQUIDITY_SCORE")</f>
        <v>#N/A Requesting Data...</v>
      </c>
    </row>
    <row r="221" spans="1:20" x14ac:dyDescent="0.25">
      <c r="A221" t="str">
        <f>_xll.BDP("386316MQ Muni","ID_CUSIP")</f>
        <v>#N/A Requesting Data...</v>
      </c>
      <c r="B221" t="s">
        <v>137</v>
      </c>
      <c r="C221" t="str">
        <f>_xll.BDP("386316MQ Muni","INSURANCE_STATUS")</f>
        <v>#N/A Requesting Data...</v>
      </c>
      <c r="D221" t="str">
        <f>_xll.BDP("386316MQ Muni","STATE_CODE")</f>
        <v>#N/A Requesting Data...</v>
      </c>
      <c r="E221" t="str">
        <f>_xll.BDP("386316MQ Muni","COUNTY_LOCATION_ISSUER")</f>
        <v>#N/A Requesting Data...</v>
      </c>
      <c r="F221" t="str">
        <f>_xll.BDP("386316MQ Muni","DUR_ADJ_MID")</f>
        <v>#N/A Requesting Data...</v>
      </c>
      <c r="G221" t="str">
        <f>_xll.BDP("386316MQ Muni","SPREAD_AT_ISSUANCE_TO_WORST")</f>
        <v>#N/A Requesting Data...</v>
      </c>
      <c r="H221" t="str">
        <f>_xll.BDP("386316MQ Muni","ISSUE_DT")</f>
        <v>#N/A Requesting Data...</v>
      </c>
      <c r="I221" t="str">
        <f>_xll.BDS("386316MQ Muni","MUNI_PURPOSE_SCHED", "aggregate=y")</f>
        <v>#N/A Review</v>
      </c>
      <c r="J221" t="str">
        <f>_xll.BDP("386316MQ Muni","CPN")</f>
        <v>#N/A Requesting Data...</v>
      </c>
      <c r="K221" t="str">
        <f>_xll.BDP("386316MQ Muni","MATURITY")</f>
        <v>#N/A Requesting Data...</v>
      </c>
      <c r="L221">
        <v>1075000</v>
      </c>
      <c r="M221" t="str">
        <f>_xll.BDP("386316MQ Muni","YIELD_ON_ISSUE_DATE")</f>
        <v>#N/A Requesting Data...</v>
      </c>
      <c r="N221" t="str">
        <f>_xll.BDP("386316MQ Muni","YTW_SPREAD_TO_MATURITY_AT_ISSU")</f>
        <v>#N/A Requesting Data...</v>
      </c>
      <c r="O221" t="str">
        <f>_xll.BDP("386316MQ Muni","BVAL_MID_YTM")</f>
        <v>#N/A Requesting Data...</v>
      </c>
      <c r="P221" t="str">
        <f>_xll.BDP("386316MQ Muni","MUNI_TAX_PROV")</f>
        <v>#N/A Requesting Data...</v>
      </c>
      <c r="Q221" t="str">
        <f>_xll.BDP("386316MQ Muni","MUNI_FED_TAX")</f>
        <v>#N/A Requesting Data...</v>
      </c>
      <c r="R221" t="str">
        <f>_xll.BDP("386316MQ Muni","MUNI_MSRB_VOLUME")</f>
        <v>#N/A Requesting Data...</v>
      </c>
      <c r="S221" t="str">
        <f>_xll.BDP("386316MQ Muni","BB_COMPOSITE")</f>
        <v>#N/A Requesting Data...</v>
      </c>
      <c r="T221" t="str">
        <f>_xll.BDP("386316MQ Muni","LQA_LIQUIDITY_SCORE")</f>
        <v>#N/A Requesting Data...</v>
      </c>
    </row>
    <row r="222" spans="1:20" x14ac:dyDescent="0.25">
      <c r="A222" t="str">
        <f>_xll.BDP("21657APF Muni","ID_CUSIP")</f>
        <v>#N/A Requesting Data...</v>
      </c>
      <c r="B222" t="s">
        <v>138</v>
      </c>
      <c r="C222" t="str">
        <f>_xll.BDP("21657APF Muni","INSURANCE_STATUS")</f>
        <v>#N/A Requesting Data...</v>
      </c>
      <c r="D222" t="str">
        <f>_xll.BDP("21657APF Muni","STATE_CODE")</f>
        <v>#N/A Requesting Data...</v>
      </c>
      <c r="E222" t="str">
        <f>_xll.BDP("21657APF Muni","COUNTY_LOCATION_ISSUER")</f>
        <v>#N/A Requesting Data...</v>
      </c>
      <c r="F222" t="str">
        <f>_xll.BDP("21657APF Muni","DUR_ADJ_MID")</f>
        <v>#N/A Requesting Data...</v>
      </c>
      <c r="G222" t="str">
        <f>_xll.BDP("21657APF Muni","SPREAD_AT_ISSUANCE_TO_WORST")</f>
        <v>#N/A Requesting Data...</v>
      </c>
      <c r="H222" t="str">
        <f>_xll.BDP("21657APF Muni","ISSUE_DT")</f>
        <v>#N/A Requesting Data...</v>
      </c>
      <c r="I222" t="str">
        <f>_xll.BDS("21657APF Muni","MUNI_PURPOSE_SCHED", "aggregate=y")</f>
        <v>#N/A Review</v>
      </c>
      <c r="J222" t="str">
        <f>_xll.BDP("21657APF Muni","CPN")</f>
        <v>#N/A Requesting Data...</v>
      </c>
      <c r="K222" t="str">
        <f>_xll.BDP("21657APF Muni","MATURITY")</f>
        <v>#N/A Requesting Data...</v>
      </c>
      <c r="L222">
        <v>925000</v>
      </c>
      <c r="M222" t="str">
        <f>_xll.BDP("21657APF Muni","YIELD_ON_ISSUE_DATE")</f>
        <v>#N/A Requesting Data...</v>
      </c>
      <c r="N222" t="str">
        <f>_xll.BDP("21657APF Muni","YTW_SPREAD_TO_MATURITY_AT_ISSU")</f>
        <v>#N/A Requesting Data...</v>
      </c>
      <c r="O222" t="str">
        <f>_xll.BDP("21657APF Muni","BVAL_MID_YTM")</f>
        <v>#N/A Requesting Data...</v>
      </c>
      <c r="P222" t="str">
        <f>_xll.BDP("21657APF Muni","MUNI_TAX_PROV")</f>
        <v>#N/A Requesting Data...</v>
      </c>
      <c r="Q222" t="str">
        <f>_xll.BDP("21657APF Muni","MUNI_FED_TAX")</f>
        <v>#N/A Requesting Data...</v>
      </c>
      <c r="R222" t="str">
        <f>_xll.BDP("21657APF Muni","MUNI_MSRB_VOLUME")</f>
        <v>#N/A Requesting Data...</v>
      </c>
      <c r="S222" t="str">
        <f>_xll.BDP("21657APF Muni","BB_COMPOSITE")</f>
        <v>#N/A Requesting Data...</v>
      </c>
      <c r="T222" t="str">
        <f>_xll.BDP("21657APF Muni","LQA_LIQUIDITY_SCORE")</f>
        <v>#N/A Requesting Data...</v>
      </c>
    </row>
    <row r="223" spans="1:20" x14ac:dyDescent="0.25">
      <c r="A223" t="str">
        <f>_xll.BDP("283822MQ Muni","ID_CUSIP")</f>
        <v>#N/A Requesting Data...</v>
      </c>
      <c r="B223" t="s">
        <v>139</v>
      </c>
      <c r="C223" t="str">
        <f>_xll.BDP("283822MQ Muni","INSURANCE_STATUS")</f>
        <v>#N/A Requesting Data...</v>
      </c>
      <c r="D223" t="str">
        <f>_xll.BDP("283822MQ Muni","STATE_CODE")</f>
        <v>#N/A Requesting Data...</v>
      </c>
      <c r="E223" t="str">
        <f>_xll.BDP("283822MQ Muni","COUNTY_LOCATION_ISSUER")</f>
        <v>#N/A Requesting Data...</v>
      </c>
      <c r="F223" t="str">
        <f>_xll.BDP("283822MQ Muni","DUR_ADJ_MID")</f>
        <v>#N/A Requesting Data...</v>
      </c>
      <c r="G223" t="str">
        <f>_xll.BDP("283822MQ Muni","SPREAD_AT_ISSUANCE_TO_WORST")</f>
        <v>#N/A Requesting Data...</v>
      </c>
      <c r="H223" t="str">
        <f>_xll.BDP("283822MQ Muni","ISSUE_DT")</f>
        <v>#N/A Requesting Data...</v>
      </c>
      <c r="I223" t="str">
        <f>_xll.BDS("283822MQ Muni","MUNI_PURPOSE_SCHED", "aggregate=y")</f>
        <v>#N/A Review</v>
      </c>
      <c r="J223" t="str">
        <f>_xll.BDP("283822MQ Muni","CPN")</f>
        <v>#N/A Requesting Data...</v>
      </c>
      <c r="K223" t="str">
        <f>_xll.BDP("283822MQ Muni","MATURITY")</f>
        <v>#N/A Requesting Data...</v>
      </c>
      <c r="L223">
        <v>4055000</v>
      </c>
      <c r="M223" t="str">
        <f>_xll.BDP("283822MQ Muni","YIELD_ON_ISSUE_DATE")</f>
        <v>#N/A Requesting Data...</v>
      </c>
      <c r="N223" t="str">
        <f>_xll.BDP("283822MQ Muni","YTW_SPREAD_TO_MATURITY_AT_ISSU")</f>
        <v>#N/A Requesting Data...</v>
      </c>
      <c r="O223" t="str">
        <f>_xll.BDP("283822MQ Muni","BVAL_MID_YTM")</f>
        <v>#N/A Requesting Data...</v>
      </c>
      <c r="P223" t="str">
        <f>_xll.BDP("283822MQ Muni","MUNI_TAX_PROV")</f>
        <v>#N/A Requesting Data...</v>
      </c>
      <c r="Q223" t="str">
        <f>_xll.BDP("283822MQ Muni","MUNI_FED_TAX")</f>
        <v>#N/A Requesting Data...</v>
      </c>
      <c r="R223" t="str">
        <f>_xll.BDP("283822MQ Muni","MUNI_MSRB_VOLUME")</f>
        <v>#N/A Requesting Data...</v>
      </c>
      <c r="S223" t="str">
        <f>_xll.BDP("283822MQ Muni","BB_COMPOSITE")</f>
        <v>#N/A Requesting Data...</v>
      </c>
      <c r="T223" t="str">
        <f>_xll.BDP("283822MQ Muni","LQA_LIQUIDITY_SCORE")</f>
        <v>#N/A Requesting Data...</v>
      </c>
    </row>
    <row r="224" spans="1:20" x14ac:dyDescent="0.25">
      <c r="A224" t="str">
        <f>_xll.BDP("283822MR Muni","ID_CUSIP")</f>
        <v>#N/A Requesting Data...</v>
      </c>
      <c r="B224" t="s">
        <v>139</v>
      </c>
      <c r="C224" t="str">
        <f>_xll.BDP("283822MR Muni","INSURANCE_STATUS")</f>
        <v>#N/A Requesting Data...</v>
      </c>
      <c r="D224" t="str">
        <f>_xll.BDP("283822MR Muni","STATE_CODE")</f>
        <v>#N/A Requesting Data...</v>
      </c>
      <c r="E224" t="str">
        <f>_xll.BDP("283822MR Muni","COUNTY_LOCATION_ISSUER")</f>
        <v>#N/A Requesting Data...</v>
      </c>
      <c r="F224" t="str">
        <f>_xll.BDP("283822MR Muni","DUR_ADJ_MID")</f>
        <v>#N/A Requesting Data...</v>
      </c>
      <c r="G224" t="str">
        <f>_xll.BDP("283822MR Muni","SPREAD_AT_ISSUANCE_TO_WORST")</f>
        <v>#N/A Requesting Data...</v>
      </c>
      <c r="H224" t="str">
        <f>_xll.BDP("283822MR Muni","ISSUE_DT")</f>
        <v>#N/A Requesting Data...</v>
      </c>
      <c r="I224" t="str">
        <f>_xll.BDS("283822MR Muni","MUNI_PURPOSE_SCHED", "aggregate=y")</f>
        <v>#N/A Review</v>
      </c>
      <c r="J224" t="str">
        <f>_xll.BDP("283822MR Muni","CPN")</f>
        <v>#N/A Requesting Data...</v>
      </c>
      <c r="K224" t="str">
        <f>_xll.BDP("283822MR Muni","MATURITY")</f>
        <v>#N/A Requesting Data...</v>
      </c>
      <c r="L224">
        <v>4255000</v>
      </c>
      <c r="M224" t="str">
        <f>_xll.BDP("283822MR Muni","YIELD_ON_ISSUE_DATE")</f>
        <v>#N/A Requesting Data...</v>
      </c>
      <c r="N224" t="str">
        <f>_xll.BDP("283822MR Muni","YTW_SPREAD_TO_MATURITY_AT_ISSU")</f>
        <v>#N/A Requesting Data...</v>
      </c>
      <c r="O224" t="str">
        <f>_xll.BDP("283822MR Muni","BVAL_MID_YTM")</f>
        <v>#N/A Requesting Data...</v>
      </c>
      <c r="P224" t="str">
        <f>_xll.BDP("283822MR Muni","MUNI_TAX_PROV")</f>
        <v>#N/A Requesting Data...</v>
      </c>
      <c r="Q224" t="str">
        <f>_xll.BDP("283822MR Muni","MUNI_FED_TAX")</f>
        <v>#N/A Requesting Data...</v>
      </c>
      <c r="R224" t="str">
        <f>_xll.BDP("283822MR Muni","MUNI_MSRB_VOLUME")</f>
        <v>#N/A Requesting Data...</v>
      </c>
      <c r="S224" t="str">
        <f>_xll.BDP("283822MR Muni","BB_COMPOSITE")</f>
        <v>#N/A Requesting Data...</v>
      </c>
      <c r="T224" t="str">
        <f>_xll.BDP("283822MR Muni","LQA_LIQUIDITY_SCORE")</f>
        <v>#N/A Requesting Data...</v>
      </c>
    </row>
    <row r="225" spans="1:20" x14ac:dyDescent="0.25">
      <c r="A225" t="str">
        <f>_xll.BDP("177475BF Muni","ID_CUSIP")</f>
        <v>#N/A Requesting Data...</v>
      </c>
      <c r="B225" t="s">
        <v>79</v>
      </c>
      <c r="C225" t="str">
        <f>_xll.BDP("177475BF Muni","INSURANCE_STATUS")</f>
        <v>#N/A Requesting Data...</v>
      </c>
      <c r="D225" t="str">
        <f>_xll.BDP("177475BF Muni","STATE_CODE")</f>
        <v>#N/A Requesting Data...</v>
      </c>
      <c r="E225" t="str">
        <f>_xll.BDP("177475BF Muni","COUNTY_LOCATION_ISSUER")</f>
        <v>#N/A Requesting Data...</v>
      </c>
      <c r="F225" t="str">
        <f>_xll.BDP("177475BF Muni","DUR_ADJ_MID")</f>
        <v>#N/A Requesting Data...</v>
      </c>
      <c r="G225" t="str">
        <f>_xll.BDP("177475BF Muni","SPREAD_AT_ISSUANCE_TO_WORST")</f>
        <v>#N/A Requesting Data...</v>
      </c>
      <c r="H225" t="str">
        <f>_xll.BDP("177475BF Muni","ISSUE_DT")</f>
        <v>#N/A Requesting Data...</v>
      </c>
      <c r="I225" t="str">
        <f>_xll.BDS("177475BF Muni","MUNI_PURPOSE_SCHED", "aggregate=y")</f>
        <v>#N/A Review</v>
      </c>
      <c r="J225" t="str">
        <f>_xll.BDP("177475BF Muni","CPN")</f>
        <v>#N/A Requesting Data...</v>
      </c>
      <c r="K225" t="str">
        <f>_xll.BDP("177475BF Muni","MATURITY")</f>
        <v>#N/A Requesting Data...</v>
      </c>
      <c r="L225">
        <v>1840000</v>
      </c>
      <c r="M225" t="str">
        <f>_xll.BDP("177475BF Muni","YIELD_ON_ISSUE_DATE")</f>
        <v>#N/A Requesting Data...</v>
      </c>
      <c r="N225" t="str">
        <f>_xll.BDP("177475BF Muni","YTW_SPREAD_TO_MATURITY_AT_ISSU")</f>
        <v>#N/A Requesting Data...</v>
      </c>
      <c r="O225" t="str">
        <f>_xll.BDP("177475BF Muni","BVAL_MID_YTM")</f>
        <v>#N/A Requesting Data...</v>
      </c>
      <c r="P225" t="str">
        <f>_xll.BDP("177475BF Muni","MUNI_TAX_PROV")</f>
        <v>#N/A Requesting Data...</v>
      </c>
      <c r="Q225" t="str">
        <f>_xll.BDP("177475BF Muni","MUNI_FED_TAX")</f>
        <v>#N/A Requesting Data...</v>
      </c>
      <c r="R225" t="str">
        <f>_xll.BDP("177475BF Muni","MUNI_MSRB_VOLUME")</f>
        <v>#N/A Requesting Data...</v>
      </c>
      <c r="S225" t="str">
        <f>_xll.BDP("177475BF Muni","BB_COMPOSITE")</f>
        <v>#N/A Requesting Data...</v>
      </c>
      <c r="T225" t="str">
        <f>_xll.BDP("177475BF Muni","LQA_LIQUIDITY_SCORE")</f>
        <v>#N/A Requesting Data...</v>
      </c>
    </row>
    <row r="226" spans="1:20" x14ac:dyDescent="0.25">
      <c r="A226" t="str">
        <f>_xll.BDP("193170EG Muni","ID_CUSIP")</f>
        <v>#N/A Requesting Data...</v>
      </c>
      <c r="B226" t="s">
        <v>140</v>
      </c>
      <c r="C226" t="str">
        <f>_xll.BDP("193170EG Muni","INSURANCE_STATUS")</f>
        <v>#N/A Requesting Data...</v>
      </c>
      <c r="D226" t="str">
        <f>_xll.BDP("193170EG Muni","STATE_CODE")</f>
        <v>#N/A Requesting Data...</v>
      </c>
      <c r="E226" t="str">
        <f>_xll.BDP("193170EG Muni","COUNTY_LOCATION_ISSUER")</f>
        <v>#N/A Requesting Data...</v>
      </c>
      <c r="F226" t="str">
        <f>_xll.BDP("193170EG Muni","DUR_ADJ_MID")</f>
        <v>#N/A Requesting Data...</v>
      </c>
      <c r="G226" t="str">
        <f>_xll.BDP("193170EG Muni","SPREAD_AT_ISSUANCE_TO_WORST")</f>
        <v>#N/A Requesting Data...</v>
      </c>
      <c r="H226" t="str">
        <f>_xll.BDP("193170EG Muni","ISSUE_DT")</f>
        <v>#N/A Requesting Data...</v>
      </c>
      <c r="I226" t="str">
        <f>_xll.BDS("193170EG Muni","MUNI_PURPOSE_SCHED", "aggregate=y")</f>
        <v>#N/A Review</v>
      </c>
      <c r="J226" t="str">
        <f>_xll.BDP("193170EG Muni","CPN")</f>
        <v>#N/A Requesting Data...</v>
      </c>
      <c r="K226" t="str">
        <f>_xll.BDP("193170EG Muni","MATURITY")</f>
        <v>#N/A Requesting Data...</v>
      </c>
      <c r="L226">
        <v>520000</v>
      </c>
      <c r="M226" t="str">
        <f>_xll.BDP("193170EG Muni","YIELD_ON_ISSUE_DATE")</f>
        <v>#N/A Requesting Data...</v>
      </c>
      <c r="N226" t="str">
        <f>_xll.BDP("193170EG Muni","YTW_SPREAD_TO_MATURITY_AT_ISSU")</f>
        <v>#N/A Requesting Data...</v>
      </c>
      <c r="O226" t="str">
        <f>_xll.BDP("193170EG Muni","BVAL_MID_YTM")</f>
        <v>#N/A Requesting Data...</v>
      </c>
      <c r="P226" t="str">
        <f>_xll.BDP("193170EG Muni","MUNI_TAX_PROV")</f>
        <v>#N/A Requesting Data...</v>
      </c>
      <c r="Q226" t="str">
        <f>_xll.BDP("193170EG Muni","MUNI_FED_TAX")</f>
        <v>#N/A Requesting Data...</v>
      </c>
      <c r="R226" t="str">
        <f>_xll.BDP("193170EG Muni","MUNI_MSRB_VOLUME")</f>
        <v>#N/A Requesting Data...</v>
      </c>
      <c r="S226" t="str">
        <f>_xll.BDP("193170EG Muni","BB_COMPOSITE")</f>
        <v>#N/A Requesting Data...</v>
      </c>
      <c r="T226" t="str">
        <f>_xll.BDP("193170EG Muni","LQA_LIQUIDITY_SCORE")</f>
        <v>#N/A Requesting Data...</v>
      </c>
    </row>
    <row r="227" spans="1:20" x14ac:dyDescent="0.25">
      <c r="A227" t="str">
        <f>_xll.BDP("177475BJ Muni","ID_CUSIP")</f>
        <v>#N/A Requesting Data...</v>
      </c>
      <c r="B227" t="s">
        <v>79</v>
      </c>
      <c r="C227" t="str">
        <f>_xll.BDP("177475BJ Muni","INSURANCE_STATUS")</f>
        <v>#N/A Requesting Data...</v>
      </c>
      <c r="D227" t="str">
        <f>_xll.BDP("177475BJ Muni","STATE_CODE")</f>
        <v>#N/A Requesting Data...</v>
      </c>
      <c r="E227" t="str">
        <f>_xll.BDP("177475BJ Muni","COUNTY_LOCATION_ISSUER")</f>
        <v>#N/A Requesting Data...</v>
      </c>
      <c r="F227" t="str">
        <f>_xll.BDP("177475BJ Muni","DUR_ADJ_MID")</f>
        <v>#N/A Requesting Data...</v>
      </c>
      <c r="G227" t="str">
        <f>_xll.BDP("177475BJ Muni","SPREAD_AT_ISSUANCE_TO_WORST")</f>
        <v>#N/A Requesting Data...</v>
      </c>
      <c r="H227" t="str">
        <f>_xll.BDP("177475BJ Muni","ISSUE_DT")</f>
        <v>#N/A Requesting Data...</v>
      </c>
      <c r="I227" t="str">
        <f>_xll.BDS("177475BJ Muni","MUNI_PURPOSE_SCHED", "aggregate=y")</f>
        <v>#N/A Review</v>
      </c>
      <c r="J227" t="str">
        <f>_xll.BDP("177475BJ Muni","CPN")</f>
        <v>#N/A Requesting Data...</v>
      </c>
      <c r="K227" t="str">
        <f>_xll.BDP("177475BJ Muni","MATURITY")</f>
        <v>#N/A Requesting Data...</v>
      </c>
      <c r="L227">
        <v>2130000</v>
      </c>
      <c r="M227" t="str">
        <f>_xll.BDP("177475BJ Muni","YIELD_ON_ISSUE_DATE")</f>
        <v>#N/A Requesting Data...</v>
      </c>
      <c r="N227" t="str">
        <f>_xll.BDP("177475BJ Muni","YTW_SPREAD_TO_MATURITY_AT_ISSU")</f>
        <v>#N/A Requesting Data...</v>
      </c>
      <c r="O227" t="str">
        <f>_xll.BDP("177475BJ Muni","BVAL_MID_YTM")</f>
        <v>#N/A Requesting Data...</v>
      </c>
      <c r="P227" t="str">
        <f>_xll.BDP("177475BJ Muni","MUNI_TAX_PROV")</f>
        <v>#N/A Requesting Data...</v>
      </c>
      <c r="Q227" t="str">
        <f>_xll.BDP("177475BJ Muni","MUNI_FED_TAX")</f>
        <v>#N/A Requesting Data...</v>
      </c>
      <c r="R227" t="str">
        <f>_xll.BDP("177475BJ Muni","MUNI_MSRB_VOLUME")</f>
        <v>#N/A Requesting Data...</v>
      </c>
      <c r="S227" t="str">
        <f>_xll.BDP("177475BJ Muni","BB_COMPOSITE")</f>
        <v>#N/A Requesting Data...</v>
      </c>
      <c r="T227" t="str">
        <f>_xll.BDP("177475BJ Muni","LQA_LIQUIDITY_SCORE")</f>
        <v>#N/A Requesting Data...</v>
      </c>
    </row>
    <row r="228" spans="1:20" x14ac:dyDescent="0.25">
      <c r="A228" t="str">
        <f>_xll.BDP("371608UF Muni","ID_CUSIP")</f>
        <v>#N/A Requesting Data...</v>
      </c>
      <c r="B228" t="s">
        <v>80</v>
      </c>
      <c r="C228" t="str">
        <f>_xll.BDP("371608UF Muni","INSURANCE_STATUS")</f>
        <v>#N/A Requesting Data...</v>
      </c>
      <c r="D228" t="str">
        <f>_xll.BDP("371608UF Muni","STATE_CODE")</f>
        <v>#N/A Requesting Data...</v>
      </c>
      <c r="E228" t="str">
        <f>_xll.BDP("371608UF Muni","COUNTY_LOCATION_ISSUER")</f>
        <v>#N/A Requesting Data...</v>
      </c>
      <c r="F228" t="str">
        <f>_xll.BDP("371608UF Muni","DUR_ADJ_MID")</f>
        <v>#N/A Requesting Data...</v>
      </c>
      <c r="G228" t="str">
        <f>_xll.BDP("371608UF Muni","SPREAD_AT_ISSUANCE_TO_WORST")</f>
        <v>#N/A Requesting Data...</v>
      </c>
      <c r="H228" t="str">
        <f>_xll.BDP("371608UF Muni","ISSUE_DT")</f>
        <v>#N/A Requesting Data...</v>
      </c>
      <c r="I228" t="str">
        <f>_xll.BDS("371608UF Muni","MUNI_PURPOSE_SCHED", "aggregate=y")</f>
        <v>#N/A Review</v>
      </c>
      <c r="J228" t="str">
        <f>_xll.BDP("371608UF Muni","CPN")</f>
        <v>#N/A Requesting Data...</v>
      </c>
      <c r="K228" t="str">
        <f>_xll.BDP("371608UF Muni","MATURITY")</f>
        <v>#N/A Requesting Data...</v>
      </c>
      <c r="L228">
        <v>840000</v>
      </c>
      <c r="M228" t="str">
        <f>_xll.BDP("371608UF Muni","YIELD_ON_ISSUE_DATE")</f>
        <v>#N/A Requesting Data...</v>
      </c>
      <c r="N228" t="str">
        <f>_xll.BDP("371608UF Muni","YTW_SPREAD_TO_MATURITY_AT_ISSU")</f>
        <v>#N/A Requesting Data...</v>
      </c>
      <c r="O228" t="str">
        <f>_xll.BDP("371608UF Muni","BVAL_MID_YTM")</f>
        <v>#N/A Requesting Data...</v>
      </c>
      <c r="P228" t="str">
        <f>_xll.BDP("371608UF Muni","MUNI_TAX_PROV")</f>
        <v>#N/A Requesting Data...</v>
      </c>
      <c r="Q228" t="str">
        <f>_xll.BDP("371608UF Muni","MUNI_FED_TAX")</f>
        <v>#N/A Requesting Data...</v>
      </c>
      <c r="R228" t="str">
        <f>_xll.BDP("371608UF Muni","MUNI_MSRB_VOLUME")</f>
        <v>#N/A Requesting Data...</v>
      </c>
      <c r="S228" t="str">
        <f>_xll.BDP("371608UF Muni","BB_COMPOSITE")</f>
        <v>#N/A Requesting Data...</v>
      </c>
      <c r="T228" t="str">
        <f>_xll.BDP("371608UF Muni","LQA_LIQUIDITY_SCORE")</f>
        <v>#N/A Requesting Data...</v>
      </c>
    </row>
    <row r="229" spans="1:20" x14ac:dyDescent="0.25">
      <c r="A229" t="str">
        <f>_xll.BDP("526318PY Muni","ID_CUSIP")</f>
        <v>#N/A Requesting Data...</v>
      </c>
      <c r="B229" t="s">
        <v>59</v>
      </c>
      <c r="C229" t="str">
        <f>_xll.BDP("526318PY Muni","INSURANCE_STATUS")</f>
        <v>#N/A Requesting Data...</v>
      </c>
      <c r="D229" t="str">
        <f>_xll.BDP("526318PY Muni","STATE_CODE")</f>
        <v>#N/A Requesting Data...</v>
      </c>
      <c r="E229" t="str">
        <f>_xll.BDP("526318PY Muni","COUNTY_LOCATION_ISSUER")</f>
        <v>#N/A Requesting Data...</v>
      </c>
      <c r="F229" t="str">
        <f>_xll.BDP("526318PY Muni","DUR_ADJ_MID")</f>
        <v>#N/A Requesting Data...</v>
      </c>
      <c r="G229" t="str">
        <f>_xll.BDP("526318PY Muni","SPREAD_AT_ISSUANCE_TO_WORST")</f>
        <v>#N/A Requesting Data...</v>
      </c>
      <c r="H229" t="str">
        <f>_xll.BDP("526318PY Muni","ISSUE_DT")</f>
        <v>#N/A Requesting Data...</v>
      </c>
      <c r="I229" t="str">
        <f>_xll.BDS("526318PY Muni","MUNI_PURPOSE_SCHED", "aggregate=y")</f>
        <v>#N/A Review</v>
      </c>
      <c r="J229" t="str">
        <f>_xll.BDP("526318PY Muni","CPN")</f>
        <v>#N/A Requesting Data...</v>
      </c>
      <c r="K229" t="str">
        <f>_xll.BDP("526318PY Muni","MATURITY")</f>
        <v>#N/A Requesting Data...</v>
      </c>
      <c r="L229">
        <v>680000</v>
      </c>
      <c r="M229" t="str">
        <f>_xll.BDP("526318PY Muni","YIELD_ON_ISSUE_DATE")</f>
        <v>#N/A Requesting Data...</v>
      </c>
      <c r="N229" t="str">
        <f>_xll.BDP("526318PY Muni","YTW_SPREAD_TO_MATURITY_AT_ISSU")</f>
        <v>#N/A Requesting Data...</v>
      </c>
      <c r="O229" t="str">
        <f>_xll.BDP("526318PY Muni","BVAL_MID_YTM")</f>
        <v>#N/A Requesting Data...</v>
      </c>
      <c r="P229" t="str">
        <f>_xll.BDP("526318PY Muni","MUNI_TAX_PROV")</f>
        <v>#N/A Requesting Data...</v>
      </c>
      <c r="Q229" t="str">
        <f>_xll.BDP("526318PY Muni","MUNI_FED_TAX")</f>
        <v>#N/A Requesting Data...</v>
      </c>
      <c r="R229" t="str">
        <f>_xll.BDP("526318PY Muni","MUNI_MSRB_VOLUME")</f>
        <v>#N/A Requesting Data...</v>
      </c>
      <c r="S229" t="str">
        <f>_xll.BDP("526318PY Muni","BB_COMPOSITE")</f>
        <v>#N/A Requesting Data...</v>
      </c>
      <c r="T229" t="str">
        <f>_xll.BDP("526318PY Muni","LQA_LIQUIDITY_SCORE")</f>
        <v>#N/A Requesting Data...</v>
      </c>
    </row>
    <row r="230" spans="1:20" x14ac:dyDescent="0.25">
      <c r="A230" t="str">
        <f>_xll.BDP("531286NB Muni","ID_CUSIP")</f>
        <v>#N/A Requesting Data...</v>
      </c>
      <c r="B230" t="s">
        <v>141</v>
      </c>
      <c r="C230" t="str">
        <f>_xll.BDP("531286NB Muni","INSURANCE_STATUS")</f>
        <v>#N/A Requesting Data...</v>
      </c>
      <c r="D230" t="str">
        <f>_xll.BDP("531286NB Muni","STATE_CODE")</f>
        <v>#N/A Requesting Data...</v>
      </c>
      <c r="E230" t="str">
        <f>_xll.BDP("531286NB Muni","COUNTY_LOCATION_ISSUER")</f>
        <v>#N/A Requesting Data...</v>
      </c>
      <c r="F230" t="str">
        <f>_xll.BDP("531286NB Muni","DUR_ADJ_MID")</f>
        <v>#N/A Requesting Data...</v>
      </c>
      <c r="G230" t="str">
        <f>_xll.BDP("531286NB Muni","SPREAD_AT_ISSUANCE_TO_WORST")</f>
        <v>#N/A Requesting Data...</v>
      </c>
      <c r="H230" t="str">
        <f>_xll.BDP("531286NB Muni","ISSUE_DT")</f>
        <v>#N/A Requesting Data...</v>
      </c>
      <c r="I230" t="str">
        <f>_xll.BDS("531286NB Muni","MUNI_PURPOSE_SCHED", "aggregate=y")</f>
        <v>#N/A Review</v>
      </c>
      <c r="J230" t="str">
        <f>_xll.BDP("531286NB Muni","CPN")</f>
        <v>#N/A Requesting Data...</v>
      </c>
      <c r="K230" t="str">
        <f>_xll.BDP("531286NB Muni","MATURITY")</f>
        <v>#N/A Requesting Data...</v>
      </c>
      <c r="L230">
        <v>360000</v>
      </c>
      <c r="M230" t="str">
        <f>_xll.BDP("531286NB Muni","YIELD_ON_ISSUE_DATE")</f>
        <v>#N/A Requesting Data...</v>
      </c>
      <c r="N230" t="str">
        <f>_xll.BDP("531286NB Muni","YTW_SPREAD_TO_MATURITY_AT_ISSU")</f>
        <v>#N/A Requesting Data...</v>
      </c>
      <c r="O230" t="str">
        <f>_xll.BDP("531286NB Muni","BVAL_MID_YTM")</f>
        <v>#N/A Requesting Data...</v>
      </c>
      <c r="P230" t="str">
        <f>_xll.BDP("531286NB Muni","MUNI_TAX_PROV")</f>
        <v>#N/A Requesting Data...</v>
      </c>
      <c r="Q230" t="str">
        <f>_xll.BDP("531286NB Muni","MUNI_FED_TAX")</f>
        <v>#N/A Requesting Data...</v>
      </c>
      <c r="R230" t="str">
        <f>_xll.BDP("531286NB Muni","MUNI_MSRB_VOLUME")</f>
        <v>#N/A Requesting Data...</v>
      </c>
      <c r="S230" t="str">
        <f>_xll.BDP("531286NB Muni","BB_COMPOSITE")</f>
        <v>#N/A Requesting Data...</v>
      </c>
      <c r="T230" t="str">
        <f>_xll.BDP("531286NB Muni","LQA_LIQUIDITY_SCORE")</f>
        <v>#N/A Requesting Data...</v>
      </c>
    </row>
    <row r="231" spans="1:20" x14ac:dyDescent="0.25">
      <c r="A231" t="str">
        <f>_xll.BDP("587057Q3 Muni","ID_CUSIP")</f>
        <v>#N/A Requesting Data...</v>
      </c>
      <c r="B231" t="s">
        <v>142</v>
      </c>
      <c r="C231" t="str">
        <f>_xll.BDP("587057Q3 Muni","INSURANCE_STATUS")</f>
        <v>#N/A Requesting Data...</v>
      </c>
      <c r="D231" t="str">
        <f>_xll.BDP("587057Q3 Muni","STATE_CODE")</f>
        <v>#N/A Requesting Data...</v>
      </c>
      <c r="E231" t="str">
        <f>_xll.BDP("587057Q3 Muni","COUNTY_LOCATION_ISSUER")</f>
        <v>#N/A Requesting Data...</v>
      </c>
      <c r="F231" t="str">
        <f>_xll.BDP("587057Q3 Muni","DUR_ADJ_MID")</f>
        <v>#N/A Requesting Data...</v>
      </c>
      <c r="G231" t="str">
        <f>_xll.BDP("587057Q3 Muni","SPREAD_AT_ISSUANCE_TO_WORST")</f>
        <v>#N/A Requesting Data...</v>
      </c>
      <c r="H231" t="str">
        <f>_xll.BDP("587057Q3 Muni","ISSUE_DT")</f>
        <v>#N/A Requesting Data...</v>
      </c>
      <c r="I231" t="str">
        <f>_xll.BDS("587057Q3 Muni","MUNI_PURPOSE_SCHED", "aggregate=y")</f>
        <v>#N/A Review</v>
      </c>
      <c r="J231" t="str">
        <f>_xll.BDP("587057Q3 Muni","CPN")</f>
        <v>#N/A Requesting Data...</v>
      </c>
      <c r="K231" t="str">
        <f>_xll.BDP("587057Q3 Muni","MATURITY")</f>
        <v>#N/A Requesting Data...</v>
      </c>
      <c r="L231">
        <v>255000</v>
      </c>
      <c r="M231" t="str">
        <f>_xll.BDP("587057Q3 Muni","YIELD_ON_ISSUE_DATE")</f>
        <v>#N/A Requesting Data...</v>
      </c>
      <c r="N231" t="str">
        <f>_xll.BDP("587057Q3 Muni","YTW_SPREAD_TO_MATURITY_AT_ISSU")</f>
        <v>#N/A Requesting Data...</v>
      </c>
      <c r="O231" t="str">
        <f>_xll.BDP("587057Q3 Muni","BVAL_MID_YTM")</f>
        <v>#N/A Requesting Data...</v>
      </c>
      <c r="P231" t="str">
        <f>_xll.BDP("587057Q3 Muni","MUNI_TAX_PROV")</f>
        <v>#N/A Requesting Data...</v>
      </c>
      <c r="Q231" t="str">
        <f>_xll.BDP("587057Q3 Muni","MUNI_FED_TAX")</f>
        <v>#N/A Requesting Data...</v>
      </c>
      <c r="R231" t="str">
        <f>_xll.BDP("587057Q3 Muni","MUNI_MSRB_VOLUME")</f>
        <v>#N/A Requesting Data...</v>
      </c>
      <c r="S231" t="str">
        <f>_xll.BDP("587057Q3 Muni","BB_COMPOSITE")</f>
        <v>#N/A Requesting Data...</v>
      </c>
      <c r="T231" t="str">
        <f>_xll.BDP("587057Q3 Muni","LQA_LIQUIDITY_SCORE")</f>
        <v>#N/A Requesting Data...</v>
      </c>
    </row>
    <row r="232" spans="1:20" x14ac:dyDescent="0.25">
      <c r="A232" t="str">
        <f>_xll.BDP("786795CJ Muni","ID_CUSIP")</f>
        <v>#N/A Requesting Data...</v>
      </c>
      <c r="B232" t="s">
        <v>143</v>
      </c>
      <c r="C232" t="str">
        <f>_xll.BDP("786795CJ Muni","INSURANCE_STATUS")</f>
        <v>#N/A Requesting Data...</v>
      </c>
      <c r="D232" t="str">
        <f>_xll.BDP("786795CJ Muni","STATE_CODE")</f>
        <v>#N/A Requesting Data...</v>
      </c>
      <c r="E232" t="str">
        <f>_xll.BDP("786795CJ Muni","COUNTY_LOCATION_ISSUER")</f>
        <v>#N/A Requesting Data...</v>
      </c>
      <c r="F232" t="str">
        <f>_xll.BDP("786795CJ Muni","DUR_ADJ_MID")</f>
        <v>#N/A Requesting Data...</v>
      </c>
      <c r="G232" t="str">
        <f>_xll.BDP("786795CJ Muni","SPREAD_AT_ISSUANCE_TO_WORST")</f>
        <v>#N/A Requesting Data...</v>
      </c>
      <c r="H232" t="str">
        <f>_xll.BDP("786795CJ Muni","ISSUE_DT")</f>
        <v>#N/A Requesting Data...</v>
      </c>
      <c r="I232" t="str">
        <f>_xll.BDS("786795CJ Muni","MUNI_PURPOSE_SCHED", "aggregate=y")</f>
        <v>#N/A Review</v>
      </c>
      <c r="J232" t="str">
        <f>_xll.BDP("786795CJ Muni","CPN")</f>
        <v>#N/A Requesting Data...</v>
      </c>
      <c r="K232" t="str">
        <f>_xll.BDP("786795CJ Muni","MATURITY")</f>
        <v>#N/A Requesting Data...</v>
      </c>
      <c r="L232">
        <v>1505000</v>
      </c>
      <c r="M232" t="str">
        <f>_xll.BDP("786795CJ Muni","YIELD_ON_ISSUE_DATE")</f>
        <v>#N/A Requesting Data...</v>
      </c>
      <c r="N232" t="str">
        <f>_xll.BDP("786795CJ Muni","YTW_SPREAD_TO_MATURITY_AT_ISSU")</f>
        <v>#N/A Requesting Data...</v>
      </c>
      <c r="O232" t="str">
        <f>_xll.BDP("786795CJ Muni","BVAL_MID_YTM")</f>
        <v>#N/A Requesting Data...</v>
      </c>
      <c r="P232" t="str">
        <f>_xll.BDP("786795CJ Muni","MUNI_TAX_PROV")</f>
        <v>#N/A Requesting Data...</v>
      </c>
      <c r="Q232" t="str">
        <f>_xll.BDP("786795CJ Muni","MUNI_FED_TAX")</f>
        <v>#N/A Requesting Data...</v>
      </c>
      <c r="R232" t="str">
        <f>_xll.BDP("786795CJ Muni","MUNI_MSRB_VOLUME")</f>
        <v>#N/A Requesting Data...</v>
      </c>
      <c r="S232" t="str">
        <f>_xll.BDP("786795CJ Muni","BB_COMPOSITE")</f>
        <v>#N/A Requesting Data...</v>
      </c>
      <c r="T232" t="str">
        <f>_xll.BDP("786795CJ Muni","LQA_LIQUIDITY_SCORE")</f>
        <v>#N/A Requesting Data...</v>
      </c>
    </row>
    <row r="233" spans="1:20" x14ac:dyDescent="0.25">
      <c r="A233" t="str">
        <f>_xll.BDP("960686BX Muni","ID_CUSIP")</f>
        <v>#N/A Requesting Data...</v>
      </c>
      <c r="B233" t="s">
        <v>144</v>
      </c>
      <c r="C233" t="str">
        <f>_xll.BDP("960686BX Muni","INSURANCE_STATUS")</f>
        <v>#N/A Requesting Data...</v>
      </c>
      <c r="D233" t="str">
        <f>_xll.BDP("960686BX Muni","STATE_CODE")</f>
        <v>#N/A Requesting Data...</v>
      </c>
      <c r="E233" t="str">
        <f>_xll.BDP("960686BX Muni","COUNTY_LOCATION_ISSUER")</f>
        <v>#N/A Requesting Data...</v>
      </c>
      <c r="F233" t="str">
        <f>_xll.BDP("960686BX Muni","DUR_ADJ_MID")</f>
        <v>#N/A Requesting Data...</v>
      </c>
      <c r="G233" t="str">
        <f>_xll.BDP("960686BX Muni","SPREAD_AT_ISSUANCE_TO_WORST")</f>
        <v>#N/A Requesting Data...</v>
      </c>
      <c r="H233" t="str">
        <f>_xll.BDP("960686BX Muni","ISSUE_DT")</f>
        <v>#N/A Requesting Data...</v>
      </c>
      <c r="I233" t="str">
        <f>_xll.BDS("960686BX Muni","MUNI_PURPOSE_SCHED", "aggregate=y")</f>
        <v>#N/A Review</v>
      </c>
      <c r="J233" t="str">
        <f>_xll.BDP("960686BX Muni","CPN")</f>
        <v>#N/A Requesting Data...</v>
      </c>
      <c r="K233" t="str">
        <f>_xll.BDP("960686BX Muni","MATURITY")</f>
        <v>#N/A Requesting Data...</v>
      </c>
      <c r="L233">
        <v>1970000</v>
      </c>
      <c r="M233" t="str">
        <f>_xll.BDP("960686BX Muni","YIELD_ON_ISSUE_DATE")</f>
        <v>#N/A Requesting Data...</v>
      </c>
      <c r="N233" t="str">
        <f>_xll.BDP("960686BX Muni","YTW_SPREAD_TO_MATURITY_AT_ISSU")</f>
        <v>#N/A Requesting Data...</v>
      </c>
      <c r="O233" t="str">
        <f>_xll.BDP("960686BX Muni","BVAL_MID_YTM")</f>
        <v>#N/A Requesting Data...</v>
      </c>
      <c r="P233" t="str">
        <f>_xll.BDP("960686BX Muni","MUNI_TAX_PROV")</f>
        <v>#N/A Requesting Data...</v>
      </c>
      <c r="Q233" t="str">
        <f>_xll.BDP("960686BX Muni","MUNI_FED_TAX")</f>
        <v>#N/A Requesting Data...</v>
      </c>
      <c r="R233" t="str">
        <f>_xll.BDP("960686BX Muni","MUNI_MSRB_VOLUME")</f>
        <v>#N/A Requesting Data...</v>
      </c>
      <c r="S233" t="str">
        <f>_xll.BDP("960686BX Muni","BB_COMPOSITE")</f>
        <v>#N/A Requesting Data...</v>
      </c>
      <c r="T233" t="str">
        <f>_xll.BDP("960686BX Muni","LQA_LIQUIDITY_SCORE")</f>
        <v>#N/A Requesting Data...</v>
      </c>
    </row>
    <row r="234" spans="1:20" x14ac:dyDescent="0.25">
      <c r="A234" t="str">
        <f>_xll.BDP("932610QV Muni","ID_CUSIP")</f>
        <v>#N/A Requesting Data...</v>
      </c>
      <c r="B234" t="s">
        <v>145</v>
      </c>
      <c r="C234" t="str">
        <f>_xll.BDP("932610QV Muni","INSURANCE_STATUS")</f>
        <v>#N/A Requesting Data...</v>
      </c>
      <c r="D234" t="str">
        <f>_xll.BDP("932610QV Muni","STATE_CODE")</f>
        <v>#N/A Requesting Data...</v>
      </c>
      <c r="E234" t="str">
        <f>_xll.BDP("932610QV Muni","COUNTY_LOCATION_ISSUER")</f>
        <v>#N/A Requesting Data...</v>
      </c>
      <c r="F234" t="str">
        <f>_xll.BDP("932610QV Muni","DUR_ADJ_MID")</f>
        <v>#N/A Requesting Data...</v>
      </c>
      <c r="G234" t="str">
        <f>_xll.BDP("932610QV Muni","SPREAD_AT_ISSUANCE_TO_WORST")</f>
        <v>#N/A Requesting Data...</v>
      </c>
      <c r="H234" t="str">
        <f>_xll.BDP("932610QV Muni","ISSUE_DT")</f>
        <v>#N/A Requesting Data...</v>
      </c>
      <c r="I234" t="str">
        <f>_xll.BDS("932610QV Muni","MUNI_PURPOSE_SCHED", "aggregate=y")</f>
        <v>#N/A Review</v>
      </c>
      <c r="J234" t="str">
        <f>_xll.BDP("932610QV Muni","CPN")</f>
        <v>#N/A Requesting Data...</v>
      </c>
      <c r="K234" t="str">
        <f>_xll.BDP("932610QV Muni","MATURITY")</f>
        <v>#N/A Requesting Data...</v>
      </c>
      <c r="L234">
        <v>120000</v>
      </c>
      <c r="M234" t="str">
        <f>_xll.BDP("932610QV Muni","YIELD_ON_ISSUE_DATE")</f>
        <v>#N/A Requesting Data...</v>
      </c>
      <c r="N234" t="str">
        <f>_xll.BDP("932610QV Muni","YTW_SPREAD_TO_MATURITY_AT_ISSU")</f>
        <v>#N/A Requesting Data...</v>
      </c>
      <c r="O234" t="str">
        <f>_xll.BDP("932610QV Muni","BVAL_MID_YTM")</f>
        <v>#N/A Requesting Data...</v>
      </c>
      <c r="P234" t="str">
        <f>_xll.BDP("932610QV Muni","MUNI_TAX_PROV")</f>
        <v>#N/A Requesting Data...</v>
      </c>
      <c r="Q234" t="str">
        <f>_xll.BDP("932610QV Muni","MUNI_FED_TAX")</f>
        <v>#N/A Requesting Data...</v>
      </c>
      <c r="R234" t="str">
        <f>_xll.BDP("932610QV Muni","MUNI_MSRB_VOLUME")</f>
        <v>#N/A Requesting Data...</v>
      </c>
      <c r="S234" t="str">
        <f>_xll.BDP("932610QV Muni","BB_COMPOSITE")</f>
        <v>#N/A Requesting Data...</v>
      </c>
      <c r="T234" t="str">
        <f>_xll.BDP("932610QV Muni","LQA_LIQUIDITY_SCORE")</f>
        <v>#N/A Requesting Data...</v>
      </c>
    </row>
    <row r="235" spans="1:20" x14ac:dyDescent="0.25">
      <c r="A235" t="str">
        <f>_xll.BDP("95308RLB Muni","ID_CUSIP")</f>
        <v>#N/A Requesting Data...</v>
      </c>
      <c r="B235" t="s">
        <v>55</v>
      </c>
      <c r="C235" t="str">
        <f>_xll.BDP("95308RLB Muni","INSURANCE_STATUS")</f>
        <v>#N/A Requesting Data...</v>
      </c>
      <c r="D235" t="str">
        <f>_xll.BDP("95308RLB Muni","STATE_CODE")</f>
        <v>#N/A Requesting Data...</v>
      </c>
      <c r="E235" t="str">
        <f>_xll.BDP("95308RLB Muni","COUNTY_LOCATION_ISSUER")</f>
        <v>#N/A Requesting Data...</v>
      </c>
      <c r="F235" t="str">
        <f>_xll.BDP("95308RLB Muni","DUR_ADJ_MID")</f>
        <v>#N/A Requesting Data...</v>
      </c>
      <c r="G235" t="str">
        <f>_xll.BDP("95308RLB Muni","SPREAD_AT_ISSUANCE_TO_WORST")</f>
        <v>#N/A Requesting Data...</v>
      </c>
      <c r="H235" t="str">
        <f>_xll.BDP("95308RLB Muni","ISSUE_DT")</f>
        <v>#N/A Requesting Data...</v>
      </c>
      <c r="I235" t="str">
        <f>_xll.BDS("95308RLB Muni","MUNI_PURPOSE_SCHED", "aggregate=y")</f>
        <v>#N/A Review</v>
      </c>
      <c r="J235" t="str">
        <f>_xll.BDP("95308RLB Muni","CPN")</f>
        <v>#N/A Requesting Data...</v>
      </c>
      <c r="K235" t="str">
        <f>_xll.BDP("95308RLB Muni","MATURITY")</f>
        <v>#N/A Requesting Data...</v>
      </c>
      <c r="L235">
        <v>705000</v>
      </c>
      <c r="M235" t="str">
        <f>_xll.BDP("95308RLB Muni","YIELD_ON_ISSUE_DATE")</f>
        <v>#N/A Requesting Data...</v>
      </c>
      <c r="N235" t="str">
        <f>_xll.BDP("95308RLB Muni","YTW_SPREAD_TO_MATURITY_AT_ISSU")</f>
        <v>#N/A Requesting Data...</v>
      </c>
      <c r="O235" t="str">
        <f>_xll.BDP("95308RLB Muni","BVAL_MID_YTM")</f>
        <v>#N/A Requesting Data...</v>
      </c>
      <c r="P235" t="str">
        <f>_xll.BDP("95308RLB Muni","MUNI_TAX_PROV")</f>
        <v>#N/A Requesting Data...</v>
      </c>
      <c r="Q235" t="str">
        <f>_xll.BDP("95308RLB Muni","MUNI_FED_TAX")</f>
        <v>#N/A Requesting Data...</v>
      </c>
      <c r="R235" t="str">
        <f>_xll.BDP("95308RLB Muni","MUNI_MSRB_VOLUME")</f>
        <v>#N/A Requesting Data...</v>
      </c>
      <c r="S235" t="str">
        <f>_xll.BDP("95308RLB Muni","BB_COMPOSITE")</f>
        <v>#N/A Requesting Data...</v>
      </c>
      <c r="T235" t="str">
        <f>_xll.BDP("95308RLB Muni","LQA_LIQUIDITY_SCORE")</f>
        <v>#N/A Requesting Data...</v>
      </c>
    </row>
    <row r="236" spans="1:20" x14ac:dyDescent="0.25">
      <c r="A236" t="str">
        <f>_xll.BDP("793323TY Muni","ID_CUSIP")</f>
        <v>#N/A Requesting Data...</v>
      </c>
      <c r="B236" t="s">
        <v>54</v>
      </c>
      <c r="C236" t="str">
        <f>_xll.BDP("793323TY Muni","INSURANCE_STATUS")</f>
        <v>#N/A Requesting Data...</v>
      </c>
      <c r="D236" t="str">
        <f>_xll.BDP("793323TY Muni","STATE_CODE")</f>
        <v>#N/A Requesting Data...</v>
      </c>
      <c r="E236" t="str">
        <f>_xll.BDP("793323TY Muni","COUNTY_LOCATION_ISSUER")</f>
        <v>#N/A Requesting Data...</v>
      </c>
      <c r="F236" t="str">
        <f>_xll.BDP("793323TY Muni","DUR_ADJ_MID")</f>
        <v>#N/A Requesting Data...</v>
      </c>
      <c r="G236" t="str">
        <f>_xll.BDP("793323TY Muni","SPREAD_AT_ISSUANCE_TO_WORST")</f>
        <v>#N/A Requesting Data...</v>
      </c>
      <c r="H236" t="str">
        <f>_xll.BDP("793323TY Muni","ISSUE_DT")</f>
        <v>#N/A Requesting Data...</v>
      </c>
      <c r="I236" t="str">
        <f>_xll.BDS("793323TY Muni","MUNI_PURPOSE_SCHED", "aggregate=y")</f>
        <v>#N/A Review</v>
      </c>
      <c r="J236" t="str">
        <f>_xll.BDP("793323TY Muni","CPN")</f>
        <v>#N/A Requesting Data...</v>
      </c>
      <c r="K236" t="str">
        <f>_xll.BDP("793323TY Muni","MATURITY")</f>
        <v>#N/A Requesting Data...</v>
      </c>
      <c r="L236">
        <v>1095000</v>
      </c>
      <c r="M236" t="str">
        <f>_xll.BDP("793323TY Muni","YIELD_ON_ISSUE_DATE")</f>
        <v>#N/A Requesting Data...</v>
      </c>
      <c r="N236" t="str">
        <f>_xll.BDP("793323TY Muni","YTW_SPREAD_TO_MATURITY_AT_ISSU")</f>
        <v>#N/A Requesting Data...</v>
      </c>
      <c r="O236" t="str">
        <f>_xll.BDP("793323TY Muni","BVAL_MID_YTM")</f>
        <v>#N/A Requesting Data...</v>
      </c>
      <c r="P236" t="str">
        <f>_xll.BDP("793323TY Muni","MUNI_TAX_PROV")</f>
        <v>#N/A Requesting Data...</v>
      </c>
      <c r="Q236" t="str">
        <f>_xll.BDP("793323TY Muni","MUNI_FED_TAX")</f>
        <v>#N/A Requesting Data...</v>
      </c>
      <c r="R236" t="str">
        <f>_xll.BDP("793323TY Muni","MUNI_MSRB_VOLUME")</f>
        <v>#N/A Requesting Data...</v>
      </c>
      <c r="S236" t="str">
        <f>_xll.BDP("793323TY Muni","BB_COMPOSITE")</f>
        <v>#N/A Requesting Data...</v>
      </c>
      <c r="T236" t="str">
        <f>_xll.BDP("793323TY Muni","LQA_LIQUIDITY_SCORE")</f>
        <v>#N/A Requesting Data...</v>
      </c>
    </row>
    <row r="237" spans="1:20" x14ac:dyDescent="0.25">
      <c r="A237" t="str">
        <f>_xll.BDP("87971HKA Muni","ID_CUSIP")</f>
        <v>#N/A Requesting Data...</v>
      </c>
      <c r="B237" t="s">
        <v>50</v>
      </c>
      <c r="C237" t="str">
        <f>_xll.BDP("87971HKA Muni","INSURANCE_STATUS")</f>
        <v>#N/A Requesting Data...</v>
      </c>
      <c r="D237" t="str">
        <f>_xll.BDP("87971HKA Muni","STATE_CODE")</f>
        <v>#N/A Requesting Data...</v>
      </c>
      <c r="E237" t="str">
        <f>_xll.BDP("87971HKA Muni","COUNTY_LOCATION_ISSUER")</f>
        <v>#N/A Requesting Data...</v>
      </c>
      <c r="F237" t="str">
        <f>_xll.BDP("87971HKA Muni","DUR_ADJ_MID")</f>
        <v>#N/A Requesting Data...</v>
      </c>
      <c r="G237" t="str">
        <f>_xll.BDP("87971HKA Muni","SPREAD_AT_ISSUANCE_TO_WORST")</f>
        <v>#N/A Requesting Data...</v>
      </c>
      <c r="H237" t="str">
        <f>_xll.BDP("87971HKA Muni","ISSUE_DT")</f>
        <v>#N/A Requesting Data...</v>
      </c>
      <c r="I237" t="str">
        <f>_xll.BDS("87971HKA Muni","MUNI_PURPOSE_SCHED", "aggregate=y")</f>
        <v>#N/A Review</v>
      </c>
      <c r="J237" t="str">
        <f>_xll.BDP("87971HKA Muni","CPN")</f>
        <v>#N/A Requesting Data...</v>
      </c>
      <c r="K237" t="str">
        <f>_xll.BDP("87971HKA Muni","MATURITY")</f>
        <v>#N/A Requesting Data...</v>
      </c>
      <c r="L237">
        <v>1785000</v>
      </c>
      <c r="M237" t="str">
        <f>_xll.BDP("87971HKA Muni","YIELD_ON_ISSUE_DATE")</f>
        <v>#N/A Requesting Data...</v>
      </c>
      <c r="N237" t="str">
        <f>_xll.BDP("87971HKA Muni","YTW_SPREAD_TO_MATURITY_AT_ISSU")</f>
        <v>#N/A Requesting Data...</v>
      </c>
      <c r="O237" t="str">
        <f>_xll.BDP("87971HKA Muni","BVAL_MID_YTM")</f>
        <v>#N/A Requesting Data...</v>
      </c>
      <c r="P237" t="str">
        <f>_xll.BDP("87971HKA Muni","MUNI_TAX_PROV")</f>
        <v>#N/A Requesting Data...</v>
      </c>
      <c r="Q237" t="str">
        <f>_xll.BDP("87971HKA Muni","MUNI_FED_TAX")</f>
        <v>#N/A Requesting Data...</v>
      </c>
      <c r="R237" t="str">
        <f>_xll.BDP("87971HKA Muni","MUNI_MSRB_VOLUME")</f>
        <v>#N/A Requesting Data...</v>
      </c>
      <c r="S237" t="str">
        <f>_xll.BDP("87971HKA Muni","BB_COMPOSITE")</f>
        <v>#N/A Requesting Data...</v>
      </c>
      <c r="T237" t="str">
        <f>_xll.BDP("87971HKA Muni","LQA_LIQUIDITY_SCORE")</f>
        <v>#N/A Requesting Data...</v>
      </c>
    </row>
    <row r="238" spans="1:20" x14ac:dyDescent="0.25">
      <c r="A238" t="str">
        <f>_xll.BDP("880064W7 Muni","ID_CUSIP")</f>
        <v>#N/A Requesting Data...</v>
      </c>
      <c r="B238" t="s">
        <v>146</v>
      </c>
      <c r="C238" t="str">
        <f>_xll.BDP("880064W7 Muni","INSURANCE_STATUS")</f>
        <v>#N/A Requesting Data...</v>
      </c>
      <c r="D238" t="str">
        <f>_xll.BDP("880064W7 Muni","STATE_CODE")</f>
        <v>#N/A Requesting Data...</v>
      </c>
      <c r="E238" t="str">
        <f>_xll.BDP("880064W7 Muni","COUNTY_LOCATION_ISSUER")</f>
        <v>#N/A Requesting Data...</v>
      </c>
      <c r="F238" t="str">
        <f>_xll.BDP("880064W7 Muni","DUR_ADJ_MID")</f>
        <v>#N/A Requesting Data...</v>
      </c>
      <c r="G238" t="str">
        <f>_xll.BDP("880064W7 Muni","SPREAD_AT_ISSUANCE_TO_WORST")</f>
        <v>#N/A Requesting Data...</v>
      </c>
      <c r="H238" t="str">
        <f>_xll.BDP("880064W7 Muni","ISSUE_DT")</f>
        <v>#N/A Requesting Data...</v>
      </c>
      <c r="I238" t="str">
        <f>_xll.BDS("880064W7 Muni","MUNI_PURPOSE_SCHED", "aggregate=y")</f>
        <v>#N/A Review</v>
      </c>
      <c r="J238" t="str">
        <f>_xll.BDP("880064W7 Muni","CPN")</f>
        <v>#N/A Requesting Data...</v>
      </c>
      <c r="K238" t="str">
        <f>_xll.BDP("880064W7 Muni","MATURITY")</f>
        <v>#N/A Requesting Data...</v>
      </c>
      <c r="L238">
        <v>855000</v>
      </c>
      <c r="M238" t="str">
        <f>_xll.BDP("880064W7 Muni","YIELD_ON_ISSUE_DATE")</f>
        <v>#N/A Requesting Data...</v>
      </c>
      <c r="N238" t="str">
        <f>_xll.BDP("880064W7 Muni","YTW_SPREAD_TO_MATURITY_AT_ISSU")</f>
        <v>#N/A Requesting Data...</v>
      </c>
      <c r="O238" t="str">
        <f>_xll.BDP("880064W7 Muni","BVAL_MID_YTM")</f>
        <v>#N/A Requesting Data...</v>
      </c>
      <c r="P238" t="str">
        <f>_xll.BDP("880064W7 Muni","MUNI_TAX_PROV")</f>
        <v>#N/A Requesting Data...</v>
      </c>
      <c r="Q238" t="str">
        <f>_xll.BDP("880064W7 Muni","MUNI_FED_TAX")</f>
        <v>#N/A Requesting Data...</v>
      </c>
      <c r="R238" t="str">
        <f>_xll.BDP("880064W7 Muni","MUNI_MSRB_VOLUME")</f>
        <v>#N/A Requesting Data...</v>
      </c>
      <c r="S238" t="str">
        <f>_xll.BDP("880064W7 Muni","BB_COMPOSITE")</f>
        <v>#N/A Requesting Data...</v>
      </c>
      <c r="T238" t="str">
        <f>_xll.BDP("880064W7 Muni","LQA_LIQUIDITY_SCORE")</f>
        <v>#N/A Requesting Data...</v>
      </c>
    </row>
    <row r="239" spans="1:20" x14ac:dyDescent="0.25">
      <c r="A239" t="str">
        <f>_xll.BDP("13063CT8 Muni","ID_CUSIP")</f>
        <v>#N/A Requesting Data...</v>
      </c>
      <c r="B239" t="s">
        <v>21</v>
      </c>
      <c r="C239" t="str">
        <f>_xll.BDP("13063CT8 Muni","INSURANCE_STATUS")</f>
        <v>#N/A Requesting Data...</v>
      </c>
      <c r="D239" t="str">
        <f>_xll.BDP("13063CT8 Muni","STATE_CODE")</f>
        <v>#N/A Requesting Data...</v>
      </c>
      <c r="E239" t="str">
        <f>_xll.BDP("13063CT8 Muni","COUNTY_LOCATION_ISSUER")</f>
        <v>#N/A Requesting Data...</v>
      </c>
      <c r="F239" t="str">
        <f>_xll.BDP("13063CT8 Muni","DUR_ADJ_MID")</f>
        <v>#N/A Requesting Data...</v>
      </c>
      <c r="G239" t="str">
        <f>_xll.BDP("13063CT8 Muni","SPREAD_AT_ISSUANCE_TO_WORST")</f>
        <v>#N/A Requesting Data...</v>
      </c>
      <c r="H239" t="str">
        <f>_xll.BDP("13063CT8 Muni","ISSUE_DT")</f>
        <v>#N/A Requesting Data...</v>
      </c>
      <c r="I239" t="str">
        <f>_xll.BDS("13063CT8 Muni","MUNI_PURPOSE_SCHED", "aggregate=y")</f>
        <v>#N/A Review</v>
      </c>
      <c r="J239" t="str">
        <f>_xll.BDP("13063CT8 Muni","CPN")</f>
        <v>#N/A Requesting Data...</v>
      </c>
      <c r="K239" t="str">
        <f>_xll.BDP("13063CT8 Muni","MATURITY")</f>
        <v>#N/A Requesting Data...</v>
      </c>
      <c r="L239">
        <v>20965000</v>
      </c>
      <c r="M239" t="str">
        <f>_xll.BDP("13063CT8 Muni","YIELD_ON_ISSUE_DATE")</f>
        <v>#N/A Requesting Data...</v>
      </c>
      <c r="N239" t="str">
        <f>_xll.BDP("13063CT8 Muni","YTW_SPREAD_TO_MATURITY_AT_ISSU")</f>
        <v>#N/A Requesting Data...</v>
      </c>
      <c r="O239" t="str">
        <f>_xll.BDP("13063CT8 Muni","BVAL_MID_YTM")</f>
        <v>#N/A Requesting Data...</v>
      </c>
      <c r="P239" t="str">
        <f>_xll.BDP("13063CT8 Muni","MUNI_TAX_PROV")</f>
        <v>#N/A Requesting Data...</v>
      </c>
      <c r="Q239" t="str">
        <f>_xll.BDP("13063CT8 Muni","MUNI_FED_TAX")</f>
        <v>#N/A Requesting Data...</v>
      </c>
      <c r="R239" t="str">
        <f>_xll.BDP("13063CT8 Muni","MUNI_MSRB_VOLUME")</f>
        <v>#N/A Requesting Data...</v>
      </c>
      <c r="S239" t="str">
        <f>_xll.BDP("13063CT8 Muni","BB_COMPOSITE")</f>
        <v>#N/A Requesting Data...</v>
      </c>
      <c r="T239" t="str">
        <f>_xll.BDP("13063CT8 Muni","LQA_LIQUIDITY_SCORE")</f>
        <v>#N/A Requesting Data...</v>
      </c>
    </row>
    <row r="240" spans="1:20" x14ac:dyDescent="0.25">
      <c r="A240" t="str">
        <f>_xll.BDP("24916TDS Muni","ID_CUSIP")</f>
        <v>#N/A Requesting Data...</v>
      </c>
      <c r="B240" t="s">
        <v>147</v>
      </c>
      <c r="C240" t="str">
        <f>_xll.BDP("24916TDS Muni","INSURANCE_STATUS")</f>
        <v>#N/A Requesting Data...</v>
      </c>
      <c r="D240" t="str">
        <f>_xll.BDP("24916TDS Muni","STATE_CODE")</f>
        <v>#N/A Requesting Data...</v>
      </c>
      <c r="E240" t="str">
        <f>_xll.BDP("24916TDS Muni","COUNTY_LOCATION_ISSUER")</f>
        <v>#N/A Requesting Data...</v>
      </c>
      <c r="F240" t="str">
        <f>_xll.BDP("24916TDS Muni","DUR_ADJ_MID")</f>
        <v>#N/A Requesting Data...</v>
      </c>
      <c r="G240" t="str">
        <f>_xll.BDP("24916TDS Muni","SPREAD_AT_ISSUANCE_TO_WORST")</f>
        <v>#N/A Requesting Data...</v>
      </c>
      <c r="H240" t="str">
        <f>_xll.BDP("24916TDS Muni","ISSUE_DT")</f>
        <v>#N/A Requesting Data...</v>
      </c>
      <c r="I240" t="str">
        <f>_xll.BDS("24916TDS Muni","MUNI_PURPOSE_SCHED", "aggregate=y")</f>
        <v>#N/A Review</v>
      </c>
      <c r="J240" t="str">
        <f>_xll.BDP("24916TDS Muni","CPN")</f>
        <v>#N/A Requesting Data...</v>
      </c>
      <c r="K240" t="str">
        <f>_xll.BDP("24916TDS Muni","MATURITY")</f>
        <v>#N/A Requesting Data...</v>
      </c>
      <c r="L240">
        <v>2105000</v>
      </c>
      <c r="M240" t="str">
        <f>_xll.BDP("24916TDS Muni","YIELD_ON_ISSUE_DATE")</f>
        <v>#N/A Requesting Data...</v>
      </c>
      <c r="N240" t="str">
        <f>_xll.BDP("24916TDS Muni","YTW_SPREAD_TO_MATURITY_AT_ISSU")</f>
        <v>#N/A Requesting Data...</v>
      </c>
      <c r="O240" t="str">
        <f>_xll.BDP("24916TDS Muni","BVAL_MID_YTM")</f>
        <v>#N/A Requesting Data...</v>
      </c>
      <c r="P240" t="str">
        <f>_xll.BDP("24916TDS Muni","MUNI_TAX_PROV")</f>
        <v>#N/A Requesting Data...</v>
      </c>
      <c r="Q240" t="str">
        <f>_xll.BDP("24916TDS Muni","MUNI_FED_TAX")</f>
        <v>#N/A Requesting Data...</v>
      </c>
      <c r="R240" t="str">
        <f>_xll.BDP("24916TDS Muni","MUNI_MSRB_VOLUME")</f>
        <v>#N/A Requesting Data...</v>
      </c>
      <c r="S240" t="str">
        <f>_xll.BDP("24916TDS Muni","BB_COMPOSITE")</f>
        <v>#N/A Requesting Data...</v>
      </c>
      <c r="T240" t="str">
        <f>_xll.BDP("24916TDS Muni","LQA_LIQUIDITY_SCORE")</f>
        <v>#N/A Requesting Data...</v>
      </c>
    </row>
    <row r="241" spans="1:20" x14ac:dyDescent="0.25">
      <c r="A241" t="str">
        <f>_xll.BDP("79642B3P Muni","ID_CUSIP")</f>
        <v>#N/A Requesting Data...</v>
      </c>
      <c r="B241" t="s">
        <v>64</v>
      </c>
      <c r="C241" t="str">
        <f>_xll.BDP("79642B3P Muni","INSURANCE_STATUS")</f>
        <v>#N/A Requesting Data...</v>
      </c>
      <c r="D241" t="str">
        <f>_xll.BDP("79642B3P Muni","STATE_CODE")</f>
        <v>#N/A Requesting Data...</v>
      </c>
      <c r="E241" t="str">
        <f>_xll.BDP("79642B3P Muni","COUNTY_LOCATION_ISSUER")</f>
        <v>#N/A Requesting Data...</v>
      </c>
      <c r="F241" t="str">
        <f>_xll.BDP("79642B3P Muni","DUR_ADJ_MID")</f>
        <v>#N/A Requesting Data...</v>
      </c>
      <c r="G241" t="str">
        <f>_xll.BDP("79642B3P Muni","SPREAD_AT_ISSUANCE_TO_WORST")</f>
        <v>#N/A Requesting Data...</v>
      </c>
      <c r="H241" t="str">
        <f>_xll.BDP("79642B3P Muni","ISSUE_DT")</f>
        <v>#N/A Requesting Data...</v>
      </c>
      <c r="I241" t="str">
        <f>_xll.BDS("79642B3P Muni","MUNI_PURPOSE_SCHED", "aggregate=y")</f>
        <v>#N/A Review</v>
      </c>
      <c r="J241" t="str">
        <f>_xll.BDP("79642B3P Muni","CPN")</f>
        <v>#N/A Requesting Data...</v>
      </c>
      <c r="K241" t="str">
        <f>_xll.BDP("79642B3P Muni","MATURITY")</f>
        <v>#N/A Requesting Data...</v>
      </c>
      <c r="L241">
        <v>7670000</v>
      </c>
      <c r="M241" t="str">
        <f>_xll.BDP("79642B3P Muni","YIELD_ON_ISSUE_DATE")</f>
        <v>#N/A Requesting Data...</v>
      </c>
      <c r="N241" t="str">
        <f>_xll.BDP("79642B3P Muni","YTW_SPREAD_TO_MATURITY_AT_ISSU")</f>
        <v>#N/A Requesting Data...</v>
      </c>
      <c r="O241" t="str">
        <f>_xll.BDP("79642B3P Muni","BVAL_MID_YTM")</f>
        <v>#N/A Requesting Data...</v>
      </c>
      <c r="P241" t="str">
        <f>_xll.BDP("79642B3P Muni","MUNI_TAX_PROV")</f>
        <v>#N/A Requesting Data...</v>
      </c>
      <c r="Q241" t="str">
        <f>_xll.BDP("79642B3P Muni","MUNI_FED_TAX")</f>
        <v>#N/A Requesting Data...</v>
      </c>
      <c r="R241" t="str">
        <f>_xll.BDP("79642B3P Muni","MUNI_MSRB_VOLUME")</f>
        <v>#N/A Requesting Data...</v>
      </c>
      <c r="S241" t="str">
        <f>_xll.BDP("79642B3P Muni","BB_COMPOSITE")</f>
        <v>#N/A Requesting Data...</v>
      </c>
      <c r="T241" t="str">
        <f>_xll.BDP("79642B3P Muni","LQA_LIQUIDITY_SCORE")</f>
        <v>#N/A Requesting Data...</v>
      </c>
    </row>
    <row r="242" spans="1:20" x14ac:dyDescent="0.25">
      <c r="A242" t="str">
        <f>_xll.BDP("512445J8 Muni","ID_CUSIP")</f>
        <v>#N/A Requesting Data...</v>
      </c>
      <c r="B242" t="s">
        <v>148</v>
      </c>
      <c r="C242" t="str">
        <f>_xll.BDP("512445J8 Muni","INSURANCE_STATUS")</f>
        <v>#N/A Requesting Data...</v>
      </c>
      <c r="D242" t="str">
        <f>_xll.BDP("512445J8 Muni","STATE_CODE")</f>
        <v>#N/A Requesting Data...</v>
      </c>
      <c r="E242" t="str">
        <f>_xll.BDP("512445J8 Muni","COUNTY_LOCATION_ISSUER")</f>
        <v>#N/A Requesting Data...</v>
      </c>
      <c r="F242" t="str">
        <f>_xll.BDP("512445J8 Muni","DUR_ADJ_MID")</f>
        <v>#N/A Requesting Data...</v>
      </c>
      <c r="G242" t="str">
        <f>_xll.BDP("512445J8 Muni","SPREAD_AT_ISSUANCE_TO_WORST")</f>
        <v>#N/A Requesting Data...</v>
      </c>
      <c r="H242" t="str">
        <f>_xll.BDP("512445J8 Muni","ISSUE_DT")</f>
        <v>#N/A Requesting Data...</v>
      </c>
      <c r="I242" t="str">
        <f>_xll.BDS("512445J8 Muni","MUNI_PURPOSE_SCHED", "aggregate=y")</f>
        <v>#N/A Review</v>
      </c>
      <c r="J242" t="str">
        <f>_xll.BDP("512445J8 Muni","CPN")</f>
        <v>#N/A Requesting Data...</v>
      </c>
      <c r="K242" t="str">
        <f>_xll.BDP("512445J8 Muni","MATURITY")</f>
        <v>#N/A Requesting Data...</v>
      </c>
      <c r="L242">
        <v>465000</v>
      </c>
      <c r="M242" t="str">
        <f>_xll.BDP("512445J8 Muni","YIELD_ON_ISSUE_DATE")</f>
        <v>#N/A Requesting Data...</v>
      </c>
      <c r="N242" t="str">
        <f>_xll.BDP("512445J8 Muni","YTW_SPREAD_TO_MATURITY_AT_ISSU")</f>
        <v>#N/A Requesting Data...</v>
      </c>
      <c r="O242" t="str">
        <f>_xll.BDP("512445J8 Muni","BVAL_MID_YTM")</f>
        <v>#N/A Requesting Data...</v>
      </c>
      <c r="P242" t="str">
        <f>_xll.BDP("512445J8 Muni","MUNI_TAX_PROV")</f>
        <v>#N/A Requesting Data...</v>
      </c>
      <c r="Q242" t="str">
        <f>_xll.BDP("512445J8 Muni","MUNI_FED_TAX")</f>
        <v>#N/A Requesting Data...</v>
      </c>
      <c r="R242" t="str">
        <f>_xll.BDP("512445J8 Muni","MUNI_MSRB_VOLUME")</f>
        <v>#N/A Requesting Data...</v>
      </c>
      <c r="S242" t="str">
        <f>_xll.BDP("512445J8 Muni","BB_COMPOSITE")</f>
        <v>#N/A Requesting Data...</v>
      </c>
      <c r="T242" t="str">
        <f>_xll.BDP("512445J8 Muni","LQA_LIQUIDITY_SCORE")</f>
        <v>#N/A Requesting Data...</v>
      </c>
    </row>
    <row r="243" spans="1:20" x14ac:dyDescent="0.25">
      <c r="A243" t="str">
        <f>_xll.BDP("358776MF Muni","ID_CUSIP")</f>
        <v>#N/A Requesting Data...</v>
      </c>
      <c r="B243" t="s">
        <v>82</v>
      </c>
      <c r="C243" t="str">
        <f>_xll.BDP("358776MF Muni","INSURANCE_STATUS")</f>
        <v>#N/A Requesting Data...</v>
      </c>
      <c r="D243" t="str">
        <f>_xll.BDP("358776MF Muni","STATE_CODE")</f>
        <v>#N/A Requesting Data...</v>
      </c>
      <c r="E243" t="str">
        <f>_xll.BDP("358776MF Muni","COUNTY_LOCATION_ISSUER")</f>
        <v>#N/A Requesting Data...</v>
      </c>
      <c r="F243" t="str">
        <f>_xll.BDP("358776MF Muni","DUR_ADJ_MID")</f>
        <v>#N/A Requesting Data...</v>
      </c>
      <c r="G243" t="str">
        <f>_xll.BDP("358776MF Muni","SPREAD_AT_ISSUANCE_TO_WORST")</f>
        <v>#N/A Requesting Data...</v>
      </c>
      <c r="H243" t="str">
        <f>_xll.BDP("358776MF Muni","ISSUE_DT")</f>
        <v>#N/A Requesting Data...</v>
      </c>
      <c r="I243" t="str">
        <f>_xll.BDS("358776MF Muni","MUNI_PURPOSE_SCHED", "aggregate=y")</f>
        <v>#N/A Review</v>
      </c>
      <c r="J243" t="str">
        <f>_xll.BDP("358776MF Muni","CPN")</f>
        <v>#N/A Requesting Data...</v>
      </c>
      <c r="K243" t="str">
        <f>_xll.BDP("358776MF Muni","MATURITY")</f>
        <v>#N/A Requesting Data...</v>
      </c>
      <c r="L243">
        <v>725000</v>
      </c>
      <c r="M243" t="str">
        <f>_xll.BDP("358776MF Muni","YIELD_ON_ISSUE_DATE")</f>
        <v>#N/A Requesting Data...</v>
      </c>
      <c r="N243" t="str">
        <f>_xll.BDP("358776MF Muni","YTW_SPREAD_TO_MATURITY_AT_ISSU")</f>
        <v>#N/A Requesting Data...</v>
      </c>
      <c r="O243" t="str">
        <f>_xll.BDP("358776MF Muni","BVAL_MID_YTM")</f>
        <v>#N/A Requesting Data...</v>
      </c>
      <c r="P243" t="str">
        <f>_xll.BDP("358776MF Muni","MUNI_TAX_PROV")</f>
        <v>#N/A Requesting Data...</v>
      </c>
      <c r="Q243" t="str">
        <f>_xll.BDP("358776MF Muni","MUNI_FED_TAX")</f>
        <v>#N/A Requesting Data...</v>
      </c>
      <c r="R243" t="str">
        <f>_xll.BDP("358776MF Muni","MUNI_MSRB_VOLUME")</f>
        <v>#N/A Requesting Data...</v>
      </c>
      <c r="S243" t="str">
        <f>_xll.BDP("358776MF Muni","BB_COMPOSITE")</f>
        <v>#N/A Requesting Data...</v>
      </c>
      <c r="T243" t="str">
        <f>_xll.BDP("358776MF Muni","LQA_LIQUIDITY_SCORE")</f>
        <v>#N/A Requesting Data...</v>
      </c>
    </row>
    <row r="244" spans="1:20" x14ac:dyDescent="0.25">
      <c r="A244" t="str">
        <f>_xll.BDP("234279BD Muni","ID_CUSIP")</f>
        <v>#N/A Requesting Data...</v>
      </c>
      <c r="B244" t="s">
        <v>149</v>
      </c>
      <c r="C244" t="str">
        <f>_xll.BDP("234279BD Muni","INSURANCE_STATUS")</f>
        <v>#N/A Requesting Data...</v>
      </c>
      <c r="D244" t="str">
        <f>_xll.BDP("234279BD Muni","STATE_CODE")</f>
        <v>#N/A Requesting Data...</v>
      </c>
      <c r="E244" t="str">
        <f>_xll.BDP("234279BD Muni","COUNTY_LOCATION_ISSUER")</f>
        <v>#N/A Requesting Data...</v>
      </c>
      <c r="F244" t="str">
        <f>_xll.BDP("234279BD Muni","DUR_ADJ_MID")</f>
        <v>#N/A Requesting Data...</v>
      </c>
      <c r="G244" t="str">
        <f>_xll.BDP("234279BD Muni","SPREAD_AT_ISSUANCE_TO_WORST")</f>
        <v>#N/A Requesting Data...</v>
      </c>
      <c r="H244" t="str">
        <f>_xll.BDP("234279BD Muni","ISSUE_DT")</f>
        <v>#N/A Requesting Data...</v>
      </c>
      <c r="I244" t="str">
        <f>_xll.BDS("234279BD Muni","MUNI_PURPOSE_SCHED", "aggregate=y")</f>
        <v>#N/A Review</v>
      </c>
      <c r="J244" t="str">
        <f>_xll.BDP("234279BD Muni","CPN")</f>
        <v>#N/A Requesting Data...</v>
      </c>
      <c r="K244" t="str">
        <f>_xll.BDP("234279BD Muni","MATURITY")</f>
        <v>#N/A Requesting Data...</v>
      </c>
      <c r="L244">
        <v>240000</v>
      </c>
      <c r="M244" t="str">
        <f>_xll.BDP("234279BD Muni","YIELD_ON_ISSUE_DATE")</f>
        <v>#N/A Requesting Data...</v>
      </c>
      <c r="N244" t="str">
        <f>_xll.BDP("234279BD Muni","YTW_SPREAD_TO_MATURITY_AT_ISSU")</f>
        <v>#N/A Requesting Data...</v>
      </c>
      <c r="O244" t="str">
        <f>_xll.BDP("234279BD Muni","BVAL_MID_YTM")</f>
        <v>#N/A Requesting Data...</v>
      </c>
      <c r="P244" t="str">
        <f>_xll.BDP("234279BD Muni","MUNI_TAX_PROV")</f>
        <v>#N/A Requesting Data...</v>
      </c>
      <c r="Q244" t="str">
        <f>_xll.BDP("234279BD Muni","MUNI_FED_TAX")</f>
        <v>#N/A Requesting Data...</v>
      </c>
      <c r="R244" t="str">
        <f>_xll.BDP("234279BD Muni","MUNI_MSRB_VOLUME")</f>
        <v>#N/A Requesting Data...</v>
      </c>
      <c r="S244" t="str">
        <f>_xll.BDP("234279BD Muni","BB_COMPOSITE")</f>
        <v>#N/A Requesting Data...</v>
      </c>
      <c r="T244" t="str">
        <f>_xll.BDP("234279BD Muni","LQA_LIQUIDITY_SCORE")</f>
        <v>#N/A Requesting Data...</v>
      </c>
    </row>
    <row r="245" spans="1:20" x14ac:dyDescent="0.25">
      <c r="A245" t="str">
        <f>_xll.BDP("20772J3V Muni","ID_CUSIP")</f>
        <v>#N/A Requesting Data...</v>
      </c>
      <c r="B245" t="s">
        <v>47</v>
      </c>
      <c r="C245" t="str">
        <f>_xll.BDP("20772J3V Muni","INSURANCE_STATUS")</f>
        <v>#N/A Requesting Data...</v>
      </c>
      <c r="D245" t="str">
        <f>_xll.BDP("20772J3V Muni","STATE_CODE")</f>
        <v>#N/A Requesting Data...</v>
      </c>
      <c r="E245" t="str">
        <f>_xll.BDP("20772J3V Muni","COUNTY_LOCATION_ISSUER")</f>
        <v>#N/A Requesting Data...</v>
      </c>
      <c r="F245" t="str">
        <f>_xll.BDP("20772J3V Muni","DUR_ADJ_MID")</f>
        <v>#N/A Requesting Data...</v>
      </c>
      <c r="G245" t="str">
        <f>_xll.BDP("20772J3V Muni","SPREAD_AT_ISSUANCE_TO_WORST")</f>
        <v>#N/A Requesting Data...</v>
      </c>
      <c r="H245" t="str">
        <f>_xll.BDP("20772J3V Muni","ISSUE_DT")</f>
        <v>#N/A Requesting Data...</v>
      </c>
      <c r="I245" t="str">
        <f>_xll.BDS("20772J3V Muni","MUNI_PURPOSE_SCHED", "aggregate=y")</f>
        <v>#N/A Review</v>
      </c>
      <c r="J245" t="str">
        <f>_xll.BDP("20772J3V Muni","CPN")</f>
        <v>#N/A Requesting Data...</v>
      </c>
      <c r="K245" t="str">
        <f>_xll.BDP("20772J3V Muni","MATURITY")</f>
        <v>#N/A Requesting Data...</v>
      </c>
      <c r="L245">
        <v>29940000</v>
      </c>
      <c r="M245" t="str">
        <f>_xll.BDP("20772J3V Muni","YIELD_ON_ISSUE_DATE")</f>
        <v>#N/A Requesting Data...</v>
      </c>
      <c r="N245" t="str">
        <f>_xll.BDP("20772J3V Muni","YTW_SPREAD_TO_MATURITY_AT_ISSU")</f>
        <v>#N/A Requesting Data...</v>
      </c>
      <c r="O245" t="str">
        <f>_xll.BDP("20772J3V Muni","BVAL_MID_YTM")</f>
        <v>#N/A Requesting Data...</v>
      </c>
      <c r="P245" t="str">
        <f>_xll.BDP("20772J3V Muni","MUNI_TAX_PROV")</f>
        <v>#N/A Requesting Data...</v>
      </c>
      <c r="Q245" t="str">
        <f>_xll.BDP("20772J3V Muni","MUNI_FED_TAX")</f>
        <v>#N/A Requesting Data...</v>
      </c>
      <c r="R245" t="str">
        <f>_xll.BDP("20772J3V Muni","MUNI_MSRB_VOLUME")</f>
        <v>#N/A Requesting Data...</v>
      </c>
      <c r="S245" t="str">
        <f>_xll.BDP("20772J3V Muni","BB_COMPOSITE")</f>
        <v>#N/A Requesting Data...</v>
      </c>
      <c r="T245" t="str">
        <f>_xll.BDP("20772J3V Muni","LQA_LIQUIDITY_SCORE")</f>
        <v>#N/A Requesting Data...</v>
      </c>
    </row>
    <row r="246" spans="1:20" x14ac:dyDescent="0.25">
      <c r="A246" t="str">
        <f>_xll.BDP("20772J4H Muni","ID_CUSIP")</f>
        <v>#N/A Requesting Data...</v>
      </c>
      <c r="B246" t="s">
        <v>47</v>
      </c>
      <c r="C246" t="str">
        <f>_xll.BDP("20772J4H Muni","INSURANCE_STATUS")</f>
        <v>#N/A Requesting Data...</v>
      </c>
      <c r="D246" t="str">
        <f>_xll.BDP("20772J4H Muni","STATE_CODE")</f>
        <v>#N/A Requesting Data...</v>
      </c>
      <c r="E246" t="str">
        <f>_xll.BDP("20772J4H Muni","COUNTY_LOCATION_ISSUER")</f>
        <v>#N/A Requesting Data...</v>
      </c>
      <c r="F246" t="str">
        <f>_xll.BDP("20772J4H Muni","DUR_ADJ_MID")</f>
        <v>#N/A Requesting Data...</v>
      </c>
      <c r="G246" t="str">
        <f>_xll.BDP("20772J4H Muni","SPREAD_AT_ISSUANCE_TO_WORST")</f>
        <v>#N/A Requesting Data...</v>
      </c>
      <c r="H246" t="str">
        <f>_xll.BDP("20772J4H Muni","ISSUE_DT")</f>
        <v>#N/A Requesting Data...</v>
      </c>
      <c r="I246" t="str">
        <f>_xll.BDS("20772J4H Muni","MUNI_PURPOSE_SCHED", "aggregate=y")</f>
        <v>#N/A Review</v>
      </c>
      <c r="J246" t="str">
        <f>_xll.BDP("20772J4H Muni","CPN")</f>
        <v>#N/A Requesting Data...</v>
      </c>
      <c r="K246" t="str">
        <f>_xll.BDP("20772J4H Muni","MATURITY")</f>
        <v>#N/A Requesting Data...</v>
      </c>
      <c r="L246">
        <v>990000</v>
      </c>
      <c r="M246" t="str">
        <f>_xll.BDP("20772J4H Muni","YIELD_ON_ISSUE_DATE")</f>
        <v>#N/A Requesting Data...</v>
      </c>
      <c r="N246" t="str">
        <f>_xll.BDP("20772J4H Muni","YTW_SPREAD_TO_MATURITY_AT_ISSU")</f>
        <v>#N/A Requesting Data...</v>
      </c>
      <c r="O246" t="str">
        <f>_xll.BDP("20772J4H Muni","BVAL_MID_YTM")</f>
        <v>#N/A Requesting Data...</v>
      </c>
      <c r="P246" t="str">
        <f>_xll.BDP("20772J4H Muni","MUNI_TAX_PROV")</f>
        <v>#N/A Requesting Data...</v>
      </c>
      <c r="Q246" t="str">
        <f>_xll.BDP("20772J4H Muni","MUNI_FED_TAX")</f>
        <v>#N/A Requesting Data...</v>
      </c>
      <c r="R246" t="str">
        <f>_xll.BDP("20772J4H Muni","MUNI_MSRB_VOLUME")</f>
        <v>#N/A Requesting Data...</v>
      </c>
      <c r="S246" t="str">
        <f>_xll.BDP("20772J4H Muni","BB_COMPOSITE")</f>
        <v>#N/A Requesting Data...</v>
      </c>
      <c r="T246" t="str">
        <f>_xll.BDP("20772J4H Muni","LQA_LIQUIDITY_SCORE")</f>
        <v>#N/A Requesting Data...</v>
      </c>
    </row>
    <row r="247" spans="1:20" x14ac:dyDescent="0.25">
      <c r="A247" t="str">
        <f>_xll.BDP("198504XG Muni","ID_CUSIP")</f>
        <v>#N/A Requesting Data...</v>
      </c>
      <c r="B247" t="s">
        <v>53</v>
      </c>
      <c r="C247" t="str">
        <f>_xll.BDP("198504XG Muni","INSURANCE_STATUS")</f>
        <v>#N/A Requesting Data...</v>
      </c>
      <c r="D247" t="str">
        <f>_xll.BDP("198504XG Muni","STATE_CODE")</f>
        <v>#N/A Requesting Data...</v>
      </c>
      <c r="E247" t="str">
        <f>_xll.BDP("198504XG Muni","COUNTY_LOCATION_ISSUER")</f>
        <v>#N/A Requesting Data...</v>
      </c>
      <c r="F247" t="str">
        <f>_xll.BDP("198504XG Muni","DUR_ADJ_MID")</f>
        <v>#N/A Requesting Data...</v>
      </c>
      <c r="G247" t="str">
        <f>_xll.BDP("198504XG Muni","SPREAD_AT_ISSUANCE_TO_WORST")</f>
        <v>#N/A Requesting Data...</v>
      </c>
      <c r="H247" t="str">
        <f>_xll.BDP("198504XG Muni","ISSUE_DT")</f>
        <v>#N/A Requesting Data...</v>
      </c>
      <c r="I247" t="str">
        <f>_xll.BDS("198504XG Muni","MUNI_PURPOSE_SCHED", "aggregate=y")</f>
        <v>#N/A Review</v>
      </c>
      <c r="J247" t="str">
        <f>_xll.BDP("198504XG Muni","CPN")</f>
        <v>#N/A Requesting Data...</v>
      </c>
      <c r="K247" t="str">
        <f>_xll.BDP("198504XG Muni","MATURITY")</f>
        <v>#N/A Requesting Data...</v>
      </c>
      <c r="L247">
        <v>1860000</v>
      </c>
      <c r="M247" t="str">
        <f>_xll.BDP("198504XG Muni","YIELD_ON_ISSUE_DATE")</f>
        <v>#N/A Requesting Data...</v>
      </c>
      <c r="N247" t="str">
        <f>_xll.BDP("198504XG Muni","YTW_SPREAD_TO_MATURITY_AT_ISSU")</f>
        <v>#N/A Requesting Data...</v>
      </c>
      <c r="O247" t="str">
        <f>_xll.BDP("198504XG Muni","BVAL_MID_YTM")</f>
        <v>#N/A Requesting Data...</v>
      </c>
      <c r="P247" t="str">
        <f>_xll.BDP("198504XG Muni","MUNI_TAX_PROV")</f>
        <v>#N/A Requesting Data...</v>
      </c>
      <c r="Q247" t="str">
        <f>_xll.BDP("198504XG Muni","MUNI_FED_TAX")</f>
        <v>#N/A Requesting Data...</v>
      </c>
      <c r="R247" t="str">
        <f>_xll.BDP("198504XG Muni","MUNI_MSRB_VOLUME")</f>
        <v>#N/A Requesting Data...</v>
      </c>
      <c r="S247" t="str">
        <f>_xll.BDP("198504XG Muni","BB_COMPOSITE")</f>
        <v>#N/A Requesting Data...</v>
      </c>
      <c r="T247" t="str">
        <f>_xll.BDP("198504XG Muni","LQA_LIQUIDITY_SCORE")</f>
        <v>#N/A Requesting Data...</v>
      </c>
    </row>
    <row r="248" spans="1:20" x14ac:dyDescent="0.25">
      <c r="A248" t="str">
        <f>_xll.BDP("278444CJ Muni","ID_CUSIP")</f>
        <v>#N/A Requesting Data...</v>
      </c>
      <c r="B248" t="s">
        <v>150</v>
      </c>
      <c r="C248" t="str">
        <f>_xll.BDP("278444CJ Muni","INSURANCE_STATUS")</f>
        <v>#N/A Requesting Data...</v>
      </c>
      <c r="D248" t="str">
        <f>_xll.BDP("278444CJ Muni","STATE_CODE")</f>
        <v>#N/A Requesting Data...</v>
      </c>
      <c r="E248" t="str">
        <f>_xll.BDP("278444CJ Muni","COUNTY_LOCATION_ISSUER")</f>
        <v>#N/A Requesting Data...</v>
      </c>
      <c r="F248" t="str">
        <f>_xll.BDP("278444CJ Muni","DUR_ADJ_MID")</f>
        <v>#N/A Requesting Data...</v>
      </c>
      <c r="G248" t="str">
        <f>_xll.BDP("278444CJ Muni","SPREAD_AT_ISSUANCE_TO_WORST")</f>
        <v>#N/A Requesting Data...</v>
      </c>
      <c r="H248" t="str">
        <f>_xll.BDP("278444CJ Muni","ISSUE_DT")</f>
        <v>#N/A Requesting Data...</v>
      </c>
      <c r="I248" t="str">
        <f>_xll.BDS("278444CJ Muni","MUNI_PURPOSE_SCHED", "aggregate=y")</f>
        <v>#N/A Review</v>
      </c>
      <c r="J248" t="str">
        <f>_xll.BDP("278444CJ Muni","CPN")</f>
        <v>#N/A Requesting Data...</v>
      </c>
      <c r="K248" t="str">
        <f>_xll.BDP("278444CJ Muni","MATURITY")</f>
        <v>#N/A Requesting Data...</v>
      </c>
      <c r="L248">
        <v>640000</v>
      </c>
      <c r="M248" t="str">
        <f>_xll.BDP("278444CJ Muni","YIELD_ON_ISSUE_DATE")</f>
        <v>#N/A Requesting Data...</v>
      </c>
      <c r="N248" t="str">
        <f>_xll.BDP("278444CJ Muni","YTW_SPREAD_TO_MATURITY_AT_ISSU")</f>
        <v>#N/A Requesting Data...</v>
      </c>
      <c r="O248" t="str">
        <f>_xll.BDP("278444CJ Muni","BVAL_MID_YTM")</f>
        <v>#N/A Requesting Data...</v>
      </c>
      <c r="P248" t="str">
        <f>_xll.BDP("278444CJ Muni","MUNI_TAX_PROV")</f>
        <v>#N/A Requesting Data...</v>
      </c>
      <c r="Q248" t="str">
        <f>_xll.BDP("278444CJ Muni","MUNI_FED_TAX")</f>
        <v>#N/A Requesting Data...</v>
      </c>
      <c r="R248" t="str">
        <f>_xll.BDP("278444CJ Muni","MUNI_MSRB_VOLUME")</f>
        <v>#N/A Requesting Data...</v>
      </c>
      <c r="S248" t="str">
        <f>_xll.BDP("278444CJ Muni","BB_COMPOSITE")</f>
        <v>#N/A Requesting Data...</v>
      </c>
      <c r="T248" t="str">
        <f>_xll.BDP("278444CJ Muni","LQA_LIQUIDITY_SCORE")</f>
        <v>#N/A Requesting Data...</v>
      </c>
    </row>
    <row r="249" spans="1:20" x14ac:dyDescent="0.25">
      <c r="A249" t="str">
        <f>_xll.BDP("283059FH Muni","ID_CUSIP")</f>
        <v>#N/A Requesting Data...</v>
      </c>
      <c r="B249" t="s">
        <v>103</v>
      </c>
      <c r="C249" t="str">
        <f>_xll.BDP("283059FH Muni","INSURANCE_STATUS")</f>
        <v>#N/A Requesting Data...</v>
      </c>
      <c r="D249" t="str">
        <f>_xll.BDP("283059FH Muni","STATE_CODE")</f>
        <v>#N/A Requesting Data...</v>
      </c>
      <c r="E249" t="str">
        <f>_xll.BDP("283059FH Muni","COUNTY_LOCATION_ISSUER")</f>
        <v>#N/A Requesting Data...</v>
      </c>
      <c r="F249" t="str">
        <f>_xll.BDP("283059FH Muni","DUR_ADJ_MID")</f>
        <v>#N/A Requesting Data...</v>
      </c>
      <c r="G249" t="str">
        <f>_xll.BDP("283059FH Muni","SPREAD_AT_ISSUANCE_TO_WORST")</f>
        <v>#N/A Requesting Data...</v>
      </c>
      <c r="H249" t="str">
        <f>_xll.BDP("283059FH Muni","ISSUE_DT")</f>
        <v>#N/A Requesting Data...</v>
      </c>
      <c r="I249" t="str">
        <f>_xll.BDS("283059FH Muni","MUNI_PURPOSE_SCHED", "aggregate=y")</f>
        <v>#N/A Review</v>
      </c>
      <c r="J249" t="str">
        <f>_xll.BDP("283059FH Muni","CPN")</f>
        <v>#N/A Requesting Data...</v>
      </c>
      <c r="K249" t="str">
        <f>_xll.BDP("283059FH Muni","MATURITY")</f>
        <v>#N/A Requesting Data...</v>
      </c>
      <c r="L249">
        <v>6780000</v>
      </c>
      <c r="M249" t="str">
        <f>_xll.BDP("283059FH Muni","YIELD_ON_ISSUE_DATE")</f>
        <v>#N/A Requesting Data...</v>
      </c>
      <c r="N249" t="str">
        <f>_xll.BDP("283059FH Muni","YTW_SPREAD_TO_MATURITY_AT_ISSU")</f>
        <v>#N/A Requesting Data...</v>
      </c>
      <c r="O249" t="str">
        <f>_xll.BDP("283059FH Muni","BVAL_MID_YTM")</f>
        <v>#N/A Requesting Data...</v>
      </c>
      <c r="P249" t="str">
        <f>_xll.BDP("283059FH Muni","MUNI_TAX_PROV")</f>
        <v>#N/A Requesting Data...</v>
      </c>
      <c r="Q249" t="str">
        <f>_xll.BDP("283059FH Muni","MUNI_FED_TAX")</f>
        <v>#N/A Requesting Data...</v>
      </c>
      <c r="R249" t="str">
        <f>_xll.BDP("283059FH Muni","MUNI_MSRB_VOLUME")</f>
        <v>#N/A Requesting Data...</v>
      </c>
      <c r="S249" t="str">
        <f>_xll.BDP("283059FH Muni","BB_COMPOSITE")</f>
        <v>#N/A Requesting Data...</v>
      </c>
      <c r="T249" t="str">
        <f>_xll.BDP("283059FH Muni","LQA_LIQUIDITY_SCORE")</f>
        <v>#N/A Requesting Data...</v>
      </c>
    </row>
    <row r="250" spans="1:20" x14ac:dyDescent="0.25">
      <c r="A250" t="str">
        <f>_xll.BDP("432347LX Muni","ID_CUSIP")</f>
        <v>#N/A Requesting Data...</v>
      </c>
      <c r="B250" t="s">
        <v>35</v>
      </c>
      <c r="C250" t="str">
        <f>_xll.BDP("432347LX Muni","INSURANCE_STATUS")</f>
        <v>#N/A Requesting Data...</v>
      </c>
      <c r="D250" t="str">
        <f>_xll.BDP("432347LX Muni","STATE_CODE")</f>
        <v>#N/A Requesting Data...</v>
      </c>
      <c r="E250" t="str">
        <f>_xll.BDP("432347LX Muni","COUNTY_LOCATION_ISSUER")</f>
        <v>#N/A Requesting Data...</v>
      </c>
      <c r="F250" t="str">
        <f>_xll.BDP("432347LX Muni","DUR_ADJ_MID")</f>
        <v>#N/A Requesting Data...</v>
      </c>
      <c r="G250" t="str">
        <f>_xll.BDP("432347LX Muni","SPREAD_AT_ISSUANCE_TO_WORST")</f>
        <v>#N/A Requesting Data...</v>
      </c>
      <c r="H250" t="str">
        <f>_xll.BDP("432347LX Muni","ISSUE_DT")</f>
        <v>#N/A Requesting Data...</v>
      </c>
      <c r="I250" t="str">
        <f>_xll.BDS("432347LX Muni","MUNI_PURPOSE_SCHED", "aggregate=y")</f>
        <v>#N/A Review</v>
      </c>
      <c r="J250" t="str">
        <f>_xll.BDP("432347LX Muni","CPN")</f>
        <v>#N/A Requesting Data...</v>
      </c>
      <c r="K250" t="str">
        <f>_xll.BDP("432347LX Muni","MATURITY")</f>
        <v>#N/A Requesting Data...</v>
      </c>
      <c r="L250">
        <v>3405000</v>
      </c>
      <c r="M250" t="str">
        <f>_xll.BDP("432347LX Muni","YIELD_ON_ISSUE_DATE")</f>
        <v>#N/A Requesting Data...</v>
      </c>
      <c r="N250" t="str">
        <f>_xll.BDP("432347LX Muni","YTW_SPREAD_TO_MATURITY_AT_ISSU")</f>
        <v>#N/A Requesting Data...</v>
      </c>
      <c r="O250" t="str">
        <f>_xll.BDP("432347LX Muni","BVAL_MID_YTM")</f>
        <v>#N/A Requesting Data...</v>
      </c>
      <c r="P250" t="str">
        <f>_xll.BDP("432347LX Muni","MUNI_TAX_PROV")</f>
        <v>#N/A Requesting Data...</v>
      </c>
      <c r="Q250" t="str">
        <f>_xll.BDP("432347LX Muni","MUNI_FED_TAX")</f>
        <v>#N/A Requesting Data...</v>
      </c>
      <c r="R250" t="str">
        <f>_xll.BDP("432347LX Muni","MUNI_MSRB_VOLUME")</f>
        <v>#N/A Requesting Data...</v>
      </c>
      <c r="S250" t="str">
        <f>_xll.BDP("432347LX Muni","BB_COMPOSITE")</f>
        <v>#N/A Requesting Data...</v>
      </c>
      <c r="T250" t="str">
        <f>_xll.BDP("432347LX Muni","LQA_LIQUIDITY_SCORE")</f>
        <v>#N/A Requesting Data...</v>
      </c>
    </row>
    <row r="251" spans="1:20" x14ac:dyDescent="0.25">
      <c r="A251" t="str">
        <f>_xll.BDP("432347LZ Muni","ID_CUSIP")</f>
        <v>#N/A Requesting Data...</v>
      </c>
      <c r="B251" t="s">
        <v>35</v>
      </c>
      <c r="C251" t="str">
        <f>_xll.BDP("432347LZ Muni","INSURANCE_STATUS")</f>
        <v>#N/A Requesting Data...</v>
      </c>
      <c r="D251" t="str">
        <f>_xll.BDP("432347LZ Muni","STATE_CODE")</f>
        <v>#N/A Requesting Data...</v>
      </c>
      <c r="E251" t="str">
        <f>_xll.BDP("432347LZ Muni","COUNTY_LOCATION_ISSUER")</f>
        <v>#N/A Requesting Data...</v>
      </c>
      <c r="F251" t="str">
        <f>_xll.BDP("432347LZ Muni","DUR_ADJ_MID")</f>
        <v>#N/A Requesting Data...</v>
      </c>
      <c r="G251" t="str">
        <f>_xll.BDP("432347LZ Muni","SPREAD_AT_ISSUANCE_TO_WORST")</f>
        <v>#N/A Requesting Data...</v>
      </c>
      <c r="H251" t="str">
        <f>_xll.BDP("432347LZ Muni","ISSUE_DT")</f>
        <v>#N/A Requesting Data...</v>
      </c>
      <c r="I251" t="str">
        <f>_xll.BDS("432347LZ Muni","MUNI_PURPOSE_SCHED", "aggregate=y")</f>
        <v>#N/A Review</v>
      </c>
      <c r="J251" t="str">
        <f>_xll.BDP("432347LZ Muni","CPN")</f>
        <v>#N/A Requesting Data...</v>
      </c>
      <c r="K251" t="str">
        <f>_xll.BDP("432347LZ Muni","MATURITY")</f>
        <v>#N/A Requesting Data...</v>
      </c>
      <c r="L251">
        <v>3755000</v>
      </c>
      <c r="M251" t="str">
        <f>_xll.BDP("432347LZ Muni","YIELD_ON_ISSUE_DATE")</f>
        <v>#N/A Requesting Data...</v>
      </c>
      <c r="N251" t="str">
        <f>_xll.BDP("432347LZ Muni","YTW_SPREAD_TO_MATURITY_AT_ISSU")</f>
        <v>#N/A Requesting Data...</v>
      </c>
      <c r="O251" t="str">
        <f>_xll.BDP("432347LZ Muni","BVAL_MID_YTM")</f>
        <v>#N/A Requesting Data...</v>
      </c>
      <c r="P251" t="str">
        <f>_xll.BDP("432347LZ Muni","MUNI_TAX_PROV")</f>
        <v>#N/A Requesting Data...</v>
      </c>
      <c r="Q251" t="str">
        <f>_xll.BDP("432347LZ Muni","MUNI_FED_TAX")</f>
        <v>#N/A Requesting Data...</v>
      </c>
      <c r="R251" t="str">
        <f>_xll.BDP("432347LZ Muni","MUNI_MSRB_VOLUME")</f>
        <v>#N/A Requesting Data...</v>
      </c>
      <c r="S251" t="str">
        <f>_xll.BDP("432347LZ Muni","BB_COMPOSITE")</f>
        <v>#N/A Requesting Data...</v>
      </c>
      <c r="T251" t="str">
        <f>_xll.BDP("432347LZ Muni","LQA_LIQUIDITY_SCORE")</f>
        <v>#N/A Requesting Data...</v>
      </c>
    </row>
    <row r="252" spans="1:20" x14ac:dyDescent="0.25">
      <c r="A252" t="str">
        <f>_xll.BDP("45506DYA Muni","ID_CUSIP")</f>
        <v>#N/A Requesting Data...</v>
      </c>
      <c r="B252" t="s">
        <v>42</v>
      </c>
      <c r="C252" t="str">
        <f>_xll.BDP("45506DYA Muni","INSURANCE_STATUS")</f>
        <v>#N/A Requesting Data...</v>
      </c>
      <c r="D252" t="str">
        <f>_xll.BDP("45506DYA Muni","STATE_CODE")</f>
        <v>#N/A Requesting Data...</v>
      </c>
      <c r="E252" t="str">
        <f>_xll.BDP("45506DYA Muni","COUNTY_LOCATION_ISSUER")</f>
        <v>#N/A Requesting Data...</v>
      </c>
      <c r="F252" t="str">
        <f>_xll.BDP("45506DYA Muni","DUR_ADJ_MID")</f>
        <v>#N/A Requesting Data...</v>
      </c>
      <c r="G252" t="str">
        <f>_xll.BDP("45506DYA Muni","SPREAD_AT_ISSUANCE_TO_WORST")</f>
        <v>#N/A Requesting Data...</v>
      </c>
      <c r="H252" t="str">
        <f>_xll.BDP("45506DYA Muni","ISSUE_DT")</f>
        <v>#N/A Requesting Data...</v>
      </c>
      <c r="I252" t="str">
        <f>_xll.BDS("45506DYA Muni","MUNI_PURPOSE_SCHED", "aggregate=y")</f>
        <v>#N/A Review</v>
      </c>
      <c r="J252" t="str">
        <f>_xll.BDP("45506DYA Muni","CPN")</f>
        <v>#N/A Requesting Data...</v>
      </c>
      <c r="K252" t="str">
        <f>_xll.BDP("45506DYA Muni","MATURITY")</f>
        <v>#N/A Requesting Data...</v>
      </c>
      <c r="L252">
        <v>50000</v>
      </c>
      <c r="M252" t="str">
        <f>_xll.BDP("45506DYA Muni","YIELD_ON_ISSUE_DATE")</f>
        <v>#N/A Requesting Data...</v>
      </c>
      <c r="N252" t="str">
        <f>_xll.BDP("45506DYA Muni","YTW_SPREAD_TO_MATURITY_AT_ISSU")</f>
        <v>#N/A Requesting Data...</v>
      </c>
      <c r="O252" t="str">
        <f>_xll.BDP("45506DYA Muni","BVAL_MID_YTM")</f>
        <v>#N/A Requesting Data...</v>
      </c>
      <c r="P252" t="str">
        <f>_xll.BDP("45506DYA Muni","MUNI_TAX_PROV")</f>
        <v>#N/A Requesting Data...</v>
      </c>
      <c r="Q252" t="str">
        <f>_xll.BDP("45506DYA Muni","MUNI_FED_TAX")</f>
        <v>#N/A Requesting Data...</v>
      </c>
      <c r="R252" t="str">
        <f>_xll.BDP("45506DYA Muni","MUNI_MSRB_VOLUME")</f>
        <v>#N/A Requesting Data...</v>
      </c>
      <c r="S252" t="str">
        <f>_xll.BDP("45506DYA Muni","BB_COMPOSITE")</f>
        <v>#N/A Requesting Data...</v>
      </c>
      <c r="T252" t="str">
        <f>_xll.BDP("45506DYA Muni","LQA_LIQUIDITY_SCORE")</f>
        <v>#N/A Requesting Data...</v>
      </c>
    </row>
    <row r="253" spans="1:20" x14ac:dyDescent="0.25">
      <c r="A253" t="str">
        <f>_xll.BDP("64986DBM Muni","ID_CUSIP")</f>
        <v>#N/A Requesting Data...</v>
      </c>
      <c r="B253" t="s">
        <v>38</v>
      </c>
      <c r="C253" t="str">
        <f>_xll.BDP("64986DBM Muni","INSURANCE_STATUS")</f>
        <v>#N/A Requesting Data...</v>
      </c>
      <c r="D253" t="str">
        <f>_xll.BDP("64986DBM Muni","STATE_CODE")</f>
        <v>#N/A Requesting Data...</v>
      </c>
      <c r="E253" t="str">
        <f>_xll.BDP("64986DBM Muni","COUNTY_LOCATION_ISSUER")</f>
        <v>#N/A Requesting Data...</v>
      </c>
      <c r="F253" t="str">
        <f>_xll.BDP("64986DBM Muni","DUR_ADJ_MID")</f>
        <v>#N/A Requesting Data...</v>
      </c>
      <c r="G253" t="str">
        <f>_xll.BDP("64986DBM Muni","SPREAD_AT_ISSUANCE_TO_WORST")</f>
        <v>#N/A Requesting Data...</v>
      </c>
      <c r="H253" t="str">
        <f>_xll.BDP("64986DBM Muni","ISSUE_DT")</f>
        <v>#N/A Requesting Data...</v>
      </c>
      <c r="I253" t="str">
        <f>_xll.BDS("64986DBM Muni","MUNI_PURPOSE_SCHED", "aggregate=y")</f>
        <v>#N/A Review</v>
      </c>
      <c r="J253" t="str">
        <f>_xll.BDP("64986DBM Muni","CPN")</f>
        <v>#N/A Requesting Data...</v>
      </c>
      <c r="K253" t="str">
        <f>_xll.BDP("64986DBM Muni","MATURITY")</f>
        <v>#N/A Requesting Data...</v>
      </c>
      <c r="L253">
        <v>4060000</v>
      </c>
      <c r="M253" t="str">
        <f>_xll.BDP("64986DBM Muni","YIELD_ON_ISSUE_DATE")</f>
        <v>#N/A Requesting Data...</v>
      </c>
      <c r="N253" t="str">
        <f>_xll.BDP("64986DBM Muni","YTW_SPREAD_TO_MATURITY_AT_ISSU")</f>
        <v>#N/A Requesting Data...</v>
      </c>
      <c r="O253" t="str">
        <f>_xll.BDP("64986DBM Muni","BVAL_MID_YTM")</f>
        <v>#N/A Requesting Data...</v>
      </c>
      <c r="P253" t="str">
        <f>_xll.BDP("64986DBM Muni","MUNI_TAX_PROV")</f>
        <v>#N/A Requesting Data...</v>
      </c>
      <c r="Q253" t="str">
        <f>_xll.BDP("64986DBM Muni","MUNI_FED_TAX")</f>
        <v>#N/A Requesting Data...</v>
      </c>
      <c r="R253" t="str">
        <f>_xll.BDP("64986DBM Muni","MUNI_MSRB_VOLUME")</f>
        <v>#N/A Requesting Data...</v>
      </c>
      <c r="S253" t="str">
        <f>_xll.BDP("64986DBM Muni","BB_COMPOSITE")</f>
        <v>#N/A Requesting Data...</v>
      </c>
      <c r="T253" t="str">
        <f>_xll.BDP("64986DBM Muni","LQA_LIQUIDITY_SCORE")</f>
        <v>#N/A Requesting Data...</v>
      </c>
    </row>
    <row r="254" spans="1:20" x14ac:dyDescent="0.25">
      <c r="A254" t="str">
        <f>_xll.BDP("662903QT Muni","ID_CUSIP")</f>
        <v>#N/A Requesting Data...</v>
      </c>
      <c r="B254" t="s">
        <v>114</v>
      </c>
      <c r="C254" t="str">
        <f>_xll.BDP("662903QT Muni","INSURANCE_STATUS")</f>
        <v>#N/A Requesting Data...</v>
      </c>
      <c r="D254" t="str">
        <f>_xll.BDP("662903QT Muni","STATE_CODE")</f>
        <v>#N/A Requesting Data...</v>
      </c>
      <c r="E254" t="str">
        <f>_xll.BDP("662903QT Muni","COUNTY_LOCATION_ISSUER")</f>
        <v>#N/A Requesting Data...</v>
      </c>
      <c r="F254" t="str">
        <f>_xll.BDP("662903QT Muni","DUR_ADJ_MID")</f>
        <v>#N/A Requesting Data...</v>
      </c>
      <c r="G254" t="str">
        <f>_xll.BDP("662903QT Muni","SPREAD_AT_ISSUANCE_TO_WORST")</f>
        <v>#N/A Requesting Data...</v>
      </c>
      <c r="H254" t="str">
        <f>_xll.BDP("662903QT Muni","ISSUE_DT")</f>
        <v>#N/A Requesting Data...</v>
      </c>
      <c r="I254" t="str">
        <f>_xll.BDS("662903QT Muni","MUNI_PURPOSE_SCHED", "aggregate=y")</f>
        <v>#N/A Review</v>
      </c>
      <c r="J254" t="str">
        <f>_xll.BDP("662903QT Muni","CPN")</f>
        <v>#N/A Requesting Data...</v>
      </c>
      <c r="K254" t="str">
        <f>_xll.BDP("662903QT Muni","MATURITY")</f>
        <v>#N/A Requesting Data...</v>
      </c>
      <c r="L254">
        <v>8425000</v>
      </c>
      <c r="M254" t="str">
        <f>_xll.BDP("662903QT Muni","YIELD_ON_ISSUE_DATE")</f>
        <v>#N/A Requesting Data...</v>
      </c>
      <c r="N254" t="str">
        <f>_xll.BDP("662903QT Muni","YTW_SPREAD_TO_MATURITY_AT_ISSU")</f>
        <v>#N/A Requesting Data...</v>
      </c>
      <c r="O254" t="str">
        <f>_xll.BDP("662903QT Muni","BVAL_MID_YTM")</f>
        <v>#N/A Requesting Data...</v>
      </c>
      <c r="P254" t="str">
        <f>_xll.BDP("662903QT Muni","MUNI_TAX_PROV")</f>
        <v>#N/A Requesting Data...</v>
      </c>
      <c r="Q254" t="str">
        <f>_xll.BDP("662903QT Muni","MUNI_FED_TAX")</f>
        <v>#N/A Requesting Data...</v>
      </c>
      <c r="R254" t="str">
        <f>_xll.BDP("662903QT Muni","MUNI_MSRB_VOLUME")</f>
        <v>#N/A Requesting Data...</v>
      </c>
      <c r="S254" t="str">
        <f>_xll.BDP("662903QT Muni","BB_COMPOSITE")</f>
        <v>#N/A Requesting Data...</v>
      </c>
      <c r="T254" t="str">
        <f>_xll.BDP("662903QT Muni","LQA_LIQUIDITY_SCORE")</f>
        <v>#N/A Requesting Data...</v>
      </c>
    </row>
    <row r="255" spans="1:20" x14ac:dyDescent="0.25">
      <c r="A255" t="str">
        <f>_xll.BDP("67765QDN Muni","ID_CUSIP")</f>
        <v>#N/A Requesting Data...</v>
      </c>
      <c r="B255" t="s">
        <v>32</v>
      </c>
      <c r="C255" t="str">
        <f>_xll.BDP("67765QDN Muni","INSURANCE_STATUS")</f>
        <v>#N/A Requesting Data...</v>
      </c>
      <c r="D255" t="str">
        <f>_xll.BDP("67765QDN Muni","STATE_CODE")</f>
        <v>#N/A Requesting Data...</v>
      </c>
      <c r="E255" t="str">
        <f>_xll.BDP("67765QDN Muni","COUNTY_LOCATION_ISSUER")</f>
        <v>#N/A Requesting Data...</v>
      </c>
      <c r="F255" t="str">
        <f>_xll.BDP("67765QDN Muni","DUR_ADJ_MID")</f>
        <v>#N/A Requesting Data...</v>
      </c>
      <c r="G255" t="str">
        <f>_xll.BDP("67765QDN Muni","SPREAD_AT_ISSUANCE_TO_WORST")</f>
        <v>#N/A Requesting Data...</v>
      </c>
      <c r="H255" t="str">
        <f>_xll.BDP("67765QDN Muni","ISSUE_DT")</f>
        <v>#N/A Requesting Data...</v>
      </c>
      <c r="I255" t="str">
        <f>_xll.BDS("67765QDN Muni","MUNI_PURPOSE_SCHED", "aggregate=y")</f>
        <v>#N/A Review</v>
      </c>
      <c r="J255" t="str">
        <f>_xll.BDP("67765QDN Muni","CPN")</f>
        <v>#N/A Requesting Data...</v>
      </c>
      <c r="K255" t="str">
        <f>_xll.BDP("67765QDN Muni","MATURITY")</f>
        <v>#N/A Requesting Data...</v>
      </c>
      <c r="L255">
        <v>6500000</v>
      </c>
      <c r="M255" t="str">
        <f>_xll.BDP("67765QDN Muni","YIELD_ON_ISSUE_DATE")</f>
        <v>#N/A Requesting Data...</v>
      </c>
      <c r="N255" t="str">
        <f>_xll.BDP("67765QDN Muni","YTW_SPREAD_TO_MATURITY_AT_ISSU")</f>
        <v>#N/A Requesting Data...</v>
      </c>
      <c r="O255" t="str">
        <f>_xll.BDP("67765QDN Muni","BVAL_MID_YTM")</f>
        <v>#N/A Requesting Data...</v>
      </c>
      <c r="P255" t="str">
        <f>_xll.BDP("67765QDN Muni","MUNI_TAX_PROV")</f>
        <v>#N/A Requesting Data...</v>
      </c>
      <c r="Q255" t="str">
        <f>_xll.BDP("67765QDN Muni","MUNI_FED_TAX")</f>
        <v>#N/A Requesting Data...</v>
      </c>
      <c r="R255" t="str">
        <f>_xll.BDP("67765QDN Muni","MUNI_MSRB_VOLUME")</f>
        <v>#N/A Requesting Data...</v>
      </c>
      <c r="S255" t="str">
        <f>_xll.BDP("67765QDN Muni","BB_COMPOSITE")</f>
        <v>#N/A Requesting Data...</v>
      </c>
      <c r="T255" t="str">
        <f>_xll.BDP("67765QDN Muni","LQA_LIQUIDITY_SCORE")</f>
        <v>#N/A Requesting Data...</v>
      </c>
    </row>
    <row r="256" spans="1:20" x14ac:dyDescent="0.25">
      <c r="A256" t="str">
        <f>_xll.BDP("783116AK Muni","ID_CUSIP")</f>
        <v>#N/A Requesting Data...</v>
      </c>
      <c r="B256" t="s">
        <v>151</v>
      </c>
      <c r="C256" t="str">
        <f>_xll.BDP("783116AK Muni","INSURANCE_STATUS")</f>
        <v>#N/A Requesting Data...</v>
      </c>
      <c r="D256" t="str">
        <f>_xll.BDP("783116AK Muni","STATE_CODE")</f>
        <v>#N/A Requesting Data...</v>
      </c>
      <c r="E256" t="str">
        <f>_xll.BDP("783116AK Muni","COUNTY_LOCATION_ISSUER")</f>
        <v>#N/A Requesting Data...</v>
      </c>
      <c r="F256" t="str">
        <f>_xll.BDP("783116AK Muni","DUR_ADJ_MID")</f>
        <v>#N/A Requesting Data...</v>
      </c>
      <c r="G256" t="str">
        <f>_xll.BDP("783116AK Muni","SPREAD_AT_ISSUANCE_TO_WORST")</f>
        <v>#N/A Requesting Data...</v>
      </c>
      <c r="H256" t="str">
        <f>_xll.BDP("783116AK Muni","ISSUE_DT")</f>
        <v>#N/A Requesting Data...</v>
      </c>
      <c r="I256" t="str">
        <f>_xll.BDS("783116AK Muni","MUNI_PURPOSE_SCHED", "aggregate=y")</f>
        <v>#N/A Review</v>
      </c>
      <c r="J256" t="str">
        <f>_xll.BDP("783116AK Muni","CPN")</f>
        <v>#N/A Requesting Data...</v>
      </c>
      <c r="K256" t="str">
        <f>_xll.BDP("783116AK Muni","MATURITY")</f>
        <v>#N/A Requesting Data...</v>
      </c>
      <c r="L256">
        <v>1835000</v>
      </c>
      <c r="M256" t="str">
        <f>_xll.BDP("783116AK Muni","YIELD_ON_ISSUE_DATE")</f>
        <v>#N/A Requesting Data...</v>
      </c>
      <c r="N256" t="str">
        <f>_xll.BDP("783116AK Muni","YTW_SPREAD_TO_MATURITY_AT_ISSU")</f>
        <v>#N/A Requesting Data...</v>
      </c>
      <c r="O256" t="str">
        <f>_xll.BDP("783116AK Muni","BVAL_MID_YTM")</f>
        <v>#N/A Requesting Data...</v>
      </c>
      <c r="P256" t="str">
        <f>_xll.BDP("783116AK Muni","MUNI_TAX_PROV")</f>
        <v>#N/A Requesting Data...</v>
      </c>
      <c r="Q256" t="str">
        <f>_xll.BDP("783116AK Muni","MUNI_FED_TAX")</f>
        <v>#N/A Requesting Data...</v>
      </c>
      <c r="R256" t="str">
        <f>_xll.BDP("783116AK Muni","MUNI_MSRB_VOLUME")</f>
        <v>#N/A Requesting Data...</v>
      </c>
      <c r="S256" t="str">
        <f>_xll.BDP("783116AK Muni","BB_COMPOSITE")</f>
        <v>#N/A Requesting Data...</v>
      </c>
      <c r="T256" t="str">
        <f>_xll.BDP("783116AK Muni","LQA_LIQUIDITY_SCORE")</f>
        <v>#N/A Requesting Data...</v>
      </c>
    </row>
    <row r="257" spans="1:20" x14ac:dyDescent="0.25">
      <c r="A257" t="str">
        <f>_xll.BDP("575829BT Muni","ID_CUSIP")</f>
        <v>#N/A Requesting Data...</v>
      </c>
      <c r="B257" t="s">
        <v>20</v>
      </c>
      <c r="C257" t="str">
        <f>_xll.BDP("575829BT Muni","INSURANCE_STATUS")</f>
        <v>#N/A Requesting Data...</v>
      </c>
      <c r="D257" t="str">
        <f>_xll.BDP("575829BT Muni","STATE_CODE")</f>
        <v>#N/A Requesting Data...</v>
      </c>
      <c r="E257" t="str">
        <f>_xll.BDP("575829BT Muni","COUNTY_LOCATION_ISSUER")</f>
        <v>#N/A Requesting Data...</v>
      </c>
      <c r="F257" t="str">
        <f>_xll.BDP("575829BT Muni","DUR_ADJ_MID")</f>
        <v>#N/A Requesting Data...</v>
      </c>
      <c r="G257" t="str">
        <f>_xll.BDP("575829BT Muni","SPREAD_AT_ISSUANCE_TO_WORST")</f>
        <v>#N/A Requesting Data...</v>
      </c>
      <c r="H257" t="str">
        <f>_xll.BDP("575829BT Muni","ISSUE_DT")</f>
        <v>#N/A Requesting Data...</v>
      </c>
      <c r="I257" t="str">
        <f>_xll.BDS("575829BT Muni","MUNI_PURPOSE_SCHED", "aggregate=y")</f>
        <v>#N/A Review</v>
      </c>
      <c r="J257" t="str">
        <f>_xll.BDP("575829BT Muni","CPN")</f>
        <v>#N/A Requesting Data...</v>
      </c>
      <c r="K257" t="str">
        <f>_xll.BDP("575829BT Muni","MATURITY")</f>
        <v>#N/A Requesting Data...</v>
      </c>
      <c r="L257">
        <v>10045000</v>
      </c>
      <c r="M257" t="str">
        <f>_xll.BDP("575829BT Muni","YIELD_ON_ISSUE_DATE")</f>
        <v>#N/A Requesting Data...</v>
      </c>
      <c r="N257" t="str">
        <f>_xll.BDP("575829BT Muni","YTW_SPREAD_TO_MATURITY_AT_ISSU")</f>
        <v>#N/A Requesting Data...</v>
      </c>
      <c r="O257" t="str">
        <f>_xll.BDP("575829BT Muni","BVAL_MID_YTM")</f>
        <v>#N/A Requesting Data...</v>
      </c>
      <c r="P257" t="str">
        <f>_xll.BDP("575829BT Muni","MUNI_TAX_PROV")</f>
        <v>#N/A Requesting Data...</v>
      </c>
      <c r="Q257" t="str">
        <f>_xll.BDP("575829BT Muni","MUNI_FED_TAX")</f>
        <v>#N/A Requesting Data...</v>
      </c>
      <c r="R257" t="str">
        <f>_xll.BDP("575829BT Muni","MUNI_MSRB_VOLUME")</f>
        <v>#N/A Requesting Data...</v>
      </c>
      <c r="S257" t="str">
        <f>_xll.BDP("575829BT Muni","BB_COMPOSITE")</f>
        <v>#N/A Requesting Data...</v>
      </c>
      <c r="T257" t="str">
        <f>_xll.BDP("575829BT Muni","LQA_LIQUIDITY_SCORE")</f>
        <v>#N/A Requesting Data...</v>
      </c>
    </row>
    <row r="258" spans="1:20" x14ac:dyDescent="0.25">
      <c r="A258" t="str">
        <f>_xll.BDP("57582RLR Muni","ID_CUSIP")</f>
        <v>#N/A Requesting Data...</v>
      </c>
      <c r="B258" t="s">
        <v>78</v>
      </c>
      <c r="C258" t="str">
        <f>_xll.BDP("57582RLR Muni","INSURANCE_STATUS")</f>
        <v>#N/A Requesting Data...</v>
      </c>
      <c r="D258" t="str">
        <f>_xll.BDP("57582RLR Muni","STATE_CODE")</f>
        <v>#N/A Requesting Data...</v>
      </c>
      <c r="E258" t="str">
        <f>_xll.BDP("57582RLR Muni","COUNTY_LOCATION_ISSUER")</f>
        <v>#N/A Requesting Data...</v>
      </c>
      <c r="F258" t="str">
        <f>_xll.BDP("57582RLR Muni","DUR_ADJ_MID")</f>
        <v>#N/A Requesting Data...</v>
      </c>
      <c r="G258" t="str">
        <f>_xll.BDP("57582RLR Muni","SPREAD_AT_ISSUANCE_TO_WORST")</f>
        <v>#N/A Requesting Data...</v>
      </c>
      <c r="H258" t="str">
        <f>_xll.BDP("57582RLR Muni","ISSUE_DT")</f>
        <v>#N/A Requesting Data...</v>
      </c>
      <c r="I258" t="str">
        <f>_xll.BDS("57582RLR Muni","MUNI_PURPOSE_SCHED", "aggregate=y")</f>
        <v>#N/A Review</v>
      </c>
      <c r="J258" t="str">
        <f>_xll.BDP("57582RLR Muni","CPN")</f>
        <v>#N/A Requesting Data...</v>
      </c>
      <c r="K258" t="str">
        <f>_xll.BDP("57582RLR Muni","MATURITY")</f>
        <v>#N/A Requesting Data...</v>
      </c>
      <c r="L258">
        <v>50000000</v>
      </c>
      <c r="M258" t="str">
        <f>_xll.BDP("57582RLR Muni","YIELD_ON_ISSUE_DATE")</f>
        <v>#N/A Requesting Data...</v>
      </c>
      <c r="N258" t="str">
        <f>_xll.BDP("57582RLR Muni","YTW_SPREAD_TO_MATURITY_AT_ISSU")</f>
        <v>#N/A Requesting Data...</v>
      </c>
      <c r="O258" t="str">
        <f>_xll.BDP("57582RLR Muni","BVAL_MID_YTM")</f>
        <v>#N/A Requesting Data...</v>
      </c>
      <c r="P258" t="str">
        <f>_xll.BDP("57582RLR Muni","MUNI_TAX_PROV")</f>
        <v>#N/A Requesting Data...</v>
      </c>
      <c r="Q258" t="str">
        <f>_xll.BDP("57582RLR Muni","MUNI_FED_TAX")</f>
        <v>#N/A Requesting Data...</v>
      </c>
      <c r="R258" t="str">
        <f>_xll.BDP("57582RLR Muni","MUNI_MSRB_VOLUME")</f>
        <v>#N/A Requesting Data...</v>
      </c>
      <c r="S258" t="str">
        <f>_xll.BDP("57582RLR Muni","BB_COMPOSITE")</f>
        <v>#N/A Requesting Data...</v>
      </c>
      <c r="T258" t="str">
        <f>_xll.BDP("57582RLR Muni","LQA_LIQUIDITY_SCORE")</f>
        <v>#N/A Requesting Data...</v>
      </c>
    </row>
    <row r="259" spans="1:20" x14ac:dyDescent="0.25">
      <c r="A259" t="str">
        <f>_xll.BDP("882723K7 Muni","ID_CUSIP")</f>
        <v>#N/A Requesting Data...</v>
      </c>
      <c r="B259" t="s">
        <v>95</v>
      </c>
      <c r="C259" t="str">
        <f>_xll.BDP("882723K7 Muni","INSURANCE_STATUS")</f>
        <v>#N/A Requesting Data...</v>
      </c>
      <c r="D259" t="str">
        <f>_xll.BDP("882723K7 Muni","STATE_CODE")</f>
        <v>#N/A Requesting Data...</v>
      </c>
      <c r="E259" t="str">
        <f>_xll.BDP("882723K7 Muni","COUNTY_LOCATION_ISSUER")</f>
        <v>#N/A Requesting Data...</v>
      </c>
      <c r="F259" t="str">
        <f>_xll.BDP("882723K7 Muni","DUR_ADJ_MID")</f>
        <v>#N/A Requesting Data...</v>
      </c>
      <c r="G259" t="str">
        <f>_xll.BDP("882723K7 Muni","SPREAD_AT_ISSUANCE_TO_WORST")</f>
        <v>#N/A Requesting Data...</v>
      </c>
      <c r="H259" t="str">
        <f>_xll.BDP("882723K7 Muni","ISSUE_DT")</f>
        <v>#N/A Requesting Data...</v>
      </c>
      <c r="I259" t="str">
        <f>_xll.BDS("882723K7 Muni","MUNI_PURPOSE_SCHED", "aggregate=y")</f>
        <v>#N/A Review</v>
      </c>
      <c r="J259" t="str">
        <f>_xll.BDP("882723K7 Muni","CPN")</f>
        <v>#N/A Requesting Data...</v>
      </c>
      <c r="K259" t="str">
        <f>_xll.BDP("882723K7 Muni","MATURITY")</f>
        <v>#N/A Requesting Data...</v>
      </c>
      <c r="L259">
        <v>2325000</v>
      </c>
      <c r="M259" t="str">
        <f>_xll.BDP("882723K7 Muni","YIELD_ON_ISSUE_DATE")</f>
        <v>#N/A Requesting Data...</v>
      </c>
      <c r="N259" t="str">
        <f>_xll.BDP("882723K7 Muni","YTW_SPREAD_TO_MATURITY_AT_ISSU")</f>
        <v>#N/A Requesting Data...</v>
      </c>
      <c r="O259" t="str">
        <f>_xll.BDP("882723K7 Muni","BVAL_MID_YTM")</f>
        <v>#N/A Requesting Data...</v>
      </c>
      <c r="P259" t="str">
        <f>_xll.BDP("882723K7 Muni","MUNI_TAX_PROV")</f>
        <v>#N/A Requesting Data...</v>
      </c>
      <c r="Q259" t="str">
        <f>_xll.BDP("882723K7 Muni","MUNI_FED_TAX")</f>
        <v>#N/A Requesting Data...</v>
      </c>
      <c r="R259" t="str">
        <f>_xll.BDP("882723K7 Muni","MUNI_MSRB_VOLUME")</f>
        <v>#N/A Requesting Data...</v>
      </c>
      <c r="S259" t="str">
        <f>_xll.BDP("882723K7 Muni","BB_COMPOSITE")</f>
        <v>#N/A Requesting Data...</v>
      </c>
      <c r="T259" t="str">
        <f>_xll.BDP("882723K7 Muni","LQA_LIQUIDITY_SCORE")</f>
        <v>#N/A Requesting Data...</v>
      </c>
    </row>
    <row r="260" spans="1:20" x14ac:dyDescent="0.25">
      <c r="A260" t="str">
        <f>_xll.BDP("882723Y8 Muni","ID_CUSIP")</f>
        <v>#N/A Requesting Data...</v>
      </c>
      <c r="B260" t="s">
        <v>95</v>
      </c>
      <c r="C260" t="str">
        <f>_xll.BDP("882723Y8 Muni","INSURANCE_STATUS")</f>
        <v>#N/A Requesting Data...</v>
      </c>
      <c r="D260" t="str">
        <f>_xll.BDP("882723Y8 Muni","STATE_CODE")</f>
        <v>#N/A Requesting Data...</v>
      </c>
      <c r="E260" t="str">
        <f>_xll.BDP("882723Y8 Muni","COUNTY_LOCATION_ISSUER")</f>
        <v>#N/A Requesting Data...</v>
      </c>
      <c r="F260" t="str">
        <f>_xll.BDP("882723Y8 Muni","DUR_ADJ_MID")</f>
        <v>#N/A Requesting Data...</v>
      </c>
      <c r="G260" t="str">
        <f>_xll.BDP("882723Y8 Muni","SPREAD_AT_ISSUANCE_TO_WORST")</f>
        <v>#N/A Requesting Data...</v>
      </c>
      <c r="H260" t="str">
        <f>_xll.BDP("882723Y8 Muni","ISSUE_DT")</f>
        <v>#N/A Requesting Data...</v>
      </c>
      <c r="I260" t="str">
        <f>_xll.BDS("882723Y8 Muni","MUNI_PURPOSE_SCHED", "aggregate=y")</f>
        <v>#N/A Review</v>
      </c>
      <c r="J260" t="str">
        <f>_xll.BDP("882723Y8 Muni","CPN")</f>
        <v>#N/A Requesting Data...</v>
      </c>
      <c r="K260" t="str">
        <f>_xll.BDP("882723Y8 Muni","MATURITY")</f>
        <v>#N/A Requesting Data...</v>
      </c>
      <c r="L260">
        <v>2260000</v>
      </c>
      <c r="M260" t="str">
        <f>_xll.BDP("882723Y8 Muni","YIELD_ON_ISSUE_DATE")</f>
        <v>#N/A Requesting Data...</v>
      </c>
      <c r="N260" t="str">
        <f>_xll.BDP("882723Y8 Muni","YTW_SPREAD_TO_MATURITY_AT_ISSU")</f>
        <v>#N/A Requesting Data...</v>
      </c>
      <c r="O260" t="str">
        <f>_xll.BDP("882723Y8 Muni","BVAL_MID_YTM")</f>
        <v>#N/A Requesting Data...</v>
      </c>
      <c r="P260" t="str">
        <f>_xll.BDP("882723Y8 Muni","MUNI_TAX_PROV")</f>
        <v>#N/A Requesting Data...</v>
      </c>
      <c r="Q260" t="str">
        <f>_xll.BDP("882723Y8 Muni","MUNI_FED_TAX")</f>
        <v>#N/A Requesting Data...</v>
      </c>
      <c r="R260" t="str">
        <f>_xll.BDP("882723Y8 Muni","MUNI_MSRB_VOLUME")</f>
        <v>#N/A Requesting Data...</v>
      </c>
      <c r="S260" t="str">
        <f>_xll.BDP("882723Y8 Muni","BB_COMPOSITE")</f>
        <v>#N/A Requesting Data...</v>
      </c>
      <c r="T260" t="str">
        <f>_xll.BDP("882723Y8 Muni","LQA_LIQUIDITY_SCORE")</f>
        <v>#N/A Requesting Data...</v>
      </c>
    </row>
    <row r="261" spans="1:20" x14ac:dyDescent="0.25">
      <c r="A261" t="str">
        <f>_xll.BDP("882723Z2 Muni","ID_CUSIP")</f>
        <v>#N/A Requesting Data...</v>
      </c>
      <c r="B261" t="s">
        <v>95</v>
      </c>
      <c r="C261" t="str">
        <f>_xll.BDP("882723Z2 Muni","INSURANCE_STATUS")</f>
        <v>#N/A Requesting Data...</v>
      </c>
      <c r="D261" t="str">
        <f>_xll.BDP("882723Z2 Muni","STATE_CODE")</f>
        <v>#N/A Requesting Data...</v>
      </c>
      <c r="E261" t="str">
        <f>_xll.BDP("882723Z2 Muni","COUNTY_LOCATION_ISSUER")</f>
        <v>#N/A Requesting Data...</v>
      </c>
      <c r="F261" t="str">
        <f>_xll.BDP("882723Z2 Muni","DUR_ADJ_MID")</f>
        <v>#N/A Requesting Data...</v>
      </c>
      <c r="G261" t="str">
        <f>_xll.BDP("882723Z2 Muni","SPREAD_AT_ISSUANCE_TO_WORST")</f>
        <v>#N/A Requesting Data...</v>
      </c>
      <c r="H261" t="str">
        <f>_xll.BDP("882723Z2 Muni","ISSUE_DT")</f>
        <v>#N/A Requesting Data...</v>
      </c>
      <c r="I261" t="str">
        <f>_xll.BDS("882723Z2 Muni","MUNI_PURPOSE_SCHED", "aggregate=y")</f>
        <v>#N/A Review</v>
      </c>
      <c r="J261" t="str">
        <f>_xll.BDP("882723Z2 Muni","CPN")</f>
        <v>#N/A Requesting Data...</v>
      </c>
      <c r="K261" t="str">
        <f>_xll.BDP("882723Z2 Muni","MATURITY")</f>
        <v>#N/A Requesting Data...</v>
      </c>
      <c r="L261">
        <v>3190000</v>
      </c>
      <c r="M261" t="str">
        <f>_xll.BDP("882723Z2 Muni","YIELD_ON_ISSUE_DATE")</f>
        <v>#N/A Requesting Data...</v>
      </c>
      <c r="N261" t="str">
        <f>_xll.BDP("882723Z2 Muni","YTW_SPREAD_TO_MATURITY_AT_ISSU")</f>
        <v>#N/A Requesting Data...</v>
      </c>
      <c r="O261" t="str">
        <f>_xll.BDP("882723Z2 Muni","BVAL_MID_YTM")</f>
        <v>#N/A Requesting Data...</v>
      </c>
      <c r="P261" t="str">
        <f>_xll.BDP("882723Z2 Muni","MUNI_TAX_PROV")</f>
        <v>#N/A Requesting Data...</v>
      </c>
      <c r="Q261" t="str">
        <f>_xll.BDP("882723Z2 Muni","MUNI_FED_TAX")</f>
        <v>#N/A Requesting Data...</v>
      </c>
      <c r="R261" t="str">
        <f>_xll.BDP("882723Z2 Muni","MUNI_MSRB_VOLUME")</f>
        <v>#N/A Requesting Data...</v>
      </c>
      <c r="S261" t="str">
        <f>_xll.BDP("882723Z2 Muni","BB_COMPOSITE")</f>
        <v>#N/A Requesting Data...</v>
      </c>
      <c r="T261" t="str">
        <f>_xll.BDP("882723Z2 Muni","LQA_LIQUIDITY_SCORE")</f>
        <v>#N/A Requesting Data...</v>
      </c>
    </row>
    <row r="262" spans="1:20" x14ac:dyDescent="0.25">
      <c r="A262" t="str">
        <f>_xll.BDP("882854XL Muni","ID_CUSIP")</f>
        <v>#N/A Requesting Data...</v>
      </c>
      <c r="B262" t="s">
        <v>23</v>
      </c>
      <c r="C262" t="str">
        <f>_xll.BDP("882854XL Muni","INSURANCE_STATUS")</f>
        <v>#N/A Requesting Data...</v>
      </c>
      <c r="D262" t="str">
        <f>_xll.BDP("882854XL Muni","STATE_CODE")</f>
        <v>#N/A Requesting Data...</v>
      </c>
      <c r="E262" t="str">
        <f>_xll.BDP("882854XL Muni","COUNTY_LOCATION_ISSUER")</f>
        <v>#N/A Requesting Data...</v>
      </c>
      <c r="F262" t="str">
        <f>_xll.BDP("882854XL Muni","DUR_ADJ_MID")</f>
        <v>#N/A Requesting Data...</v>
      </c>
      <c r="G262" t="str">
        <f>_xll.BDP("882854XL Muni","SPREAD_AT_ISSUANCE_TO_WORST")</f>
        <v>#N/A Requesting Data...</v>
      </c>
      <c r="H262" t="str">
        <f>_xll.BDP("882854XL Muni","ISSUE_DT")</f>
        <v>#N/A Requesting Data...</v>
      </c>
      <c r="I262" t="str">
        <f>_xll.BDS("882854XL Muni","MUNI_PURPOSE_SCHED", "aggregate=y")</f>
        <v>#N/A Review</v>
      </c>
      <c r="J262" t="str">
        <f>_xll.BDP("882854XL Muni","CPN")</f>
        <v>#N/A Requesting Data...</v>
      </c>
      <c r="K262" t="str">
        <f>_xll.BDP("882854XL Muni","MATURITY")</f>
        <v>#N/A Requesting Data...</v>
      </c>
      <c r="L262">
        <v>125000</v>
      </c>
      <c r="M262" t="str">
        <f>_xll.BDP("882854XL Muni","YIELD_ON_ISSUE_DATE")</f>
        <v>#N/A Requesting Data...</v>
      </c>
      <c r="N262" t="str">
        <f>_xll.BDP("882854XL Muni","YTW_SPREAD_TO_MATURITY_AT_ISSU")</f>
        <v>#N/A Requesting Data...</v>
      </c>
      <c r="O262" t="str">
        <f>_xll.BDP("882854XL Muni","BVAL_MID_YTM")</f>
        <v>#N/A Requesting Data...</v>
      </c>
      <c r="P262" t="str">
        <f>_xll.BDP("882854XL Muni","MUNI_TAX_PROV")</f>
        <v>#N/A Requesting Data...</v>
      </c>
      <c r="Q262" t="str">
        <f>_xll.BDP("882854XL Muni","MUNI_FED_TAX")</f>
        <v>#N/A Requesting Data...</v>
      </c>
      <c r="R262" t="str">
        <f>_xll.BDP("882854XL Muni","MUNI_MSRB_VOLUME")</f>
        <v>#N/A Requesting Data...</v>
      </c>
      <c r="S262" t="str">
        <f>_xll.BDP("882854XL Muni","BB_COMPOSITE")</f>
        <v>#N/A Requesting Data...</v>
      </c>
      <c r="T262" t="str">
        <f>_xll.BDP("882854XL Muni","LQA_LIQUIDITY_SCORE")</f>
        <v>#N/A Requesting Data...</v>
      </c>
    </row>
    <row r="263" spans="1:20" x14ac:dyDescent="0.25">
      <c r="A263" t="str">
        <f>_xll.BDP("960686BY Muni","ID_CUSIP")</f>
        <v>#N/A Requesting Data...</v>
      </c>
      <c r="B263" t="s">
        <v>144</v>
      </c>
      <c r="C263" t="str">
        <f>_xll.BDP("960686BY Muni","INSURANCE_STATUS")</f>
        <v>#N/A Requesting Data...</v>
      </c>
      <c r="D263" t="str">
        <f>_xll.BDP("960686BY Muni","STATE_CODE")</f>
        <v>#N/A Requesting Data...</v>
      </c>
      <c r="E263" t="str">
        <f>_xll.BDP("960686BY Muni","COUNTY_LOCATION_ISSUER")</f>
        <v>#N/A Requesting Data...</v>
      </c>
      <c r="F263" t="str">
        <f>_xll.BDP("960686BY Muni","DUR_ADJ_MID")</f>
        <v>#N/A Requesting Data...</v>
      </c>
      <c r="G263" t="str">
        <f>_xll.BDP("960686BY Muni","SPREAD_AT_ISSUANCE_TO_WORST")</f>
        <v>#N/A Requesting Data...</v>
      </c>
      <c r="H263" t="str">
        <f>_xll.BDP("960686BY Muni","ISSUE_DT")</f>
        <v>#N/A Requesting Data...</v>
      </c>
      <c r="I263" t="str">
        <f>_xll.BDS("960686BY Muni","MUNI_PURPOSE_SCHED", "aggregate=y")</f>
        <v>#N/A Review</v>
      </c>
      <c r="J263" t="str">
        <f>_xll.BDP("960686BY Muni","CPN")</f>
        <v>#N/A Requesting Data...</v>
      </c>
      <c r="K263" t="str">
        <f>_xll.BDP("960686BY Muni","MATURITY")</f>
        <v>#N/A Requesting Data...</v>
      </c>
      <c r="L263">
        <v>2050000</v>
      </c>
      <c r="M263" t="str">
        <f>_xll.BDP("960686BY Muni","YIELD_ON_ISSUE_DATE")</f>
        <v>#N/A Requesting Data...</v>
      </c>
      <c r="N263" t="str">
        <f>_xll.BDP("960686BY Muni","YTW_SPREAD_TO_MATURITY_AT_ISSU")</f>
        <v>#N/A Requesting Data...</v>
      </c>
      <c r="O263" t="str">
        <f>_xll.BDP("960686BY Muni","BVAL_MID_YTM")</f>
        <v>#N/A Requesting Data...</v>
      </c>
      <c r="P263" t="str">
        <f>_xll.BDP("960686BY Muni","MUNI_TAX_PROV")</f>
        <v>#N/A Requesting Data...</v>
      </c>
      <c r="Q263" t="str">
        <f>_xll.BDP("960686BY Muni","MUNI_FED_TAX")</f>
        <v>#N/A Requesting Data...</v>
      </c>
      <c r="R263" t="str">
        <f>_xll.BDP("960686BY Muni","MUNI_MSRB_VOLUME")</f>
        <v>#N/A Requesting Data...</v>
      </c>
      <c r="S263" t="str">
        <f>_xll.BDP("960686BY Muni","BB_COMPOSITE")</f>
        <v>#N/A Requesting Data...</v>
      </c>
      <c r="T263" t="str">
        <f>_xll.BDP("960686BY Muni","LQA_LIQUIDITY_SCORE")</f>
        <v>#N/A Requesting Data...</v>
      </c>
    </row>
    <row r="264" spans="1:20" x14ac:dyDescent="0.25">
      <c r="A264" t="str">
        <f>_xll.BDP("876443MY Muni","ID_CUSIP")</f>
        <v>#N/A Requesting Data...</v>
      </c>
      <c r="B264" t="s">
        <v>152</v>
      </c>
      <c r="C264" t="str">
        <f>_xll.BDP("876443MY Muni","INSURANCE_STATUS")</f>
        <v>#N/A Requesting Data...</v>
      </c>
      <c r="D264" t="str">
        <f>_xll.BDP("876443MY Muni","STATE_CODE")</f>
        <v>#N/A Requesting Data...</v>
      </c>
      <c r="E264" t="str">
        <f>_xll.BDP("876443MY Muni","COUNTY_LOCATION_ISSUER")</f>
        <v>#N/A Requesting Data...</v>
      </c>
      <c r="F264" t="str">
        <f>_xll.BDP("876443MY Muni","DUR_ADJ_MID")</f>
        <v>#N/A Requesting Data...</v>
      </c>
      <c r="G264" t="str">
        <f>_xll.BDP("876443MY Muni","SPREAD_AT_ISSUANCE_TO_WORST")</f>
        <v>#N/A Requesting Data...</v>
      </c>
      <c r="H264" t="str">
        <f>_xll.BDP("876443MY Muni","ISSUE_DT")</f>
        <v>#N/A Requesting Data...</v>
      </c>
      <c r="I264" t="str">
        <f>_xll.BDS("876443MY Muni","MUNI_PURPOSE_SCHED", "aggregate=y")</f>
        <v>#N/A Review</v>
      </c>
      <c r="J264" t="str">
        <f>_xll.BDP("876443MY Muni","CPN")</f>
        <v>#N/A Requesting Data...</v>
      </c>
      <c r="K264" t="str">
        <f>_xll.BDP("876443MY Muni","MATURITY")</f>
        <v>#N/A Requesting Data...</v>
      </c>
      <c r="L264">
        <v>690000</v>
      </c>
      <c r="M264" t="str">
        <f>_xll.BDP("876443MY Muni","YIELD_ON_ISSUE_DATE")</f>
        <v>#N/A Requesting Data...</v>
      </c>
      <c r="N264" t="str">
        <f>_xll.BDP("876443MY Muni","YTW_SPREAD_TO_MATURITY_AT_ISSU")</f>
        <v>#N/A Requesting Data...</v>
      </c>
      <c r="O264" t="str">
        <f>_xll.BDP("876443MY Muni","BVAL_MID_YTM")</f>
        <v>#N/A Requesting Data...</v>
      </c>
      <c r="P264" t="str">
        <f>_xll.BDP("876443MY Muni","MUNI_TAX_PROV")</f>
        <v>#N/A Requesting Data...</v>
      </c>
      <c r="Q264" t="str">
        <f>_xll.BDP("876443MY Muni","MUNI_FED_TAX")</f>
        <v>#N/A Requesting Data...</v>
      </c>
      <c r="R264" t="str">
        <f>_xll.BDP("876443MY Muni","MUNI_MSRB_VOLUME")</f>
        <v>#N/A Requesting Data...</v>
      </c>
      <c r="S264" t="str">
        <f>_xll.BDP("876443MY Muni","BB_COMPOSITE")</f>
        <v>#N/A Requesting Data...</v>
      </c>
      <c r="T264" t="str">
        <f>_xll.BDP("876443MY Muni","LQA_LIQUIDITY_SCORE")</f>
        <v>#N/A Requesting Data...</v>
      </c>
    </row>
    <row r="265" spans="1:20" x14ac:dyDescent="0.25">
      <c r="A265" t="str">
        <f>_xll.BDP("79730CFQ Muni","ID_CUSIP")</f>
        <v>#N/A Requesting Data...</v>
      </c>
      <c r="B265" t="s">
        <v>153</v>
      </c>
      <c r="C265" t="str">
        <f>_xll.BDP("79730CFQ Muni","INSURANCE_STATUS")</f>
        <v>#N/A Requesting Data...</v>
      </c>
      <c r="D265" t="str">
        <f>_xll.BDP("79730CFQ Muni","STATE_CODE")</f>
        <v>#N/A Requesting Data...</v>
      </c>
      <c r="E265" t="str">
        <f>_xll.BDP("79730CFQ Muni","COUNTY_LOCATION_ISSUER")</f>
        <v>#N/A Requesting Data...</v>
      </c>
      <c r="F265" t="str">
        <f>_xll.BDP("79730CFQ Muni","DUR_ADJ_MID")</f>
        <v>#N/A Requesting Data...</v>
      </c>
      <c r="G265" t="str">
        <f>_xll.BDP("79730CFQ Muni","SPREAD_AT_ISSUANCE_TO_WORST")</f>
        <v>#N/A Requesting Data...</v>
      </c>
      <c r="H265" t="str">
        <f>_xll.BDP("79730CFQ Muni","ISSUE_DT")</f>
        <v>#N/A Requesting Data...</v>
      </c>
      <c r="I265" t="str">
        <f>_xll.BDS("79730CFQ Muni","MUNI_PURPOSE_SCHED", "aggregate=y")</f>
        <v>#N/A Review</v>
      </c>
      <c r="J265" t="str">
        <f>_xll.BDP("79730CFQ Muni","CPN")</f>
        <v>#N/A Requesting Data...</v>
      </c>
      <c r="K265" t="str">
        <f>_xll.BDP("79730CFQ Muni","MATURITY")</f>
        <v>#N/A Requesting Data...</v>
      </c>
      <c r="L265">
        <v>955000</v>
      </c>
      <c r="M265" t="str">
        <f>_xll.BDP("79730CFQ Muni","YIELD_ON_ISSUE_DATE")</f>
        <v>#N/A Requesting Data...</v>
      </c>
      <c r="N265" t="str">
        <f>_xll.BDP("79730CFQ Muni","YTW_SPREAD_TO_MATURITY_AT_ISSU")</f>
        <v>#N/A Requesting Data...</v>
      </c>
      <c r="O265" t="str">
        <f>_xll.BDP("79730CFQ Muni","BVAL_MID_YTM")</f>
        <v>#N/A Requesting Data...</v>
      </c>
      <c r="P265" t="str">
        <f>_xll.BDP("79730CFQ Muni","MUNI_TAX_PROV")</f>
        <v>#N/A Requesting Data...</v>
      </c>
      <c r="Q265" t="str">
        <f>_xll.BDP("79730CFQ Muni","MUNI_FED_TAX")</f>
        <v>#N/A Requesting Data...</v>
      </c>
      <c r="R265" t="str">
        <f>_xll.BDP("79730CFQ Muni","MUNI_MSRB_VOLUME")</f>
        <v>#N/A Requesting Data...</v>
      </c>
      <c r="S265" t="str">
        <f>_xll.BDP("79730CFQ Muni","BB_COMPOSITE")</f>
        <v>#N/A Requesting Data...</v>
      </c>
      <c r="T265" t="str">
        <f>_xll.BDP("79730CFQ Muni","LQA_LIQUIDITY_SCORE")</f>
        <v>#N/A Requesting Data...</v>
      </c>
    </row>
    <row r="266" spans="1:20" x14ac:dyDescent="0.25">
      <c r="A266" t="str">
        <f>_xll.BDP("929831KG Muni","ID_CUSIP")</f>
        <v>#N/A Requesting Data...</v>
      </c>
      <c r="B266" t="s">
        <v>112</v>
      </c>
      <c r="C266" t="str">
        <f>_xll.BDP("929831KG Muni","INSURANCE_STATUS")</f>
        <v>#N/A Requesting Data...</v>
      </c>
      <c r="D266" t="str">
        <f>_xll.BDP("929831KG Muni","STATE_CODE")</f>
        <v>#N/A Requesting Data...</v>
      </c>
      <c r="E266" t="str">
        <f>_xll.BDP("929831KG Muni","COUNTY_LOCATION_ISSUER")</f>
        <v>#N/A Requesting Data...</v>
      </c>
      <c r="F266" t="str">
        <f>_xll.BDP("929831KG Muni","DUR_ADJ_MID")</f>
        <v>#N/A Requesting Data...</v>
      </c>
      <c r="G266" t="str">
        <f>_xll.BDP("929831KG Muni","SPREAD_AT_ISSUANCE_TO_WORST")</f>
        <v>#N/A Requesting Data...</v>
      </c>
      <c r="H266" t="str">
        <f>_xll.BDP("929831KG Muni","ISSUE_DT")</f>
        <v>#N/A Requesting Data...</v>
      </c>
      <c r="I266" t="str">
        <f>_xll.BDS("929831KG Muni","MUNI_PURPOSE_SCHED", "aggregate=y")</f>
        <v>#N/A Review</v>
      </c>
      <c r="J266" t="str">
        <f>_xll.BDP("929831KG Muni","CPN")</f>
        <v>#N/A Requesting Data...</v>
      </c>
      <c r="K266" t="str">
        <f>_xll.BDP("929831KG Muni","MATURITY")</f>
        <v>#N/A Requesting Data...</v>
      </c>
      <c r="L266">
        <v>3735000</v>
      </c>
      <c r="M266" t="str">
        <f>_xll.BDP("929831KG Muni","YIELD_ON_ISSUE_DATE")</f>
        <v>#N/A Requesting Data...</v>
      </c>
      <c r="N266" t="str">
        <f>_xll.BDP("929831KG Muni","YTW_SPREAD_TO_MATURITY_AT_ISSU")</f>
        <v>#N/A Requesting Data...</v>
      </c>
      <c r="O266" t="str">
        <f>_xll.BDP("929831KG Muni","BVAL_MID_YTM")</f>
        <v>#N/A Requesting Data...</v>
      </c>
      <c r="P266" t="str">
        <f>_xll.BDP("929831KG Muni","MUNI_TAX_PROV")</f>
        <v>#N/A Requesting Data...</v>
      </c>
      <c r="Q266" t="str">
        <f>_xll.BDP("929831KG Muni","MUNI_FED_TAX")</f>
        <v>#N/A Requesting Data...</v>
      </c>
      <c r="R266" t="str">
        <f>_xll.BDP("929831KG Muni","MUNI_MSRB_VOLUME")</f>
        <v>#N/A Requesting Data...</v>
      </c>
      <c r="S266" t="str">
        <f>_xll.BDP("929831KG Muni","BB_COMPOSITE")</f>
        <v>#N/A Requesting Data...</v>
      </c>
      <c r="T266" t="str">
        <f>_xll.BDP("929831KG Muni","LQA_LIQUIDITY_SCORE")</f>
        <v>#N/A Requesting Data...</v>
      </c>
    </row>
    <row r="267" spans="1:20" x14ac:dyDescent="0.25">
      <c r="A267" t="str">
        <f>_xll.BDP("133448CZ Muni","ID_CUSIP")</f>
        <v>#N/A Requesting Data...</v>
      </c>
      <c r="B267" t="s">
        <v>154</v>
      </c>
      <c r="C267" t="str">
        <f>_xll.BDP("133448CZ Muni","INSURANCE_STATUS")</f>
        <v>#N/A Requesting Data...</v>
      </c>
      <c r="D267" t="str">
        <f>_xll.BDP("133448CZ Muni","STATE_CODE")</f>
        <v>#N/A Requesting Data...</v>
      </c>
      <c r="E267" t="str">
        <f>_xll.BDP("133448CZ Muni","COUNTY_LOCATION_ISSUER")</f>
        <v>#N/A Requesting Data...</v>
      </c>
      <c r="F267" t="str">
        <f>_xll.BDP("133448CZ Muni","DUR_ADJ_MID")</f>
        <v>#N/A Requesting Data...</v>
      </c>
      <c r="G267" t="str">
        <f>_xll.BDP("133448CZ Muni","SPREAD_AT_ISSUANCE_TO_WORST")</f>
        <v>#N/A Requesting Data...</v>
      </c>
      <c r="H267" t="str">
        <f>_xll.BDP("133448CZ Muni","ISSUE_DT")</f>
        <v>#N/A Requesting Data...</v>
      </c>
      <c r="I267" t="str">
        <f>_xll.BDS("133448CZ Muni","MUNI_PURPOSE_SCHED", "aggregate=y")</f>
        <v>#N/A Review</v>
      </c>
      <c r="J267" t="str">
        <f>_xll.BDP("133448CZ Muni","CPN")</f>
        <v>#N/A Requesting Data...</v>
      </c>
      <c r="K267" t="str">
        <f>_xll.BDP("133448CZ Muni","MATURITY")</f>
        <v>#N/A Requesting Data...</v>
      </c>
      <c r="L267">
        <v>145000</v>
      </c>
      <c r="M267" t="str">
        <f>_xll.BDP("133448CZ Muni","YIELD_ON_ISSUE_DATE")</f>
        <v>#N/A Requesting Data...</v>
      </c>
      <c r="N267" t="str">
        <f>_xll.BDP("133448CZ Muni","YTW_SPREAD_TO_MATURITY_AT_ISSU")</f>
        <v>#N/A Requesting Data...</v>
      </c>
      <c r="O267" t="str">
        <f>_xll.BDP("133448CZ Muni","BVAL_MID_YTM")</f>
        <v>#N/A Requesting Data...</v>
      </c>
      <c r="P267" t="str">
        <f>_xll.BDP("133448CZ Muni","MUNI_TAX_PROV")</f>
        <v>#N/A Requesting Data...</v>
      </c>
      <c r="Q267" t="str">
        <f>_xll.BDP("133448CZ Muni","MUNI_FED_TAX")</f>
        <v>#N/A Requesting Data...</v>
      </c>
      <c r="R267" t="str">
        <f>_xll.BDP("133448CZ Muni","MUNI_MSRB_VOLUME")</f>
        <v>#N/A Requesting Data...</v>
      </c>
      <c r="S267" t="str">
        <f>_xll.BDP("133448CZ Muni","BB_COMPOSITE")</f>
        <v>#N/A Requesting Data...</v>
      </c>
      <c r="T267" t="str">
        <f>_xll.BDP("133448CZ Muni","LQA_LIQUIDITY_SCORE")</f>
        <v>#N/A Requesting Data...</v>
      </c>
    </row>
    <row r="268" spans="1:20" x14ac:dyDescent="0.25">
      <c r="A268" t="str">
        <f>_xll.BDP("13466LBK Muni","ID_CUSIP")</f>
        <v>#N/A Requesting Data...</v>
      </c>
      <c r="B268" t="s">
        <v>60</v>
      </c>
      <c r="C268" t="str">
        <f>_xll.BDP("13466LBK Muni","INSURANCE_STATUS")</f>
        <v>#N/A Requesting Data...</v>
      </c>
      <c r="D268" t="str">
        <f>_xll.BDP("13466LBK Muni","STATE_CODE")</f>
        <v>#N/A Requesting Data...</v>
      </c>
      <c r="E268" t="str">
        <f>_xll.BDP("13466LBK Muni","COUNTY_LOCATION_ISSUER")</f>
        <v>#N/A Requesting Data...</v>
      </c>
      <c r="F268" t="str">
        <f>_xll.BDP("13466LBK Muni","DUR_ADJ_MID")</f>
        <v>#N/A Requesting Data...</v>
      </c>
      <c r="G268" t="str">
        <f>_xll.BDP("13466LBK Muni","SPREAD_AT_ISSUANCE_TO_WORST")</f>
        <v>#N/A Requesting Data...</v>
      </c>
      <c r="H268" t="str">
        <f>_xll.BDP("13466LBK Muni","ISSUE_DT")</f>
        <v>#N/A Requesting Data...</v>
      </c>
      <c r="I268" t="str">
        <f>_xll.BDS("13466LBK Muni","MUNI_PURPOSE_SCHED", "aggregate=y")</f>
        <v>#N/A Review</v>
      </c>
      <c r="J268" t="str">
        <f>_xll.BDP("13466LBK Muni","CPN")</f>
        <v>#N/A Requesting Data...</v>
      </c>
      <c r="K268" t="str">
        <f>_xll.BDP("13466LBK Muni","MATURITY")</f>
        <v>#N/A Requesting Data...</v>
      </c>
      <c r="L268">
        <v>720000</v>
      </c>
      <c r="M268" t="str">
        <f>_xll.BDP("13466LBK Muni","YIELD_ON_ISSUE_DATE")</f>
        <v>#N/A Requesting Data...</v>
      </c>
      <c r="N268" t="str">
        <f>_xll.BDP("13466LBK Muni","YTW_SPREAD_TO_MATURITY_AT_ISSU")</f>
        <v>#N/A Requesting Data...</v>
      </c>
      <c r="O268" t="str">
        <f>_xll.BDP("13466LBK Muni","BVAL_MID_YTM")</f>
        <v>#N/A Requesting Data...</v>
      </c>
      <c r="P268" t="str">
        <f>_xll.BDP("13466LBK Muni","MUNI_TAX_PROV")</f>
        <v>#N/A Requesting Data...</v>
      </c>
      <c r="Q268" t="str">
        <f>_xll.BDP("13466LBK Muni","MUNI_FED_TAX")</f>
        <v>#N/A Requesting Data...</v>
      </c>
      <c r="R268" t="str">
        <f>_xll.BDP("13466LBK Muni","MUNI_MSRB_VOLUME")</f>
        <v>#N/A Requesting Data...</v>
      </c>
      <c r="S268" t="str">
        <f>_xll.BDP("13466LBK Muni","BB_COMPOSITE")</f>
        <v>#N/A Requesting Data...</v>
      </c>
      <c r="T268" t="str">
        <f>_xll.BDP("13466LBK Muni","LQA_LIQUIDITY_SCORE")</f>
        <v>#N/A Requesting Data...</v>
      </c>
    </row>
    <row r="269" spans="1:20" x14ac:dyDescent="0.25">
      <c r="A269" t="str">
        <f>_xll.BDP("13466LBL Muni","ID_CUSIP")</f>
        <v>#N/A Requesting Data...</v>
      </c>
      <c r="B269" t="s">
        <v>60</v>
      </c>
      <c r="C269" t="str">
        <f>_xll.BDP("13466LBL Muni","INSURANCE_STATUS")</f>
        <v>#N/A Requesting Data...</v>
      </c>
      <c r="D269" t="str">
        <f>_xll.BDP("13466LBL Muni","STATE_CODE")</f>
        <v>#N/A Requesting Data...</v>
      </c>
      <c r="E269" t="str">
        <f>_xll.BDP("13466LBL Muni","COUNTY_LOCATION_ISSUER")</f>
        <v>#N/A Requesting Data...</v>
      </c>
      <c r="F269" t="str">
        <f>_xll.BDP("13466LBL Muni","DUR_ADJ_MID")</f>
        <v>#N/A Requesting Data...</v>
      </c>
      <c r="G269" t="str">
        <f>_xll.BDP("13466LBL Muni","SPREAD_AT_ISSUANCE_TO_WORST")</f>
        <v>#N/A Requesting Data...</v>
      </c>
      <c r="H269" t="str">
        <f>_xll.BDP("13466LBL Muni","ISSUE_DT")</f>
        <v>#N/A Requesting Data...</v>
      </c>
      <c r="I269" t="str">
        <f>_xll.BDS("13466LBL Muni","MUNI_PURPOSE_SCHED", "aggregate=y")</f>
        <v>#N/A Review</v>
      </c>
      <c r="J269" t="str">
        <f>_xll.BDP("13466LBL Muni","CPN")</f>
        <v>#N/A Requesting Data...</v>
      </c>
      <c r="K269" t="str">
        <f>_xll.BDP("13466LBL Muni","MATURITY")</f>
        <v>#N/A Requesting Data...</v>
      </c>
      <c r="L269">
        <v>760000</v>
      </c>
      <c r="M269" t="str">
        <f>_xll.BDP("13466LBL Muni","YIELD_ON_ISSUE_DATE")</f>
        <v>#N/A Requesting Data...</v>
      </c>
      <c r="N269" t="str">
        <f>_xll.BDP("13466LBL Muni","YTW_SPREAD_TO_MATURITY_AT_ISSU")</f>
        <v>#N/A Requesting Data...</v>
      </c>
      <c r="O269" t="str">
        <f>_xll.BDP("13466LBL Muni","BVAL_MID_YTM")</f>
        <v>#N/A Requesting Data...</v>
      </c>
      <c r="P269" t="str">
        <f>_xll.BDP("13466LBL Muni","MUNI_TAX_PROV")</f>
        <v>#N/A Requesting Data...</v>
      </c>
      <c r="Q269" t="str">
        <f>_xll.BDP("13466LBL Muni","MUNI_FED_TAX")</f>
        <v>#N/A Requesting Data...</v>
      </c>
      <c r="R269" t="str">
        <f>_xll.BDP("13466LBL Muni","MUNI_MSRB_VOLUME")</f>
        <v>#N/A Requesting Data...</v>
      </c>
      <c r="S269" t="str">
        <f>_xll.BDP("13466LBL Muni","BB_COMPOSITE")</f>
        <v>#N/A Requesting Data...</v>
      </c>
      <c r="T269" t="str">
        <f>_xll.BDP("13466LBL Muni","LQA_LIQUIDITY_SCORE")</f>
        <v>#N/A Requesting Data...</v>
      </c>
    </row>
    <row r="270" spans="1:20" x14ac:dyDescent="0.25">
      <c r="A270" t="str">
        <f>_xll.BDP("137699YP Muni","ID_CUSIP")</f>
        <v>#N/A Requesting Data...</v>
      </c>
      <c r="B270" t="s">
        <v>75</v>
      </c>
      <c r="C270" t="str">
        <f>_xll.BDP("137699YP Muni","INSURANCE_STATUS")</f>
        <v>#N/A Requesting Data...</v>
      </c>
      <c r="D270" t="str">
        <f>_xll.BDP("137699YP Muni","STATE_CODE")</f>
        <v>#N/A Requesting Data...</v>
      </c>
      <c r="E270" t="str">
        <f>_xll.BDP("137699YP Muni","COUNTY_LOCATION_ISSUER")</f>
        <v>#N/A Requesting Data...</v>
      </c>
      <c r="F270" t="str">
        <f>_xll.BDP("137699YP Muni","DUR_ADJ_MID")</f>
        <v>#N/A Requesting Data...</v>
      </c>
      <c r="G270" t="str">
        <f>_xll.BDP("137699YP Muni","SPREAD_AT_ISSUANCE_TO_WORST")</f>
        <v>#N/A Requesting Data...</v>
      </c>
      <c r="H270" t="str">
        <f>_xll.BDP("137699YP Muni","ISSUE_DT")</f>
        <v>#N/A Requesting Data...</v>
      </c>
      <c r="I270" t="str">
        <f>_xll.BDS("137699YP Muni","MUNI_PURPOSE_SCHED", "aggregate=y")</f>
        <v>#N/A Review</v>
      </c>
      <c r="J270" t="str">
        <f>_xll.BDP("137699YP Muni","CPN")</f>
        <v>#N/A Requesting Data...</v>
      </c>
      <c r="K270" t="str">
        <f>_xll.BDP("137699YP Muni","MATURITY")</f>
        <v>#N/A Requesting Data...</v>
      </c>
      <c r="L270">
        <v>135000</v>
      </c>
      <c r="M270" t="str">
        <f>_xll.BDP("137699YP Muni","YIELD_ON_ISSUE_DATE")</f>
        <v>#N/A Requesting Data...</v>
      </c>
      <c r="N270" t="str">
        <f>_xll.BDP("137699YP Muni","YTW_SPREAD_TO_MATURITY_AT_ISSU")</f>
        <v>#N/A Requesting Data...</v>
      </c>
      <c r="O270" t="str">
        <f>_xll.BDP("137699YP Muni","BVAL_MID_YTM")</f>
        <v>#N/A Requesting Data...</v>
      </c>
      <c r="P270" t="str">
        <f>_xll.BDP("137699YP Muni","MUNI_TAX_PROV")</f>
        <v>#N/A Requesting Data...</v>
      </c>
      <c r="Q270" t="str">
        <f>_xll.BDP("137699YP Muni","MUNI_FED_TAX")</f>
        <v>#N/A Requesting Data...</v>
      </c>
      <c r="R270" t="str">
        <f>_xll.BDP("137699YP Muni","MUNI_MSRB_VOLUME")</f>
        <v>#N/A Requesting Data...</v>
      </c>
      <c r="S270" t="str">
        <f>_xll.BDP("137699YP Muni","BB_COMPOSITE")</f>
        <v>#N/A Requesting Data...</v>
      </c>
      <c r="T270" t="str">
        <f>_xll.BDP("137699YP Muni","LQA_LIQUIDITY_SCORE")</f>
        <v>#N/A Requesting Data...</v>
      </c>
    </row>
    <row r="271" spans="1:20" x14ac:dyDescent="0.25">
      <c r="A271" t="str">
        <f>_xll.BDP("138128KM Muni","ID_CUSIP")</f>
        <v>#N/A Requesting Data...</v>
      </c>
      <c r="B271" t="s">
        <v>155</v>
      </c>
      <c r="C271" t="str">
        <f>_xll.BDP("138128KM Muni","INSURANCE_STATUS")</f>
        <v>#N/A Requesting Data...</v>
      </c>
      <c r="D271" t="str">
        <f>_xll.BDP("138128KM Muni","STATE_CODE")</f>
        <v>#N/A Requesting Data...</v>
      </c>
      <c r="E271" t="str">
        <f>_xll.BDP("138128KM Muni","COUNTY_LOCATION_ISSUER")</f>
        <v>#N/A Requesting Data...</v>
      </c>
      <c r="F271" t="str">
        <f>_xll.BDP("138128KM Muni","DUR_ADJ_MID")</f>
        <v>#N/A Requesting Data...</v>
      </c>
      <c r="G271" t="str">
        <f>_xll.BDP("138128KM Muni","SPREAD_AT_ISSUANCE_TO_WORST")</f>
        <v>#N/A Requesting Data...</v>
      </c>
      <c r="H271" t="str">
        <f>_xll.BDP("138128KM Muni","ISSUE_DT")</f>
        <v>#N/A Requesting Data...</v>
      </c>
      <c r="I271" t="str">
        <f>_xll.BDS("138128KM Muni","MUNI_PURPOSE_SCHED", "aggregate=y")</f>
        <v>#N/A Review</v>
      </c>
      <c r="J271" t="str">
        <f>_xll.BDP("138128KM Muni","CPN")</f>
        <v>#N/A Requesting Data...</v>
      </c>
      <c r="K271" t="str">
        <f>_xll.BDP("138128KM Muni","MATURITY")</f>
        <v>#N/A Requesting Data...</v>
      </c>
      <c r="L271">
        <v>3005000</v>
      </c>
      <c r="M271" t="str">
        <f>_xll.BDP("138128KM Muni","YIELD_ON_ISSUE_DATE")</f>
        <v>#N/A Requesting Data...</v>
      </c>
      <c r="N271" t="str">
        <f>_xll.BDP("138128KM Muni","YTW_SPREAD_TO_MATURITY_AT_ISSU")</f>
        <v>#N/A Requesting Data...</v>
      </c>
      <c r="O271" t="str">
        <f>_xll.BDP("138128KM Muni","BVAL_MID_YTM")</f>
        <v>#N/A Requesting Data...</v>
      </c>
      <c r="P271" t="str">
        <f>_xll.BDP("138128KM Muni","MUNI_TAX_PROV")</f>
        <v>#N/A Requesting Data...</v>
      </c>
      <c r="Q271" t="str">
        <f>_xll.BDP("138128KM Muni","MUNI_FED_TAX")</f>
        <v>#N/A Requesting Data...</v>
      </c>
      <c r="R271" t="str">
        <f>_xll.BDP("138128KM Muni","MUNI_MSRB_VOLUME")</f>
        <v>#N/A Requesting Data...</v>
      </c>
      <c r="S271" t="str">
        <f>_xll.BDP("138128KM Muni","BB_COMPOSITE")</f>
        <v>#N/A Requesting Data...</v>
      </c>
      <c r="T271" t="str">
        <f>_xll.BDP("138128KM Muni","LQA_LIQUIDITY_SCORE")</f>
        <v>#N/A Requesting Data...</v>
      </c>
    </row>
    <row r="272" spans="1:20" x14ac:dyDescent="0.25">
      <c r="A272" t="str">
        <f>_xll.BDP("138128KN Muni","ID_CUSIP")</f>
        <v>#N/A Requesting Data...</v>
      </c>
      <c r="B272" t="s">
        <v>155</v>
      </c>
      <c r="C272" t="str">
        <f>_xll.BDP("138128KN Muni","INSURANCE_STATUS")</f>
        <v>#N/A Requesting Data...</v>
      </c>
      <c r="D272" t="str">
        <f>_xll.BDP("138128KN Muni","STATE_CODE")</f>
        <v>#N/A Requesting Data...</v>
      </c>
      <c r="E272" t="str">
        <f>_xll.BDP("138128KN Muni","COUNTY_LOCATION_ISSUER")</f>
        <v>#N/A Requesting Data...</v>
      </c>
      <c r="F272" t="str">
        <f>_xll.BDP("138128KN Muni","DUR_ADJ_MID")</f>
        <v>#N/A Requesting Data...</v>
      </c>
      <c r="G272" t="str">
        <f>_xll.BDP("138128KN Muni","SPREAD_AT_ISSUANCE_TO_WORST")</f>
        <v>#N/A Requesting Data...</v>
      </c>
      <c r="H272" t="str">
        <f>_xll.BDP("138128KN Muni","ISSUE_DT")</f>
        <v>#N/A Requesting Data...</v>
      </c>
      <c r="I272" t="str">
        <f>_xll.BDS("138128KN Muni","MUNI_PURPOSE_SCHED", "aggregate=y")</f>
        <v>#N/A Review</v>
      </c>
      <c r="J272" t="str">
        <f>_xll.BDP("138128KN Muni","CPN")</f>
        <v>#N/A Requesting Data...</v>
      </c>
      <c r="K272" t="str">
        <f>_xll.BDP("138128KN Muni","MATURITY")</f>
        <v>#N/A Requesting Data...</v>
      </c>
      <c r="L272">
        <v>1070000</v>
      </c>
      <c r="M272" t="str">
        <f>_xll.BDP("138128KN Muni","YIELD_ON_ISSUE_DATE")</f>
        <v>#N/A Requesting Data...</v>
      </c>
      <c r="N272" t="str">
        <f>_xll.BDP("138128KN Muni","YTW_SPREAD_TO_MATURITY_AT_ISSU")</f>
        <v>#N/A Requesting Data...</v>
      </c>
      <c r="O272" t="str">
        <f>_xll.BDP("138128KN Muni","BVAL_MID_YTM")</f>
        <v>#N/A Requesting Data...</v>
      </c>
      <c r="P272" t="str">
        <f>_xll.BDP("138128KN Muni","MUNI_TAX_PROV")</f>
        <v>#N/A Requesting Data...</v>
      </c>
      <c r="Q272" t="str">
        <f>_xll.BDP("138128KN Muni","MUNI_FED_TAX")</f>
        <v>#N/A Requesting Data...</v>
      </c>
      <c r="R272" t="str">
        <f>_xll.BDP("138128KN Muni","MUNI_MSRB_VOLUME")</f>
        <v>#N/A Requesting Data...</v>
      </c>
      <c r="S272" t="str">
        <f>_xll.BDP("138128KN Muni","BB_COMPOSITE")</f>
        <v>#N/A Requesting Data...</v>
      </c>
      <c r="T272" t="str">
        <f>_xll.BDP("138128KN Muni","LQA_LIQUIDITY_SCORE")</f>
        <v>#N/A Requesting Data...</v>
      </c>
    </row>
    <row r="273" spans="1:20" x14ac:dyDescent="0.25">
      <c r="A273" t="str">
        <f>_xll.BDP("138128KP Muni","ID_CUSIP")</f>
        <v>#N/A Requesting Data...</v>
      </c>
      <c r="B273" t="s">
        <v>155</v>
      </c>
      <c r="C273" t="str">
        <f>_xll.BDP("138128KP Muni","INSURANCE_STATUS")</f>
        <v>#N/A Requesting Data...</v>
      </c>
      <c r="D273" t="str">
        <f>_xll.BDP("138128KP Muni","STATE_CODE")</f>
        <v>#N/A Requesting Data...</v>
      </c>
      <c r="E273" t="str">
        <f>_xll.BDP("138128KP Muni","COUNTY_LOCATION_ISSUER")</f>
        <v>#N/A Requesting Data...</v>
      </c>
      <c r="F273" t="str">
        <f>_xll.BDP("138128KP Muni","DUR_ADJ_MID")</f>
        <v>#N/A Requesting Data...</v>
      </c>
      <c r="G273" t="str">
        <f>_xll.BDP("138128KP Muni","SPREAD_AT_ISSUANCE_TO_WORST")</f>
        <v>#N/A Requesting Data...</v>
      </c>
      <c r="H273" t="str">
        <f>_xll.BDP("138128KP Muni","ISSUE_DT")</f>
        <v>#N/A Requesting Data...</v>
      </c>
      <c r="I273" t="str">
        <f>_xll.BDS("138128KP Muni","MUNI_PURPOSE_SCHED", "aggregate=y")</f>
        <v>#N/A Review</v>
      </c>
      <c r="J273" t="str">
        <f>_xll.BDP("138128KP Muni","CPN")</f>
        <v>#N/A Requesting Data...</v>
      </c>
      <c r="K273" t="str">
        <f>_xll.BDP("138128KP Muni","MATURITY")</f>
        <v>#N/A Requesting Data...</v>
      </c>
      <c r="L273">
        <v>1945000</v>
      </c>
      <c r="M273" t="str">
        <f>_xll.BDP("138128KP Muni","YIELD_ON_ISSUE_DATE")</f>
        <v>#N/A Requesting Data...</v>
      </c>
      <c r="N273" t="str">
        <f>_xll.BDP("138128KP Muni","YTW_SPREAD_TO_MATURITY_AT_ISSU")</f>
        <v>#N/A Requesting Data...</v>
      </c>
      <c r="O273" t="str">
        <f>_xll.BDP("138128KP Muni","BVAL_MID_YTM")</f>
        <v>#N/A Requesting Data...</v>
      </c>
      <c r="P273" t="str">
        <f>_xll.BDP("138128KP Muni","MUNI_TAX_PROV")</f>
        <v>#N/A Requesting Data...</v>
      </c>
      <c r="Q273" t="str">
        <f>_xll.BDP("138128KP Muni","MUNI_FED_TAX")</f>
        <v>#N/A Requesting Data...</v>
      </c>
      <c r="R273" t="str">
        <f>_xll.BDP("138128KP Muni","MUNI_MSRB_VOLUME")</f>
        <v>#N/A Requesting Data...</v>
      </c>
      <c r="S273" t="str">
        <f>_xll.BDP("138128KP Muni","BB_COMPOSITE")</f>
        <v>#N/A Requesting Data...</v>
      </c>
      <c r="T273" t="str">
        <f>_xll.BDP("138128KP Muni","LQA_LIQUIDITY_SCORE")</f>
        <v>#N/A Requesting Data...</v>
      </c>
    </row>
    <row r="274" spans="1:20" x14ac:dyDescent="0.25">
      <c r="A274" t="str">
        <f>_xll.BDP("138128KS Muni","ID_CUSIP")</f>
        <v>#N/A Requesting Data...</v>
      </c>
      <c r="B274" t="s">
        <v>155</v>
      </c>
      <c r="C274" t="str">
        <f>_xll.BDP("138128KS Muni","INSURANCE_STATUS")</f>
        <v>#N/A Requesting Data...</v>
      </c>
      <c r="D274" t="str">
        <f>_xll.BDP("138128KS Muni","STATE_CODE")</f>
        <v>#N/A Requesting Data...</v>
      </c>
      <c r="E274" t="str">
        <f>_xll.BDP("138128KS Muni","COUNTY_LOCATION_ISSUER")</f>
        <v>#N/A Requesting Data...</v>
      </c>
      <c r="F274" t="str">
        <f>_xll.BDP("138128KS Muni","DUR_ADJ_MID")</f>
        <v>#N/A Requesting Data...</v>
      </c>
      <c r="G274" t="str">
        <f>_xll.BDP("138128KS Muni","SPREAD_AT_ISSUANCE_TO_WORST")</f>
        <v>#N/A Requesting Data...</v>
      </c>
      <c r="H274" t="str">
        <f>_xll.BDP("138128KS Muni","ISSUE_DT")</f>
        <v>#N/A Requesting Data...</v>
      </c>
      <c r="I274" t="str">
        <f>_xll.BDS("138128KS Muni","MUNI_PURPOSE_SCHED", "aggregate=y")</f>
        <v>#N/A Review</v>
      </c>
      <c r="J274" t="str">
        <f>_xll.BDP("138128KS Muni","CPN")</f>
        <v>#N/A Requesting Data...</v>
      </c>
      <c r="K274" t="str">
        <f>_xll.BDP("138128KS Muni","MATURITY")</f>
        <v>#N/A Requesting Data...</v>
      </c>
      <c r="L274">
        <v>785000</v>
      </c>
      <c r="M274" t="str">
        <f>_xll.BDP("138128KS Muni","YIELD_ON_ISSUE_DATE")</f>
        <v>#N/A Requesting Data...</v>
      </c>
      <c r="N274" t="str">
        <f>_xll.BDP("138128KS Muni","YTW_SPREAD_TO_MATURITY_AT_ISSU")</f>
        <v>#N/A Requesting Data...</v>
      </c>
      <c r="O274" t="str">
        <f>_xll.BDP("138128KS Muni","BVAL_MID_YTM")</f>
        <v>#N/A Requesting Data...</v>
      </c>
      <c r="P274" t="str">
        <f>_xll.BDP("138128KS Muni","MUNI_TAX_PROV")</f>
        <v>#N/A Requesting Data...</v>
      </c>
      <c r="Q274" t="str">
        <f>_xll.BDP("138128KS Muni","MUNI_FED_TAX")</f>
        <v>#N/A Requesting Data...</v>
      </c>
      <c r="R274" t="str">
        <f>_xll.BDP("138128KS Muni","MUNI_MSRB_VOLUME")</f>
        <v>#N/A Requesting Data...</v>
      </c>
      <c r="S274" t="str">
        <f>_xll.BDP("138128KS Muni","BB_COMPOSITE")</f>
        <v>#N/A Requesting Data...</v>
      </c>
      <c r="T274" t="str">
        <f>_xll.BDP("138128KS Muni","LQA_LIQUIDITY_SCORE")</f>
        <v>#N/A Requesting Data...</v>
      </c>
    </row>
    <row r="275" spans="1:20" x14ac:dyDescent="0.25">
      <c r="A275" t="str">
        <f>_xll.BDP("138854AC Muni","ID_CUSIP")</f>
        <v>#N/A Requesting Data...</v>
      </c>
      <c r="B275" t="s">
        <v>156</v>
      </c>
      <c r="C275" t="str">
        <f>_xll.BDP("138854AC Muni","INSURANCE_STATUS")</f>
        <v>#N/A Requesting Data...</v>
      </c>
      <c r="D275" t="str">
        <f>_xll.BDP("138854AC Muni","STATE_CODE")</f>
        <v>#N/A Requesting Data...</v>
      </c>
      <c r="E275" t="str">
        <f>_xll.BDP("138854AC Muni","COUNTY_LOCATION_ISSUER")</f>
        <v>#N/A Requesting Data...</v>
      </c>
      <c r="F275" t="str">
        <f>_xll.BDP("138854AC Muni","DUR_ADJ_MID")</f>
        <v>#N/A Requesting Data...</v>
      </c>
      <c r="G275" t="str">
        <f>_xll.BDP("138854AC Muni","SPREAD_AT_ISSUANCE_TO_WORST")</f>
        <v>#N/A Requesting Data...</v>
      </c>
      <c r="H275" t="str">
        <f>_xll.BDP("138854AC Muni","ISSUE_DT")</f>
        <v>#N/A Requesting Data...</v>
      </c>
      <c r="I275" t="str">
        <f>_xll.BDS("138854AC Muni","MUNI_PURPOSE_SCHED", "aggregate=y")</f>
        <v>#N/A Review</v>
      </c>
      <c r="J275" t="str">
        <f>_xll.BDP("138854AC Muni","CPN")</f>
        <v>#N/A Requesting Data...</v>
      </c>
      <c r="K275" t="str">
        <f>_xll.BDP("138854AC Muni","MATURITY")</f>
        <v>#N/A Requesting Data...</v>
      </c>
      <c r="L275">
        <v>180000</v>
      </c>
      <c r="M275" t="str">
        <f>_xll.BDP("138854AC Muni","YIELD_ON_ISSUE_DATE")</f>
        <v>#N/A Requesting Data...</v>
      </c>
      <c r="N275" t="str">
        <f>_xll.BDP("138854AC Muni","YTW_SPREAD_TO_MATURITY_AT_ISSU")</f>
        <v>#N/A Requesting Data...</v>
      </c>
      <c r="O275" t="str">
        <f>_xll.BDP("138854AC Muni","BVAL_MID_YTM")</f>
        <v>#N/A Requesting Data...</v>
      </c>
      <c r="P275" t="str">
        <f>_xll.BDP("138854AC Muni","MUNI_TAX_PROV")</f>
        <v>#N/A Requesting Data...</v>
      </c>
      <c r="Q275" t="str">
        <f>_xll.BDP("138854AC Muni","MUNI_FED_TAX")</f>
        <v>#N/A Requesting Data...</v>
      </c>
      <c r="R275" t="str">
        <f>_xll.BDP("138854AC Muni","MUNI_MSRB_VOLUME")</f>
        <v>#N/A Requesting Data...</v>
      </c>
      <c r="S275" t="str">
        <f>_xll.BDP("138854AC Muni","BB_COMPOSITE")</f>
        <v>#N/A Requesting Data...</v>
      </c>
      <c r="T275" t="str">
        <f>_xll.BDP("138854AC Muni","LQA_LIQUIDITY_SCORE")</f>
        <v>#N/A Requesting Data...</v>
      </c>
    </row>
    <row r="276" spans="1:20" x14ac:dyDescent="0.25">
      <c r="A276" t="str">
        <f>_xll.BDP("138854AD Muni","ID_CUSIP")</f>
        <v>#N/A Requesting Data...</v>
      </c>
      <c r="B276" t="s">
        <v>156</v>
      </c>
      <c r="C276" t="str">
        <f>_xll.BDP("138854AD Muni","INSURANCE_STATUS")</f>
        <v>#N/A Requesting Data...</v>
      </c>
      <c r="D276" t="str">
        <f>_xll.BDP("138854AD Muni","STATE_CODE")</f>
        <v>#N/A Requesting Data...</v>
      </c>
      <c r="E276" t="str">
        <f>_xll.BDP("138854AD Muni","COUNTY_LOCATION_ISSUER")</f>
        <v>#N/A Requesting Data...</v>
      </c>
      <c r="F276" t="str">
        <f>_xll.BDP("138854AD Muni","DUR_ADJ_MID")</f>
        <v>#N/A Requesting Data...</v>
      </c>
      <c r="G276" t="str">
        <f>_xll.BDP("138854AD Muni","SPREAD_AT_ISSUANCE_TO_WORST")</f>
        <v>#N/A Requesting Data...</v>
      </c>
      <c r="H276" t="str">
        <f>_xll.BDP("138854AD Muni","ISSUE_DT")</f>
        <v>#N/A Requesting Data...</v>
      </c>
      <c r="I276" t="str">
        <f>_xll.BDS("138854AD Muni","MUNI_PURPOSE_SCHED", "aggregate=y")</f>
        <v>#N/A Review</v>
      </c>
      <c r="J276" t="str">
        <f>_xll.BDP("138854AD Muni","CPN")</f>
        <v>#N/A Requesting Data...</v>
      </c>
      <c r="K276" t="str">
        <f>_xll.BDP("138854AD Muni","MATURITY")</f>
        <v>#N/A Requesting Data...</v>
      </c>
      <c r="L276">
        <v>185000</v>
      </c>
      <c r="M276" t="str">
        <f>_xll.BDP("138854AD Muni","YIELD_ON_ISSUE_DATE")</f>
        <v>#N/A Requesting Data...</v>
      </c>
      <c r="N276" t="str">
        <f>_xll.BDP("138854AD Muni","YTW_SPREAD_TO_MATURITY_AT_ISSU")</f>
        <v>#N/A Requesting Data...</v>
      </c>
      <c r="O276" t="str">
        <f>_xll.BDP("138854AD Muni","BVAL_MID_YTM")</f>
        <v>#N/A Requesting Data...</v>
      </c>
      <c r="P276" t="str">
        <f>_xll.BDP("138854AD Muni","MUNI_TAX_PROV")</f>
        <v>#N/A Requesting Data...</v>
      </c>
      <c r="Q276" t="str">
        <f>_xll.BDP("138854AD Muni","MUNI_FED_TAX")</f>
        <v>#N/A Requesting Data...</v>
      </c>
      <c r="R276" t="str">
        <f>_xll.BDP("138854AD Muni","MUNI_MSRB_VOLUME")</f>
        <v>#N/A Requesting Data...</v>
      </c>
      <c r="S276" t="str">
        <f>_xll.BDP("138854AD Muni","BB_COMPOSITE")</f>
        <v>#N/A Requesting Data...</v>
      </c>
      <c r="T276" t="str">
        <f>_xll.BDP("138854AD Muni","LQA_LIQUIDITY_SCORE")</f>
        <v>#N/A Requesting Data...</v>
      </c>
    </row>
    <row r="277" spans="1:20" x14ac:dyDescent="0.25">
      <c r="A277" t="str">
        <f>_xll.BDP("13063CT6 Muni","ID_CUSIP")</f>
        <v>#N/A Requesting Data...</v>
      </c>
      <c r="B277" t="s">
        <v>21</v>
      </c>
      <c r="C277" t="str">
        <f>_xll.BDP("13063CT6 Muni","INSURANCE_STATUS")</f>
        <v>#N/A Requesting Data...</v>
      </c>
      <c r="D277" t="str">
        <f>_xll.BDP("13063CT6 Muni","STATE_CODE")</f>
        <v>#N/A Requesting Data...</v>
      </c>
      <c r="E277" t="str">
        <f>_xll.BDP("13063CT6 Muni","COUNTY_LOCATION_ISSUER")</f>
        <v>#N/A Requesting Data...</v>
      </c>
      <c r="F277" t="str">
        <f>_xll.BDP("13063CT6 Muni","DUR_ADJ_MID")</f>
        <v>#N/A Requesting Data...</v>
      </c>
      <c r="G277" t="str">
        <f>_xll.BDP("13063CT6 Muni","SPREAD_AT_ISSUANCE_TO_WORST")</f>
        <v>#N/A Requesting Data...</v>
      </c>
      <c r="H277" t="str">
        <f>_xll.BDP("13063CT6 Muni","ISSUE_DT")</f>
        <v>#N/A Requesting Data...</v>
      </c>
      <c r="I277" t="str">
        <f>_xll.BDS("13063CT6 Muni","MUNI_PURPOSE_SCHED", "aggregate=y")</f>
        <v>#N/A Review</v>
      </c>
      <c r="J277" t="str">
        <f>_xll.BDP("13063CT6 Muni","CPN")</f>
        <v>#N/A Requesting Data...</v>
      </c>
      <c r="K277" t="str">
        <f>_xll.BDP("13063CT6 Muni","MATURITY")</f>
        <v>#N/A Requesting Data...</v>
      </c>
      <c r="L277">
        <v>11620000</v>
      </c>
      <c r="M277" t="str">
        <f>_xll.BDP("13063CT6 Muni","YIELD_ON_ISSUE_DATE")</f>
        <v>#N/A Requesting Data...</v>
      </c>
      <c r="N277" t="str">
        <f>_xll.BDP("13063CT6 Muni","YTW_SPREAD_TO_MATURITY_AT_ISSU")</f>
        <v>#N/A Requesting Data...</v>
      </c>
      <c r="O277" t="str">
        <f>_xll.BDP("13063CT6 Muni","BVAL_MID_YTM")</f>
        <v>#N/A Requesting Data...</v>
      </c>
      <c r="P277" t="str">
        <f>_xll.BDP("13063CT6 Muni","MUNI_TAX_PROV")</f>
        <v>#N/A Requesting Data...</v>
      </c>
      <c r="Q277" t="str">
        <f>_xll.BDP("13063CT6 Muni","MUNI_FED_TAX")</f>
        <v>#N/A Requesting Data...</v>
      </c>
      <c r="R277" t="str">
        <f>_xll.BDP("13063CT6 Muni","MUNI_MSRB_VOLUME")</f>
        <v>#N/A Requesting Data...</v>
      </c>
      <c r="S277" t="str">
        <f>_xll.BDP("13063CT6 Muni","BB_COMPOSITE")</f>
        <v>#N/A Requesting Data...</v>
      </c>
      <c r="T277" t="str">
        <f>_xll.BDP("13063CT6 Muni","LQA_LIQUIDITY_SCORE")</f>
        <v>#N/A Requesting Data...</v>
      </c>
    </row>
    <row r="278" spans="1:20" x14ac:dyDescent="0.25">
      <c r="A278" t="str">
        <f>_xll.BDP("13063CT9 Muni","ID_CUSIP")</f>
        <v>#N/A Requesting Data...</v>
      </c>
      <c r="B278" t="s">
        <v>21</v>
      </c>
      <c r="C278" t="str">
        <f>_xll.BDP("13063CT9 Muni","INSURANCE_STATUS")</f>
        <v>#N/A Requesting Data...</v>
      </c>
      <c r="D278" t="str">
        <f>_xll.BDP("13063CT9 Muni","STATE_CODE")</f>
        <v>#N/A Requesting Data...</v>
      </c>
      <c r="E278" t="str">
        <f>_xll.BDP("13063CT9 Muni","COUNTY_LOCATION_ISSUER")</f>
        <v>#N/A Requesting Data...</v>
      </c>
      <c r="F278" t="str">
        <f>_xll.BDP("13063CT9 Muni","DUR_ADJ_MID")</f>
        <v>#N/A Requesting Data...</v>
      </c>
      <c r="G278" t="str">
        <f>_xll.BDP("13063CT9 Muni","SPREAD_AT_ISSUANCE_TO_WORST")</f>
        <v>#N/A Requesting Data...</v>
      </c>
      <c r="H278" t="str">
        <f>_xll.BDP("13063CT9 Muni","ISSUE_DT")</f>
        <v>#N/A Requesting Data...</v>
      </c>
      <c r="I278" t="str">
        <f>_xll.BDS("13063CT9 Muni","MUNI_PURPOSE_SCHED", "aggregate=y")</f>
        <v>#N/A Review</v>
      </c>
      <c r="J278" t="str">
        <f>_xll.BDP("13063CT9 Muni","CPN")</f>
        <v>#N/A Requesting Data...</v>
      </c>
      <c r="K278" t="str">
        <f>_xll.BDP("13063CT9 Muni","MATURITY")</f>
        <v>#N/A Requesting Data...</v>
      </c>
      <c r="L278">
        <v>12665000</v>
      </c>
      <c r="M278" t="str">
        <f>_xll.BDP("13063CT9 Muni","YIELD_ON_ISSUE_DATE")</f>
        <v>#N/A Requesting Data...</v>
      </c>
      <c r="N278" t="str">
        <f>_xll.BDP("13063CT9 Muni","YTW_SPREAD_TO_MATURITY_AT_ISSU")</f>
        <v>#N/A Requesting Data...</v>
      </c>
      <c r="O278" t="str">
        <f>_xll.BDP("13063CT9 Muni","BVAL_MID_YTM")</f>
        <v>#N/A Requesting Data...</v>
      </c>
      <c r="P278" t="str">
        <f>_xll.BDP("13063CT9 Muni","MUNI_TAX_PROV")</f>
        <v>#N/A Requesting Data...</v>
      </c>
      <c r="Q278" t="str">
        <f>_xll.BDP("13063CT9 Muni","MUNI_FED_TAX")</f>
        <v>#N/A Requesting Data...</v>
      </c>
      <c r="R278" t="str">
        <f>_xll.BDP("13063CT9 Muni","MUNI_MSRB_VOLUME")</f>
        <v>#N/A Requesting Data...</v>
      </c>
      <c r="S278" t="str">
        <f>_xll.BDP("13063CT9 Muni","BB_COMPOSITE")</f>
        <v>#N/A Requesting Data...</v>
      </c>
      <c r="T278" t="str">
        <f>_xll.BDP("13063CT9 Muni","LQA_LIQUIDITY_SCORE")</f>
        <v>#N/A Requesting Data...</v>
      </c>
    </row>
    <row r="279" spans="1:20" x14ac:dyDescent="0.25">
      <c r="A279" t="str">
        <f>_xll.BDP("13063CU2 Muni","ID_CUSIP")</f>
        <v>#N/A Requesting Data...</v>
      </c>
      <c r="B279" t="s">
        <v>21</v>
      </c>
      <c r="C279" t="str">
        <f>_xll.BDP("13063CU2 Muni","INSURANCE_STATUS")</f>
        <v>#N/A Requesting Data...</v>
      </c>
      <c r="D279" t="str">
        <f>_xll.BDP("13063CU2 Muni","STATE_CODE")</f>
        <v>#N/A Requesting Data...</v>
      </c>
      <c r="E279" t="str">
        <f>_xll.BDP("13063CU2 Muni","COUNTY_LOCATION_ISSUER")</f>
        <v>#N/A Requesting Data...</v>
      </c>
      <c r="F279" t="str">
        <f>_xll.BDP("13063CU2 Muni","DUR_ADJ_MID")</f>
        <v>#N/A Requesting Data...</v>
      </c>
      <c r="G279" t="str">
        <f>_xll.BDP("13063CU2 Muni","SPREAD_AT_ISSUANCE_TO_WORST")</f>
        <v>#N/A Requesting Data...</v>
      </c>
      <c r="H279" t="str">
        <f>_xll.BDP("13063CU2 Muni","ISSUE_DT")</f>
        <v>#N/A Requesting Data...</v>
      </c>
      <c r="I279" t="str">
        <f>_xll.BDS("13063CU2 Muni","MUNI_PURPOSE_SCHED", "aggregate=y")</f>
        <v>#N/A Review</v>
      </c>
      <c r="J279" t="str">
        <f>_xll.BDP("13063CU2 Muni","CPN")</f>
        <v>#N/A Requesting Data...</v>
      </c>
      <c r="K279" t="str">
        <f>_xll.BDP("13063CU2 Muni","MATURITY")</f>
        <v>#N/A Requesting Data...</v>
      </c>
      <c r="L279">
        <v>6895000</v>
      </c>
      <c r="M279" t="str">
        <f>_xll.BDP("13063CU2 Muni","YIELD_ON_ISSUE_DATE")</f>
        <v>#N/A Requesting Data...</v>
      </c>
      <c r="N279" t="str">
        <f>_xll.BDP("13063CU2 Muni","YTW_SPREAD_TO_MATURITY_AT_ISSU")</f>
        <v>#N/A Requesting Data...</v>
      </c>
      <c r="O279" t="str">
        <f>_xll.BDP("13063CU2 Muni","BVAL_MID_YTM")</f>
        <v>#N/A Requesting Data...</v>
      </c>
      <c r="P279" t="str">
        <f>_xll.BDP("13063CU2 Muni","MUNI_TAX_PROV")</f>
        <v>#N/A Requesting Data...</v>
      </c>
      <c r="Q279" t="str">
        <f>_xll.BDP("13063CU2 Muni","MUNI_FED_TAX")</f>
        <v>#N/A Requesting Data...</v>
      </c>
      <c r="R279" t="str">
        <f>_xll.BDP("13063CU2 Muni","MUNI_MSRB_VOLUME")</f>
        <v>#N/A Requesting Data...</v>
      </c>
      <c r="S279" t="str">
        <f>_xll.BDP("13063CU2 Muni","BB_COMPOSITE")</f>
        <v>#N/A Requesting Data...</v>
      </c>
      <c r="T279" t="str">
        <f>_xll.BDP("13063CU2 Muni","LQA_LIQUIDITY_SCORE")</f>
        <v>#N/A Requesting Data...</v>
      </c>
    </row>
    <row r="280" spans="1:20" x14ac:dyDescent="0.25">
      <c r="A280" t="str">
        <f>_xll.BDP("03588HNA Muni","ID_CUSIP")</f>
        <v>#N/A Requesting Data...</v>
      </c>
      <c r="B280" t="s">
        <v>27</v>
      </c>
      <c r="C280" t="str">
        <f>_xll.BDP("03588HNA Muni","INSURANCE_STATUS")</f>
        <v>#N/A Requesting Data...</v>
      </c>
      <c r="D280" t="str">
        <f>_xll.BDP("03588HNA Muni","STATE_CODE")</f>
        <v>#N/A Requesting Data...</v>
      </c>
      <c r="E280" t="str">
        <f>_xll.BDP("03588HNA Muni","COUNTY_LOCATION_ISSUER")</f>
        <v>#N/A Requesting Data...</v>
      </c>
      <c r="F280" t="str">
        <f>_xll.BDP("03588HNA Muni","DUR_ADJ_MID")</f>
        <v>#N/A Requesting Data...</v>
      </c>
      <c r="G280" t="str">
        <f>_xll.BDP("03588HNA Muni","SPREAD_AT_ISSUANCE_TO_WORST")</f>
        <v>#N/A Requesting Data...</v>
      </c>
      <c r="H280" t="str">
        <f>_xll.BDP("03588HNA Muni","ISSUE_DT")</f>
        <v>#N/A Requesting Data...</v>
      </c>
      <c r="I280" t="str">
        <f>_xll.BDS("03588HNA Muni","MUNI_PURPOSE_SCHED", "aggregate=y")</f>
        <v>#N/A Review</v>
      </c>
      <c r="J280" t="str">
        <f>_xll.BDP("03588HNA Muni","CPN")</f>
        <v>#N/A Requesting Data...</v>
      </c>
      <c r="K280" t="str">
        <f>_xll.BDP("03588HNA Muni","MATURITY")</f>
        <v>#N/A Requesting Data...</v>
      </c>
      <c r="L280">
        <v>1455000</v>
      </c>
      <c r="M280" t="str">
        <f>_xll.BDP("03588HNA Muni","YIELD_ON_ISSUE_DATE")</f>
        <v>#N/A Requesting Data...</v>
      </c>
      <c r="N280" t="str">
        <f>_xll.BDP("03588HNA Muni","YTW_SPREAD_TO_MATURITY_AT_ISSU")</f>
        <v>#N/A Requesting Data...</v>
      </c>
      <c r="O280" t="str">
        <f>_xll.BDP("03588HNA Muni","BVAL_MID_YTM")</f>
        <v>#N/A Requesting Data...</v>
      </c>
      <c r="P280" t="str">
        <f>_xll.BDP("03588HNA Muni","MUNI_TAX_PROV")</f>
        <v>#N/A Requesting Data...</v>
      </c>
      <c r="Q280" t="str">
        <f>_xll.BDP("03588HNA Muni","MUNI_FED_TAX")</f>
        <v>#N/A Requesting Data...</v>
      </c>
      <c r="R280" t="str">
        <f>_xll.BDP("03588HNA Muni","MUNI_MSRB_VOLUME")</f>
        <v>#N/A Requesting Data...</v>
      </c>
      <c r="S280" t="str">
        <f>_xll.BDP("03588HNA Muni","BB_COMPOSITE")</f>
        <v>#N/A Requesting Data...</v>
      </c>
      <c r="T280" t="str">
        <f>_xll.BDP("03588HNA Muni","LQA_LIQUIDITY_SCORE")</f>
        <v>#N/A Requesting Data...</v>
      </c>
    </row>
    <row r="281" spans="1:20" x14ac:dyDescent="0.25">
      <c r="A281" t="str">
        <f>_xll.BDP("03588HNC Muni","ID_CUSIP")</f>
        <v>#N/A Requesting Data...</v>
      </c>
      <c r="B281" t="s">
        <v>27</v>
      </c>
      <c r="C281" t="str">
        <f>_xll.BDP("03588HNC Muni","INSURANCE_STATUS")</f>
        <v>#N/A Requesting Data...</v>
      </c>
      <c r="D281" t="str">
        <f>_xll.BDP("03588HNC Muni","STATE_CODE")</f>
        <v>#N/A Requesting Data...</v>
      </c>
      <c r="E281" t="str">
        <f>_xll.BDP("03588HNC Muni","COUNTY_LOCATION_ISSUER")</f>
        <v>#N/A Requesting Data...</v>
      </c>
      <c r="F281" t="str">
        <f>_xll.BDP("03588HNC Muni","DUR_ADJ_MID")</f>
        <v>#N/A Requesting Data...</v>
      </c>
      <c r="G281" t="str">
        <f>_xll.BDP("03588HNC Muni","SPREAD_AT_ISSUANCE_TO_WORST")</f>
        <v>#N/A Requesting Data...</v>
      </c>
      <c r="H281" t="str">
        <f>_xll.BDP("03588HNC Muni","ISSUE_DT")</f>
        <v>#N/A Requesting Data...</v>
      </c>
      <c r="I281" t="str">
        <f>_xll.BDS("03588HNC Muni","MUNI_PURPOSE_SCHED", "aggregate=y")</f>
        <v>#N/A Review</v>
      </c>
      <c r="J281" t="str">
        <f>_xll.BDP("03588HNC Muni","CPN")</f>
        <v>#N/A Requesting Data...</v>
      </c>
      <c r="K281" t="str">
        <f>_xll.BDP("03588HNC Muni","MATURITY")</f>
        <v>#N/A Requesting Data...</v>
      </c>
      <c r="L281">
        <v>1455000</v>
      </c>
      <c r="M281" t="str">
        <f>_xll.BDP("03588HNC Muni","YIELD_ON_ISSUE_DATE")</f>
        <v>#N/A Requesting Data...</v>
      </c>
      <c r="N281" t="str">
        <f>_xll.BDP("03588HNC Muni","YTW_SPREAD_TO_MATURITY_AT_ISSU")</f>
        <v>#N/A Requesting Data...</v>
      </c>
      <c r="O281" t="str">
        <f>_xll.BDP("03588HNC Muni","BVAL_MID_YTM")</f>
        <v>#N/A Requesting Data...</v>
      </c>
      <c r="P281" t="str">
        <f>_xll.BDP("03588HNC Muni","MUNI_TAX_PROV")</f>
        <v>#N/A Requesting Data...</v>
      </c>
      <c r="Q281" t="str">
        <f>_xll.BDP("03588HNC Muni","MUNI_FED_TAX")</f>
        <v>#N/A Requesting Data...</v>
      </c>
      <c r="R281" t="str">
        <f>_xll.BDP("03588HNC Muni","MUNI_MSRB_VOLUME")</f>
        <v>#N/A Requesting Data...</v>
      </c>
      <c r="S281" t="str">
        <f>_xll.BDP("03588HNC Muni","BB_COMPOSITE")</f>
        <v>#N/A Requesting Data...</v>
      </c>
      <c r="T281" t="str">
        <f>_xll.BDP("03588HNC Muni","LQA_LIQUIDITY_SCORE")</f>
        <v>#N/A Requesting Data...</v>
      </c>
    </row>
    <row r="282" spans="1:20" x14ac:dyDescent="0.25">
      <c r="A282" t="str">
        <f>_xll.BDP("03588HND Muni","ID_CUSIP")</f>
        <v>#N/A Requesting Data...</v>
      </c>
      <c r="B282" t="s">
        <v>27</v>
      </c>
      <c r="C282" t="str">
        <f>_xll.BDP("03588HND Muni","INSURANCE_STATUS")</f>
        <v>#N/A Requesting Data...</v>
      </c>
      <c r="D282" t="str">
        <f>_xll.BDP("03588HND Muni","STATE_CODE")</f>
        <v>#N/A Requesting Data...</v>
      </c>
      <c r="E282" t="str">
        <f>_xll.BDP("03588HND Muni","COUNTY_LOCATION_ISSUER")</f>
        <v>#N/A Requesting Data...</v>
      </c>
      <c r="F282" t="str">
        <f>_xll.BDP("03588HND Muni","DUR_ADJ_MID")</f>
        <v>#N/A Requesting Data...</v>
      </c>
      <c r="G282" t="str">
        <f>_xll.BDP("03588HND Muni","SPREAD_AT_ISSUANCE_TO_WORST")</f>
        <v>#N/A Requesting Data...</v>
      </c>
      <c r="H282" t="str">
        <f>_xll.BDP("03588HND Muni","ISSUE_DT")</f>
        <v>#N/A Requesting Data...</v>
      </c>
      <c r="I282" t="str">
        <f>_xll.BDS("03588HND Muni","MUNI_PURPOSE_SCHED", "aggregate=y")</f>
        <v>#N/A Review</v>
      </c>
      <c r="J282" t="str">
        <f>_xll.BDP("03588HND Muni","CPN")</f>
        <v>#N/A Requesting Data...</v>
      </c>
      <c r="K282" t="str">
        <f>_xll.BDP("03588HND Muni","MATURITY")</f>
        <v>#N/A Requesting Data...</v>
      </c>
      <c r="L282">
        <v>1455000</v>
      </c>
      <c r="M282" t="str">
        <f>_xll.BDP("03588HND Muni","YIELD_ON_ISSUE_DATE")</f>
        <v>#N/A Requesting Data...</v>
      </c>
      <c r="N282" t="str">
        <f>_xll.BDP("03588HND Muni","YTW_SPREAD_TO_MATURITY_AT_ISSU")</f>
        <v>#N/A Requesting Data...</v>
      </c>
      <c r="O282" t="str">
        <f>_xll.BDP("03588HND Muni","BVAL_MID_YTM")</f>
        <v>#N/A Requesting Data...</v>
      </c>
      <c r="P282" t="str">
        <f>_xll.BDP("03588HND Muni","MUNI_TAX_PROV")</f>
        <v>#N/A Requesting Data...</v>
      </c>
      <c r="Q282" t="str">
        <f>_xll.BDP("03588HND Muni","MUNI_FED_TAX")</f>
        <v>#N/A Requesting Data...</v>
      </c>
      <c r="R282" t="str">
        <f>_xll.BDP("03588HND Muni","MUNI_MSRB_VOLUME")</f>
        <v>#N/A Requesting Data...</v>
      </c>
      <c r="S282" t="str">
        <f>_xll.BDP("03588HND Muni","BB_COMPOSITE")</f>
        <v>#N/A Requesting Data...</v>
      </c>
      <c r="T282" t="str">
        <f>_xll.BDP("03588HND Muni","LQA_LIQUIDITY_SCORE")</f>
        <v>#N/A Requesting Data...</v>
      </c>
    </row>
    <row r="283" spans="1:20" x14ac:dyDescent="0.25">
      <c r="A283" t="str">
        <f>_xll.BDP("084113RY Muni","ID_CUSIP")</f>
        <v>#N/A Requesting Data...</v>
      </c>
      <c r="B283" t="s">
        <v>157</v>
      </c>
      <c r="C283" t="str">
        <f>_xll.BDP("084113RY Muni","INSURANCE_STATUS")</f>
        <v>#N/A Requesting Data...</v>
      </c>
      <c r="D283" t="str">
        <f>_xll.BDP("084113RY Muni","STATE_CODE")</f>
        <v>#N/A Requesting Data...</v>
      </c>
      <c r="E283" t="str">
        <f>_xll.BDP("084113RY Muni","COUNTY_LOCATION_ISSUER")</f>
        <v>#N/A Requesting Data...</v>
      </c>
      <c r="F283" t="str">
        <f>_xll.BDP("084113RY Muni","DUR_ADJ_MID")</f>
        <v>#N/A Requesting Data...</v>
      </c>
      <c r="G283" t="str">
        <f>_xll.BDP("084113RY Muni","SPREAD_AT_ISSUANCE_TO_WORST")</f>
        <v>#N/A Requesting Data...</v>
      </c>
      <c r="H283" t="str">
        <f>_xll.BDP("084113RY Muni","ISSUE_DT")</f>
        <v>#N/A Requesting Data...</v>
      </c>
      <c r="I283" t="str">
        <f>_xll.BDS("084113RY Muni","MUNI_PURPOSE_SCHED", "aggregate=y")</f>
        <v>#N/A Review</v>
      </c>
      <c r="J283" t="str">
        <f>_xll.BDP("084113RY Muni","CPN")</f>
        <v>#N/A Requesting Data...</v>
      </c>
      <c r="K283" t="str">
        <f>_xll.BDP("084113RY Muni","MATURITY")</f>
        <v>#N/A Requesting Data...</v>
      </c>
      <c r="L283">
        <v>320000</v>
      </c>
      <c r="M283" t="str">
        <f>_xll.BDP("084113RY Muni","YIELD_ON_ISSUE_DATE")</f>
        <v>#N/A Requesting Data...</v>
      </c>
      <c r="N283" t="str">
        <f>_xll.BDP("084113RY Muni","YTW_SPREAD_TO_MATURITY_AT_ISSU")</f>
        <v>#N/A Requesting Data...</v>
      </c>
      <c r="O283" t="str">
        <f>_xll.BDP("084113RY Muni","BVAL_MID_YTM")</f>
        <v>#N/A Requesting Data...</v>
      </c>
      <c r="P283" t="str">
        <f>_xll.BDP("084113RY Muni","MUNI_TAX_PROV")</f>
        <v>#N/A Requesting Data...</v>
      </c>
      <c r="Q283" t="str">
        <f>_xll.BDP("084113RY Muni","MUNI_FED_TAX")</f>
        <v>#N/A Requesting Data...</v>
      </c>
      <c r="R283" t="str">
        <f>_xll.BDP("084113RY Muni","MUNI_MSRB_VOLUME")</f>
        <v>#N/A Requesting Data...</v>
      </c>
      <c r="S283" t="str">
        <f>_xll.BDP("084113RY Muni","BB_COMPOSITE")</f>
        <v>#N/A Requesting Data...</v>
      </c>
      <c r="T283" t="str">
        <f>_xll.BDP("084113RY Muni","LQA_LIQUIDITY_SCORE")</f>
        <v>#N/A Requesting Data...</v>
      </c>
    </row>
    <row r="284" spans="1:20" x14ac:dyDescent="0.25">
      <c r="A284" t="str">
        <f>_xll.BDP("084113SA Muni","ID_CUSIP")</f>
        <v>#N/A Requesting Data...</v>
      </c>
      <c r="B284" t="s">
        <v>157</v>
      </c>
      <c r="C284" t="str">
        <f>_xll.BDP("084113SA Muni","INSURANCE_STATUS")</f>
        <v>#N/A Requesting Data...</v>
      </c>
      <c r="D284" t="str">
        <f>_xll.BDP("084113SA Muni","STATE_CODE")</f>
        <v>#N/A Requesting Data...</v>
      </c>
      <c r="E284" t="str">
        <f>_xll.BDP("084113SA Muni","COUNTY_LOCATION_ISSUER")</f>
        <v>#N/A Requesting Data...</v>
      </c>
      <c r="F284" t="str">
        <f>_xll.BDP("084113SA Muni","DUR_ADJ_MID")</f>
        <v>#N/A Requesting Data...</v>
      </c>
      <c r="G284" t="str">
        <f>_xll.BDP("084113SA Muni","SPREAD_AT_ISSUANCE_TO_WORST")</f>
        <v>#N/A Requesting Data...</v>
      </c>
      <c r="H284" t="str">
        <f>_xll.BDP("084113SA Muni","ISSUE_DT")</f>
        <v>#N/A Requesting Data...</v>
      </c>
      <c r="I284" t="str">
        <f>_xll.BDS("084113SA Muni","MUNI_PURPOSE_SCHED", "aggregate=y")</f>
        <v>#N/A Review</v>
      </c>
      <c r="J284" t="str">
        <f>_xll.BDP("084113SA Muni","CPN")</f>
        <v>#N/A Requesting Data...</v>
      </c>
      <c r="K284" t="str">
        <f>_xll.BDP("084113SA Muni","MATURITY")</f>
        <v>#N/A Requesting Data...</v>
      </c>
      <c r="L284">
        <v>350000</v>
      </c>
      <c r="M284" t="str">
        <f>_xll.BDP("084113SA Muni","YIELD_ON_ISSUE_DATE")</f>
        <v>#N/A Requesting Data...</v>
      </c>
      <c r="N284" t="str">
        <f>_xll.BDP("084113SA Muni","YTW_SPREAD_TO_MATURITY_AT_ISSU")</f>
        <v>#N/A Requesting Data...</v>
      </c>
      <c r="O284" t="str">
        <f>_xll.BDP("084113SA Muni","BVAL_MID_YTM")</f>
        <v>#N/A Requesting Data...</v>
      </c>
      <c r="P284" t="str">
        <f>_xll.BDP("084113SA Muni","MUNI_TAX_PROV")</f>
        <v>#N/A Requesting Data...</v>
      </c>
      <c r="Q284" t="str">
        <f>_xll.BDP("084113SA Muni","MUNI_FED_TAX")</f>
        <v>#N/A Requesting Data...</v>
      </c>
      <c r="R284" t="str">
        <f>_xll.BDP("084113SA Muni","MUNI_MSRB_VOLUME")</f>
        <v>#N/A Requesting Data...</v>
      </c>
      <c r="S284" t="str">
        <f>_xll.BDP("084113SA Muni","BB_COMPOSITE")</f>
        <v>#N/A Requesting Data...</v>
      </c>
      <c r="T284" t="str">
        <f>_xll.BDP("084113SA Muni","LQA_LIQUIDITY_SCORE")</f>
        <v>#N/A Requesting Data...</v>
      </c>
    </row>
    <row r="285" spans="1:20" x14ac:dyDescent="0.25">
      <c r="A285" t="str">
        <f>_xll.BDP("095166FN Muni","ID_CUSIP")</f>
        <v>#N/A Requesting Data...</v>
      </c>
      <c r="B285" t="s">
        <v>158</v>
      </c>
      <c r="C285" t="str">
        <f>_xll.BDP("095166FN Muni","INSURANCE_STATUS")</f>
        <v>#N/A Requesting Data...</v>
      </c>
      <c r="D285" t="str">
        <f>_xll.BDP("095166FN Muni","STATE_CODE")</f>
        <v>#N/A Requesting Data...</v>
      </c>
      <c r="E285" t="str">
        <f>_xll.BDP("095166FN Muni","COUNTY_LOCATION_ISSUER")</f>
        <v>#N/A Requesting Data...</v>
      </c>
      <c r="F285" t="str">
        <f>_xll.BDP("095166FN Muni","DUR_ADJ_MID")</f>
        <v>#N/A Requesting Data...</v>
      </c>
      <c r="G285" t="str">
        <f>_xll.BDP("095166FN Muni","SPREAD_AT_ISSUANCE_TO_WORST")</f>
        <v>#N/A Requesting Data...</v>
      </c>
      <c r="H285" t="str">
        <f>_xll.BDP("095166FN Muni","ISSUE_DT")</f>
        <v>#N/A Requesting Data...</v>
      </c>
      <c r="I285" t="str">
        <f>_xll.BDS("095166FN Muni","MUNI_PURPOSE_SCHED", "aggregate=y")</f>
        <v>#N/A Review</v>
      </c>
      <c r="J285" t="str">
        <f>_xll.BDP("095166FN Muni","CPN")</f>
        <v>#N/A Requesting Data...</v>
      </c>
      <c r="K285" t="str">
        <f>_xll.BDP("095166FN Muni","MATURITY")</f>
        <v>#N/A Requesting Data...</v>
      </c>
      <c r="L285">
        <v>300000</v>
      </c>
      <c r="M285" t="str">
        <f>_xll.BDP("095166FN Muni","YIELD_ON_ISSUE_DATE")</f>
        <v>#N/A Requesting Data...</v>
      </c>
      <c r="N285" t="str">
        <f>_xll.BDP("095166FN Muni","YTW_SPREAD_TO_MATURITY_AT_ISSU")</f>
        <v>#N/A Requesting Data...</v>
      </c>
      <c r="O285" t="str">
        <f>_xll.BDP("095166FN Muni","BVAL_MID_YTM")</f>
        <v>#N/A Requesting Data...</v>
      </c>
      <c r="P285" t="str">
        <f>_xll.BDP("095166FN Muni","MUNI_TAX_PROV")</f>
        <v>#N/A Requesting Data...</v>
      </c>
      <c r="Q285" t="str">
        <f>_xll.BDP("095166FN Muni","MUNI_FED_TAX")</f>
        <v>#N/A Requesting Data...</v>
      </c>
      <c r="R285" t="str">
        <f>_xll.BDP("095166FN Muni","MUNI_MSRB_VOLUME")</f>
        <v>#N/A Requesting Data...</v>
      </c>
      <c r="S285" t="str">
        <f>_xll.BDP("095166FN Muni","BB_COMPOSITE")</f>
        <v>#N/A Requesting Data...</v>
      </c>
      <c r="T285" t="str">
        <f>_xll.BDP("095166FN Muni","LQA_LIQUIDITY_SCORE")</f>
        <v>#N/A Requesting Data...</v>
      </c>
    </row>
    <row r="286" spans="1:20" x14ac:dyDescent="0.25">
      <c r="A286" t="str">
        <f>_xll.BDP("095166FP Muni","ID_CUSIP")</f>
        <v>#N/A Requesting Data...</v>
      </c>
      <c r="B286" t="s">
        <v>158</v>
      </c>
      <c r="C286" t="str">
        <f>_xll.BDP("095166FP Muni","INSURANCE_STATUS")</f>
        <v>#N/A Requesting Data...</v>
      </c>
      <c r="D286" t="str">
        <f>_xll.BDP("095166FP Muni","STATE_CODE")</f>
        <v>#N/A Requesting Data...</v>
      </c>
      <c r="E286" t="str">
        <f>_xll.BDP("095166FP Muni","COUNTY_LOCATION_ISSUER")</f>
        <v>#N/A Requesting Data...</v>
      </c>
      <c r="F286" t="str">
        <f>_xll.BDP("095166FP Muni","DUR_ADJ_MID")</f>
        <v>#N/A Requesting Data...</v>
      </c>
      <c r="G286" t="str">
        <f>_xll.BDP("095166FP Muni","SPREAD_AT_ISSUANCE_TO_WORST")</f>
        <v>#N/A Requesting Data...</v>
      </c>
      <c r="H286" t="str">
        <f>_xll.BDP("095166FP Muni","ISSUE_DT")</f>
        <v>#N/A Requesting Data...</v>
      </c>
      <c r="I286" t="str">
        <f>_xll.BDS("095166FP Muni","MUNI_PURPOSE_SCHED", "aggregate=y")</f>
        <v>#N/A Review</v>
      </c>
      <c r="J286" t="str">
        <f>_xll.BDP("095166FP Muni","CPN")</f>
        <v>#N/A Requesting Data...</v>
      </c>
      <c r="K286" t="str">
        <f>_xll.BDP("095166FP Muni","MATURITY")</f>
        <v>#N/A Requesting Data...</v>
      </c>
      <c r="L286">
        <v>320000</v>
      </c>
      <c r="M286" t="str">
        <f>_xll.BDP("095166FP Muni","YIELD_ON_ISSUE_DATE")</f>
        <v>#N/A Requesting Data...</v>
      </c>
      <c r="N286" t="str">
        <f>_xll.BDP("095166FP Muni","YTW_SPREAD_TO_MATURITY_AT_ISSU")</f>
        <v>#N/A Requesting Data...</v>
      </c>
      <c r="O286" t="str">
        <f>_xll.BDP("095166FP Muni","BVAL_MID_YTM")</f>
        <v>#N/A Requesting Data...</v>
      </c>
      <c r="P286" t="str">
        <f>_xll.BDP("095166FP Muni","MUNI_TAX_PROV")</f>
        <v>#N/A Requesting Data...</v>
      </c>
      <c r="Q286" t="str">
        <f>_xll.BDP("095166FP Muni","MUNI_FED_TAX")</f>
        <v>#N/A Requesting Data...</v>
      </c>
      <c r="R286" t="str">
        <f>_xll.BDP("095166FP Muni","MUNI_MSRB_VOLUME")</f>
        <v>#N/A Requesting Data...</v>
      </c>
      <c r="S286" t="str">
        <f>_xll.BDP("095166FP Muni","BB_COMPOSITE")</f>
        <v>#N/A Requesting Data...</v>
      </c>
      <c r="T286" t="str">
        <f>_xll.BDP("095166FP Muni","LQA_LIQUIDITY_SCORE")</f>
        <v>#N/A Requesting Data...</v>
      </c>
    </row>
    <row r="287" spans="1:20" x14ac:dyDescent="0.25">
      <c r="A287" t="str">
        <f>_xll.BDP("095166FQ Muni","ID_CUSIP")</f>
        <v>#N/A Requesting Data...</v>
      </c>
      <c r="B287" t="s">
        <v>158</v>
      </c>
      <c r="C287" t="str">
        <f>_xll.BDP("095166FQ Muni","INSURANCE_STATUS")</f>
        <v>#N/A Requesting Data...</v>
      </c>
      <c r="D287" t="str">
        <f>_xll.BDP("095166FQ Muni","STATE_CODE")</f>
        <v>#N/A Requesting Data...</v>
      </c>
      <c r="E287" t="str">
        <f>_xll.BDP("095166FQ Muni","COUNTY_LOCATION_ISSUER")</f>
        <v>#N/A Requesting Data...</v>
      </c>
      <c r="F287" t="str">
        <f>_xll.BDP("095166FQ Muni","DUR_ADJ_MID")</f>
        <v>#N/A Requesting Data...</v>
      </c>
      <c r="G287" t="str">
        <f>_xll.BDP("095166FQ Muni","SPREAD_AT_ISSUANCE_TO_WORST")</f>
        <v>#N/A Requesting Data...</v>
      </c>
      <c r="H287" t="str">
        <f>_xll.BDP("095166FQ Muni","ISSUE_DT")</f>
        <v>#N/A Requesting Data...</v>
      </c>
      <c r="I287" t="str">
        <f>_xll.BDS("095166FQ Muni","MUNI_PURPOSE_SCHED", "aggregate=y")</f>
        <v>#N/A Review</v>
      </c>
      <c r="J287" t="str">
        <f>_xll.BDP("095166FQ Muni","CPN")</f>
        <v>#N/A Requesting Data...</v>
      </c>
      <c r="K287" t="str">
        <f>_xll.BDP("095166FQ Muni","MATURITY")</f>
        <v>#N/A Requesting Data...</v>
      </c>
      <c r="L287">
        <v>325000</v>
      </c>
      <c r="M287" t="str">
        <f>_xll.BDP("095166FQ Muni","YIELD_ON_ISSUE_DATE")</f>
        <v>#N/A Requesting Data...</v>
      </c>
      <c r="N287" t="str">
        <f>_xll.BDP("095166FQ Muni","YTW_SPREAD_TO_MATURITY_AT_ISSU")</f>
        <v>#N/A Requesting Data...</v>
      </c>
      <c r="O287" t="str">
        <f>_xll.BDP("095166FQ Muni","BVAL_MID_YTM")</f>
        <v>#N/A Requesting Data...</v>
      </c>
      <c r="P287" t="str">
        <f>_xll.BDP("095166FQ Muni","MUNI_TAX_PROV")</f>
        <v>#N/A Requesting Data...</v>
      </c>
      <c r="Q287" t="str">
        <f>_xll.BDP("095166FQ Muni","MUNI_FED_TAX")</f>
        <v>#N/A Requesting Data...</v>
      </c>
      <c r="R287" t="str">
        <f>_xll.BDP("095166FQ Muni","MUNI_MSRB_VOLUME")</f>
        <v>#N/A Requesting Data...</v>
      </c>
      <c r="S287" t="str">
        <f>_xll.BDP("095166FQ Muni","BB_COMPOSITE")</f>
        <v>#N/A Requesting Data...</v>
      </c>
      <c r="T287" t="str">
        <f>_xll.BDP("095166FQ Muni","LQA_LIQUIDITY_SCORE")</f>
        <v>#N/A Requesting Data...</v>
      </c>
    </row>
    <row r="288" spans="1:20" x14ac:dyDescent="0.25">
      <c r="A288" t="str">
        <f>_xll.BDP("095166FR Muni","ID_CUSIP")</f>
        <v>#N/A Requesting Data...</v>
      </c>
      <c r="B288" t="s">
        <v>158</v>
      </c>
      <c r="C288" t="str">
        <f>_xll.BDP("095166FR Muni","INSURANCE_STATUS")</f>
        <v>#N/A Requesting Data...</v>
      </c>
      <c r="D288" t="str">
        <f>_xll.BDP("095166FR Muni","STATE_CODE")</f>
        <v>#N/A Requesting Data...</v>
      </c>
      <c r="E288" t="str">
        <f>_xll.BDP("095166FR Muni","COUNTY_LOCATION_ISSUER")</f>
        <v>#N/A Requesting Data...</v>
      </c>
      <c r="F288" t="str">
        <f>_xll.BDP("095166FR Muni","DUR_ADJ_MID")</f>
        <v>#N/A Requesting Data...</v>
      </c>
      <c r="G288" t="str">
        <f>_xll.BDP("095166FR Muni","SPREAD_AT_ISSUANCE_TO_WORST")</f>
        <v>#N/A Requesting Data...</v>
      </c>
      <c r="H288" t="str">
        <f>_xll.BDP("095166FR Muni","ISSUE_DT")</f>
        <v>#N/A Requesting Data...</v>
      </c>
      <c r="I288" t="str">
        <f>_xll.BDS("095166FR Muni","MUNI_PURPOSE_SCHED", "aggregate=y")</f>
        <v>#N/A Review</v>
      </c>
      <c r="J288" t="str">
        <f>_xll.BDP("095166FR Muni","CPN")</f>
        <v>#N/A Requesting Data...</v>
      </c>
      <c r="K288" t="str">
        <f>_xll.BDP("095166FR Muni","MATURITY")</f>
        <v>#N/A Requesting Data...</v>
      </c>
      <c r="L288">
        <v>335000</v>
      </c>
      <c r="M288" t="str">
        <f>_xll.BDP("095166FR Muni","YIELD_ON_ISSUE_DATE")</f>
        <v>#N/A Requesting Data...</v>
      </c>
      <c r="N288" t="str">
        <f>_xll.BDP("095166FR Muni","YTW_SPREAD_TO_MATURITY_AT_ISSU")</f>
        <v>#N/A Requesting Data...</v>
      </c>
      <c r="O288" t="str">
        <f>_xll.BDP("095166FR Muni","BVAL_MID_YTM")</f>
        <v>#N/A Requesting Data...</v>
      </c>
      <c r="P288" t="str">
        <f>_xll.BDP("095166FR Muni","MUNI_TAX_PROV")</f>
        <v>#N/A Requesting Data...</v>
      </c>
      <c r="Q288" t="str">
        <f>_xll.BDP("095166FR Muni","MUNI_FED_TAX")</f>
        <v>#N/A Requesting Data...</v>
      </c>
      <c r="R288" t="str">
        <f>_xll.BDP("095166FR Muni","MUNI_MSRB_VOLUME")</f>
        <v>#N/A Requesting Data...</v>
      </c>
      <c r="S288" t="str">
        <f>_xll.BDP("095166FR Muni","BB_COMPOSITE")</f>
        <v>#N/A Requesting Data...</v>
      </c>
      <c r="T288" t="str">
        <f>_xll.BDP("095166FR Muni","LQA_LIQUIDITY_SCORE")</f>
        <v>#N/A Requesting Data...</v>
      </c>
    </row>
    <row r="289" spans="1:20" x14ac:dyDescent="0.25">
      <c r="A289" t="str">
        <f>_xll.BDP("09845NCC Muni","ID_CUSIP")</f>
        <v>#N/A Requesting Data...</v>
      </c>
      <c r="B289" t="s">
        <v>83</v>
      </c>
      <c r="C289" t="str">
        <f>_xll.BDP("09845NCC Muni","INSURANCE_STATUS")</f>
        <v>#N/A Requesting Data...</v>
      </c>
      <c r="D289" t="str">
        <f>_xll.BDP("09845NCC Muni","STATE_CODE")</f>
        <v>#N/A Requesting Data...</v>
      </c>
      <c r="E289" t="str">
        <f>_xll.BDP("09845NCC Muni","COUNTY_LOCATION_ISSUER")</f>
        <v>#N/A Requesting Data...</v>
      </c>
      <c r="F289" t="str">
        <f>_xll.BDP("09845NCC Muni","DUR_ADJ_MID")</f>
        <v>#N/A Requesting Data...</v>
      </c>
      <c r="G289" t="str">
        <f>_xll.BDP("09845NCC Muni","SPREAD_AT_ISSUANCE_TO_WORST")</f>
        <v>#N/A Requesting Data...</v>
      </c>
      <c r="H289" t="str">
        <f>_xll.BDP("09845NCC Muni","ISSUE_DT")</f>
        <v>#N/A Requesting Data...</v>
      </c>
      <c r="I289" t="str">
        <f>_xll.BDS("09845NCC Muni","MUNI_PURPOSE_SCHED", "aggregate=y")</f>
        <v>#N/A Review</v>
      </c>
      <c r="J289" t="str">
        <f>_xll.BDP("09845NCC Muni","CPN")</f>
        <v>#N/A Requesting Data...</v>
      </c>
      <c r="K289" t="str">
        <f>_xll.BDP("09845NCC Muni","MATURITY")</f>
        <v>#N/A Requesting Data...</v>
      </c>
      <c r="L289">
        <v>480000</v>
      </c>
      <c r="M289" t="str">
        <f>_xll.BDP("09845NCC Muni","YIELD_ON_ISSUE_DATE")</f>
        <v>#N/A Requesting Data...</v>
      </c>
      <c r="N289" t="str">
        <f>_xll.BDP("09845NCC Muni","YTW_SPREAD_TO_MATURITY_AT_ISSU")</f>
        <v>#N/A Requesting Data...</v>
      </c>
      <c r="O289" t="str">
        <f>_xll.BDP("09845NCC Muni","BVAL_MID_YTM")</f>
        <v>#N/A Requesting Data...</v>
      </c>
      <c r="P289" t="str">
        <f>_xll.BDP("09845NCC Muni","MUNI_TAX_PROV")</f>
        <v>#N/A Requesting Data...</v>
      </c>
      <c r="Q289" t="str">
        <f>_xll.BDP("09845NCC Muni","MUNI_FED_TAX")</f>
        <v>#N/A Requesting Data...</v>
      </c>
      <c r="R289" t="str">
        <f>_xll.BDP("09845NCC Muni","MUNI_MSRB_VOLUME")</f>
        <v>#N/A Requesting Data...</v>
      </c>
      <c r="S289" t="str">
        <f>_xll.BDP("09845NCC Muni","BB_COMPOSITE")</f>
        <v>#N/A Requesting Data...</v>
      </c>
      <c r="T289" t="str">
        <f>_xll.BDP("09845NCC Muni","LQA_LIQUIDITY_SCORE")</f>
        <v>#N/A Requesting Data...</v>
      </c>
    </row>
    <row r="290" spans="1:20" x14ac:dyDescent="0.25">
      <c r="A290" t="str">
        <f>_xll.BDP("09845NCD Muni","ID_CUSIP")</f>
        <v>#N/A Requesting Data...</v>
      </c>
      <c r="B290" t="s">
        <v>83</v>
      </c>
      <c r="C290" t="str">
        <f>_xll.BDP("09845NCD Muni","INSURANCE_STATUS")</f>
        <v>#N/A Requesting Data...</v>
      </c>
      <c r="D290" t="str">
        <f>_xll.BDP("09845NCD Muni","STATE_CODE")</f>
        <v>#N/A Requesting Data...</v>
      </c>
      <c r="E290" t="str">
        <f>_xll.BDP("09845NCD Muni","COUNTY_LOCATION_ISSUER")</f>
        <v>#N/A Requesting Data...</v>
      </c>
      <c r="F290" t="str">
        <f>_xll.BDP("09845NCD Muni","DUR_ADJ_MID")</f>
        <v>#N/A Requesting Data...</v>
      </c>
      <c r="G290" t="str">
        <f>_xll.BDP("09845NCD Muni","SPREAD_AT_ISSUANCE_TO_WORST")</f>
        <v>#N/A Requesting Data...</v>
      </c>
      <c r="H290" t="str">
        <f>_xll.BDP("09845NCD Muni","ISSUE_DT")</f>
        <v>#N/A Requesting Data...</v>
      </c>
      <c r="I290" t="str">
        <f>_xll.BDS("09845NCD Muni","MUNI_PURPOSE_SCHED", "aggregate=y")</f>
        <v>#N/A Review</v>
      </c>
      <c r="J290" t="str">
        <f>_xll.BDP("09845NCD Muni","CPN")</f>
        <v>#N/A Requesting Data...</v>
      </c>
      <c r="K290" t="str">
        <f>_xll.BDP("09845NCD Muni","MATURITY")</f>
        <v>#N/A Requesting Data...</v>
      </c>
      <c r="L290">
        <v>500000</v>
      </c>
      <c r="M290" t="str">
        <f>_xll.BDP("09845NCD Muni","YIELD_ON_ISSUE_DATE")</f>
        <v>#N/A Requesting Data...</v>
      </c>
      <c r="N290" t="str">
        <f>_xll.BDP("09845NCD Muni","YTW_SPREAD_TO_MATURITY_AT_ISSU")</f>
        <v>#N/A Requesting Data...</v>
      </c>
      <c r="O290" t="str">
        <f>_xll.BDP("09845NCD Muni","BVAL_MID_YTM")</f>
        <v>#N/A Requesting Data...</v>
      </c>
      <c r="P290" t="str">
        <f>_xll.BDP("09845NCD Muni","MUNI_TAX_PROV")</f>
        <v>#N/A Requesting Data...</v>
      </c>
      <c r="Q290" t="str">
        <f>_xll.BDP("09845NCD Muni","MUNI_FED_TAX")</f>
        <v>#N/A Requesting Data...</v>
      </c>
      <c r="R290" t="str">
        <f>_xll.BDP("09845NCD Muni","MUNI_MSRB_VOLUME")</f>
        <v>#N/A Requesting Data...</v>
      </c>
      <c r="S290" t="str">
        <f>_xll.BDP("09845NCD Muni","BB_COMPOSITE")</f>
        <v>#N/A Requesting Data...</v>
      </c>
      <c r="T290" t="str">
        <f>_xll.BDP("09845NCD Muni","LQA_LIQUIDITY_SCORE")</f>
        <v>#N/A Requesting Data...</v>
      </c>
    </row>
    <row r="291" spans="1:20" x14ac:dyDescent="0.25">
      <c r="A291" t="str">
        <f>_xll.BDP("09845NCE Muni","ID_CUSIP")</f>
        <v>#N/A Requesting Data...</v>
      </c>
      <c r="B291" t="s">
        <v>83</v>
      </c>
      <c r="C291" t="str">
        <f>_xll.BDP("09845NCE Muni","INSURANCE_STATUS")</f>
        <v>#N/A Requesting Data...</v>
      </c>
      <c r="D291" t="str">
        <f>_xll.BDP("09845NCE Muni","STATE_CODE")</f>
        <v>#N/A Requesting Data...</v>
      </c>
      <c r="E291" t="str">
        <f>_xll.BDP("09845NCE Muni","COUNTY_LOCATION_ISSUER")</f>
        <v>#N/A Requesting Data...</v>
      </c>
      <c r="F291" t="str">
        <f>_xll.BDP("09845NCE Muni","DUR_ADJ_MID")</f>
        <v>#N/A Requesting Data...</v>
      </c>
      <c r="G291" t="str">
        <f>_xll.BDP("09845NCE Muni","SPREAD_AT_ISSUANCE_TO_WORST")</f>
        <v>#N/A Requesting Data...</v>
      </c>
      <c r="H291" t="str">
        <f>_xll.BDP("09845NCE Muni","ISSUE_DT")</f>
        <v>#N/A Requesting Data...</v>
      </c>
      <c r="I291" t="str">
        <f>_xll.BDS("09845NCE Muni","MUNI_PURPOSE_SCHED", "aggregate=y")</f>
        <v>#N/A Review</v>
      </c>
      <c r="J291" t="str">
        <f>_xll.BDP("09845NCE Muni","CPN")</f>
        <v>#N/A Requesting Data...</v>
      </c>
      <c r="K291" t="str">
        <f>_xll.BDP("09845NCE Muni","MATURITY")</f>
        <v>#N/A Requesting Data...</v>
      </c>
      <c r="L291">
        <v>520000</v>
      </c>
      <c r="M291" t="str">
        <f>_xll.BDP("09845NCE Muni","YIELD_ON_ISSUE_DATE")</f>
        <v>#N/A Requesting Data...</v>
      </c>
      <c r="N291" t="str">
        <f>_xll.BDP("09845NCE Muni","YTW_SPREAD_TO_MATURITY_AT_ISSU")</f>
        <v>#N/A Requesting Data...</v>
      </c>
      <c r="O291" t="str">
        <f>_xll.BDP("09845NCE Muni","BVAL_MID_YTM")</f>
        <v>#N/A Requesting Data...</v>
      </c>
      <c r="P291" t="str">
        <f>_xll.BDP("09845NCE Muni","MUNI_TAX_PROV")</f>
        <v>#N/A Requesting Data...</v>
      </c>
      <c r="Q291" t="str">
        <f>_xll.BDP("09845NCE Muni","MUNI_FED_TAX")</f>
        <v>#N/A Requesting Data...</v>
      </c>
      <c r="R291" t="str">
        <f>_xll.BDP("09845NCE Muni","MUNI_MSRB_VOLUME")</f>
        <v>#N/A Requesting Data...</v>
      </c>
      <c r="S291" t="str">
        <f>_xll.BDP("09845NCE Muni","BB_COMPOSITE")</f>
        <v>#N/A Requesting Data...</v>
      </c>
      <c r="T291" t="str">
        <f>_xll.BDP("09845NCE Muni","LQA_LIQUIDITY_SCORE")</f>
        <v>#N/A Requesting Data...</v>
      </c>
    </row>
    <row r="292" spans="1:20" x14ac:dyDescent="0.25">
      <c r="A292" t="str">
        <f>_xll.BDP("101029TY Muni","ID_CUSIP")</f>
        <v>#N/A Requesting Data...</v>
      </c>
      <c r="B292" t="s">
        <v>159</v>
      </c>
      <c r="C292" t="str">
        <f>_xll.BDP("101029TY Muni","INSURANCE_STATUS")</f>
        <v>#N/A Requesting Data...</v>
      </c>
      <c r="D292" t="str">
        <f>_xll.BDP("101029TY Muni","STATE_CODE")</f>
        <v>#N/A Requesting Data...</v>
      </c>
      <c r="E292" t="str">
        <f>_xll.BDP("101029TY Muni","COUNTY_LOCATION_ISSUER")</f>
        <v>#N/A Requesting Data...</v>
      </c>
      <c r="F292" t="str">
        <f>_xll.BDP("101029TY Muni","DUR_ADJ_MID")</f>
        <v>#N/A Requesting Data...</v>
      </c>
      <c r="G292" t="str">
        <f>_xll.BDP("101029TY Muni","SPREAD_AT_ISSUANCE_TO_WORST")</f>
        <v>#N/A Requesting Data...</v>
      </c>
      <c r="H292" t="str">
        <f>_xll.BDP("101029TY Muni","ISSUE_DT")</f>
        <v>#N/A Requesting Data...</v>
      </c>
      <c r="I292" t="str">
        <f>_xll.BDS("101029TY Muni","MUNI_PURPOSE_SCHED", "aggregate=y")</f>
        <v>#N/A Review</v>
      </c>
      <c r="J292" t="str">
        <f>_xll.BDP("101029TY Muni","CPN")</f>
        <v>#N/A Requesting Data...</v>
      </c>
      <c r="K292" t="str">
        <f>_xll.BDP("101029TY Muni","MATURITY")</f>
        <v>#N/A Requesting Data...</v>
      </c>
      <c r="L292">
        <v>500000</v>
      </c>
      <c r="M292" t="str">
        <f>_xll.BDP("101029TY Muni","YIELD_ON_ISSUE_DATE")</f>
        <v>#N/A Requesting Data...</v>
      </c>
      <c r="N292" t="str">
        <f>_xll.BDP("101029TY Muni","YTW_SPREAD_TO_MATURITY_AT_ISSU")</f>
        <v>#N/A Requesting Data...</v>
      </c>
      <c r="O292" t="str">
        <f>_xll.BDP("101029TY Muni","BVAL_MID_YTM")</f>
        <v>#N/A Requesting Data...</v>
      </c>
      <c r="P292" t="str">
        <f>_xll.BDP("101029TY Muni","MUNI_TAX_PROV")</f>
        <v>#N/A Requesting Data...</v>
      </c>
      <c r="Q292" t="str">
        <f>_xll.BDP("101029TY Muni","MUNI_FED_TAX")</f>
        <v>#N/A Requesting Data...</v>
      </c>
      <c r="R292" t="str">
        <f>_xll.BDP("101029TY Muni","MUNI_MSRB_VOLUME")</f>
        <v>#N/A Requesting Data...</v>
      </c>
      <c r="S292" t="str">
        <f>_xll.BDP("101029TY Muni","BB_COMPOSITE")</f>
        <v>#N/A Requesting Data...</v>
      </c>
      <c r="T292" t="str">
        <f>_xll.BDP("101029TY Muni","LQA_LIQUIDITY_SCORE")</f>
        <v>#N/A Requesting Data...</v>
      </c>
    </row>
    <row r="293" spans="1:20" x14ac:dyDescent="0.25">
      <c r="A293" t="str">
        <f>_xll.BDP("101029TZ Muni","ID_CUSIP")</f>
        <v>#N/A Requesting Data...</v>
      </c>
      <c r="B293" t="s">
        <v>159</v>
      </c>
      <c r="C293" t="str">
        <f>_xll.BDP("101029TZ Muni","INSURANCE_STATUS")</f>
        <v>#N/A Requesting Data...</v>
      </c>
      <c r="D293" t="str">
        <f>_xll.BDP("101029TZ Muni","STATE_CODE")</f>
        <v>#N/A Requesting Data...</v>
      </c>
      <c r="E293" t="str">
        <f>_xll.BDP("101029TZ Muni","COUNTY_LOCATION_ISSUER")</f>
        <v>#N/A Requesting Data...</v>
      </c>
      <c r="F293" t="str">
        <f>_xll.BDP("101029TZ Muni","DUR_ADJ_MID")</f>
        <v>#N/A Requesting Data...</v>
      </c>
      <c r="G293" t="str">
        <f>_xll.BDP("101029TZ Muni","SPREAD_AT_ISSUANCE_TO_WORST")</f>
        <v>#N/A Requesting Data...</v>
      </c>
      <c r="H293" t="str">
        <f>_xll.BDP("101029TZ Muni","ISSUE_DT")</f>
        <v>#N/A Requesting Data...</v>
      </c>
      <c r="I293" t="str">
        <f>_xll.BDS("101029TZ Muni","MUNI_PURPOSE_SCHED", "aggregate=y")</f>
        <v>#N/A Review</v>
      </c>
      <c r="J293" t="str">
        <f>_xll.BDP("101029TZ Muni","CPN")</f>
        <v>#N/A Requesting Data...</v>
      </c>
      <c r="K293" t="str">
        <f>_xll.BDP("101029TZ Muni","MATURITY")</f>
        <v>#N/A Requesting Data...</v>
      </c>
      <c r="L293">
        <v>500000</v>
      </c>
      <c r="M293" t="str">
        <f>_xll.BDP("101029TZ Muni","YIELD_ON_ISSUE_DATE")</f>
        <v>#N/A Requesting Data...</v>
      </c>
      <c r="N293" t="str">
        <f>_xll.BDP("101029TZ Muni","YTW_SPREAD_TO_MATURITY_AT_ISSU")</f>
        <v>#N/A Requesting Data...</v>
      </c>
      <c r="O293" t="str">
        <f>_xll.BDP("101029TZ Muni","BVAL_MID_YTM")</f>
        <v>#N/A Requesting Data...</v>
      </c>
      <c r="P293" t="str">
        <f>_xll.BDP("101029TZ Muni","MUNI_TAX_PROV")</f>
        <v>#N/A Requesting Data...</v>
      </c>
      <c r="Q293" t="str">
        <f>_xll.BDP("101029TZ Muni","MUNI_FED_TAX")</f>
        <v>#N/A Requesting Data...</v>
      </c>
      <c r="R293" t="str">
        <f>_xll.BDP("101029TZ Muni","MUNI_MSRB_VOLUME")</f>
        <v>#N/A Requesting Data...</v>
      </c>
      <c r="S293" t="str">
        <f>_xll.BDP("101029TZ Muni","BB_COMPOSITE")</f>
        <v>#N/A Requesting Data...</v>
      </c>
      <c r="T293" t="str">
        <f>_xll.BDP("101029TZ Muni","LQA_LIQUIDITY_SCORE")</f>
        <v>#N/A Requesting Data...</v>
      </c>
    </row>
    <row r="294" spans="1:20" x14ac:dyDescent="0.25">
      <c r="A294" t="str">
        <f>_xll.BDP("10146HKS Muni","ID_CUSIP")</f>
        <v>#N/A Requesting Data...</v>
      </c>
      <c r="B294" t="s">
        <v>160</v>
      </c>
      <c r="C294" t="str">
        <f>_xll.BDP("10146HKS Muni","INSURANCE_STATUS")</f>
        <v>#N/A Requesting Data...</v>
      </c>
      <c r="D294" t="str">
        <f>_xll.BDP("10146HKS Muni","STATE_CODE")</f>
        <v>#N/A Requesting Data...</v>
      </c>
      <c r="E294" t="str">
        <f>_xll.BDP("10146HKS Muni","COUNTY_LOCATION_ISSUER")</f>
        <v>#N/A Requesting Data...</v>
      </c>
      <c r="F294" t="str">
        <f>_xll.BDP("10146HKS Muni","DUR_ADJ_MID")</f>
        <v>#N/A Requesting Data...</v>
      </c>
      <c r="G294" t="str">
        <f>_xll.BDP("10146HKS Muni","SPREAD_AT_ISSUANCE_TO_WORST")</f>
        <v>#N/A Requesting Data...</v>
      </c>
      <c r="H294" t="str">
        <f>_xll.BDP("10146HKS Muni","ISSUE_DT")</f>
        <v>#N/A Requesting Data...</v>
      </c>
      <c r="I294" t="str">
        <f>_xll.BDS("10146HKS Muni","MUNI_PURPOSE_SCHED", "aggregate=y")</f>
        <v>#N/A Review</v>
      </c>
      <c r="J294" t="str">
        <f>_xll.BDP("10146HKS Muni","CPN")</f>
        <v>#N/A Requesting Data...</v>
      </c>
      <c r="K294" t="str">
        <f>_xll.BDP("10146HKS Muni","MATURITY")</f>
        <v>#N/A Requesting Data...</v>
      </c>
      <c r="L294">
        <v>1595000</v>
      </c>
      <c r="M294" t="str">
        <f>_xll.BDP("10146HKS Muni","YIELD_ON_ISSUE_DATE")</f>
        <v>#N/A Requesting Data...</v>
      </c>
      <c r="N294" t="str">
        <f>_xll.BDP("10146HKS Muni","YTW_SPREAD_TO_MATURITY_AT_ISSU")</f>
        <v>#N/A Requesting Data...</v>
      </c>
      <c r="O294" t="str">
        <f>_xll.BDP("10146HKS Muni","BVAL_MID_YTM")</f>
        <v>#N/A Requesting Data...</v>
      </c>
      <c r="P294" t="str">
        <f>_xll.BDP("10146HKS Muni","MUNI_TAX_PROV")</f>
        <v>#N/A Requesting Data...</v>
      </c>
      <c r="Q294" t="str">
        <f>_xll.BDP("10146HKS Muni","MUNI_FED_TAX")</f>
        <v>#N/A Requesting Data...</v>
      </c>
      <c r="R294" t="str">
        <f>_xll.BDP("10146HKS Muni","MUNI_MSRB_VOLUME")</f>
        <v>#N/A Requesting Data...</v>
      </c>
      <c r="S294" t="str">
        <f>_xll.BDP("10146HKS Muni","BB_COMPOSITE")</f>
        <v>#N/A Requesting Data...</v>
      </c>
      <c r="T294" t="str">
        <f>_xll.BDP("10146HKS Muni","LQA_LIQUIDITY_SCORE")</f>
        <v>#N/A Requesting Data...</v>
      </c>
    </row>
    <row r="295" spans="1:20" x14ac:dyDescent="0.25">
      <c r="A295" t="str">
        <f>_xll.BDP("10146HKT Muni","ID_CUSIP")</f>
        <v>#N/A Requesting Data...</v>
      </c>
      <c r="B295" t="s">
        <v>160</v>
      </c>
      <c r="C295" t="str">
        <f>_xll.BDP("10146HKT Muni","INSURANCE_STATUS")</f>
        <v>#N/A Requesting Data...</v>
      </c>
      <c r="D295" t="str">
        <f>_xll.BDP("10146HKT Muni","STATE_CODE")</f>
        <v>#N/A Requesting Data...</v>
      </c>
      <c r="E295" t="str">
        <f>_xll.BDP("10146HKT Muni","COUNTY_LOCATION_ISSUER")</f>
        <v>#N/A Requesting Data...</v>
      </c>
      <c r="F295" t="str">
        <f>_xll.BDP("10146HKT Muni","DUR_ADJ_MID")</f>
        <v>#N/A Requesting Data...</v>
      </c>
      <c r="G295" t="str">
        <f>_xll.BDP("10146HKT Muni","SPREAD_AT_ISSUANCE_TO_WORST")</f>
        <v>#N/A Requesting Data...</v>
      </c>
      <c r="H295" t="str">
        <f>_xll.BDP("10146HKT Muni","ISSUE_DT")</f>
        <v>#N/A Requesting Data...</v>
      </c>
      <c r="I295" t="str">
        <f>_xll.BDS("10146HKT Muni","MUNI_PURPOSE_SCHED", "aggregate=y")</f>
        <v>#N/A Review</v>
      </c>
      <c r="J295" t="str">
        <f>_xll.BDP("10146HKT Muni","CPN")</f>
        <v>#N/A Requesting Data...</v>
      </c>
      <c r="K295" t="str">
        <f>_xll.BDP("10146HKT Muni","MATURITY")</f>
        <v>#N/A Requesting Data...</v>
      </c>
      <c r="L295">
        <v>1625000</v>
      </c>
      <c r="M295" t="str">
        <f>_xll.BDP("10146HKT Muni","YIELD_ON_ISSUE_DATE")</f>
        <v>#N/A Requesting Data...</v>
      </c>
      <c r="N295" t="str">
        <f>_xll.BDP("10146HKT Muni","YTW_SPREAD_TO_MATURITY_AT_ISSU")</f>
        <v>#N/A Requesting Data...</v>
      </c>
      <c r="O295" t="str">
        <f>_xll.BDP("10146HKT Muni","BVAL_MID_YTM")</f>
        <v>#N/A Requesting Data...</v>
      </c>
      <c r="P295" t="str">
        <f>_xll.BDP("10146HKT Muni","MUNI_TAX_PROV")</f>
        <v>#N/A Requesting Data...</v>
      </c>
      <c r="Q295" t="str">
        <f>_xll.BDP("10146HKT Muni","MUNI_FED_TAX")</f>
        <v>#N/A Requesting Data...</v>
      </c>
      <c r="R295" t="str">
        <f>_xll.BDP("10146HKT Muni","MUNI_MSRB_VOLUME")</f>
        <v>#N/A Requesting Data...</v>
      </c>
      <c r="S295" t="str">
        <f>_xll.BDP("10146HKT Muni","BB_COMPOSITE")</f>
        <v>#N/A Requesting Data...</v>
      </c>
      <c r="T295" t="str">
        <f>_xll.BDP("10146HKT Muni","LQA_LIQUIDITY_SCORE")</f>
        <v>#N/A Requesting Data...</v>
      </c>
    </row>
    <row r="296" spans="1:20" x14ac:dyDescent="0.25">
      <c r="A296" t="str">
        <f>_xll.BDP("10146HKU Muni","ID_CUSIP")</f>
        <v>#N/A Requesting Data...</v>
      </c>
      <c r="B296" t="s">
        <v>160</v>
      </c>
      <c r="C296" t="str">
        <f>_xll.BDP("10146HKU Muni","INSURANCE_STATUS")</f>
        <v>#N/A Requesting Data...</v>
      </c>
      <c r="D296" t="str">
        <f>_xll.BDP("10146HKU Muni","STATE_CODE")</f>
        <v>#N/A Requesting Data...</v>
      </c>
      <c r="E296" t="str">
        <f>_xll.BDP("10146HKU Muni","COUNTY_LOCATION_ISSUER")</f>
        <v>#N/A Requesting Data...</v>
      </c>
      <c r="F296" t="str">
        <f>_xll.BDP("10146HKU Muni","DUR_ADJ_MID")</f>
        <v>#N/A Requesting Data...</v>
      </c>
      <c r="G296" t="str">
        <f>_xll.BDP("10146HKU Muni","SPREAD_AT_ISSUANCE_TO_WORST")</f>
        <v>#N/A Requesting Data...</v>
      </c>
      <c r="H296" t="str">
        <f>_xll.BDP("10146HKU Muni","ISSUE_DT")</f>
        <v>#N/A Requesting Data...</v>
      </c>
      <c r="I296" t="str">
        <f>_xll.BDS("10146HKU Muni","MUNI_PURPOSE_SCHED", "aggregate=y")</f>
        <v>#N/A Review</v>
      </c>
      <c r="J296" t="str">
        <f>_xll.BDP("10146HKU Muni","CPN")</f>
        <v>#N/A Requesting Data...</v>
      </c>
      <c r="K296" t="str">
        <f>_xll.BDP("10146HKU Muni","MATURITY")</f>
        <v>#N/A Requesting Data...</v>
      </c>
      <c r="L296">
        <v>1660000</v>
      </c>
      <c r="M296" t="str">
        <f>_xll.BDP("10146HKU Muni","YIELD_ON_ISSUE_DATE")</f>
        <v>#N/A Requesting Data...</v>
      </c>
      <c r="N296" t="str">
        <f>_xll.BDP("10146HKU Muni","YTW_SPREAD_TO_MATURITY_AT_ISSU")</f>
        <v>#N/A Requesting Data...</v>
      </c>
      <c r="O296" t="str">
        <f>_xll.BDP("10146HKU Muni","BVAL_MID_YTM")</f>
        <v>#N/A Requesting Data...</v>
      </c>
      <c r="P296" t="str">
        <f>_xll.BDP("10146HKU Muni","MUNI_TAX_PROV")</f>
        <v>#N/A Requesting Data...</v>
      </c>
      <c r="Q296" t="str">
        <f>_xll.BDP("10146HKU Muni","MUNI_FED_TAX")</f>
        <v>#N/A Requesting Data...</v>
      </c>
      <c r="R296" t="str">
        <f>_xll.BDP("10146HKU Muni","MUNI_MSRB_VOLUME")</f>
        <v>#N/A Requesting Data...</v>
      </c>
      <c r="S296" t="str">
        <f>_xll.BDP("10146HKU Muni","BB_COMPOSITE")</f>
        <v>#N/A Requesting Data...</v>
      </c>
      <c r="T296" t="str">
        <f>_xll.BDP("10146HKU Muni","LQA_LIQUIDITY_SCORE")</f>
        <v>#N/A Requesting Data...</v>
      </c>
    </row>
    <row r="297" spans="1:20" x14ac:dyDescent="0.25">
      <c r="A297" t="str">
        <f>_xll.BDP("23281EEA Muni","ID_CUSIP")</f>
        <v>#N/A Requesting Data...</v>
      </c>
      <c r="B297" t="s">
        <v>161</v>
      </c>
      <c r="C297" t="str">
        <f>_xll.BDP("23281EEA Muni","INSURANCE_STATUS")</f>
        <v>#N/A Requesting Data...</v>
      </c>
      <c r="D297" t="str">
        <f>_xll.BDP("23281EEA Muni","STATE_CODE")</f>
        <v>#N/A Requesting Data...</v>
      </c>
      <c r="E297" t="str">
        <f>_xll.BDP("23281EEA Muni","COUNTY_LOCATION_ISSUER")</f>
        <v>#N/A Requesting Data...</v>
      </c>
      <c r="F297" t="str">
        <f>_xll.BDP("23281EEA Muni","DUR_ADJ_MID")</f>
        <v>#N/A Requesting Data...</v>
      </c>
      <c r="G297" t="str">
        <f>_xll.BDP("23281EEA Muni","SPREAD_AT_ISSUANCE_TO_WORST")</f>
        <v>#N/A Requesting Data...</v>
      </c>
      <c r="H297" t="str">
        <f>_xll.BDP("23281EEA Muni","ISSUE_DT")</f>
        <v>#N/A Requesting Data...</v>
      </c>
      <c r="I297" t="str">
        <f>_xll.BDS("23281EEA Muni","MUNI_PURPOSE_SCHED", "aggregate=y")</f>
        <v>#N/A Review</v>
      </c>
      <c r="J297" t="str">
        <f>_xll.BDP("23281EEA Muni","CPN")</f>
        <v>#N/A Requesting Data...</v>
      </c>
      <c r="K297" t="str">
        <f>_xll.BDP("23281EEA Muni","MATURITY")</f>
        <v>#N/A Requesting Data...</v>
      </c>
      <c r="L297">
        <v>100000</v>
      </c>
      <c r="M297" t="str">
        <f>_xll.BDP("23281EEA Muni","YIELD_ON_ISSUE_DATE")</f>
        <v>#N/A Requesting Data...</v>
      </c>
      <c r="N297" t="str">
        <f>_xll.BDP("23281EEA Muni","YTW_SPREAD_TO_MATURITY_AT_ISSU")</f>
        <v>#N/A Requesting Data...</v>
      </c>
      <c r="O297" t="str">
        <f>_xll.BDP("23281EEA Muni","BVAL_MID_YTM")</f>
        <v>#N/A Requesting Data...</v>
      </c>
      <c r="P297" t="str">
        <f>_xll.BDP("23281EEA Muni","MUNI_TAX_PROV")</f>
        <v>#N/A Requesting Data...</v>
      </c>
      <c r="Q297" t="str">
        <f>_xll.BDP("23281EEA Muni","MUNI_FED_TAX")</f>
        <v>#N/A Requesting Data...</v>
      </c>
      <c r="R297" t="str">
        <f>_xll.BDP("23281EEA Muni","MUNI_MSRB_VOLUME")</f>
        <v>#N/A Requesting Data...</v>
      </c>
      <c r="S297" t="str">
        <f>_xll.BDP("23281EEA Muni","BB_COMPOSITE")</f>
        <v>#N/A Requesting Data...</v>
      </c>
      <c r="T297" t="str">
        <f>_xll.BDP("23281EEA Muni","LQA_LIQUIDITY_SCORE")</f>
        <v>#N/A Requesting Data...</v>
      </c>
    </row>
    <row r="298" spans="1:20" x14ac:dyDescent="0.25">
      <c r="A298" t="str">
        <f>_xll.BDP("23281EEB Muni","ID_CUSIP")</f>
        <v>#N/A Requesting Data...</v>
      </c>
      <c r="B298" t="s">
        <v>161</v>
      </c>
      <c r="C298" t="str">
        <f>_xll.BDP("23281EEB Muni","INSURANCE_STATUS")</f>
        <v>#N/A Requesting Data...</v>
      </c>
      <c r="D298" t="str">
        <f>_xll.BDP("23281EEB Muni","STATE_CODE")</f>
        <v>#N/A Requesting Data...</v>
      </c>
      <c r="E298" t="str">
        <f>_xll.BDP("23281EEB Muni","COUNTY_LOCATION_ISSUER")</f>
        <v>#N/A Requesting Data...</v>
      </c>
      <c r="F298" t="str">
        <f>_xll.BDP("23281EEB Muni","DUR_ADJ_MID")</f>
        <v>#N/A Requesting Data...</v>
      </c>
      <c r="G298" t="str">
        <f>_xll.BDP("23281EEB Muni","SPREAD_AT_ISSUANCE_TO_WORST")</f>
        <v>#N/A Requesting Data...</v>
      </c>
      <c r="H298" t="str">
        <f>_xll.BDP("23281EEB Muni","ISSUE_DT")</f>
        <v>#N/A Requesting Data...</v>
      </c>
      <c r="I298" t="str">
        <f>_xll.BDS("23281EEB Muni","MUNI_PURPOSE_SCHED", "aggregate=y")</f>
        <v>#N/A Review</v>
      </c>
      <c r="J298" t="str">
        <f>_xll.BDP("23281EEB Muni","CPN")</f>
        <v>#N/A Requesting Data...</v>
      </c>
      <c r="K298" t="str">
        <f>_xll.BDP("23281EEB Muni","MATURITY")</f>
        <v>#N/A Requesting Data...</v>
      </c>
      <c r="L298">
        <v>105000</v>
      </c>
      <c r="M298" t="str">
        <f>_xll.BDP("23281EEB Muni","YIELD_ON_ISSUE_DATE")</f>
        <v>#N/A Requesting Data...</v>
      </c>
      <c r="N298" t="str">
        <f>_xll.BDP("23281EEB Muni","YTW_SPREAD_TO_MATURITY_AT_ISSU")</f>
        <v>#N/A Requesting Data...</v>
      </c>
      <c r="O298" t="str">
        <f>_xll.BDP("23281EEB Muni","BVAL_MID_YTM")</f>
        <v>#N/A Requesting Data...</v>
      </c>
      <c r="P298" t="str">
        <f>_xll.BDP("23281EEB Muni","MUNI_TAX_PROV")</f>
        <v>#N/A Requesting Data...</v>
      </c>
      <c r="Q298" t="str">
        <f>_xll.BDP("23281EEB Muni","MUNI_FED_TAX")</f>
        <v>#N/A Requesting Data...</v>
      </c>
      <c r="R298" t="str">
        <f>_xll.BDP("23281EEB Muni","MUNI_MSRB_VOLUME")</f>
        <v>#N/A Requesting Data...</v>
      </c>
      <c r="S298" t="str">
        <f>_xll.BDP("23281EEB Muni","BB_COMPOSITE")</f>
        <v>#N/A Requesting Data...</v>
      </c>
      <c r="T298" t="str">
        <f>_xll.BDP("23281EEB Muni","LQA_LIQUIDITY_SCORE")</f>
        <v>#N/A Requesting Data...</v>
      </c>
    </row>
    <row r="299" spans="1:20" x14ac:dyDescent="0.25">
      <c r="A299" t="str">
        <f>_xll.BDP("23281EEC Muni","ID_CUSIP")</f>
        <v>#N/A Requesting Data...</v>
      </c>
      <c r="B299" t="s">
        <v>161</v>
      </c>
      <c r="C299" t="str">
        <f>_xll.BDP("23281EEC Muni","INSURANCE_STATUS")</f>
        <v>#N/A Requesting Data...</v>
      </c>
      <c r="D299" t="str">
        <f>_xll.BDP("23281EEC Muni","STATE_CODE")</f>
        <v>#N/A Requesting Data...</v>
      </c>
      <c r="E299" t="str">
        <f>_xll.BDP("23281EEC Muni","COUNTY_LOCATION_ISSUER")</f>
        <v>#N/A Requesting Data...</v>
      </c>
      <c r="F299" t="str">
        <f>_xll.BDP("23281EEC Muni","DUR_ADJ_MID")</f>
        <v>#N/A Requesting Data...</v>
      </c>
      <c r="G299" t="str">
        <f>_xll.BDP("23281EEC Muni","SPREAD_AT_ISSUANCE_TO_WORST")</f>
        <v>#N/A Requesting Data...</v>
      </c>
      <c r="H299" t="str">
        <f>_xll.BDP("23281EEC Muni","ISSUE_DT")</f>
        <v>#N/A Requesting Data...</v>
      </c>
      <c r="I299" t="str">
        <f>_xll.BDS("23281EEC Muni","MUNI_PURPOSE_SCHED", "aggregate=y")</f>
        <v>#N/A Review</v>
      </c>
      <c r="J299" t="str">
        <f>_xll.BDP("23281EEC Muni","CPN")</f>
        <v>#N/A Requesting Data...</v>
      </c>
      <c r="K299" t="str">
        <f>_xll.BDP("23281EEC Muni","MATURITY")</f>
        <v>#N/A Requesting Data...</v>
      </c>
      <c r="L299">
        <v>110000</v>
      </c>
      <c r="M299" t="str">
        <f>_xll.BDP("23281EEC Muni","YIELD_ON_ISSUE_DATE")</f>
        <v>#N/A Requesting Data...</v>
      </c>
      <c r="N299" t="str">
        <f>_xll.BDP("23281EEC Muni","YTW_SPREAD_TO_MATURITY_AT_ISSU")</f>
        <v>#N/A Requesting Data...</v>
      </c>
      <c r="O299" t="str">
        <f>_xll.BDP("23281EEC Muni","BVAL_MID_YTM")</f>
        <v>#N/A Requesting Data...</v>
      </c>
      <c r="P299" t="str">
        <f>_xll.BDP("23281EEC Muni","MUNI_TAX_PROV")</f>
        <v>#N/A Requesting Data...</v>
      </c>
      <c r="Q299" t="str">
        <f>_xll.BDP("23281EEC Muni","MUNI_FED_TAX")</f>
        <v>#N/A Requesting Data...</v>
      </c>
      <c r="R299" t="str">
        <f>_xll.BDP("23281EEC Muni","MUNI_MSRB_VOLUME")</f>
        <v>#N/A Requesting Data...</v>
      </c>
      <c r="S299" t="str">
        <f>_xll.BDP("23281EEC Muni","BB_COMPOSITE")</f>
        <v>#N/A Requesting Data...</v>
      </c>
      <c r="T299" t="str">
        <f>_xll.BDP("23281EEC Muni","LQA_LIQUIDITY_SCORE")</f>
        <v>#N/A Requesting Data...</v>
      </c>
    </row>
    <row r="300" spans="1:20" x14ac:dyDescent="0.25">
      <c r="A300" t="str">
        <f>_xll.BDP("07219PEQ Muni","ID_CUSIP")</f>
        <v>#N/A Requesting Data...</v>
      </c>
      <c r="B300" t="s">
        <v>162</v>
      </c>
      <c r="C300" t="str">
        <f>_xll.BDP("07219PEQ Muni","INSURANCE_STATUS")</f>
        <v>#N/A Requesting Data...</v>
      </c>
      <c r="D300" t="str">
        <f>_xll.BDP("07219PEQ Muni","STATE_CODE")</f>
        <v>#N/A Requesting Data...</v>
      </c>
      <c r="E300" t="str">
        <f>_xll.BDP("07219PEQ Muni","COUNTY_LOCATION_ISSUER")</f>
        <v>#N/A Requesting Data...</v>
      </c>
      <c r="F300" t="str">
        <f>_xll.BDP("07219PEQ Muni","DUR_ADJ_MID")</f>
        <v>#N/A Requesting Data...</v>
      </c>
      <c r="G300" t="str">
        <f>_xll.BDP("07219PEQ Muni","SPREAD_AT_ISSUANCE_TO_WORST")</f>
        <v>#N/A Requesting Data...</v>
      </c>
      <c r="H300" t="str">
        <f>_xll.BDP("07219PEQ Muni","ISSUE_DT")</f>
        <v>#N/A Requesting Data...</v>
      </c>
      <c r="I300" t="str">
        <f>_xll.BDS("07219PEQ Muni","MUNI_PURPOSE_SCHED", "aggregate=y")</f>
        <v>#N/A Review</v>
      </c>
      <c r="J300" t="str">
        <f>_xll.BDP("07219PEQ Muni","CPN")</f>
        <v>#N/A Requesting Data...</v>
      </c>
      <c r="K300" t="str">
        <f>_xll.BDP("07219PEQ Muni","MATURITY")</f>
        <v>#N/A Requesting Data...</v>
      </c>
      <c r="L300">
        <v>200000</v>
      </c>
      <c r="M300" t="str">
        <f>_xll.BDP("07219PEQ Muni","YIELD_ON_ISSUE_DATE")</f>
        <v>#N/A Requesting Data...</v>
      </c>
      <c r="N300" t="str">
        <f>_xll.BDP("07219PEQ Muni","YTW_SPREAD_TO_MATURITY_AT_ISSU")</f>
        <v>#N/A Requesting Data...</v>
      </c>
      <c r="O300" t="str">
        <f>_xll.BDP("07219PEQ Muni","BVAL_MID_YTM")</f>
        <v>#N/A Requesting Data...</v>
      </c>
      <c r="P300" t="str">
        <f>_xll.BDP("07219PEQ Muni","MUNI_TAX_PROV")</f>
        <v>#N/A Requesting Data...</v>
      </c>
      <c r="Q300" t="str">
        <f>_xll.BDP("07219PEQ Muni","MUNI_FED_TAX")</f>
        <v>#N/A Requesting Data...</v>
      </c>
      <c r="R300" t="str">
        <f>_xll.BDP("07219PEQ Muni","MUNI_MSRB_VOLUME")</f>
        <v>#N/A Requesting Data...</v>
      </c>
      <c r="S300" t="str">
        <f>_xll.BDP("07219PEQ Muni","BB_COMPOSITE")</f>
        <v>#N/A Requesting Data...</v>
      </c>
      <c r="T300" t="str">
        <f>_xll.BDP("07219PEQ Muni","LQA_LIQUIDITY_SCORE")</f>
        <v>#N/A Requesting Data...</v>
      </c>
    </row>
    <row r="301" spans="1:20" x14ac:dyDescent="0.25">
      <c r="A301" t="str">
        <f>_xll.BDP("07219PER Muni","ID_CUSIP")</f>
        <v>#N/A Requesting Data...</v>
      </c>
      <c r="B301" t="s">
        <v>162</v>
      </c>
      <c r="C301" t="str">
        <f>_xll.BDP("07219PER Muni","INSURANCE_STATUS")</f>
        <v>#N/A Requesting Data...</v>
      </c>
      <c r="D301" t="str">
        <f>_xll.BDP("07219PER Muni","STATE_CODE")</f>
        <v>#N/A Requesting Data...</v>
      </c>
      <c r="E301" t="str">
        <f>_xll.BDP("07219PER Muni","COUNTY_LOCATION_ISSUER")</f>
        <v>#N/A Requesting Data...</v>
      </c>
      <c r="F301" t="str">
        <f>_xll.BDP("07219PER Muni","DUR_ADJ_MID")</f>
        <v>#N/A Requesting Data...</v>
      </c>
      <c r="G301" t="str">
        <f>_xll.BDP("07219PER Muni","SPREAD_AT_ISSUANCE_TO_WORST")</f>
        <v>#N/A Requesting Data...</v>
      </c>
      <c r="H301" t="str">
        <f>_xll.BDP("07219PER Muni","ISSUE_DT")</f>
        <v>#N/A Requesting Data...</v>
      </c>
      <c r="I301" t="str">
        <f>_xll.BDS("07219PER Muni","MUNI_PURPOSE_SCHED", "aggregate=y")</f>
        <v>#N/A Review</v>
      </c>
      <c r="J301" t="str">
        <f>_xll.BDP("07219PER Muni","CPN")</f>
        <v>#N/A Requesting Data...</v>
      </c>
      <c r="K301" t="str">
        <f>_xll.BDP("07219PER Muni","MATURITY")</f>
        <v>#N/A Requesting Data...</v>
      </c>
      <c r="L301">
        <v>200000</v>
      </c>
      <c r="M301" t="str">
        <f>_xll.BDP("07219PER Muni","YIELD_ON_ISSUE_DATE")</f>
        <v>#N/A Requesting Data...</v>
      </c>
      <c r="N301" t="str">
        <f>_xll.BDP("07219PER Muni","YTW_SPREAD_TO_MATURITY_AT_ISSU")</f>
        <v>#N/A Requesting Data...</v>
      </c>
      <c r="O301" t="str">
        <f>_xll.BDP("07219PER Muni","BVAL_MID_YTM")</f>
        <v>#N/A Requesting Data...</v>
      </c>
      <c r="P301" t="str">
        <f>_xll.BDP("07219PER Muni","MUNI_TAX_PROV")</f>
        <v>#N/A Requesting Data...</v>
      </c>
      <c r="Q301" t="str">
        <f>_xll.BDP("07219PER Muni","MUNI_FED_TAX")</f>
        <v>#N/A Requesting Data...</v>
      </c>
      <c r="R301" t="str">
        <f>_xll.BDP("07219PER Muni","MUNI_MSRB_VOLUME")</f>
        <v>#N/A Requesting Data...</v>
      </c>
      <c r="S301" t="str">
        <f>_xll.BDP("07219PER Muni","BB_COMPOSITE")</f>
        <v>#N/A Requesting Data...</v>
      </c>
      <c r="T301" t="str">
        <f>_xll.BDP("07219PER Muni","LQA_LIQUIDITY_SCORE")</f>
        <v>#N/A Requesting Data...</v>
      </c>
    </row>
    <row r="302" spans="1:20" x14ac:dyDescent="0.25">
      <c r="A302" t="str">
        <f>_xll.BDP("073186LQ Muni","ID_CUSIP")</f>
        <v>#N/A Requesting Data...</v>
      </c>
      <c r="B302" t="s">
        <v>126</v>
      </c>
      <c r="C302" t="str">
        <f>_xll.BDP("073186LQ Muni","INSURANCE_STATUS")</f>
        <v>#N/A Requesting Data...</v>
      </c>
      <c r="D302" t="str">
        <f>_xll.BDP("073186LQ Muni","STATE_CODE")</f>
        <v>#N/A Requesting Data...</v>
      </c>
      <c r="E302" t="str">
        <f>_xll.BDP("073186LQ Muni","COUNTY_LOCATION_ISSUER")</f>
        <v>#N/A Requesting Data...</v>
      </c>
      <c r="F302" t="str">
        <f>_xll.BDP("073186LQ Muni","DUR_ADJ_MID")</f>
        <v>#N/A Requesting Data...</v>
      </c>
      <c r="G302" t="str">
        <f>_xll.BDP("073186LQ Muni","SPREAD_AT_ISSUANCE_TO_WORST")</f>
        <v>#N/A Requesting Data...</v>
      </c>
      <c r="H302" t="str">
        <f>_xll.BDP("073186LQ Muni","ISSUE_DT")</f>
        <v>#N/A Requesting Data...</v>
      </c>
      <c r="I302" t="str">
        <f>_xll.BDS("073186LQ Muni","MUNI_PURPOSE_SCHED", "aggregate=y")</f>
        <v>#N/A Review</v>
      </c>
      <c r="J302" t="str">
        <f>_xll.BDP("073186LQ Muni","CPN")</f>
        <v>#N/A Requesting Data...</v>
      </c>
      <c r="K302" t="str">
        <f>_xll.BDP("073186LQ Muni","MATURITY")</f>
        <v>#N/A Requesting Data...</v>
      </c>
      <c r="L302">
        <v>795000</v>
      </c>
      <c r="M302" t="str">
        <f>_xll.BDP("073186LQ Muni","YIELD_ON_ISSUE_DATE")</f>
        <v>#N/A Requesting Data...</v>
      </c>
      <c r="N302" t="str">
        <f>_xll.BDP("073186LQ Muni","YTW_SPREAD_TO_MATURITY_AT_ISSU")</f>
        <v>#N/A Requesting Data...</v>
      </c>
      <c r="O302" t="str">
        <f>_xll.BDP("073186LQ Muni","BVAL_MID_YTM")</f>
        <v>#N/A Requesting Data...</v>
      </c>
      <c r="P302" t="str">
        <f>_xll.BDP("073186LQ Muni","MUNI_TAX_PROV")</f>
        <v>#N/A Requesting Data...</v>
      </c>
      <c r="Q302" t="str">
        <f>_xll.BDP("073186LQ Muni","MUNI_FED_TAX")</f>
        <v>#N/A Requesting Data...</v>
      </c>
      <c r="R302" t="str">
        <f>_xll.BDP("073186LQ Muni","MUNI_MSRB_VOLUME")</f>
        <v>#N/A Requesting Data...</v>
      </c>
      <c r="S302" t="str">
        <f>_xll.BDP("073186LQ Muni","BB_COMPOSITE")</f>
        <v>#N/A Requesting Data...</v>
      </c>
      <c r="T302" t="str">
        <f>_xll.BDP("073186LQ Muni","LQA_LIQUIDITY_SCORE")</f>
        <v>#N/A Requesting Data...</v>
      </c>
    </row>
    <row r="303" spans="1:20" x14ac:dyDescent="0.25">
      <c r="A303" t="str">
        <f>_xll.BDP("073186LS Muni","ID_CUSIP")</f>
        <v>#N/A Requesting Data...</v>
      </c>
      <c r="B303" t="s">
        <v>126</v>
      </c>
      <c r="C303" t="str">
        <f>_xll.BDP("073186LS Muni","INSURANCE_STATUS")</f>
        <v>#N/A Requesting Data...</v>
      </c>
      <c r="D303" t="str">
        <f>_xll.BDP("073186LS Muni","STATE_CODE")</f>
        <v>#N/A Requesting Data...</v>
      </c>
      <c r="E303" t="str">
        <f>_xll.BDP("073186LS Muni","COUNTY_LOCATION_ISSUER")</f>
        <v>#N/A Requesting Data...</v>
      </c>
      <c r="F303" t="str">
        <f>_xll.BDP("073186LS Muni","DUR_ADJ_MID")</f>
        <v>#N/A Requesting Data...</v>
      </c>
      <c r="G303" t="str">
        <f>_xll.BDP("073186LS Muni","SPREAD_AT_ISSUANCE_TO_WORST")</f>
        <v>#N/A Requesting Data...</v>
      </c>
      <c r="H303" t="str">
        <f>_xll.BDP("073186LS Muni","ISSUE_DT")</f>
        <v>#N/A Requesting Data...</v>
      </c>
      <c r="I303" t="str">
        <f>_xll.BDS("073186LS Muni","MUNI_PURPOSE_SCHED", "aggregate=y")</f>
        <v>#N/A Review</v>
      </c>
      <c r="J303" t="str">
        <f>_xll.BDP("073186LS Muni","CPN")</f>
        <v>#N/A Requesting Data...</v>
      </c>
      <c r="K303" t="str">
        <f>_xll.BDP("073186LS Muni","MATURITY")</f>
        <v>#N/A Requesting Data...</v>
      </c>
      <c r="L303">
        <v>1075000</v>
      </c>
      <c r="M303" t="str">
        <f>_xll.BDP("073186LS Muni","YIELD_ON_ISSUE_DATE")</f>
        <v>#N/A Requesting Data...</v>
      </c>
      <c r="N303" t="str">
        <f>_xll.BDP("073186LS Muni","YTW_SPREAD_TO_MATURITY_AT_ISSU")</f>
        <v>#N/A Requesting Data...</v>
      </c>
      <c r="O303" t="str">
        <f>_xll.BDP("073186LS Muni","BVAL_MID_YTM")</f>
        <v>#N/A Requesting Data...</v>
      </c>
      <c r="P303" t="str">
        <f>_xll.BDP("073186LS Muni","MUNI_TAX_PROV")</f>
        <v>#N/A Requesting Data...</v>
      </c>
      <c r="Q303" t="str">
        <f>_xll.BDP("073186LS Muni","MUNI_FED_TAX")</f>
        <v>#N/A Requesting Data...</v>
      </c>
      <c r="R303" t="str">
        <f>_xll.BDP("073186LS Muni","MUNI_MSRB_VOLUME")</f>
        <v>#N/A Requesting Data...</v>
      </c>
      <c r="S303" t="str">
        <f>_xll.BDP("073186LS Muni","BB_COMPOSITE")</f>
        <v>#N/A Requesting Data...</v>
      </c>
      <c r="T303" t="str">
        <f>_xll.BDP("073186LS Muni","LQA_LIQUIDITY_SCORE")</f>
        <v>#N/A Requesting Data...</v>
      </c>
    </row>
    <row r="304" spans="1:20" x14ac:dyDescent="0.25">
      <c r="A304" t="str">
        <f>_xll.BDP("073186LT Muni","ID_CUSIP")</f>
        <v>#N/A Requesting Data...</v>
      </c>
      <c r="B304" t="s">
        <v>126</v>
      </c>
      <c r="C304" t="str">
        <f>_xll.BDP("073186LT Muni","INSURANCE_STATUS")</f>
        <v>#N/A Requesting Data...</v>
      </c>
      <c r="D304" t="str">
        <f>_xll.BDP("073186LT Muni","STATE_CODE")</f>
        <v>#N/A Requesting Data...</v>
      </c>
      <c r="E304" t="str">
        <f>_xll.BDP("073186LT Muni","COUNTY_LOCATION_ISSUER")</f>
        <v>#N/A Requesting Data...</v>
      </c>
      <c r="F304" t="str">
        <f>_xll.BDP("073186LT Muni","DUR_ADJ_MID")</f>
        <v>#N/A Requesting Data...</v>
      </c>
      <c r="G304" t="str">
        <f>_xll.BDP("073186LT Muni","SPREAD_AT_ISSUANCE_TO_WORST")</f>
        <v>#N/A Requesting Data...</v>
      </c>
      <c r="H304" t="str">
        <f>_xll.BDP("073186LT Muni","ISSUE_DT")</f>
        <v>#N/A Requesting Data...</v>
      </c>
      <c r="I304" t="str">
        <f>_xll.BDS("073186LT Muni","MUNI_PURPOSE_SCHED", "aggregate=y")</f>
        <v>#N/A Review</v>
      </c>
      <c r="J304" t="str">
        <f>_xll.BDP("073186LT Muni","CPN")</f>
        <v>#N/A Requesting Data...</v>
      </c>
      <c r="K304" t="str">
        <f>_xll.BDP("073186LT Muni","MATURITY")</f>
        <v>#N/A Requesting Data...</v>
      </c>
      <c r="L304">
        <v>1130000</v>
      </c>
      <c r="M304" t="str">
        <f>_xll.BDP("073186LT Muni","YIELD_ON_ISSUE_DATE")</f>
        <v>#N/A Requesting Data...</v>
      </c>
      <c r="N304" t="str">
        <f>_xll.BDP("073186LT Muni","YTW_SPREAD_TO_MATURITY_AT_ISSU")</f>
        <v>#N/A Requesting Data...</v>
      </c>
      <c r="O304" t="str">
        <f>_xll.BDP("073186LT Muni","BVAL_MID_YTM")</f>
        <v>#N/A Requesting Data...</v>
      </c>
      <c r="P304" t="str">
        <f>_xll.BDP("073186LT Muni","MUNI_TAX_PROV")</f>
        <v>#N/A Requesting Data...</v>
      </c>
      <c r="Q304" t="str">
        <f>_xll.BDP("073186LT Muni","MUNI_FED_TAX")</f>
        <v>#N/A Requesting Data...</v>
      </c>
      <c r="R304" t="str">
        <f>_xll.BDP("073186LT Muni","MUNI_MSRB_VOLUME")</f>
        <v>#N/A Requesting Data...</v>
      </c>
      <c r="S304" t="str">
        <f>_xll.BDP("073186LT Muni","BB_COMPOSITE")</f>
        <v>#N/A Requesting Data...</v>
      </c>
      <c r="T304" t="str">
        <f>_xll.BDP("073186LT Muni","LQA_LIQUIDITY_SCORE")</f>
        <v>#N/A Requesting Data...</v>
      </c>
    </row>
    <row r="305" spans="1:20" x14ac:dyDescent="0.25">
      <c r="A305" t="str">
        <f>_xll.BDP("123889GK Muni","ID_CUSIP")</f>
        <v>#N/A Requesting Data...</v>
      </c>
      <c r="B305" t="s">
        <v>163</v>
      </c>
      <c r="C305" t="str">
        <f>_xll.BDP("123889GK Muni","INSURANCE_STATUS")</f>
        <v>#N/A Requesting Data...</v>
      </c>
      <c r="D305" t="str">
        <f>_xll.BDP("123889GK Muni","STATE_CODE")</f>
        <v>#N/A Requesting Data...</v>
      </c>
      <c r="E305" t="str">
        <f>_xll.BDP("123889GK Muni","COUNTY_LOCATION_ISSUER")</f>
        <v>#N/A Requesting Data...</v>
      </c>
      <c r="F305" t="str">
        <f>_xll.BDP("123889GK Muni","DUR_ADJ_MID")</f>
        <v>#N/A Requesting Data...</v>
      </c>
      <c r="G305" t="str">
        <f>_xll.BDP("123889GK Muni","SPREAD_AT_ISSUANCE_TO_WORST")</f>
        <v>#N/A Requesting Data...</v>
      </c>
      <c r="H305" t="str">
        <f>_xll.BDP("123889GK Muni","ISSUE_DT")</f>
        <v>#N/A Requesting Data...</v>
      </c>
      <c r="I305" t="str">
        <f>_xll.BDS("123889GK Muni","MUNI_PURPOSE_SCHED", "aggregate=y")</f>
        <v>#N/A Review</v>
      </c>
      <c r="J305" t="str">
        <f>_xll.BDP("123889GK Muni","CPN")</f>
        <v>#N/A Requesting Data...</v>
      </c>
      <c r="K305" t="str">
        <f>_xll.BDP("123889GK Muni","MATURITY")</f>
        <v>#N/A Requesting Data...</v>
      </c>
      <c r="L305">
        <v>45000</v>
      </c>
      <c r="M305" t="str">
        <f>_xll.BDP("123889GK Muni","YIELD_ON_ISSUE_DATE")</f>
        <v>#N/A Requesting Data...</v>
      </c>
      <c r="N305" t="str">
        <f>_xll.BDP("123889GK Muni","YTW_SPREAD_TO_MATURITY_AT_ISSU")</f>
        <v>#N/A Requesting Data...</v>
      </c>
      <c r="O305" t="str">
        <f>_xll.BDP("123889GK Muni","BVAL_MID_YTM")</f>
        <v>#N/A Requesting Data...</v>
      </c>
      <c r="P305" t="str">
        <f>_xll.BDP("123889GK Muni","MUNI_TAX_PROV")</f>
        <v>#N/A Requesting Data...</v>
      </c>
      <c r="Q305" t="str">
        <f>_xll.BDP("123889GK Muni","MUNI_FED_TAX")</f>
        <v>#N/A Requesting Data...</v>
      </c>
      <c r="R305" t="str">
        <f>_xll.BDP("123889GK Muni","MUNI_MSRB_VOLUME")</f>
        <v>#N/A Requesting Data...</v>
      </c>
      <c r="S305" t="str">
        <f>_xll.BDP("123889GK Muni","BB_COMPOSITE")</f>
        <v>#N/A Requesting Data...</v>
      </c>
      <c r="T305" t="str">
        <f>_xll.BDP("123889GK Muni","LQA_LIQUIDITY_SCORE")</f>
        <v>#N/A Requesting Data...</v>
      </c>
    </row>
    <row r="306" spans="1:20" x14ac:dyDescent="0.25">
      <c r="A306" t="str">
        <f>_xll.BDP("117622JJ Muni","ID_CUSIP")</f>
        <v>#N/A Requesting Data...</v>
      </c>
      <c r="B306" t="s">
        <v>164</v>
      </c>
      <c r="C306" t="str">
        <f>_xll.BDP("117622JJ Muni","INSURANCE_STATUS")</f>
        <v>#N/A Requesting Data...</v>
      </c>
      <c r="D306" t="str">
        <f>_xll.BDP("117622JJ Muni","STATE_CODE")</f>
        <v>#N/A Requesting Data...</v>
      </c>
      <c r="E306" t="str">
        <f>_xll.BDP("117622JJ Muni","COUNTY_LOCATION_ISSUER")</f>
        <v>#N/A Requesting Data...</v>
      </c>
      <c r="F306" t="str">
        <f>_xll.BDP("117622JJ Muni","DUR_ADJ_MID")</f>
        <v>#N/A Requesting Data...</v>
      </c>
      <c r="G306" t="str">
        <f>_xll.BDP("117622JJ Muni","SPREAD_AT_ISSUANCE_TO_WORST")</f>
        <v>#N/A Requesting Data...</v>
      </c>
      <c r="H306" t="str">
        <f>_xll.BDP("117622JJ Muni","ISSUE_DT")</f>
        <v>#N/A Requesting Data...</v>
      </c>
      <c r="I306" t="str">
        <f>_xll.BDS("117622JJ Muni","MUNI_PURPOSE_SCHED", "aggregate=y")</f>
        <v>#N/A Review</v>
      </c>
      <c r="J306" t="str">
        <f>_xll.BDP("117622JJ Muni","CPN")</f>
        <v>#N/A Requesting Data...</v>
      </c>
      <c r="K306" t="str">
        <f>_xll.BDP("117622JJ Muni","MATURITY")</f>
        <v>#N/A Requesting Data...</v>
      </c>
      <c r="L306">
        <v>195000</v>
      </c>
      <c r="M306" t="str">
        <f>_xll.BDP("117622JJ Muni","YIELD_ON_ISSUE_DATE")</f>
        <v>#N/A Requesting Data...</v>
      </c>
      <c r="N306" t="str">
        <f>_xll.BDP("117622JJ Muni","YTW_SPREAD_TO_MATURITY_AT_ISSU")</f>
        <v>#N/A Requesting Data...</v>
      </c>
      <c r="O306" t="str">
        <f>_xll.BDP("117622JJ Muni","BVAL_MID_YTM")</f>
        <v>#N/A Requesting Data...</v>
      </c>
      <c r="P306" t="str">
        <f>_xll.BDP("117622JJ Muni","MUNI_TAX_PROV")</f>
        <v>#N/A Requesting Data...</v>
      </c>
      <c r="Q306" t="str">
        <f>_xll.BDP("117622JJ Muni","MUNI_FED_TAX")</f>
        <v>#N/A Requesting Data...</v>
      </c>
      <c r="R306" t="str">
        <f>_xll.BDP("117622JJ Muni","MUNI_MSRB_VOLUME")</f>
        <v>#N/A Requesting Data...</v>
      </c>
      <c r="S306" t="str">
        <f>_xll.BDP("117622JJ Muni","BB_COMPOSITE")</f>
        <v>#N/A Requesting Data...</v>
      </c>
      <c r="T306" t="str">
        <f>_xll.BDP("117622JJ Muni","LQA_LIQUIDITY_SCORE")</f>
        <v>#N/A Requesting Data...</v>
      </c>
    </row>
    <row r="307" spans="1:20" x14ac:dyDescent="0.25">
      <c r="A307" t="str">
        <f>_xll.BDP("117622JK Muni","ID_CUSIP")</f>
        <v>#N/A Requesting Data...</v>
      </c>
      <c r="B307" t="s">
        <v>164</v>
      </c>
      <c r="C307" t="str">
        <f>_xll.BDP("117622JK Muni","INSURANCE_STATUS")</f>
        <v>#N/A Requesting Data...</v>
      </c>
      <c r="D307" t="str">
        <f>_xll.BDP("117622JK Muni","STATE_CODE")</f>
        <v>#N/A Requesting Data...</v>
      </c>
      <c r="E307" t="str">
        <f>_xll.BDP("117622JK Muni","COUNTY_LOCATION_ISSUER")</f>
        <v>#N/A Requesting Data...</v>
      </c>
      <c r="F307" t="str">
        <f>_xll.BDP("117622JK Muni","DUR_ADJ_MID")</f>
        <v>#N/A Requesting Data...</v>
      </c>
      <c r="G307" t="str">
        <f>_xll.BDP("117622JK Muni","SPREAD_AT_ISSUANCE_TO_WORST")</f>
        <v>#N/A Requesting Data...</v>
      </c>
      <c r="H307" t="str">
        <f>_xll.BDP("117622JK Muni","ISSUE_DT")</f>
        <v>#N/A Requesting Data...</v>
      </c>
      <c r="I307" t="str">
        <f>_xll.BDS("117622JK Muni","MUNI_PURPOSE_SCHED", "aggregate=y")</f>
        <v>#N/A Review</v>
      </c>
      <c r="J307" t="str">
        <f>_xll.BDP("117622JK Muni","CPN")</f>
        <v>#N/A Requesting Data...</v>
      </c>
      <c r="K307" t="str">
        <f>_xll.BDP("117622JK Muni","MATURITY")</f>
        <v>#N/A Requesting Data...</v>
      </c>
      <c r="L307">
        <v>205000</v>
      </c>
      <c r="M307" t="str">
        <f>_xll.BDP("117622JK Muni","YIELD_ON_ISSUE_DATE")</f>
        <v>#N/A Requesting Data...</v>
      </c>
      <c r="N307" t="str">
        <f>_xll.BDP("117622JK Muni","YTW_SPREAD_TO_MATURITY_AT_ISSU")</f>
        <v>#N/A Requesting Data...</v>
      </c>
      <c r="O307" t="str">
        <f>_xll.BDP("117622JK Muni","BVAL_MID_YTM")</f>
        <v>#N/A Requesting Data...</v>
      </c>
      <c r="P307" t="str">
        <f>_xll.BDP("117622JK Muni","MUNI_TAX_PROV")</f>
        <v>#N/A Requesting Data...</v>
      </c>
      <c r="Q307" t="str">
        <f>_xll.BDP("117622JK Muni","MUNI_FED_TAX")</f>
        <v>#N/A Requesting Data...</v>
      </c>
      <c r="R307" t="str">
        <f>_xll.BDP("117622JK Muni","MUNI_MSRB_VOLUME")</f>
        <v>#N/A Requesting Data...</v>
      </c>
      <c r="S307" t="str">
        <f>_xll.BDP("117622JK Muni","BB_COMPOSITE")</f>
        <v>#N/A Requesting Data...</v>
      </c>
      <c r="T307" t="str">
        <f>_xll.BDP("117622JK Muni","LQA_LIQUIDITY_SCORE")</f>
        <v>#N/A Requesting Data...</v>
      </c>
    </row>
    <row r="308" spans="1:20" x14ac:dyDescent="0.25">
      <c r="A308" t="str">
        <f>_xll.BDP("117622JL Muni","ID_CUSIP")</f>
        <v>#N/A Requesting Data...</v>
      </c>
      <c r="B308" t="s">
        <v>164</v>
      </c>
      <c r="C308" t="str">
        <f>_xll.BDP("117622JL Muni","INSURANCE_STATUS")</f>
        <v>#N/A Requesting Data...</v>
      </c>
      <c r="D308" t="str">
        <f>_xll.BDP("117622JL Muni","STATE_CODE")</f>
        <v>#N/A Requesting Data...</v>
      </c>
      <c r="E308" t="str">
        <f>_xll.BDP("117622JL Muni","COUNTY_LOCATION_ISSUER")</f>
        <v>#N/A Requesting Data...</v>
      </c>
      <c r="F308" t="str">
        <f>_xll.BDP("117622JL Muni","DUR_ADJ_MID")</f>
        <v>#N/A Requesting Data...</v>
      </c>
      <c r="G308" t="str">
        <f>_xll.BDP("117622JL Muni","SPREAD_AT_ISSUANCE_TO_WORST")</f>
        <v>#N/A Requesting Data...</v>
      </c>
      <c r="H308" t="str">
        <f>_xll.BDP("117622JL Muni","ISSUE_DT")</f>
        <v>#N/A Requesting Data...</v>
      </c>
      <c r="I308" t="str">
        <f>_xll.BDS("117622JL Muni","MUNI_PURPOSE_SCHED", "aggregate=y")</f>
        <v>#N/A Review</v>
      </c>
      <c r="J308" t="str">
        <f>_xll.BDP("117622JL Muni","CPN")</f>
        <v>#N/A Requesting Data...</v>
      </c>
      <c r="K308" t="str">
        <f>_xll.BDP("117622JL Muni","MATURITY")</f>
        <v>#N/A Requesting Data...</v>
      </c>
      <c r="L308">
        <v>215000</v>
      </c>
      <c r="M308" t="str">
        <f>_xll.BDP("117622JL Muni","YIELD_ON_ISSUE_DATE")</f>
        <v>#N/A Requesting Data...</v>
      </c>
      <c r="N308" t="str">
        <f>_xll.BDP("117622JL Muni","YTW_SPREAD_TO_MATURITY_AT_ISSU")</f>
        <v>#N/A Requesting Data...</v>
      </c>
      <c r="O308" t="str">
        <f>_xll.BDP("117622JL Muni","BVAL_MID_YTM")</f>
        <v>#N/A Requesting Data...</v>
      </c>
      <c r="P308" t="str">
        <f>_xll.BDP("117622JL Muni","MUNI_TAX_PROV")</f>
        <v>#N/A Requesting Data...</v>
      </c>
      <c r="Q308" t="str">
        <f>_xll.BDP("117622JL Muni","MUNI_FED_TAX")</f>
        <v>#N/A Requesting Data...</v>
      </c>
      <c r="R308" t="str">
        <f>_xll.BDP("117622JL Muni","MUNI_MSRB_VOLUME")</f>
        <v>#N/A Requesting Data...</v>
      </c>
      <c r="S308" t="str">
        <f>_xll.BDP("117622JL Muni","BB_COMPOSITE")</f>
        <v>#N/A Requesting Data...</v>
      </c>
      <c r="T308" t="str">
        <f>_xll.BDP("117622JL Muni","LQA_LIQUIDITY_SCORE")</f>
        <v>#N/A Requesting Data...</v>
      </c>
    </row>
    <row r="309" spans="1:20" x14ac:dyDescent="0.25">
      <c r="A309" t="str">
        <f>_xll.BDP("117622JM Muni","ID_CUSIP")</f>
        <v>#N/A Requesting Data...</v>
      </c>
      <c r="B309" t="s">
        <v>164</v>
      </c>
      <c r="C309" t="str">
        <f>_xll.BDP("117622JM Muni","INSURANCE_STATUS")</f>
        <v>#N/A Requesting Data...</v>
      </c>
      <c r="D309" t="str">
        <f>_xll.BDP("117622JM Muni","STATE_CODE")</f>
        <v>#N/A Requesting Data...</v>
      </c>
      <c r="E309" t="str">
        <f>_xll.BDP("117622JM Muni","COUNTY_LOCATION_ISSUER")</f>
        <v>#N/A Requesting Data...</v>
      </c>
      <c r="F309" t="str">
        <f>_xll.BDP("117622JM Muni","DUR_ADJ_MID")</f>
        <v>#N/A Requesting Data...</v>
      </c>
      <c r="G309" t="str">
        <f>_xll.BDP("117622JM Muni","SPREAD_AT_ISSUANCE_TO_WORST")</f>
        <v>#N/A Requesting Data...</v>
      </c>
      <c r="H309" t="str">
        <f>_xll.BDP("117622JM Muni","ISSUE_DT")</f>
        <v>#N/A Requesting Data...</v>
      </c>
      <c r="I309" t="str">
        <f>_xll.BDS("117622JM Muni","MUNI_PURPOSE_SCHED", "aggregate=y")</f>
        <v>#N/A Review</v>
      </c>
      <c r="J309" t="str">
        <f>_xll.BDP("117622JM Muni","CPN")</f>
        <v>#N/A Requesting Data...</v>
      </c>
      <c r="K309" t="str">
        <f>_xll.BDP("117622JM Muni","MATURITY")</f>
        <v>#N/A Requesting Data...</v>
      </c>
      <c r="L309">
        <v>225000</v>
      </c>
      <c r="M309" t="str">
        <f>_xll.BDP("117622JM Muni","YIELD_ON_ISSUE_DATE")</f>
        <v>#N/A Requesting Data...</v>
      </c>
      <c r="N309" t="str">
        <f>_xll.BDP("117622JM Muni","YTW_SPREAD_TO_MATURITY_AT_ISSU")</f>
        <v>#N/A Requesting Data...</v>
      </c>
      <c r="O309" t="str">
        <f>_xll.BDP("117622JM Muni","BVAL_MID_YTM")</f>
        <v>#N/A Requesting Data...</v>
      </c>
      <c r="P309" t="str">
        <f>_xll.BDP("117622JM Muni","MUNI_TAX_PROV")</f>
        <v>#N/A Requesting Data...</v>
      </c>
      <c r="Q309" t="str">
        <f>_xll.BDP("117622JM Muni","MUNI_FED_TAX")</f>
        <v>#N/A Requesting Data...</v>
      </c>
      <c r="R309" t="str">
        <f>_xll.BDP("117622JM Muni","MUNI_MSRB_VOLUME")</f>
        <v>#N/A Requesting Data...</v>
      </c>
      <c r="S309" t="str">
        <f>_xll.BDP("117622JM Muni","BB_COMPOSITE")</f>
        <v>#N/A Requesting Data...</v>
      </c>
      <c r="T309" t="str">
        <f>_xll.BDP("117622JM Muni","LQA_LIQUIDITY_SCORE")</f>
        <v>#N/A Requesting Data...</v>
      </c>
    </row>
    <row r="310" spans="1:20" x14ac:dyDescent="0.25">
      <c r="A310" t="str">
        <f>_xll.BDP("022029KT Muni","ID_CUSIP")</f>
        <v>#N/A Requesting Data...</v>
      </c>
      <c r="B310" t="s">
        <v>165</v>
      </c>
      <c r="C310" t="str">
        <f>_xll.BDP("022029KT Muni","INSURANCE_STATUS")</f>
        <v>#N/A Requesting Data...</v>
      </c>
      <c r="D310" t="str">
        <f>_xll.BDP("022029KT Muni","STATE_CODE")</f>
        <v>#N/A Requesting Data...</v>
      </c>
      <c r="E310" t="str">
        <f>_xll.BDP("022029KT Muni","COUNTY_LOCATION_ISSUER")</f>
        <v>#N/A Requesting Data...</v>
      </c>
      <c r="F310" t="str">
        <f>_xll.BDP("022029KT Muni","DUR_ADJ_MID")</f>
        <v>#N/A Requesting Data...</v>
      </c>
      <c r="G310" t="str">
        <f>_xll.BDP("022029KT Muni","SPREAD_AT_ISSUANCE_TO_WORST")</f>
        <v>#N/A Requesting Data...</v>
      </c>
      <c r="H310" t="str">
        <f>_xll.BDP("022029KT Muni","ISSUE_DT")</f>
        <v>#N/A Requesting Data...</v>
      </c>
      <c r="I310" t="str">
        <f>_xll.BDS("022029KT Muni","MUNI_PURPOSE_SCHED", "aggregate=y")</f>
        <v>#N/A Review</v>
      </c>
      <c r="J310" t="str">
        <f>_xll.BDP("022029KT Muni","CPN")</f>
        <v>#N/A Requesting Data...</v>
      </c>
      <c r="K310" t="str">
        <f>_xll.BDP("022029KT Muni","MATURITY")</f>
        <v>#N/A Requesting Data...</v>
      </c>
      <c r="L310">
        <v>635000</v>
      </c>
      <c r="M310" t="str">
        <f>_xll.BDP("022029KT Muni","YIELD_ON_ISSUE_DATE")</f>
        <v>#N/A Requesting Data...</v>
      </c>
      <c r="N310" t="str">
        <f>_xll.BDP("022029KT Muni","YTW_SPREAD_TO_MATURITY_AT_ISSU")</f>
        <v>#N/A Requesting Data...</v>
      </c>
      <c r="O310" t="str">
        <f>_xll.BDP("022029KT Muni","BVAL_MID_YTM")</f>
        <v>#N/A Requesting Data...</v>
      </c>
      <c r="P310" t="str">
        <f>_xll.BDP("022029KT Muni","MUNI_TAX_PROV")</f>
        <v>#N/A Requesting Data...</v>
      </c>
      <c r="Q310" t="str">
        <f>_xll.BDP("022029KT Muni","MUNI_FED_TAX")</f>
        <v>#N/A Requesting Data...</v>
      </c>
      <c r="R310" t="str">
        <f>_xll.BDP("022029KT Muni","MUNI_MSRB_VOLUME")</f>
        <v>#N/A Requesting Data...</v>
      </c>
      <c r="S310" t="str">
        <f>_xll.BDP("022029KT Muni","BB_COMPOSITE")</f>
        <v>#N/A Requesting Data...</v>
      </c>
      <c r="T310" t="str">
        <f>_xll.BDP("022029KT Muni","LQA_LIQUIDITY_SCORE")</f>
        <v>#N/A Requesting Data...</v>
      </c>
    </row>
    <row r="311" spans="1:20" x14ac:dyDescent="0.25">
      <c r="A311" t="str">
        <f>_xll.BDP("033893FG Muni","ID_CUSIP")</f>
        <v>#N/A Requesting Data...</v>
      </c>
      <c r="B311" t="s">
        <v>166</v>
      </c>
      <c r="C311" t="str">
        <f>_xll.BDP("033893FG Muni","INSURANCE_STATUS")</f>
        <v>#N/A Requesting Data...</v>
      </c>
      <c r="D311" t="str">
        <f>_xll.BDP("033893FG Muni","STATE_CODE")</f>
        <v>#N/A Requesting Data...</v>
      </c>
      <c r="E311" t="str">
        <f>_xll.BDP("033893FG Muni","COUNTY_LOCATION_ISSUER")</f>
        <v>#N/A Requesting Data...</v>
      </c>
      <c r="F311" t="str">
        <f>_xll.BDP("033893FG Muni","DUR_ADJ_MID")</f>
        <v>#N/A Requesting Data...</v>
      </c>
      <c r="G311" t="str">
        <f>_xll.BDP("033893FG Muni","SPREAD_AT_ISSUANCE_TO_WORST")</f>
        <v>#N/A Requesting Data...</v>
      </c>
      <c r="H311" t="str">
        <f>_xll.BDP("033893FG Muni","ISSUE_DT")</f>
        <v>#N/A Requesting Data...</v>
      </c>
      <c r="I311" t="str">
        <f>_xll.BDS("033893FG Muni","MUNI_PURPOSE_SCHED", "aggregate=y")</f>
        <v>#N/A Review</v>
      </c>
      <c r="J311" t="str">
        <f>_xll.BDP("033893FG Muni","CPN")</f>
        <v>#N/A Requesting Data...</v>
      </c>
      <c r="K311" t="str">
        <f>_xll.BDP("033893FG Muni","MATURITY")</f>
        <v>#N/A Requesting Data...</v>
      </c>
      <c r="L311">
        <v>520000</v>
      </c>
      <c r="M311" t="str">
        <f>_xll.BDP("033893FG Muni","YIELD_ON_ISSUE_DATE")</f>
        <v>#N/A Requesting Data...</v>
      </c>
      <c r="N311" t="str">
        <f>_xll.BDP("033893FG Muni","YTW_SPREAD_TO_MATURITY_AT_ISSU")</f>
        <v>#N/A Requesting Data...</v>
      </c>
      <c r="O311" t="str">
        <f>_xll.BDP("033893FG Muni","BVAL_MID_YTM")</f>
        <v>#N/A Requesting Data...</v>
      </c>
      <c r="P311" t="str">
        <f>_xll.BDP("033893FG Muni","MUNI_TAX_PROV")</f>
        <v>#N/A Requesting Data...</v>
      </c>
      <c r="Q311" t="str">
        <f>_xll.BDP("033893FG Muni","MUNI_FED_TAX")</f>
        <v>#N/A Requesting Data...</v>
      </c>
      <c r="R311" t="str">
        <f>_xll.BDP("033893FG Muni","MUNI_MSRB_VOLUME")</f>
        <v>#N/A Requesting Data...</v>
      </c>
      <c r="S311" t="str">
        <f>_xll.BDP("033893FG Muni","BB_COMPOSITE")</f>
        <v>#N/A Requesting Data...</v>
      </c>
      <c r="T311" t="str">
        <f>_xll.BDP("033893FG Muni","LQA_LIQUIDITY_SCORE")</f>
        <v>#N/A Requesting Data...</v>
      </c>
    </row>
    <row r="312" spans="1:20" x14ac:dyDescent="0.25">
      <c r="A312" t="str">
        <f>_xll.BDP("033893FH Muni","ID_CUSIP")</f>
        <v>#N/A Requesting Data...</v>
      </c>
      <c r="B312" t="s">
        <v>166</v>
      </c>
      <c r="C312" t="str">
        <f>_xll.BDP("033893FH Muni","INSURANCE_STATUS")</f>
        <v>#N/A Requesting Data...</v>
      </c>
      <c r="D312" t="str">
        <f>_xll.BDP("033893FH Muni","STATE_CODE")</f>
        <v>#N/A Requesting Data...</v>
      </c>
      <c r="E312" t="str">
        <f>_xll.BDP("033893FH Muni","COUNTY_LOCATION_ISSUER")</f>
        <v>#N/A Requesting Data...</v>
      </c>
      <c r="F312" t="str">
        <f>_xll.BDP("033893FH Muni","DUR_ADJ_MID")</f>
        <v>#N/A Requesting Data...</v>
      </c>
      <c r="G312" t="str">
        <f>_xll.BDP("033893FH Muni","SPREAD_AT_ISSUANCE_TO_WORST")</f>
        <v>#N/A Requesting Data...</v>
      </c>
      <c r="H312" t="str">
        <f>_xll.BDP("033893FH Muni","ISSUE_DT")</f>
        <v>#N/A Requesting Data...</v>
      </c>
      <c r="I312" t="str">
        <f>_xll.BDS("033893FH Muni","MUNI_PURPOSE_SCHED", "aggregate=y")</f>
        <v>#N/A Review</v>
      </c>
      <c r="J312" t="str">
        <f>_xll.BDP("033893FH Muni","CPN")</f>
        <v>#N/A Requesting Data...</v>
      </c>
      <c r="K312" t="str">
        <f>_xll.BDP("033893FH Muni","MATURITY")</f>
        <v>#N/A Requesting Data...</v>
      </c>
      <c r="L312">
        <v>535000</v>
      </c>
      <c r="M312" t="str">
        <f>_xll.BDP("033893FH Muni","YIELD_ON_ISSUE_DATE")</f>
        <v>#N/A Requesting Data...</v>
      </c>
      <c r="N312" t="str">
        <f>_xll.BDP("033893FH Muni","YTW_SPREAD_TO_MATURITY_AT_ISSU")</f>
        <v>#N/A Requesting Data...</v>
      </c>
      <c r="O312" t="str">
        <f>_xll.BDP("033893FH Muni","BVAL_MID_YTM")</f>
        <v>#N/A Requesting Data...</v>
      </c>
      <c r="P312" t="str">
        <f>_xll.BDP("033893FH Muni","MUNI_TAX_PROV")</f>
        <v>#N/A Requesting Data...</v>
      </c>
      <c r="Q312" t="str">
        <f>_xll.BDP("033893FH Muni","MUNI_FED_TAX")</f>
        <v>#N/A Requesting Data...</v>
      </c>
      <c r="R312" t="str">
        <f>_xll.BDP("033893FH Muni","MUNI_MSRB_VOLUME")</f>
        <v>#N/A Requesting Data...</v>
      </c>
      <c r="S312" t="str">
        <f>_xll.BDP("033893FH Muni","BB_COMPOSITE")</f>
        <v>#N/A Requesting Data...</v>
      </c>
      <c r="T312" t="str">
        <f>_xll.BDP("033893FH Muni","LQA_LIQUIDITY_SCORE")</f>
        <v>#N/A Requesting Data...</v>
      </c>
    </row>
    <row r="313" spans="1:20" x14ac:dyDescent="0.25">
      <c r="A313" t="str">
        <f>_xll.BDP("034033DG Muni","ID_CUSIP")</f>
        <v>#N/A Requesting Data...</v>
      </c>
      <c r="B313" t="s">
        <v>46</v>
      </c>
      <c r="C313" t="str">
        <f>_xll.BDP("034033DG Muni","INSURANCE_STATUS")</f>
        <v>#N/A Requesting Data...</v>
      </c>
      <c r="D313" t="str">
        <f>_xll.BDP("034033DG Muni","STATE_CODE")</f>
        <v>#N/A Requesting Data...</v>
      </c>
      <c r="E313" t="str">
        <f>_xll.BDP("034033DG Muni","COUNTY_LOCATION_ISSUER")</f>
        <v>#N/A Requesting Data...</v>
      </c>
      <c r="F313" t="str">
        <f>_xll.BDP("034033DG Muni","DUR_ADJ_MID")</f>
        <v>#N/A Requesting Data...</v>
      </c>
      <c r="G313" t="str">
        <f>_xll.BDP("034033DG Muni","SPREAD_AT_ISSUANCE_TO_WORST")</f>
        <v>#N/A Requesting Data...</v>
      </c>
      <c r="H313" t="str">
        <f>_xll.BDP("034033DG Muni","ISSUE_DT")</f>
        <v>#N/A Requesting Data...</v>
      </c>
      <c r="I313" t="str">
        <f>_xll.BDS("034033DG Muni","MUNI_PURPOSE_SCHED", "aggregate=y")</f>
        <v>#N/A Review</v>
      </c>
      <c r="J313" t="str">
        <f>_xll.BDP("034033DG Muni","CPN")</f>
        <v>#N/A Requesting Data...</v>
      </c>
      <c r="K313" t="str">
        <f>_xll.BDP("034033DG Muni","MATURITY")</f>
        <v>#N/A Requesting Data...</v>
      </c>
      <c r="L313">
        <v>695000</v>
      </c>
      <c r="M313" t="str">
        <f>_xll.BDP("034033DG Muni","YIELD_ON_ISSUE_DATE")</f>
        <v>#N/A Requesting Data...</v>
      </c>
      <c r="N313" t="str">
        <f>_xll.BDP("034033DG Muni","YTW_SPREAD_TO_MATURITY_AT_ISSU")</f>
        <v>#N/A Requesting Data...</v>
      </c>
      <c r="O313" t="str">
        <f>_xll.BDP("034033DG Muni","BVAL_MID_YTM")</f>
        <v>#N/A Requesting Data...</v>
      </c>
      <c r="P313" t="str">
        <f>_xll.BDP("034033DG Muni","MUNI_TAX_PROV")</f>
        <v>#N/A Requesting Data...</v>
      </c>
      <c r="Q313" t="str">
        <f>_xll.BDP("034033DG Muni","MUNI_FED_TAX")</f>
        <v>#N/A Requesting Data...</v>
      </c>
      <c r="R313" t="str">
        <f>_xll.BDP("034033DG Muni","MUNI_MSRB_VOLUME")</f>
        <v>#N/A Requesting Data...</v>
      </c>
      <c r="S313" t="str">
        <f>_xll.BDP("034033DG Muni","BB_COMPOSITE")</f>
        <v>#N/A Requesting Data...</v>
      </c>
      <c r="T313" t="str">
        <f>_xll.BDP("034033DG Muni","LQA_LIQUIDITY_SCORE")</f>
        <v>#N/A Requesting Data...</v>
      </c>
    </row>
    <row r="314" spans="1:20" x14ac:dyDescent="0.25">
      <c r="A314" t="str">
        <f>_xll.BDP("2441093V Muni","ID_CUSIP")</f>
        <v>#N/A Requesting Data...</v>
      </c>
      <c r="B314" t="s">
        <v>167</v>
      </c>
      <c r="C314" t="str">
        <f>_xll.BDP("2441093V Muni","INSURANCE_STATUS")</f>
        <v>#N/A Requesting Data...</v>
      </c>
      <c r="D314" t="str">
        <f>_xll.BDP("2441093V Muni","STATE_CODE")</f>
        <v>#N/A Requesting Data...</v>
      </c>
      <c r="E314" t="str">
        <f>_xll.BDP("2441093V Muni","COUNTY_LOCATION_ISSUER")</f>
        <v>#N/A Requesting Data...</v>
      </c>
      <c r="F314" t="str">
        <f>_xll.BDP("2441093V Muni","DUR_ADJ_MID")</f>
        <v>#N/A Requesting Data...</v>
      </c>
      <c r="G314" t="str">
        <f>_xll.BDP("2441093V Muni","SPREAD_AT_ISSUANCE_TO_WORST")</f>
        <v>#N/A Requesting Data...</v>
      </c>
      <c r="H314" t="str">
        <f>_xll.BDP("2441093V Muni","ISSUE_DT")</f>
        <v>#N/A Requesting Data...</v>
      </c>
      <c r="I314" t="str">
        <f>_xll.BDS("2441093V Muni","MUNI_PURPOSE_SCHED", "aggregate=y")</f>
        <v>#N/A Review</v>
      </c>
      <c r="J314" t="str">
        <f>_xll.BDP("2441093V Muni","CPN")</f>
        <v>#N/A Requesting Data...</v>
      </c>
      <c r="K314" t="str">
        <f>_xll.BDP("2441093V Muni","MATURITY")</f>
        <v>#N/A Requesting Data...</v>
      </c>
      <c r="L314">
        <v>340000</v>
      </c>
      <c r="M314" t="str">
        <f>_xll.BDP("2441093V Muni","YIELD_ON_ISSUE_DATE")</f>
        <v>#N/A Requesting Data...</v>
      </c>
      <c r="N314" t="str">
        <f>_xll.BDP("2441093V Muni","YTW_SPREAD_TO_MATURITY_AT_ISSU")</f>
        <v>#N/A Requesting Data...</v>
      </c>
      <c r="O314" t="str">
        <f>_xll.BDP("2441093V Muni","BVAL_MID_YTM")</f>
        <v>#N/A Requesting Data...</v>
      </c>
      <c r="P314" t="str">
        <f>_xll.BDP("2441093V Muni","MUNI_TAX_PROV")</f>
        <v>#N/A Requesting Data...</v>
      </c>
      <c r="Q314" t="str">
        <f>_xll.BDP("2441093V Muni","MUNI_FED_TAX")</f>
        <v>#N/A Requesting Data...</v>
      </c>
      <c r="R314" t="str">
        <f>_xll.BDP("2441093V Muni","MUNI_MSRB_VOLUME")</f>
        <v>#N/A Requesting Data...</v>
      </c>
      <c r="S314" t="str">
        <f>_xll.BDP("2441093V Muni","BB_COMPOSITE")</f>
        <v>#N/A Requesting Data...</v>
      </c>
      <c r="T314" t="str">
        <f>_xll.BDP("2441093V Muni","LQA_LIQUIDITY_SCORE")</f>
        <v>#N/A Requesting Data...</v>
      </c>
    </row>
    <row r="315" spans="1:20" x14ac:dyDescent="0.25">
      <c r="A315" t="str">
        <f>_xll.BDP("2441093X Muni","ID_CUSIP")</f>
        <v>#N/A Requesting Data...</v>
      </c>
      <c r="B315" t="s">
        <v>167</v>
      </c>
      <c r="C315" t="str">
        <f>_xll.BDP("2441093X Muni","INSURANCE_STATUS")</f>
        <v>#N/A Requesting Data...</v>
      </c>
      <c r="D315" t="str">
        <f>_xll.BDP("2441093X Muni","STATE_CODE")</f>
        <v>#N/A Requesting Data...</v>
      </c>
      <c r="E315" t="str">
        <f>_xll.BDP("2441093X Muni","COUNTY_LOCATION_ISSUER")</f>
        <v>#N/A Requesting Data...</v>
      </c>
      <c r="F315" t="str">
        <f>_xll.BDP("2441093X Muni","DUR_ADJ_MID")</f>
        <v>#N/A Requesting Data...</v>
      </c>
      <c r="G315" t="str">
        <f>_xll.BDP("2441093X Muni","SPREAD_AT_ISSUANCE_TO_WORST")</f>
        <v>#N/A Requesting Data...</v>
      </c>
      <c r="H315" t="str">
        <f>_xll.BDP("2441093X Muni","ISSUE_DT")</f>
        <v>#N/A Requesting Data...</v>
      </c>
      <c r="I315" t="str">
        <f>_xll.BDS("2441093X Muni","MUNI_PURPOSE_SCHED", "aggregate=y")</f>
        <v>#N/A Review</v>
      </c>
      <c r="J315" t="str">
        <f>_xll.BDP("2441093X Muni","CPN")</f>
        <v>#N/A Requesting Data...</v>
      </c>
      <c r="K315" t="str">
        <f>_xll.BDP("2441093X Muni","MATURITY")</f>
        <v>#N/A Requesting Data...</v>
      </c>
      <c r="L315">
        <v>365000</v>
      </c>
      <c r="M315" t="str">
        <f>_xll.BDP("2441093X Muni","YIELD_ON_ISSUE_DATE")</f>
        <v>#N/A Requesting Data...</v>
      </c>
      <c r="N315" t="str">
        <f>_xll.BDP("2441093X Muni","YTW_SPREAD_TO_MATURITY_AT_ISSU")</f>
        <v>#N/A Requesting Data...</v>
      </c>
      <c r="O315" t="str">
        <f>_xll.BDP("2441093X Muni","BVAL_MID_YTM")</f>
        <v>#N/A Requesting Data...</v>
      </c>
      <c r="P315" t="str">
        <f>_xll.BDP("2441093X Muni","MUNI_TAX_PROV")</f>
        <v>#N/A Requesting Data...</v>
      </c>
      <c r="Q315" t="str">
        <f>_xll.BDP("2441093X Muni","MUNI_FED_TAX")</f>
        <v>#N/A Requesting Data...</v>
      </c>
      <c r="R315" t="str">
        <f>_xll.BDP("2441093X Muni","MUNI_MSRB_VOLUME")</f>
        <v>#N/A Requesting Data...</v>
      </c>
      <c r="S315" t="str">
        <f>_xll.BDP("2441093X Muni","BB_COMPOSITE")</f>
        <v>#N/A Requesting Data...</v>
      </c>
      <c r="T315" t="str">
        <f>_xll.BDP("2441093X Muni","LQA_LIQUIDITY_SCORE")</f>
        <v>#N/A Requesting Data...</v>
      </c>
    </row>
    <row r="316" spans="1:20" x14ac:dyDescent="0.25">
      <c r="A316" t="str">
        <f>_xll.BDP("246045MQ Muni","ID_CUSIP")</f>
        <v>#N/A Requesting Data...</v>
      </c>
      <c r="B316" t="s">
        <v>89</v>
      </c>
      <c r="C316" t="str">
        <f>_xll.BDP("246045MQ Muni","INSURANCE_STATUS")</f>
        <v>#N/A Requesting Data...</v>
      </c>
      <c r="D316" t="str">
        <f>_xll.BDP("246045MQ Muni","STATE_CODE")</f>
        <v>#N/A Requesting Data...</v>
      </c>
      <c r="E316" t="str">
        <f>_xll.BDP("246045MQ Muni","COUNTY_LOCATION_ISSUER")</f>
        <v>#N/A Requesting Data...</v>
      </c>
      <c r="F316" t="str">
        <f>_xll.BDP("246045MQ Muni","DUR_ADJ_MID")</f>
        <v>#N/A Requesting Data...</v>
      </c>
      <c r="G316" t="str">
        <f>_xll.BDP("246045MQ Muni","SPREAD_AT_ISSUANCE_TO_WORST")</f>
        <v>#N/A Requesting Data...</v>
      </c>
      <c r="H316" t="str">
        <f>_xll.BDP("246045MQ Muni","ISSUE_DT")</f>
        <v>#N/A Requesting Data...</v>
      </c>
      <c r="I316" t="str">
        <f>_xll.BDS("246045MQ Muni","MUNI_PURPOSE_SCHED", "aggregate=y")</f>
        <v>#N/A Review</v>
      </c>
      <c r="J316" t="str">
        <f>_xll.BDP("246045MQ Muni","CPN")</f>
        <v>#N/A Requesting Data...</v>
      </c>
      <c r="K316" t="str">
        <f>_xll.BDP("246045MQ Muni","MATURITY")</f>
        <v>#N/A Requesting Data...</v>
      </c>
      <c r="L316">
        <v>1185000</v>
      </c>
      <c r="M316" t="str">
        <f>_xll.BDP("246045MQ Muni","YIELD_ON_ISSUE_DATE")</f>
        <v>#N/A Requesting Data...</v>
      </c>
      <c r="N316" t="str">
        <f>_xll.BDP("246045MQ Muni","YTW_SPREAD_TO_MATURITY_AT_ISSU")</f>
        <v>#N/A Requesting Data...</v>
      </c>
      <c r="O316" t="str">
        <f>_xll.BDP("246045MQ Muni","BVAL_MID_YTM")</f>
        <v>#N/A Requesting Data...</v>
      </c>
      <c r="P316" t="str">
        <f>_xll.BDP("246045MQ Muni","MUNI_TAX_PROV")</f>
        <v>#N/A Requesting Data...</v>
      </c>
      <c r="Q316" t="str">
        <f>_xll.BDP("246045MQ Muni","MUNI_FED_TAX")</f>
        <v>#N/A Requesting Data...</v>
      </c>
      <c r="R316" t="str">
        <f>_xll.BDP("246045MQ Muni","MUNI_MSRB_VOLUME")</f>
        <v>#N/A Requesting Data...</v>
      </c>
      <c r="S316" t="str">
        <f>_xll.BDP("246045MQ Muni","BB_COMPOSITE")</f>
        <v>#N/A Requesting Data...</v>
      </c>
      <c r="T316" t="str">
        <f>_xll.BDP("246045MQ Muni","LQA_LIQUIDITY_SCORE")</f>
        <v>#N/A Requesting Data...</v>
      </c>
    </row>
    <row r="317" spans="1:20" x14ac:dyDescent="0.25">
      <c r="A317" t="str">
        <f>_xll.BDP("246045MS Muni","ID_CUSIP")</f>
        <v>#N/A Requesting Data...</v>
      </c>
      <c r="B317" t="s">
        <v>89</v>
      </c>
      <c r="C317" t="str">
        <f>_xll.BDP("246045MS Muni","INSURANCE_STATUS")</f>
        <v>#N/A Requesting Data...</v>
      </c>
      <c r="D317" t="str">
        <f>_xll.BDP("246045MS Muni","STATE_CODE")</f>
        <v>#N/A Requesting Data...</v>
      </c>
      <c r="E317" t="str">
        <f>_xll.BDP("246045MS Muni","COUNTY_LOCATION_ISSUER")</f>
        <v>#N/A Requesting Data...</v>
      </c>
      <c r="F317" t="str">
        <f>_xll.BDP("246045MS Muni","DUR_ADJ_MID")</f>
        <v>#N/A Requesting Data...</v>
      </c>
      <c r="G317" t="str">
        <f>_xll.BDP("246045MS Muni","SPREAD_AT_ISSUANCE_TO_WORST")</f>
        <v>#N/A Requesting Data...</v>
      </c>
      <c r="H317" t="str">
        <f>_xll.BDP("246045MS Muni","ISSUE_DT")</f>
        <v>#N/A Requesting Data...</v>
      </c>
      <c r="I317" t="str">
        <f>_xll.BDS("246045MS Muni","MUNI_PURPOSE_SCHED", "aggregate=y")</f>
        <v>#N/A Review</v>
      </c>
      <c r="J317" t="str">
        <f>_xll.BDP("246045MS Muni","CPN")</f>
        <v>#N/A Requesting Data...</v>
      </c>
      <c r="K317" t="str">
        <f>_xll.BDP("246045MS Muni","MATURITY")</f>
        <v>#N/A Requesting Data...</v>
      </c>
      <c r="L317">
        <v>1305000</v>
      </c>
      <c r="M317" t="str">
        <f>_xll.BDP("246045MS Muni","YIELD_ON_ISSUE_DATE")</f>
        <v>#N/A Requesting Data...</v>
      </c>
      <c r="N317" t="str">
        <f>_xll.BDP("246045MS Muni","YTW_SPREAD_TO_MATURITY_AT_ISSU")</f>
        <v>#N/A Requesting Data...</v>
      </c>
      <c r="O317" t="str">
        <f>_xll.BDP("246045MS Muni","BVAL_MID_YTM")</f>
        <v>#N/A Requesting Data...</v>
      </c>
      <c r="P317" t="str">
        <f>_xll.BDP("246045MS Muni","MUNI_TAX_PROV")</f>
        <v>#N/A Requesting Data...</v>
      </c>
      <c r="Q317" t="str">
        <f>_xll.BDP("246045MS Muni","MUNI_FED_TAX")</f>
        <v>#N/A Requesting Data...</v>
      </c>
      <c r="R317" t="str">
        <f>_xll.BDP("246045MS Muni","MUNI_MSRB_VOLUME")</f>
        <v>#N/A Requesting Data...</v>
      </c>
      <c r="S317" t="str">
        <f>_xll.BDP("246045MS Muni","BB_COMPOSITE")</f>
        <v>#N/A Requesting Data...</v>
      </c>
      <c r="T317" t="str">
        <f>_xll.BDP("246045MS Muni","LQA_LIQUIDITY_SCORE")</f>
        <v>#N/A Requesting Data...</v>
      </c>
    </row>
    <row r="318" spans="1:20" x14ac:dyDescent="0.25">
      <c r="A318" t="str">
        <f>_xll.BDP("226311DQ Muni","ID_CUSIP")</f>
        <v>#N/A Requesting Data...</v>
      </c>
      <c r="B318" t="s">
        <v>168</v>
      </c>
      <c r="C318" t="str">
        <f>_xll.BDP("226311DQ Muni","INSURANCE_STATUS")</f>
        <v>#N/A Requesting Data...</v>
      </c>
      <c r="D318" t="str">
        <f>_xll.BDP("226311DQ Muni","STATE_CODE")</f>
        <v>#N/A Requesting Data...</v>
      </c>
      <c r="E318" t="str">
        <f>_xll.BDP("226311DQ Muni","COUNTY_LOCATION_ISSUER")</f>
        <v>#N/A Requesting Data...</v>
      </c>
      <c r="F318" t="str">
        <f>_xll.BDP("226311DQ Muni","DUR_ADJ_MID")</f>
        <v>#N/A Requesting Data...</v>
      </c>
      <c r="G318" t="str">
        <f>_xll.BDP("226311DQ Muni","SPREAD_AT_ISSUANCE_TO_WORST")</f>
        <v>#N/A Requesting Data...</v>
      </c>
      <c r="H318" t="str">
        <f>_xll.BDP("226311DQ Muni","ISSUE_DT")</f>
        <v>#N/A Requesting Data...</v>
      </c>
      <c r="I318" t="str">
        <f>_xll.BDS("226311DQ Muni","MUNI_PURPOSE_SCHED", "aggregate=y")</f>
        <v>#N/A Review</v>
      </c>
      <c r="J318" t="str">
        <f>_xll.BDP("226311DQ Muni","CPN")</f>
        <v>#N/A Requesting Data...</v>
      </c>
      <c r="K318" t="str">
        <f>_xll.BDP("226311DQ Muni","MATURITY")</f>
        <v>#N/A Requesting Data...</v>
      </c>
      <c r="L318">
        <v>250000</v>
      </c>
      <c r="M318" t="str">
        <f>_xll.BDP("226311DQ Muni","YIELD_ON_ISSUE_DATE")</f>
        <v>#N/A Requesting Data...</v>
      </c>
      <c r="N318" t="str">
        <f>_xll.BDP("226311DQ Muni","YTW_SPREAD_TO_MATURITY_AT_ISSU")</f>
        <v>#N/A Requesting Data...</v>
      </c>
      <c r="O318" t="str">
        <f>_xll.BDP("226311DQ Muni","BVAL_MID_YTM")</f>
        <v>#N/A Requesting Data...</v>
      </c>
      <c r="P318" t="str">
        <f>_xll.BDP("226311DQ Muni","MUNI_TAX_PROV")</f>
        <v>#N/A Requesting Data...</v>
      </c>
      <c r="Q318" t="str">
        <f>_xll.BDP("226311DQ Muni","MUNI_FED_TAX")</f>
        <v>#N/A Requesting Data...</v>
      </c>
      <c r="R318" t="str">
        <f>_xll.BDP("226311DQ Muni","MUNI_MSRB_VOLUME")</f>
        <v>#N/A Requesting Data...</v>
      </c>
      <c r="S318" t="str">
        <f>_xll.BDP("226311DQ Muni","BB_COMPOSITE")</f>
        <v>#N/A Requesting Data...</v>
      </c>
      <c r="T318" t="str">
        <f>_xll.BDP("226311DQ Muni","LQA_LIQUIDITY_SCORE")</f>
        <v>#N/A Requesting Data...</v>
      </c>
    </row>
    <row r="319" spans="1:20" x14ac:dyDescent="0.25">
      <c r="A319" t="str">
        <f>_xll.BDP("003518KZ Muni","ID_CUSIP")</f>
        <v>#N/A Requesting Data...</v>
      </c>
      <c r="B319" t="s">
        <v>169</v>
      </c>
      <c r="C319" t="str">
        <f>_xll.BDP("003518KZ Muni","INSURANCE_STATUS")</f>
        <v>#N/A Requesting Data...</v>
      </c>
      <c r="D319" t="str">
        <f>_xll.BDP("003518KZ Muni","STATE_CODE")</f>
        <v>#N/A Requesting Data...</v>
      </c>
      <c r="E319" t="str">
        <f>_xll.BDP("003518KZ Muni","COUNTY_LOCATION_ISSUER")</f>
        <v>#N/A Requesting Data...</v>
      </c>
      <c r="F319" t="str">
        <f>_xll.BDP("003518KZ Muni","DUR_ADJ_MID")</f>
        <v>#N/A Requesting Data...</v>
      </c>
      <c r="G319" t="str">
        <f>_xll.BDP("003518KZ Muni","SPREAD_AT_ISSUANCE_TO_WORST")</f>
        <v>#N/A Requesting Data...</v>
      </c>
      <c r="H319" t="str">
        <f>_xll.BDP("003518KZ Muni","ISSUE_DT")</f>
        <v>#N/A Requesting Data...</v>
      </c>
      <c r="I319" t="str">
        <f>_xll.BDS("003518KZ Muni","MUNI_PURPOSE_SCHED", "aggregate=y")</f>
        <v>#N/A Review</v>
      </c>
      <c r="J319" t="str">
        <f>_xll.BDP("003518KZ Muni","CPN")</f>
        <v>#N/A Requesting Data...</v>
      </c>
      <c r="K319" t="str">
        <f>_xll.BDP("003518KZ Muni","MATURITY")</f>
        <v>#N/A Requesting Data...</v>
      </c>
      <c r="L319">
        <v>100000</v>
      </c>
      <c r="M319" t="str">
        <f>_xll.BDP("003518KZ Muni","YIELD_ON_ISSUE_DATE")</f>
        <v>#N/A Requesting Data...</v>
      </c>
      <c r="N319" t="str">
        <f>_xll.BDP("003518KZ Muni","YTW_SPREAD_TO_MATURITY_AT_ISSU")</f>
        <v>#N/A Requesting Data...</v>
      </c>
      <c r="O319" t="str">
        <f>_xll.BDP("003518KZ Muni","BVAL_MID_YTM")</f>
        <v>#N/A Requesting Data...</v>
      </c>
      <c r="P319" t="str">
        <f>_xll.BDP("003518KZ Muni","MUNI_TAX_PROV")</f>
        <v>#N/A Requesting Data...</v>
      </c>
      <c r="Q319" t="str">
        <f>_xll.BDP("003518KZ Muni","MUNI_FED_TAX")</f>
        <v>#N/A Requesting Data...</v>
      </c>
      <c r="R319" t="str">
        <f>_xll.BDP("003518KZ Muni","MUNI_MSRB_VOLUME")</f>
        <v>#N/A Requesting Data...</v>
      </c>
      <c r="S319" t="str">
        <f>_xll.BDP("003518KZ Muni","BB_COMPOSITE")</f>
        <v>#N/A Requesting Data...</v>
      </c>
      <c r="T319" t="str">
        <f>_xll.BDP("003518KZ Muni","LQA_LIQUIDITY_SCORE")</f>
        <v>#N/A Requesting Data...</v>
      </c>
    </row>
    <row r="320" spans="1:20" x14ac:dyDescent="0.25">
      <c r="A320" t="str">
        <f>_xll.BDP("04184KQW Muni","ID_CUSIP")</f>
        <v>#N/A Requesting Data...</v>
      </c>
      <c r="B320" t="s">
        <v>170</v>
      </c>
      <c r="C320" t="str">
        <f>_xll.BDP("04184KQW Muni","INSURANCE_STATUS")</f>
        <v>#N/A Requesting Data...</v>
      </c>
      <c r="D320" t="str">
        <f>_xll.BDP("04184KQW Muni","STATE_CODE")</f>
        <v>#N/A Requesting Data...</v>
      </c>
      <c r="E320" t="str">
        <f>_xll.BDP("04184KQW Muni","COUNTY_LOCATION_ISSUER")</f>
        <v>#N/A Requesting Data...</v>
      </c>
      <c r="F320" t="str">
        <f>_xll.BDP("04184KQW Muni","DUR_ADJ_MID")</f>
        <v>#N/A Requesting Data...</v>
      </c>
      <c r="G320" t="str">
        <f>_xll.BDP("04184KQW Muni","SPREAD_AT_ISSUANCE_TO_WORST")</f>
        <v>#N/A Requesting Data...</v>
      </c>
      <c r="H320" t="str">
        <f>_xll.BDP("04184KQW Muni","ISSUE_DT")</f>
        <v>#N/A Requesting Data...</v>
      </c>
      <c r="I320" t="str">
        <f>_xll.BDS("04184KQW Muni","MUNI_PURPOSE_SCHED", "aggregate=y")</f>
        <v>#N/A Review</v>
      </c>
      <c r="J320" t="str">
        <f>_xll.BDP("04184KQW Muni","CPN")</f>
        <v>#N/A Requesting Data...</v>
      </c>
      <c r="K320" t="str">
        <f>_xll.BDP("04184KQW Muni","MATURITY")</f>
        <v>#N/A Requesting Data...</v>
      </c>
      <c r="L320">
        <v>1960000</v>
      </c>
      <c r="M320" t="str">
        <f>_xll.BDP("04184KQW Muni","YIELD_ON_ISSUE_DATE")</f>
        <v>#N/A Requesting Data...</v>
      </c>
      <c r="N320" t="str">
        <f>_xll.BDP("04184KQW Muni","YTW_SPREAD_TO_MATURITY_AT_ISSU")</f>
        <v>#N/A Requesting Data...</v>
      </c>
      <c r="O320" t="str">
        <f>_xll.BDP("04184KQW Muni","BVAL_MID_YTM")</f>
        <v>#N/A Requesting Data...</v>
      </c>
      <c r="P320" t="str">
        <f>_xll.BDP("04184KQW Muni","MUNI_TAX_PROV")</f>
        <v>#N/A Requesting Data...</v>
      </c>
      <c r="Q320" t="str">
        <f>_xll.BDP("04184KQW Muni","MUNI_FED_TAX")</f>
        <v>#N/A Requesting Data...</v>
      </c>
      <c r="R320" t="str">
        <f>_xll.BDP("04184KQW Muni","MUNI_MSRB_VOLUME")</f>
        <v>#N/A Requesting Data...</v>
      </c>
      <c r="S320" t="str">
        <f>_xll.BDP("04184KQW Muni","BB_COMPOSITE")</f>
        <v>#N/A Requesting Data...</v>
      </c>
      <c r="T320" t="str">
        <f>_xll.BDP("04184KQW Muni","LQA_LIQUIDITY_SCORE")</f>
        <v>#N/A Requesting Data...</v>
      </c>
    </row>
    <row r="321" spans="1:20" x14ac:dyDescent="0.25">
      <c r="A321" t="str">
        <f>_xll.BDP("04184KQX Muni","ID_CUSIP")</f>
        <v>#N/A Requesting Data...</v>
      </c>
      <c r="B321" t="s">
        <v>170</v>
      </c>
      <c r="C321" t="str">
        <f>_xll.BDP("04184KQX Muni","INSURANCE_STATUS")</f>
        <v>#N/A Requesting Data...</v>
      </c>
      <c r="D321" t="str">
        <f>_xll.BDP("04184KQX Muni","STATE_CODE")</f>
        <v>#N/A Requesting Data...</v>
      </c>
      <c r="E321" t="str">
        <f>_xll.BDP("04184KQX Muni","COUNTY_LOCATION_ISSUER")</f>
        <v>#N/A Requesting Data...</v>
      </c>
      <c r="F321" t="str">
        <f>_xll.BDP("04184KQX Muni","DUR_ADJ_MID")</f>
        <v>#N/A Requesting Data...</v>
      </c>
      <c r="G321" t="str">
        <f>_xll.BDP("04184KQX Muni","SPREAD_AT_ISSUANCE_TO_WORST")</f>
        <v>#N/A Requesting Data...</v>
      </c>
      <c r="H321" t="str">
        <f>_xll.BDP("04184KQX Muni","ISSUE_DT")</f>
        <v>#N/A Requesting Data...</v>
      </c>
      <c r="I321" t="str">
        <f>_xll.BDS("04184KQX Muni","MUNI_PURPOSE_SCHED", "aggregate=y")</f>
        <v>#N/A Review</v>
      </c>
      <c r="J321" t="str">
        <f>_xll.BDP("04184KQX Muni","CPN")</f>
        <v>#N/A Requesting Data...</v>
      </c>
      <c r="K321" t="str">
        <f>_xll.BDP("04184KQX Muni","MATURITY")</f>
        <v>#N/A Requesting Data...</v>
      </c>
      <c r="L321">
        <v>1955000</v>
      </c>
      <c r="M321" t="str">
        <f>_xll.BDP("04184KQX Muni","YIELD_ON_ISSUE_DATE")</f>
        <v>#N/A Requesting Data...</v>
      </c>
      <c r="N321" t="str">
        <f>_xll.BDP("04184KQX Muni","YTW_SPREAD_TO_MATURITY_AT_ISSU")</f>
        <v>#N/A Requesting Data...</v>
      </c>
      <c r="O321" t="str">
        <f>_xll.BDP("04184KQX Muni","BVAL_MID_YTM")</f>
        <v>#N/A Requesting Data...</v>
      </c>
      <c r="P321" t="str">
        <f>_xll.BDP("04184KQX Muni","MUNI_TAX_PROV")</f>
        <v>#N/A Requesting Data...</v>
      </c>
      <c r="Q321" t="str">
        <f>_xll.BDP("04184KQX Muni","MUNI_FED_TAX")</f>
        <v>#N/A Requesting Data...</v>
      </c>
      <c r="R321" t="str">
        <f>_xll.BDP("04184KQX Muni","MUNI_MSRB_VOLUME")</f>
        <v>#N/A Requesting Data...</v>
      </c>
      <c r="S321" t="str">
        <f>_xll.BDP("04184KQX Muni","BB_COMPOSITE")</f>
        <v>#N/A Requesting Data...</v>
      </c>
      <c r="T321" t="str">
        <f>_xll.BDP("04184KQX Muni","LQA_LIQUIDITY_SCORE")</f>
        <v>#N/A Requesting Data...</v>
      </c>
    </row>
    <row r="322" spans="1:20" x14ac:dyDescent="0.25">
      <c r="A322" t="str">
        <f>_xll.BDP("243022EM Muni","ID_CUSIP")</f>
        <v>#N/A Requesting Data...</v>
      </c>
      <c r="B322" t="s">
        <v>171</v>
      </c>
      <c r="C322" t="str">
        <f>_xll.BDP("243022EM Muni","INSURANCE_STATUS")</f>
        <v>#N/A Requesting Data...</v>
      </c>
      <c r="D322" t="str">
        <f>_xll.BDP("243022EM Muni","STATE_CODE")</f>
        <v>#N/A Requesting Data...</v>
      </c>
      <c r="E322" t="str">
        <f>_xll.BDP("243022EM Muni","COUNTY_LOCATION_ISSUER")</f>
        <v>#N/A Requesting Data...</v>
      </c>
      <c r="F322" t="str">
        <f>_xll.BDP("243022EM Muni","DUR_ADJ_MID")</f>
        <v>#N/A Requesting Data...</v>
      </c>
      <c r="G322" t="str">
        <f>_xll.BDP("243022EM Muni","SPREAD_AT_ISSUANCE_TO_WORST")</f>
        <v>#N/A Requesting Data...</v>
      </c>
      <c r="H322" t="str">
        <f>_xll.BDP("243022EM Muni","ISSUE_DT")</f>
        <v>#N/A Requesting Data...</v>
      </c>
      <c r="I322" t="str">
        <f>_xll.BDS("243022EM Muni","MUNI_PURPOSE_SCHED", "aggregate=y")</f>
        <v>#N/A Review</v>
      </c>
      <c r="J322" t="str">
        <f>_xll.BDP("243022EM Muni","CPN")</f>
        <v>#N/A Requesting Data...</v>
      </c>
      <c r="K322" t="str">
        <f>_xll.BDP("243022EM Muni","MATURITY")</f>
        <v>#N/A Requesting Data...</v>
      </c>
      <c r="L322">
        <v>425000</v>
      </c>
      <c r="M322" t="str">
        <f>_xll.BDP("243022EM Muni","YIELD_ON_ISSUE_DATE")</f>
        <v>#N/A Requesting Data...</v>
      </c>
      <c r="N322" t="str">
        <f>_xll.BDP("243022EM Muni","YTW_SPREAD_TO_MATURITY_AT_ISSU")</f>
        <v>#N/A Requesting Data...</v>
      </c>
      <c r="O322" t="str">
        <f>_xll.BDP("243022EM Muni","BVAL_MID_YTM")</f>
        <v>#N/A Requesting Data...</v>
      </c>
      <c r="P322" t="str">
        <f>_xll.BDP("243022EM Muni","MUNI_TAX_PROV")</f>
        <v>#N/A Requesting Data...</v>
      </c>
      <c r="Q322" t="str">
        <f>_xll.BDP("243022EM Muni","MUNI_FED_TAX")</f>
        <v>#N/A Requesting Data...</v>
      </c>
      <c r="R322" t="str">
        <f>_xll.BDP("243022EM Muni","MUNI_MSRB_VOLUME")</f>
        <v>#N/A Requesting Data...</v>
      </c>
      <c r="S322" t="str">
        <f>_xll.BDP("243022EM Muni","BB_COMPOSITE")</f>
        <v>#N/A Requesting Data...</v>
      </c>
      <c r="T322" t="str">
        <f>_xll.BDP("243022EM Muni","LQA_LIQUIDITY_SCORE")</f>
        <v>#N/A Requesting Data...</v>
      </c>
    </row>
    <row r="323" spans="1:20" x14ac:dyDescent="0.25">
      <c r="A323" t="str">
        <f>_xll.BDP("243127VJ Muni","ID_CUSIP")</f>
        <v>#N/A Requesting Data...</v>
      </c>
      <c r="B323" t="s">
        <v>172</v>
      </c>
      <c r="C323" t="str">
        <f>_xll.BDP("243127VJ Muni","INSURANCE_STATUS")</f>
        <v>#N/A Requesting Data...</v>
      </c>
      <c r="D323" t="str">
        <f>_xll.BDP("243127VJ Muni","STATE_CODE")</f>
        <v>#N/A Requesting Data...</v>
      </c>
      <c r="E323" t="str">
        <f>_xll.BDP("243127VJ Muni","COUNTY_LOCATION_ISSUER")</f>
        <v>#N/A Requesting Data...</v>
      </c>
      <c r="F323" t="str">
        <f>_xll.BDP("243127VJ Muni","DUR_ADJ_MID")</f>
        <v>#N/A Requesting Data...</v>
      </c>
      <c r="G323" t="str">
        <f>_xll.BDP("243127VJ Muni","SPREAD_AT_ISSUANCE_TO_WORST")</f>
        <v>#N/A Requesting Data...</v>
      </c>
      <c r="H323" t="str">
        <f>_xll.BDP("243127VJ Muni","ISSUE_DT")</f>
        <v>#N/A Requesting Data...</v>
      </c>
      <c r="I323" t="str">
        <f>_xll.BDS("243127VJ Muni","MUNI_PURPOSE_SCHED", "aggregate=y")</f>
        <v>#N/A Review</v>
      </c>
      <c r="J323" t="str">
        <f>_xll.BDP("243127VJ Muni","CPN")</f>
        <v>#N/A Requesting Data...</v>
      </c>
      <c r="K323" t="str">
        <f>_xll.BDP("243127VJ Muni","MATURITY")</f>
        <v>#N/A Requesting Data...</v>
      </c>
      <c r="L323">
        <v>935000</v>
      </c>
      <c r="M323" t="str">
        <f>_xll.BDP("243127VJ Muni","YIELD_ON_ISSUE_DATE")</f>
        <v>#N/A Requesting Data...</v>
      </c>
      <c r="N323" t="str">
        <f>_xll.BDP("243127VJ Muni","YTW_SPREAD_TO_MATURITY_AT_ISSU")</f>
        <v>#N/A Requesting Data...</v>
      </c>
      <c r="O323" t="str">
        <f>_xll.BDP("243127VJ Muni","BVAL_MID_YTM")</f>
        <v>#N/A Requesting Data...</v>
      </c>
      <c r="P323" t="str">
        <f>_xll.BDP("243127VJ Muni","MUNI_TAX_PROV")</f>
        <v>#N/A Requesting Data...</v>
      </c>
      <c r="Q323" t="str">
        <f>_xll.BDP("243127VJ Muni","MUNI_FED_TAX")</f>
        <v>#N/A Requesting Data...</v>
      </c>
      <c r="R323" t="str">
        <f>_xll.BDP("243127VJ Muni","MUNI_MSRB_VOLUME")</f>
        <v>#N/A Requesting Data...</v>
      </c>
      <c r="S323" t="str">
        <f>_xll.BDP("243127VJ Muni","BB_COMPOSITE")</f>
        <v>#N/A Requesting Data...</v>
      </c>
      <c r="T323" t="str">
        <f>_xll.BDP("243127VJ Muni","LQA_LIQUIDITY_SCORE")</f>
        <v>#N/A Requesting Data...</v>
      </c>
    </row>
    <row r="324" spans="1:20" x14ac:dyDescent="0.25">
      <c r="A324" t="str">
        <f>_xll.BDP("243127VK Muni","ID_CUSIP")</f>
        <v>#N/A Requesting Data...</v>
      </c>
      <c r="B324" t="s">
        <v>172</v>
      </c>
      <c r="C324" t="str">
        <f>_xll.BDP("243127VK Muni","INSURANCE_STATUS")</f>
        <v>#N/A Requesting Data...</v>
      </c>
      <c r="D324" t="str">
        <f>_xll.BDP("243127VK Muni","STATE_CODE")</f>
        <v>#N/A Requesting Data...</v>
      </c>
      <c r="E324" t="str">
        <f>_xll.BDP("243127VK Muni","COUNTY_LOCATION_ISSUER")</f>
        <v>#N/A Requesting Data...</v>
      </c>
      <c r="F324" t="str">
        <f>_xll.BDP("243127VK Muni","DUR_ADJ_MID")</f>
        <v>#N/A Requesting Data...</v>
      </c>
      <c r="G324" t="str">
        <f>_xll.BDP("243127VK Muni","SPREAD_AT_ISSUANCE_TO_WORST")</f>
        <v>#N/A Requesting Data...</v>
      </c>
      <c r="H324" t="str">
        <f>_xll.BDP("243127VK Muni","ISSUE_DT")</f>
        <v>#N/A Requesting Data...</v>
      </c>
      <c r="I324" t="str">
        <f>_xll.BDS("243127VK Muni","MUNI_PURPOSE_SCHED", "aggregate=y")</f>
        <v>#N/A Review</v>
      </c>
      <c r="J324" t="str">
        <f>_xll.BDP("243127VK Muni","CPN")</f>
        <v>#N/A Requesting Data...</v>
      </c>
      <c r="K324" t="str">
        <f>_xll.BDP("243127VK Muni","MATURITY")</f>
        <v>#N/A Requesting Data...</v>
      </c>
      <c r="L324">
        <v>985000</v>
      </c>
      <c r="M324" t="str">
        <f>_xll.BDP("243127VK Muni","YIELD_ON_ISSUE_DATE")</f>
        <v>#N/A Requesting Data...</v>
      </c>
      <c r="N324" t="str">
        <f>_xll.BDP("243127VK Muni","YTW_SPREAD_TO_MATURITY_AT_ISSU")</f>
        <v>#N/A Requesting Data...</v>
      </c>
      <c r="O324" t="str">
        <f>_xll.BDP("243127VK Muni","BVAL_MID_YTM")</f>
        <v>#N/A Requesting Data...</v>
      </c>
      <c r="P324" t="str">
        <f>_xll.BDP("243127VK Muni","MUNI_TAX_PROV")</f>
        <v>#N/A Requesting Data...</v>
      </c>
      <c r="Q324" t="str">
        <f>_xll.BDP("243127VK Muni","MUNI_FED_TAX")</f>
        <v>#N/A Requesting Data...</v>
      </c>
      <c r="R324" t="str">
        <f>_xll.BDP("243127VK Muni","MUNI_MSRB_VOLUME")</f>
        <v>#N/A Requesting Data...</v>
      </c>
      <c r="S324" t="str">
        <f>_xll.BDP("243127VK Muni","BB_COMPOSITE")</f>
        <v>#N/A Requesting Data...</v>
      </c>
      <c r="T324" t="str">
        <f>_xll.BDP("243127VK Muni","LQA_LIQUIDITY_SCORE")</f>
        <v>#N/A Requesting Data...</v>
      </c>
    </row>
    <row r="325" spans="1:20" x14ac:dyDescent="0.25">
      <c r="A325" t="str">
        <f>_xll.BDP("243127VL Muni","ID_CUSIP")</f>
        <v>#N/A Requesting Data...</v>
      </c>
      <c r="B325" t="s">
        <v>172</v>
      </c>
      <c r="C325" t="str">
        <f>_xll.BDP("243127VL Muni","INSURANCE_STATUS")</f>
        <v>#N/A Requesting Data...</v>
      </c>
      <c r="D325" t="str">
        <f>_xll.BDP("243127VL Muni","STATE_CODE")</f>
        <v>#N/A Requesting Data...</v>
      </c>
      <c r="E325" t="str">
        <f>_xll.BDP("243127VL Muni","COUNTY_LOCATION_ISSUER")</f>
        <v>#N/A Requesting Data...</v>
      </c>
      <c r="F325" t="str">
        <f>_xll.BDP("243127VL Muni","DUR_ADJ_MID")</f>
        <v>#N/A Requesting Data...</v>
      </c>
      <c r="G325" t="str">
        <f>_xll.BDP("243127VL Muni","SPREAD_AT_ISSUANCE_TO_WORST")</f>
        <v>#N/A Requesting Data...</v>
      </c>
      <c r="H325" t="str">
        <f>_xll.BDP("243127VL Muni","ISSUE_DT")</f>
        <v>#N/A Requesting Data...</v>
      </c>
      <c r="I325" t="str">
        <f>_xll.BDS("243127VL Muni","MUNI_PURPOSE_SCHED", "aggregate=y")</f>
        <v>#N/A Review</v>
      </c>
      <c r="J325" t="str">
        <f>_xll.BDP("243127VL Muni","CPN")</f>
        <v>#N/A Requesting Data...</v>
      </c>
      <c r="K325" t="str">
        <f>_xll.BDP("243127VL Muni","MATURITY")</f>
        <v>#N/A Requesting Data...</v>
      </c>
      <c r="L325">
        <v>1030000</v>
      </c>
      <c r="M325" t="str">
        <f>_xll.BDP("243127VL Muni","YIELD_ON_ISSUE_DATE")</f>
        <v>#N/A Requesting Data...</v>
      </c>
      <c r="N325" t="str">
        <f>_xll.BDP("243127VL Muni","YTW_SPREAD_TO_MATURITY_AT_ISSU")</f>
        <v>#N/A Requesting Data...</v>
      </c>
      <c r="O325" t="str">
        <f>_xll.BDP("243127VL Muni","BVAL_MID_YTM")</f>
        <v>#N/A Requesting Data...</v>
      </c>
      <c r="P325" t="str">
        <f>_xll.BDP("243127VL Muni","MUNI_TAX_PROV")</f>
        <v>#N/A Requesting Data...</v>
      </c>
      <c r="Q325" t="str">
        <f>_xll.BDP("243127VL Muni","MUNI_FED_TAX")</f>
        <v>#N/A Requesting Data...</v>
      </c>
      <c r="R325" t="str">
        <f>_xll.BDP("243127VL Muni","MUNI_MSRB_VOLUME")</f>
        <v>#N/A Requesting Data...</v>
      </c>
      <c r="S325" t="str">
        <f>_xll.BDP("243127VL Muni","BB_COMPOSITE")</f>
        <v>#N/A Requesting Data...</v>
      </c>
      <c r="T325" t="str">
        <f>_xll.BDP("243127VL Muni","LQA_LIQUIDITY_SCORE")</f>
        <v>#N/A Requesting Data...</v>
      </c>
    </row>
    <row r="326" spans="1:20" x14ac:dyDescent="0.25">
      <c r="A326" t="str">
        <f>_xll.BDP("243127VM Muni","ID_CUSIP")</f>
        <v>#N/A Requesting Data...</v>
      </c>
      <c r="B326" t="s">
        <v>172</v>
      </c>
      <c r="C326" t="str">
        <f>_xll.BDP("243127VM Muni","INSURANCE_STATUS")</f>
        <v>#N/A Requesting Data...</v>
      </c>
      <c r="D326" t="str">
        <f>_xll.BDP("243127VM Muni","STATE_CODE")</f>
        <v>#N/A Requesting Data...</v>
      </c>
      <c r="E326" t="str">
        <f>_xll.BDP("243127VM Muni","COUNTY_LOCATION_ISSUER")</f>
        <v>#N/A Requesting Data...</v>
      </c>
      <c r="F326" t="str">
        <f>_xll.BDP("243127VM Muni","DUR_ADJ_MID")</f>
        <v>#N/A Requesting Data...</v>
      </c>
      <c r="G326" t="str">
        <f>_xll.BDP("243127VM Muni","SPREAD_AT_ISSUANCE_TO_WORST")</f>
        <v>#N/A Requesting Data...</v>
      </c>
      <c r="H326" t="str">
        <f>_xll.BDP("243127VM Muni","ISSUE_DT")</f>
        <v>#N/A Requesting Data...</v>
      </c>
      <c r="I326" t="str">
        <f>_xll.BDS("243127VM Muni","MUNI_PURPOSE_SCHED", "aggregate=y")</f>
        <v>#N/A Review</v>
      </c>
      <c r="J326" t="str">
        <f>_xll.BDP("243127VM Muni","CPN")</f>
        <v>#N/A Requesting Data...</v>
      </c>
      <c r="K326" t="str">
        <f>_xll.BDP("243127VM Muni","MATURITY")</f>
        <v>#N/A Requesting Data...</v>
      </c>
      <c r="L326">
        <v>1085000</v>
      </c>
      <c r="M326" t="str">
        <f>_xll.BDP("243127VM Muni","YIELD_ON_ISSUE_DATE")</f>
        <v>#N/A Requesting Data...</v>
      </c>
      <c r="N326" t="str">
        <f>_xll.BDP("243127VM Muni","YTW_SPREAD_TO_MATURITY_AT_ISSU")</f>
        <v>#N/A Requesting Data...</v>
      </c>
      <c r="O326" t="str">
        <f>_xll.BDP("243127VM Muni","BVAL_MID_YTM")</f>
        <v>#N/A Requesting Data...</v>
      </c>
      <c r="P326" t="str">
        <f>_xll.BDP("243127VM Muni","MUNI_TAX_PROV")</f>
        <v>#N/A Requesting Data...</v>
      </c>
      <c r="Q326" t="str">
        <f>_xll.BDP("243127VM Muni","MUNI_FED_TAX")</f>
        <v>#N/A Requesting Data...</v>
      </c>
      <c r="R326" t="str">
        <f>_xll.BDP("243127VM Muni","MUNI_MSRB_VOLUME")</f>
        <v>#N/A Requesting Data...</v>
      </c>
      <c r="S326" t="str">
        <f>_xll.BDP("243127VM Muni","BB_COMPOSITE")</f>
        <v>#N/A Requesting Data...</v>
      </c>
      <c r="T326" t="str">
        <f>_xll.BDP("243127VM Muni","LQA_LIQUIDITY_SCORE")</f>
        <v>#N/A Requesting Data...</v>
      </c>
    </row>
    <row r="327" spans="1:20" x14ac:dyDescent="0.25">
      <c r="A327" t="str">
        <f>_xll.BDP("2441093U Muni","ID_CUSIP")</f>
        <v>#N/A Requesting Data...</v>
      </c>
      <c r="B327" t="s">
        <v>167</v>
      </c>
      <c r="C327" t="str">
        <f>_xll.BDP("2441093U Muni","INSURANCE_STATUS")</f>
        <v>#N/A Requesting Data...</v>
      </c>
      <c r="D327" t="str">
        <f>_xll.BDP("2441093U Muni","STATE_CODE")</f>
        <v>#N/A Requesting Data...</v>
      </c>
      <c r="E327" t="str">
        <f>_xll.BDP("2441093U Muni","COUNTY_LOCATION_ISSUER")</f>
        <v>#N/A Requesting Data...</v>
      </c>
      <c r="F327" t="str">
        <f>_xll.BDP("2441093U Muni","DUR_ADJ_MID")</f>
        <v>#N/A Requesting Data...</v>
      </c>
      <c r="G327" t="str">
        <f>_xll.BDP("2441093U Muni","SPREAD_AT_ISSUANCE_TO_WORST")</f>
        <v>#N/A Requesting Data...</v>
      </c>
      <c r="H327" t="str">
        <f>_xll.BDP("2441093U Muni","ISSUE_DT")</f>
        <v>#N/A Requesting Data...</v>
      </c>
      <c r="I327" t="str">
        <f>_xll.BDS("2441093U Muni","MUNI_PURPOSE_SCHED", "aggregate=y")</f>
        <v>#N/A Review</v>
      </c>
      <c r="J327" t="str">
        <f>_xll.BDP("2441093U Muni","CPN")</f>
        <v>#N/A Requesting Data...</v>
      </c>
      <c r="K327" t="str">
        <f>_xll.BDP("2441093U Muni","MATURITY")</f>
        <v>#N/A Requesting Data...</v>
      </c>
      <c r="L327">
        <v>195000</v>
      </c>
      <c r="M327" t="str">
        <f>_xll.BDP("2441093U Muni","YIELD_ON_ISSUE_DATE")</f>
        <v>#N/A Requesting Data...</v>
      </c>
      <c r="N327" t="str">
        <f>_xll.BDP("2441093U Muni","YTW_SPREAD_TO_MATURITY_AT_ISSU")</f>
        <v>#N/A Requesting Data...</v>
      </c>
      <c r="O327" t="str">
        <f>_xll.BDP("2441093U Muni","BVAL_MID_YTM")</f>
        <v>#N/A Requesting Data...</v>
      </c>
      <c r="P327" t="str">
        <f>_xll.BDP("2441093U Muni","MUNI_TAX_PROV")</f>
        <v>#N/A Requesting Data...</v>
      </c>
      <c r="Q327" t="str">
        <f>_xll.BDP("2441093U Muni","MUNI_FED_TAX")</f>
        <v>#N/A Requesting Data...</v>
      </c>
      <c r="R327" t="str">
        <f>_xll.BDP("2441093U Muni","MUNI_MSRB_VOLUME")</f>
        <v>#N/A Requesting Data...</v>
      </c>
      <c r="S327" t="str">
        <f>_xll.BDP("2441093U Muni","BB_COMPOSITE")</f>
        <v>#N/A Requesting Data...</v>
      </c>
      <c r="T327" t="str">
        <f>_xll.BDP("2441093U Muni","LQA_LIQUIDITY_SCORE")</f>
        <v>#N/A Requesting Data...</v>
      </c>
    </row>
    <row r="328" spans="1:20" x14ac:dyDescent="0.25">
      <c r="A328" t="str">
        <f>_xll.BDP("2441093W Muni","ID_CUSIP")</f>
        <v>#N/A Requesting Data...</v>
      </c>
      <c r="B328" t="s">
        <v>167</v>
      </c>
      <c r="C328" t="str">
        <f>_xll.BDP("2441093W Muni","INSURANCE_STATUS")</f>
        <v>#N/A Requesting Data...</v>
      </c>
      <c r="D328" t="str">
        <f>_xll.BDP("2441093W Muni","STATE_CODE")</f>
        <v>#N/A Requesting Data...</v>
      </c>
      <c r="E328" t="str">
        <f>_xll.BDP("2441093W Muni","COUNTY_LOCATION_ISSUER")</f>
        <v>#N/A Requesting Data...</v>
      </c>
      <c r="F328" t="str">
        <f>_xll.BDP("2441093W Muni","DUR_ADJ_MID")</f>
        <v>#N/A Requesting Data...</v>
      </c>
      <c r="G328" t="str">
        <f>_xll.BDP("2441093W Muni","SPREAD_AT_ISSUANCE_TO_WORST")</f>
        <v>#N/A Requesting Data...</v>
      </c>
      <c r="H328" t="str">
        <f>_xll.BDP("2441093W Muni","ISSUE_DT")</f>
        <v>#N/A Requesting Data...</v>
      </c>
      <c r="I328" t="str">
        <f>_xll.BDS("2441093W Muni","MUNI_PURPOSE_SCHED", "aggregate=y")</f>
        <v>#N/A Review</v>
      </c>
      <c r="J328" t="str">
        <f>_xll.BDP("2441093W Muni","CPN")</f>
        <v>#N/A Requesting Data...</v>
      </c>
      <c r="K328" t="str">
        <f>_xll.BDP("2441093W Muni","MATURITY")</f>
        <v>#N/A Requesting Data...</v>
      </c>
      <c r="L328">
        <v>355000</v>
      </c>
      <c r="M328" t="str">
        <f>_xll.BDP("2441093W Muni","YIELD_ON_ISSUE_DATE")</f>
        <v>#N/A Requesting Data...</v>
      </c>
      <c r="N328" t="str">
        <f>_xll.BDP("2441093W Muni","YTW_SPREAD_TO_MATURITY_AT_ISSU")</f>
        <v>#N/A Requesting Data...</v>
      </c>
      <c r="O328" t="str">
        <f>_xll.BDP("2441093W Muni","BVAL_MID_YTM")</f>
        <v>#N/A Requesting Data...</v>
      </c>
      <c r="P328" t="str">
        <f>_xll.BDP("2441093W Muni","MUNI_TAX_PROV")</f>
        <v>#N/A Requesting Data...</v>
      </c>
      <c r="Q328" t="str">
        <f>_xll.BDP("2441093W Muni","MUNI_FED_TAX")</f>
        <v>#N/A Requesting Data...</v>
      </c>
      <c r="R328" t="str">
        <f>_xll.BDP("2441093W Muni","MUNI_MSRB_VOLUME")</f>
        <v>#N/A Requesting Data...</v>
      </c>
      <c r="S328" t="str">
        <f>_xll.BDP("2441093W Muni","BB_COMPOSITE")</f>
        <v>#N/A Requesting Data...</v>
      </c>
      <c r="T328" t="str">
        <f>_xll.BDP("2441093W Muni","LQA_LIQUIDITY_SCORE")</f>
        <v>#N/A Requesting Data...</v>
      </c>
    </row>
    <row r="329" spans="1:20" x14ac:dyDescent="0.25">
      <c r="A329" t="str">
        <f>_xll.BDP("188270EM Muni","ID_CUSIP")</f>
        <v>#N/A Requesting Data...</v>
      </c>
      <c r="B329" t="s">
        <v>173</v>
      </c>
      <c r="C329" t="str">
        <f>_xll.BDP("188270EM Muni","INSURANCE_STATUS")</f>
        <v>#N/A Requesting Data...</v>
      </c>
      <c r="D329" t="str">
        <f>_xll.BDP("188270EM Muni","STATE_CODE")</f>
        <v>#N/A Requesting Data...</v>
      </c>
      <c r="E329" t="str">
        <f>_xll.BDP("188270EM Muni","COUNTY_LOCATION_ISSUER")</f>
        <v>#N/A Requesting Data...</v>
      </c>
      <c r="F329" t="str">
        <f>_xll.BDP("188270EM Muni","DUR_ADJ_MID")</f>
        <v>#N/A Requesting Data...</v>
      </c>
      <c r="G329" t="str">
        <f>_xll.BDP("188270EM Muni","SPREAD_AT_ISSUANCE_TO_WORST")</f>
        <v>#N/A Requesting Data...</v>
      </c>
      <c r="H329" t="str">
        <f>_xll.BDP("188270EM Muni","ISSUE_DT")</f>
        <v>#N/A Requesting Data...</v>
      </c>
      <c r="I329" t="str">
        <f>_xll.BDS("188270EM Muni","MUNI_PURPOSE_SCHED", "aggregate=y")</f>
        <v>#N/A Review</v>
      </c>
      <c r="J329" t="str">
        <f>_xll.BDP("188270EM Muni","CPN")</f>
        <v>#N/A Requesting Data...</v>
      </c>
      <c r="K329" t="str">
        <f>_xll.BDP("188270EM Muni","MATURITY")</f>
        <v>#N/A Requesting Data...</v>
      </c>
      <c r="L329">
        <v>55000</v>
      </c>
      <c r="M329" t="str">
        <f>_xll.BDP("188270EM Muni","YIELD_ON_ISSUE_DATE")</f>
        <v>#N/A Requesting Data...</v>
      </c>
      <c r="N329" t="str">
        <f>_xll.BDP("188270EM Muni","YTW_SPREAD_TO_MATURITY_AT_ISSU")</f>
        <v>#N/A Requesting Data...</v>
      </c>
      <c r="O329" t="str">
        <f>_xll.BDP("188270EM Muni","BVAL_MID_YTM")</f>
        <v>#N/A Requesting Data...</v>
      </c>
      <c r="P329" t="str">
        <f>_xll.BDP("188270EM Muni","MUNI_TAX_PROV")</f>
        <v>#N/A Requesting Data...</v>
      </c>
      <c r="Q329" t="str">
        <f>_xll.BDP("188270EM Muni","MUNI_FED_TAX")</f>
        <v>#N/A Requesting Data...</v>
      </c>
      <c r="R329" t="str">
        <f>_xll.BDP("188270EM Muni","MUNI_MSRB_VOLUME")</f>
        <v>#N/A Requesting Data...</v>
      </c>
      <c r="S329" t="str">
        <f>_xll.BDP("188270EM Muni","BB_COMPOSITE")</f>
        <v>#N/A Requesting Data...</v>
      </c>
      <c r="T329" t="str">
        <f>_xll.BDP("188270EM Muni","LQA_LIQUIDITY_SCORE")</f>
        <v>#N/A Requesting Data...</v>
      </c>
    </row>
    <row r="330" spans="1:20" x14ac:dyDescent="0.25">
      <c r="A330" t="str">
        <f>_xll.BDP("188270EN Muni","ID_CUSIP")</f>
        <v>#N/A Requesting Data...</v>
      </c>
      <c r="B330" t="s">
        <v>173</v>
      </c>
      <c r="C330" t="str">
        <f>_xll.BDP("188270EN Muni","INSURANCE_STATUS")</f>
        <v>#N/A Requesting Data...</v>
      </c>
      <c r="D330" t="str">
        <f>_xll.BDP("188270EN Muni","STATE_CODE")</f>
        <v>#N/A Requesting Data...</v>
      </c>
      <c r="E330" t="str">
        <f>_xll.BDP("188270EN Muni","COUNTY_LOCATION_ISSUER")</f>
        <v>#N/A Requesting Data...</v>
      </c>
      <c r="F330" t="str">
        <f>_xll.BDP("188270EN Muni","DUR_ADJ_MID")</f>
        <v>#N/A Requesting Data...</v>
      </c>
      <c r="G330" t="str">
        <f>_xll.BDP("188270EN Muni","SPREAD_AT_ISSUANCE_TO_WORST")</f>
        <v>#N/A Requesting Data...</v>
      </c>
      <c r="H330" t="str">
        <f>_xll.BDP("188270EN Muni","ISSUE_DT")</f>
        <v>#N/A Requesting Data...</v>
      </c>
      <c r="I330" t="str">
        <f>_xll.BDS("188270EN Muni","MUNI_PURPOSE_SCHED", "aggregate=y")</f>
        <v>#N/A Review</v>
      </c>
      <c r="J330" t="str">
        <f>_xll.BDP("188270EN Muni","CPN")</f>
        <v>#N/A Requesting Data...</v>
      </c>
      <c r="K330" t="str">
        <f>_xll.BDP("188270EN Muni","MATURITY")</f>
        <v>#N/A Requesting Data...</v>
      </c>
      <c r="L330">
        <v>55000</v>
      </c>
      <c r="M330" t="str">
        <f>_xll.BDP("188270EN Muni","YIELD_ON_ISSUE_DATE")</f>
        <v>#N/A Requesting Data...</v>
      </c>
      <c r="N330" t="str">
        <f>_xll.BDP("188270EN Muni","YTW_SPREAD_TO_MATURITY_AT_ISSU")</f>
        <v>#N/A Requesting Data...</v>
      </c>
      <c r="O330" t="str">
        <f>_xll.BDP("188270EN Muni","BVAL_MID_YTM")</f>
        <v>#N/A Requesting Data...</v>
      </c>
      <c r="P330" t="str">
        <f>_xll.BDP("188270EN Muni","MUNI_TAX_PROV")</f>
        <v>#N/A Requesting Data...</v>
      </c>
      <c r="Q330" t="str">
        <f>_xll.BDP("188270EN Muni","MUNI_FED_TAX")</f>
        <v>#N/A Requesting Data...</v>
      </c>
      <c r="R330" t="str">
        <f>_xll.BDP("188270EN Muni","MUNI_MSRB_VOLUME")</f>
        <v>#N/A Requesting Data...</v>
      </c>
      <c r="S330" t="str">
        <f>_xll.BDP("188270EN Muni","BB_COMPOSITE")</f>
        <v>#N/A Requesting Data...</v>
      </c>
      <c r="T330" t="str">
        <f>_xll.BDP("188270EN Muni","LQA_LIQUIDITY_SCORE")</f>
        <v>#N/A Requesting Data...</v>
      </c>
    </row>
    <row r="331" spans="1:20" x14ac:dyDescent="0.25">
      <c r="A331" t="str">
        <f>_xll.BDP("050177EZ Muni","ID_CUSIP")</f>
        <v>#N/A Requesting Data...</v>
      </c>
      <c r="B331" t="s">
        <v>127</v>
      </c>
      <c r="C331" t="str">
        <f>_xll.BDP("050177EZ Muni","INSURANCE_STATUS")</f>
        <v>#N/A Requesting Data...</v>
      </c>
      <c r="D331" t="str">
        <f>_xll.BDP("050177EZ Muni","STATE_CODE")</f>
        <v>#N/A Requesting Data...</v>
      </c>
      <c r="E331" t="str">
        <f>_xll.BDP("050177EZ Muni","COUNTY_LOCATION_ISSUER")</f>
        <v>#N/A Requesting Data...</v>
      </c>
      <c r="F331" t="str">
        <f>_xll.BDP("050177EZ Muni","DUR_ADJ_MID")</f>
        <v>#N/A Requesting Data...</v>
      </c>
      <c r="G331" t="str">
        <f>_xll.BDP("050177EZ Muni","SPREAD_AT_ISSUANCE_TO_WORST")</f>
        <v>#N/A Requesting Data...</v>
      </c>
      <c r="H331" t="str">
        <f>_xll.BDP("050177EZ Muni","ISSUE_DT")</f>
        <v>#N/A Requesting Data...</v>
      </c>
      <c r="I331" t="str">
        <f>_xll.BDS("050177EZ Muni","MUNI_PURPOSE_SCHED", "aggregate=y")</f>
        <v>#N/A Review</v>
      </c>
      <c r="J331" t="str">
        <f>_xll.BDP("050177EZ Muni","CPN")</f>
        <v>#N/A Requesting Data...</v>
      </c>
      <c r="K331" t="str">
        <f>_xll.BDP("050177EZ Muni","MATURITY")</f>
        <v>#N/A Requesting Data...</v>
      </c>
      <c r="L331">
        <v>145000</v>
      </c>
      <c r="M331" t="str">
        <f>_xll.BDP("050177EZ Muni","YIELD_ON_ISSUE_DATE")</f>
        <v>#N/A Requesting Data...</v>
      </c>
      <c r="N331" t="str">
        <f>_xll.BDP("050177EZ Muni","YTW_SPREAD_TO_MATURITY_AT_ISSU")</f>
        <v>#N/A Requesting Data...</v>
      </c>
      <c r="O331" t="str">
        <f>_xll.BDP("050177EZ Muni","BVAL_MID_YTM")</f>
        <v>#N/A Requesting Data...</v>
      </c>
      <c r="P331" t="str">
        <f>_xll.BDP("050177EZ Muni","MUNI_TAX_PROV")</f>
        <v>#N/A Requesting Data...</v>
      </c>
      <c r="Q331" t="str">
        <f>_xll.BDP("050177EZ Muni","MUNI_FED_TAX")</f>
        <v>#N/A Requesting Data...</v>
      </c>
      <c r="R331" t="str">
        <f>_xll.BDP("050177EZ Muni","MUNI_MSRB_VOLUME")</f>
        <v>#N/A Requesting Data...</v>
      </c>
      <c r="S331" t="str">
        <f>_xll.BDP("050177EZ Muni","BB_COMPOSITE")</f>
        <v>#N/A Requesting Data...</v>
      </c>
      <c r="T331" t="str">
        <f>_xll.BDP("050177EZ Muni","LQA_LIQUIDITY_SCORE")</f>
        <v>#N/A Requesting Data...</v>
      </c>
    </row>
    <row r="332" spans="1:20" x14ac:dyDescent="0.25">
      <c r="A332" t="str">
        <f>_xll.BDP("050177FB Muni","ID_CUSIP")</f>
        <v>#N/A Requesting Data...</v>
      </c>
      <c r="B332" t="s">
        <v>127</v>
      </c>
      <c r="C332" t="str">
        <f>_xll.BDP("050177FB Muni","INSURANCE_STATUS")</f>
        <v>#N/A Requesting Data...</v>
      </c>
      <c r="D332" t="str">
        <f>_xll.BDP("050177FB Muni","STATE_CODE")</f>
        <v>#N/A Requesting Data...</v>
      </c>
      <c r="E332" t="str">
        <f>_xll.BDP("050177FB Muni","COUNTY_LOCATION_ISSUER")</f>
        <v>#N/A Requesting Data...</v>
      </c>
      <c r="F332" t="str">
        <f>_xll.BDP("050177FB Muni","DUR_ADJ_MID")</f>
        <v>#N/A Requesting Data...</v>
      </c>
      <c r="G332" t="str">
        <f>_xll.BDP("050177FB Muni","SPREAD_AT_ISSUANCE_TO_WORST")</f>
        <v>#N/A Requesting Data...</v>
      </c>
      <c r="H332" t="str">
        <f>_xll.BDP("050177FB Muni","ISSUE_DT")</f>
        <v>#N/A Requesting Data...</v>
      </c>
      <c r="I332" t="str">
        <f>_xll.BDS("050177FB Muni","MUNI_PURPOSE_SCHED", "aggregate=y")</f>
        <v>#N/A Review</v>
      </c>
      <c r="J332" t="str">
        <f>_xll.BDP("050177FB Muni","CPN")</f>
        <v>#N/A Requesting Data...</v>
      </c>
      <c r="K332" t="str">
        <f>_xll.BDP("050177FB Muni","MATURITY")</f>
        <v>#N/A Requesting Data...</v>
      </c>
      <c r="L332">
        <v>230000</v>
      </c>
      <c r="M332" t="str">
        <f>_xll.BDP("050177FB Muni","YIELD_ON_ISSUE_DATE")</f>
        <v>#N/A Requesting Data...</v>
      </c>
      <c r="N332" t="str">
        <f>_xll.BDP("050177FB Muni","YTW_SPREAD_TO_MATURITY_AT_ISSU")</f>
        <v>#N/A Requesting Data...</v>
      </c>
      <c r="O332" t="str">
        <f>_xll.BDP("050177FB Muni","BVAL_MID_YTM")</f>
        <v>#N/A Requesting Data...</v>
      </c>
      <c r="P332" t="str">
        <f>_xll.BDP("050177FB Muni","MUNI_TAX_PROV")</f>
        <v>#N/A Requesting Data...</v>
      </c>
      <c r="Q332" t="str">
        <f>_xll.BDP("050177FB Muni","MUNI_FED_TAX")</f>
        <v>#N/A Requesting Data...</v>
      </c>
      <c r="R332" t="str">
        <f>_xll.BDP("050177FB Muni","MUNI_MSRB_VOLUME")</f>
        <v>#N/A Requesting Data...</v>
      </c>
      <c r="S332" t="str">
        <f>_xll.BDP("050177FB Muni","BB_COMPOSITE")</f>
        <v>#N/A Requesting Data...</v>
      </c>
      <c r="T332" t="str">
        <f>_xll.BDP("050177FB Muni","LQA_LIQUIDITY_SCORE")</f>
        <v>#N/A Requesting Data...</v>
      </c>
    </row>
    <row r="333" spans="1:20" x14ac:dyDescent="0.25">
      <c r="A333" t="str">
        <f>_xll.BDP("050177FC Muni","ID_CUSIP")</f>
        <v>#N/A Requesting Data...</v>
      </c>
      <c r="B333" t="s">
        <v>127</v>
      </c>
      <c r="C333" t="str">
        <f>_xll.BDP("050177FC Muni","INSURANCE_STATUS")</f>
        <v>#N/A Requesting Data...</v>
      </c>
      <c r="D333" t="str">
        <f>_xll.BDP("050177FC Muni","STATE_CODE")</f>
        <v>#N/A Requesting Data...</v>
      </c>
      <c r="E333" t="str">
        <f>_xll.BDP("050177FC Muni","COUNTY_LOCATION_ISSUER")</f>
        <v>#N/A Requesting Data...</v>
      </c>
      <c r="F333" t="str">
        <f>_xll.BDP("050177FC Muni","DUR_ADJ_MID")</f>
        <v>#N/A Requesting Data...</v>
      </c>
      <c r="G333" t="str">
        <f>_xll.BDP("050177FC Muni","SPREAD_AT_ISSUANCE_TO_WORST")</f>
        <v>#N/A Requesting Data...</v>
      </c>
      <c r="H333" t="str">
        <f>_xll.BDP("050177FC Muni","ISSUE_DT")</f>
        <v>#N/A Requesting Data...</v>
      </c>
      <c r="I333" t="str">
        <f>_xll.BDS("050177FC Muni","MUNI_PURPOSE_SCHED", "aggregate=y")</f>
        <v>#N/A Review</v>
      </c>
      <c r="J333" t="str">
        <f>_xll.BDP("050177FC Muni","CPN")</f>
        <v>#N/A Requesting Data...</v>
      </c>
      <c r="K333" t="str">
        <f>_xll.BDP("050177FC Muni","MATURITY")</f>
        <v>#N/A Requesting Data...</v>
      </c>
      <c r="L333">
        <v>260000</v>
      </c>
      <c r="M333" t="str">
        <f>_xll.BDP("050177FC Muni","YIELD_ON_ISSUE_DATE")</f>
        <v>#N/A Requesting Data...</v>
      </c>
      <c r="N333" t="str">
        <f>_xll.BDP("050177FC Muni","YTW_SPREAD_TO_MATURITY_AT_ISSU")</f>
        <v>#N/A Requesting Data...</v>
      </c>
      <c r="O333" t="str">
        <f>_xll.BDP("050177FC Muni","BVAL_MID_YTM")</f>
        <v>#N/A Requesting Data...</v>
      </c>
      <c r="P333" t="str">
        <f>_xll.BDP("050177FC Muni","MUNI_TAX_PROV")</f>
        <v>#N/A Requesting Data...</v>
      </c>
      <c r="Q333" t="str">
        <f>_xll.BDP("050177FC Muni","MUNI_FED_TAX")</f>
        <v>#N/A Requesting Data...</v>
      </c>
      <c r="R333" t="str">
        <f>_xll.BDP("050177FC Muni","MUNI_MSRB_VOLUME")</f>
        <v>#N/A Requesting Data...</v>
      </c>
      <c r="S333" t="str">
        <f>_xll.BDP("050177FC Muni","BB_COMPOSITE")</f>
        <v>#N/A Requesting Data...</v>
      </c>
      <c r="T333" t="str">
        <f>_xll.BDP("050177FC Muni","LQA_LIQUIDITY_SCORE")</f>
        <v>#N/A Requesting Data...</v>
      </c>
    </row>
    <row r="334" spans="1:20" x14ac:dyDescent="0.25">
      <c r="A334" t="str">
        <f>_xll.BDP("049843X2 Muni","ID_CUSIP")</f>
        <v>#N/A Requesting Data...</v>
      </c>
      <c r="B334" t="s">
        <v>174</v>
      </c>
      <c r="C334" t="str">
        <f>_xll.BDP("049843X2 Muni","INSURANCE_STATUS")</f>
        <v>#N/A Requesting Data...</v>
      </c>
      <c r="D334" t="str">
        <f>_xll.BDP("049843X2 Muni","STATE_CODE")</f>
        <v>#N/A Requesting Data...</v>
      </c>
      <c r="E334" t="str">
        <f>_xll.BDP("049843X2 Muni","COUNTY_LOCATION_ISSUER")</f>
        <v>#N/A Requesting Data...</v>
      </c>
      <c r="F334" t="str">
        <f>_xll.BDP("049843X2 Muni","DUR_ADJ_MID")</f>
        <v>#N/A Requesting Data...</v>
      </c>
      <c r="G334" t="str">
        <f>_xll.BDP("049843X2 Muni","SPREAD_AT_ISSUANCE_TO_WORST")</f>
        <v>#N/A Requesting Data...</v>
      </c>
      <c r="H334" t="str">
        <f>_xll.BDP("049843X2 Muni","ISSUE_DT")</f>
        <v>#N/A Requesting Data...</v>
      </c>
      <c r="I334" t="str">
        <f>_xll.BDS("049843X2 Muni","MUNI_PURPOSE_SCHED", "aggregate=y")</f>
        <v>#N/A Review</v>
      </c>
      <c r="J334" t="str">
        <f>_xll.BDP("049843X2 Muni","CPN")</f>
        <v>#N/A Requesting Data...</v>
      </c>
      <c r="K334" t="str">
        <f>_xll.BDP("049843X2 Muni","MATURITY")</f>
        <v>#N/A Requesting Data...</v>
      </c>
      <c r="L334">
        <v>445000</v>
      </c>
      <c r="M334" t="str">
        <f>_xll.BDP("049843X2 Muni","YIELD_ON_ISSUE_DATE")</f>
        <v>#N/A Requesting Data...</v>
      </c>
      <c r="N334" t="str">
        <f>_xll.BDP("049843X2 Muni","YTW_SPREAD_TO_MATURITY_AT_ISSU")</f>
        <v>#N/A Requesting Data...</v>
      </c>
      <c r="O334" t="str">
        <f>_xll.BDP("049843X2 Muni","BVAL_MID_YTM")</f>
        <v>#N/A Requesting Data...</v>
      </c>
      <c r="P334" t="str">
        <f>_xll.BDP("049843X2 Muni","MUNI_TAX_PROV")</f>
        <v>#N/A Requesting Data...</v>
      </c>
      <c r="Q334" t="str">
        <f>_xll.BDP("049843X2 Muni","MUNI_FED_TAX")</f>
        <v>#N/A Requesting Data...</v>
      </c>
      <c r="R334" t="str">
        <f>_xll.BDP("049843X2 Muni","MUNI_MSRB_VOLUME")</f>
        <v>#N/A Requesting Data...</v>
      </c>
      <c r="S334" t="str">
        <f>_xll.BDP("049843X2 Muni","BB_COMPOSITE")</f>
        <v>#N/A Requesting Data...</v>
      </c>
      <c r="T334" t="str">
        <f>_xll.BDP("049843X2 Muni","LQA_LIQUIDITY_SCORE")</f>
        <v>#N/A Requesting Data...</v>
      </c>
    </row>
    <row r="335" spans="1:20" x14ac:dyDescent="0.25">
      <c r="A335" t="str">
        <f>_xll.BDP("049843X3 Muni","ID_CUSIP")</f>
        <v>#N/A Requesting Data...</v>
      </c>
      <c r="B335" t="s">
        <v>174</v>
      </c>
      <c r="C335" t="str">
        <f>_xll.BDP("049843X3 Muni","INSURANCE_STATUS")</f>
        <v>#N/A Requesting Data...</v>
      </c>
      <c r="D335" t="str">
        <f>_xll.BDP("049843X3 Muni","STATE_CODE")</f>
        <v>#N/A Requesting Data...</v>
      </c>
      <c r="E335" t="str">
        <f>_xll.BDP("049843X3 Muni","COUNTY_LOCATION_ISSUER")</f>
        <v>#N/A Requesting Data...</v>
      </c>
      <c r="F335" t="str">
        <f>_xll.BDP("049843X3 Muni","DUR_ADJ_MID")</f>
        <v>#N/A Requesting Data...</v>
      </c>
      <c r="G335" t="str">
        <f>_xll.BDP("049843X3 Muni","SPREAD_AT_ISSUANCE_TO_WORST")</f>
        <v>#N/A Requesting Data...</v>
      </c>
      <c r="H335" t="str">
        <f>_xll.BDP("049843X3 Muni","ISSUE_DT")</f>
        <v>#N/A Requesting Data...</v>
      </c>
      <c r="I335" t="str">
        <f>_xll.BDS("049843X3 Muni","MUNI_PURPOSE_SCHED", "aggregate=y")</f>
        <v>#N/A Review</v>
      </c>
      <c r="J335" t="str">
        <f>_xll.BDP("049843X3 Muni","CPN")</f>
        <v>#N/A Requesting Data...</v>
      </c>
      <c r="K335" t="str">
        <f>_xll.BDP("049843X3 Muni","MATURITY")</f>
        <v>#N/A Requesting Data...</v>
      </c>
      <c r="L335">
        <v>445000</v>
      </c>
      <c r="M335" t="str">
        <f>_xll.BDP("049843X3 Muni","YIELD_ON_ISSUE_DATE")</f>
        <v>#N/A Requesting Data...</v>
      </c>
      <c r="N335" t="str">
        <f>_xll.BDP("049843X3 Muni","YTW_SPREAD_TO_MATURITY_AT_ISSU")</f>
        <v>#N/A Requesting Data...</v>
      </c>
      <c r="O335" t="str">
        <f>_xll.BDP("049843X3 Muni","BVAL_MID_YTM")</f>
        <v>#N/A Requesting Data...</v>
      </c>
      <c r="P335" t="str">
        <f>_xll.BDP("049843X3 Muni","MUNI_TAX_PROV")</f>
        <v>#N/A Requesting Data...</v>
      </c>
      <c r="Q335" t="str">
        <f>_xll.BDP("049843X3 Muni","MUNI_FED_TAX")</f>
        <v>#N/A Requesting Data...</v>
      </c>
      <c r="R335" t="str">
        <f>_xll.BDP("049843X3 Muni","MUNI_MSRB_VOLUME")</f>
        <v>#N/A Requesting Data...</v>
      </c>
      <c r="S335" t="str">
        <f>_xll.BDP("049843X3 Muni","BB_COMPOSITE")</f>
        <v>#N/A Requesting Data...</v>
      </c>
      <c r="T335" t="str">
        <f>_xll.BDP("049843X3 Muni","LQA_LIQUIDITY_SCORE")</f>
        <v>#N/A Requesting Data...</v>
      </c>
    </row>
    <row r="336" spans="1:20" x14ac:dyDescent="0.25">
      <c r="A336" t="str">
        <f>_xll.BDP("257831MB Muni","ID_CUSIP")</f>
        <v>#N/A Requesting Data...</v>
      </c>
      <c r="B336" t="s">
        <v>175</v>
      </c>
      <c r="C336" t="str">
        <f>_xll.BDP("257831MB Muni","INSURANCE_STATUS")</f>
        <v>#N/A Requesting Data...</v>
      </c>
      <c r="D336" t="str">
        <f>_xll.BDP("257831MB Muni","STATE_CODE")</f>
        <v>#N/A Requesting Data...</v>
      </c>
      <c r="E336" t="str">
        <f>_xll.BDP("257831MB Muni","COUNTY_LOCATION_ISSUER")</f>
        <v>#N/A Requesting Data...</v>
      </c>
      <c r="F336" t="str">
        <f>_xll.BDP("257831MB Muni","DUR_ADJ_MID")</f>
        <v>#N/A Requesting Data...</v>
      </c>
      <c r="G336" t="str">
        <f>_xll.BDP("257831MB Muni","SPREAD_AT_ISSUANCE_TO_WORST")</f>
        <v>#N/A Requesting Data...</v>
      </c>
      <c r="H336" t="str">
        <f>_xll.BDP("257831MB Muni","ISSUE_DT")</f>
        <v>#N/A Requesting Data...</v>
      </c>
      <c r="I336" t="str">
        <f>_xll.BDS("257831MB Muni","MUNI_PURPOSE_SCHED", "aggregate=y")</f>
        <v>#N/A Review</v>
      </c>
      <c r="J336" t="str">
        <f>_xll.BDP("257831MB Muni","CPN")</f>
        <v>#N/A Requesting Data...</v>
      </c>
      <c r="K336" t="str">
        <f>_xll.BDP("257831MB Muni","MATURITY")</f>
        <v>#N/A Requesting Data...</v>
      </c>
      <c r="L336">
        <v>150000</v>
      </c>
      <c r="M336" t="str">
        <f>_xll.BDP("257831MB Muni","YIELD_ON_ISSUE_DATE")</f>
        <v>#N/A Requesting Data...</v>
      </c>
      <c r="N336" t="str">
        <f>_xll.BDP("257831MB Muni","YTW_SPREAD_TO_MATURITY_AT_ISSU")</f>
        <v>#N/A Requesting Data...</v>
      </c>
      <c r="O336" t="str">
        <f>_xll.BDP("257831MB Muni","BVAL_MID_YTM")</f>
        <v>#N/A Requesting Data...</v>
      </c>
      <c r="P336" t="str">
        <f>_xll.BDP("257831MB Muni","MUNI_TAX_PROV")</f>
        <v>#N/A Requesting Data...</v>
      </c>
      <c r="Q336" t="str">
        <f>_xll.BDP("257831MB Muni","MUNI_FED_TAX")</f>
        <v>#N/A Requesting Data...</v>
      </c>
      <c r="R336" t="str">
        <f>_xll.BDP("257831MB Muni","MUNI_MSRB_VOLUME")</f>
        <v>#N/A Requesting Data...</v>
      </c>
      <c r="S336" t="str">
        <f>_xll.BDP("257831MB Muni","BB_COMPOSITE")</f>
        <v>#N/A Requesting Data...</v>
      </c>
      <c r="T336" t="str">
        <f>_xll.BDP("257831MB Muni","LQA_LIQUIDITY_SCORE")</f>
        <v>#N/A Requesting Data...</v>
      </c>
    </row>
    <row r="337" spans="1:20" x14ac:dyDescent="0.25">
      <c r="A337" t="str">
        <f>_xll.BDP("003518LA Muni","ID_CUSIP")</f>
        <v>#N/A Requesting Data...</v>
      </c>
      <c r="B337" t="s">
        <v>169</v>
      </c>
      <c r="C337" t="str">
        <f>_xll.BDP("003518LA Muni","INSURANCE_STATUS")</f>
        <v>#N/A Requesting Data...</v>
      </c>
      <c r="D337" t="str">
        <f>_xll.BDP("003518LA Muni","STATE_CODE")</f>
        <v>#N/A Requesting Data...</v>
      </c>
      <c r="E337" t="str">
        <f>_xll.BDP("003518LA Muni","COUNTY_LOCATION_ISSUER")</f>
        <v>#N/A Requesting Data...</v>
      </c>
      <c r="F337" t="str">
        <f>_xll.BDP("003518LA Muni","DUR_ADJ_MID")</f>
        <v>#N/A Requesting Data...</v>
      </c>
      <c r="G337" t="str">
        <f>_xll.BDP("003518LA Muni","SPREAD_AT_ISSUANCE_TO_WORST")</f>
        <v>#N/A Requesting Data...</v>
      </c>
      <c r="H337" t="str">
        <f>_xll.BDP("003518LA Muni","ISSUE_DT")</f>
        <v>#N/A Requesting Data...</v>
      </c>
      <c r="I337" t="str">
        <f>_xll.BDS("003518LA Muni","MUNI_PURPOSE_SCHED", "aggregate=y")</f>
        <v>#N/A Review</v>
      </c>
      <c r="J337" t="str">
        <f>_xll.BDP("003518LA Muni","CPN")</f>
        <v>#N/A Requesting Data...</v>
      </c>
      <c r="K337" t="str">
        <f>_xll.BDP("003518LA Muni","MATURITY")</f>
        <v>#N/A Requesting Data...</v>
      </c>
      <c r="L337">
        <v>100000</v>
      </c>
      <c r="M337" t="str">
        <f>_xll.BDP("003518LA Muni","YIELD_ON_ISSUE_DATE")</f>
        <v>#N/A Requesting Data...</v>
      </c>
      <c r="N337" t="str">
        <f>_xll.BDP("003518LA Muni","YTW_SPREAD_TO_MATURITY_AT_ISSU")</f>
        <v>#N/A Requesting Data...</v>
      </c>
      <c r="O337" t="str">
        <f>_xll.BDP("003518LA Muni","BVAL_MID_YTM")</f>
        <v>#N/A Requesting Data...</v>
      </c>
      <c r="P337" t="str">
        <f>_xll.BDP("003518LA Muni","MUNI_TAX_PROV")</f>
        <v>#N/A Requesting Data...</v>
      </c>
      <c r="Q337" t="str">
        <f>_xll.BDP("003518LA Muni","MUNI_FED_TAX")</f>
        <v>#N/A Requesting Data...</v>
      </c>
      <c r="R337" t="str">
        <f>_xll.BDP("003518LA Muni","MUNI_MSRB_VOLUME")</f>
        <v>#N/A Requesting Data...</v>
      </c>
      <c r="S337" t="str">
        <f>_xll.BDP("003518LA Muni","BB_COMPOSITE")</f>
        <v>#N/A Requesting Data...</v>
      </c>
      <c r="T337" t="str">
        <f>_xll.BDP("003518LA Muni","LQA_LIQUIDITY_SCORE")</f>
        <v>#N/A Requesting Data...</v>
      </c>
    </row>
    <row r="338" spans="1:20" x14ac:dyDescent="0.25">
      <c r="A338" t="str">
        <f>_xll.BDP("003518LC Muni","ID_CUSIP")</f>
        <v>#N/A Requesting Data...</v>
      </c>
      <c r="B338" t="s">
        <v>169</v>
      </c>
      <c r="C338" t="str">
        <f>_xll.BDP("003518LC Muni","INSURANCE_STATUS")</f>
        <v>#N/A Requesting Data...</v>
      </c>
      <c r="D338" t="str">
        <f>_xll.BDP("003518LC Muni","STATE_CODE")</f>
        <v>#N/A Requesting Data...</v>
      </c>
      <c r="E338" t="str">
        <f>_xll.BDP("003518LC Muni","COUNTY_LOCATION_ISSUER")</f>
        <v>#N/A Requesting Data...</v>
      </c>
      <c r="F338" t="str">
        <f>_xll.BDP("003518LC Muni","DUR_ADJ_MID")</f>
        <v>#N/A Requesting Data...</v>
      </c>
      <c r="G338" t="str">
        <f>_xll.BDP("003518LC Muni","SPREAD_AT_ISSUANCE_TO_WORST")</f>
        <v>#N/A Requesting Data...</v>
      </c>
      <c r="H338" t="str">
        <f>_xll.BDP("003518LC Muni","ISSUE_DT")</f>
        <v>#N/A Requesting Data...</v>
      </c>
      <c r="I338" t="str">
        <f>_xll.BDS("003518LC Muni","MUNI_PURPOSE_SCHED", "aggregate=y")</f>
        <v>#N/A Review</v>
      </c>
      <c r="J338" t="str">
        <f>_xll.BDP("003518LC Muni","CPN")</f>
        <v>#N/A Requesting Data...</v>
      </c>
      <c r="K338" t="str">
        <f>_xll.BDP("003518LC Muni","MATURITY")</f>
        <v>#N/A Requesting Data...</v>
      </c>
      <c r="L338">
        <v>100000</v>
      </c>
      <c r="M338" t="str">
        <f>_xll.BDP("003518LC Muni","YIELD_ON_ISSUE_DATE")</f>
        <v>#N/A Requesting Data...</v>
      </c>
      <c r="N338" t="str">
        <f>_xll.BDP("003518LC Muni","YTW_SPREAD_TO_MATURITY_AT_ISSU")</f>
        <v>#N/A Requesting Data...</v>
      </c>
      <c r="O338" t="str">
        <f>_xll.BDP("003518LC Muni","BVAL_MID_YTM")</f>
        <v>#N/A Requesting Data...</v>
      </c>
      <c r="P338" t="str">
        <f>_xll.BDP("003518LC Muni","MUNI_TAX_PROV")</f>
        <v>#N/A Requesting Data...</v>
      </c>
      <c r="Q338" t="str">
        <f>_xll.BDP("003518LC Muni","MUNI_FED_TAX")</f>
        <v>#N/A Requesting Data...</v>
      </c>
      <c r="R338" t="str">
        <f>_xll.BDP("003518LC Muni","MUNI_MSRB_VOLUME")</f>
        <v>#N/A Requesting Data...</v>
      </c>
      <c r="S338" t="str">
        <f>_xll.BDP("003518LC Muni","BB_COMPOSITE")</f>
        <v>#N/A Requesting Data...</v>
      </c>
      <c r="T338" t="str">
        <f>_xll.BDP("003518LC Muni","LQA_LIQUIDITY_SCORE")</f>
        <v>#N/A Requesting Data...</v>
      </c>
    </row>
    <row r="339" spans="1:20" x14ac:dyDescent="0.25">
      <c r="A339" t="str">
        <f>_xll.BDP("188270EL Muni","ID_CUSIP")</f>
        <v>#N/A Requesting Data...</v>
      </c>
      <c r="B339" t="s">
        <v>173</v>
      </c>
      <c r="C339" t="str">
        <f>_xll.BDP("188270EL Muni","INSURANCE_STATUS")</f>
        <v>#N/A Requesting Data...</v>
      </c>
      <c r="D339" t="str">
        <f>_xll.BDP("188270EL Muni","STATE_CODE")</f>
        <v>#N/A Requesting Data...</v>
      </c>
      <c r="E339" t="str">
        <f>_xll.BDP("188270EL Muni","COUNTY_LOCATION_ISSUER")</f>
        <v>#N/A Requesting Data...</v>
      </c>
      <c r="F339" t="str">
        <f>_xll.BDP("188270EL Muni","DUR_ADJ_MID")</f>
        <v>#N/A Requesting Data...</v>
      </c>
      <c r="G339" t="str">
        <f>_xll.BDP("188270EL Muni","SPREAD_AT_ISSUANCE_TO_WORST")</f>
        <v>#N/A Requesting Data...</v>
      </c>
      <c r="H339" t="str">
        <f>_xll.BDP("188270EL Muni","ISSUE_DT")</f>
        <v>#N/A Requesting Data...</v>
      </c>
      <c r="I339" t="str">
        <f>_xll.BDS("188270EL Muni","MUNI_PURPOSE_SCHED", "aggregate=y")</f>
        <v>#N/A Review</v>
      </c>
      <c r="J339" t="str">
        <f>_xll.BDP("188270EL Muni","CPN")</f>
        <v>#N/A Requesting Data...</v>
      </c>
      <c r="K339" t="str">
        <f>_xll.BDP("188270EL Muni","MATURITY")</f>
        <v>#N/A Requesting Data...</v>
      </c>
      <c r="L339">
        <v>55000</v>
      </c>
      <c r="M339" t="str">
        <f>_xll.BDP("188270EL Muni","YIELD_ON_ISSUE_DATE")</f>
        <v>#N/A Requesting Data...</v>
      </c>
      <c r="N339" t="str">
        <f>_xll.BDP("188270EL Muni","YTW_SPREAD_TO_MATURITY_AT_ISSU")</f>
        <v>#N/A Requesting Data...</v>
      </c>
      <c r="O339" t="str">
        <f>_xll.BDP("188270EL Muni","BVAL_MID_YTM")</f>
        <v>#N/A Requesting Data...</v>
      </c>
      <c r="P339" t="str">
        <f>_xll.BDP("188270EL Muni","MUNI_TAX_PROV")</f>
        <v>#N/A Requesting Data...</v>
      </c>
      <c r="Q339" t="str">
        <f>_xll.BDP("188270EL Muni","MUNI_FED_TAX")</f>
        <v>#N/A Requesting Data...</v>
      </c>
      <c r="R339" t="str">
        <f>_xll.BDP("188270EL Muni","MUNI_MSRB_VOLUME")</f>
        <v>#N/A Requesting Data...</v>
      </c>
      <c r="S339" t="str">
        <f>_xll.BDP("188270EL Muni","BB_COMPOSITE")</f>
        <v>#N/A Requesting Data...</v>
      </c>
      <c r="T339" t="str">
        <f>_xll.BDP("188270EL Muni","LQA_LIQUIDITY_SCORE")</f>
        <v>#N/A Requesting Data...</v>
      </c>
    </row>
    <row r="340" spans="1:20" x14ac:dyDescent="0.25">
      <c r="A340" t="str">
        <f>_xll.BDP("003518LB Muni","ID_CUSIP")</f>
        <v>#N/A Requesting Data...</v>
      </c>
      <c r="B340" t="s">
        <v>169</v>
      </c>
      <c r="C340" t="str">
        <f>_xll.BDP("003518LB Muni","INSURANCE_STATUS")</f>
        <v>#N/A Requesting Data...</v>
      </c>
      <c r="D340" t="str">
        <f>_xll.BDP("003518LB Muni","STATE_CODE")</f>
        <v>#N/A Requesting Data...</v>
      </c>
      <c r="E340" t="str">
        <f>_xll.BDP("003518LB Muni","COUNTY_LOCATION_ISSUER")</f>
        <v>#N/A Requesting Data...</v>
      </c>
      <c r="F340" t="str">
        <f>_xll.BDP("003518LB Muni","DUR_ADJ_MID")</f>
        <v>#N/A Requesting Data...</v>
      </c>
      <c r="G340" t="str">
        <f>_xll.BDP("003518LB Muni","SPREAD_AT_ISSUANCE_TO_WORST")</f>
        <v>#N/A Requesting Data...</v>
      </c>
      <c r="H340" t="str">
        <f>_xll.BDP("003518LB Muni","ISSUE_DT")</f>
        <v>#N/A Requesting Data...</v>
      </c>
      <c r="I340" t="str">
        <f>_xll.BDS("003518LB Muni","MUNI_PURPOSE_SCHED", "aggregate=y")</f>
        <v>#N/A Review</v>
      </c>
      <c r="J340" t="str">
        <f>_xll.BDP("003518LB Muni","CPN")</f>
        <v>#N/A Requesting Data...</v>
      </c>
      <c r="K340" t="str">
        <f>_xll.BDP("003518LB Muni","MATURITY")</f>
        <v>#N/A Requesting Data...</v>
      </c>
      <c r="L340">
        <v>100000</v>
      </c>
      <c r="M340" t="str">
        <f>_xll.BDP("003518LB Muni","YIELD_ON_ISSUE_DATE")</f>
        <v>#N/A Requesting Data...</v>
      </c>
      <c r="N340" t="str">
        <f>_xll.BDP("003518LB Muni","YTW_SPREAD_TO_MATURITY_AT_ISSU")</f>
        <v>#N/A Requesting Data...</v>
      </c>
      <c r="O340" t="str">
        <f>_xll.BDP("003518LB Muni","BVAL_MID_YTM")</f>
        <v>#N/A Requesting Data...</v>
      </c>
      <c r="P340" t="str">
        <f>_xll.BDP("003518LB Muni","MUNI_TAX_PROV")</f>
        <v>#N/A Requesting Data...</v>
      </c>
      <c r="Q340" t="str">
        <f>_xll.BDP("003518LB Muni","MUNI_FED_TAX")</f>
        <v>#N/A Requesting Data...</v>
      </c>
      <c r="R340" t="str">
        <f>_xll.BDP("003518LB Muni","MUNI_MSRB_VOLUME")</f>
        <v>#N/A Requesting Data...</v>
      </c>
      <c r="S340" t="str">
        <f>_xll.BDP("003518LB Muni","BB_COMPOSITE")</f>
        <v>#N/A Requesting Data...</v>
      </c>
      <c r="T340" t="str">
        <f>_xll.BDP("003518LB Muni","LQA_LIQUIDITY_SCORE")</f>
        <v>#N/A Requesting Data...</v>
      </c>
    </row>
    <row r="341" spans="1:20" x14ac:dyDescent="0.25">
      <c r="A341" t="str">
        <f>_xll.BDP("186423AG Muni","ID_CUSIP")</f>
        <v>#N/A Requesting Data...</v>
      </c>
      <c r="B341" t="s">
        <v>176</v>
      </c>
      <c r="C341" t="str">
        <f>_xll.BDP("186423AG Muni","INSURANCE_STATUS")</f>
        <v>#N/A Requesting Data...</v>
      </c>
      <c r="D341" t="str">
        <f>_xll.BDP("186423AG Muni","STATE_CODE")</f>
        <v>#N/A Requesting Data...</v>
      </c>
      <c r="E341" t="str">
        <f>_xll.BDP("186423AG Muni","COUNTY_LOCATION_ISSUER")</f>
        <v>#N/A Requesting Data...</v>
      </c>
      <c r="F341" t="str">
        <f>_xll.BDP("186423AG Muni","DUR_ADJ_MID")</f>
        <v>#N/A Requesting Data...</v>
      </c>
      <c r="G341" t="str">
        <f>_xll.BDP("186423AG Muni","SPREAD_AT_ISSUANCE_TO_WORST")</f>
        <v>#N/A Requesting Data...</v>
      </c>
      <c r="H341" t="str">
        <f>_xll.BDP("186423AG Muni","ISSUE_DT")</f>
        <v>#N/A Requesting Data...</v>
      </c>
      <c r="I341" t="str">
        <f>_xll.BDS("186423AG Muni","MUNI_PURPOSE_SCHED", "aggregate=y")</f>
        <v>#N/A Review</v>
      </c>
      <c r="J341" t="str">
        <f>_xll.BDP("186423AG Muni","CPN")</f>
        <v>#N/A Requesting Data...</v>
      </c>
      <c r="K341" t="str">
        <f>_xll.BDP("186423AG Muni","MATURITY")</f>
        <v>#N/A Requesting Data...</v>
      </c>
      <c r="L341">
        <v>695000</v>
      </c>
      <c r="M341" t="str">
        <f>_xll.BDP("186423AG Muni","YIELD_ON_ISSUE_DATE")</f>
        <v>#N/A Requesting Data...</v>
      </c>
      <c r="N341" t="str">
        <f>_xll.BDP("186423AG Muni","YTW_SPREAD_TO_MATURITY_AT_ISSU")</f>
        <v>#N/A Requesting Data...</v>
      </c>
      <c r="O341" t="str">
        <f>_xll.BDP("186423AG Muni","BVAL_MID_YTM")</f>
        <v>#N/A Requesting Data...</v>
      </c>
      <c r="P341" t="str">
        <f>_xll.BDP("186423AG Muni","MUNI_TAX_PROV")</f>
        <v>#N/A Requesting Data...</v>
      </c>
      <c r="Q341" t="str">
        <f>_xll.BDP("186423AG Muni","MUNI_FED_TAX")</f>
        <v>#N/A Requesting Data...</v>
      </c>
      <c r="R341" t="str">
        <f>_xll.BDP("186423AG Muni","MUNI_MSRB_VOLUME")</f>
        <v>#N/A Requesting Data...</v>
      </c>
      <c r="S341" t="str">
        <f>_xll.BDP("186423AG Muni","BB_COMPOSITE")</f>
        <v>#N/A Requesting Data...</v>
      </c>
      <c r="T341" t="str">
        <f>_xll.BDP("186423AG Muni","LQA_LIQUIDITY_SCORE")</f>
        <v>#N/A Requesting Data...</v>
      </c>
    </row>
    <row r="342" spans="1:20" x14ac:dyDescent="0.25">
      <c r="A342" t="str">
        <f>_xll.BDP("186423AJ Muni","ID_CUSIP")</f>
        <v>#N/A Requesting Data...</v>
      </c>
      <c r="B342" t="s">
        <v>176</v>
      </c>
      <c r="C342" t="str">
        <f>_xll.BDP("186423AJ Muni","INSURANCE_STATUS")</f>
        <v>#N/A Requesting Data...</v>
      </c>
      <c r="D342" t="str">
        <f>_xll.BDP("186423AJ Muni","STATE_CODE")</f>
        <v>#N/A Requesting Data...</v>
      </c>
      <c r="E342" t="str">
        <f>_xll.BDP("186423AJ Muni","COUNTY_LOCATION_ISSUER")</f>
        <v>#N/A Requesting Data...</v>
      </c>
      <c r="F342" t="str">
        <f>_xll.BDP("186423AJ Muni","DUR_ADJ_MID")</f>
        <v>#N/A Requesting Data...</v>
      </c>
      <c r="G342" t="str">
        <f>_xll.BDP("186423AJ Muni","SPREAD_AT_ISSUANCE_TO_WORST")</f>
        <v>#N/A Requesting Data...</v>
      </c>
      <c r="H342" t="str">
        <f>_xll.BDP("186423AJ Muni","ISSUE_DT")</f>
        <v>#N/A Requesting Data...</v>
      </c>
      <c r="I342" t="str">
        <f>_xll.BDS("186423AJ Muni","MUNI_PURPOSE_SCHED", "aggregate=y")</f>
        <v>#N/A Review</v>
      </c>
      <c r="J342" t="str">
        <f>_xll.BDP("186423AJ Muni","CPN")</f>
        <v>#N/A Requesting Data...</v>
      </c>
      <c r="K342" t="str">
        <f>_xll.BDP("186423AJ Muni","MATURITY")</f>
        <v>#N/A Requesting Data...</v>
      </c>
      <c r="L342">
        <v>765000</v>
      </c>
      <c r="M342" t="str">
        <f>_xll.BDP("186423AJ Muni","YIELD_ON_ISSUE_DATE")</f>
        <v>#N/A Requesting Data...</v>
      </c>
      <c r="N342" t="str">
        <f>_xll.BDP("186423AJ Muni","YTW_SPREAD_TO_MATURITY_AT_ISSU")</f>
        <v>#N/A Requesting Data...</v>
      </c>
      <c r="O342" t="str">
        <f>_xll.BDP("186423AJ Muni","BVAL_MID_YTM")</f>
        <v>#N/A Requesting Data...</v>
      </c>
      <c r="P342" t="str">
        <f>_xll.BDP("186423AJ Muni","MUNI_TAX_PROV")</f>
        <v>#N/A Requesting Data...</v>
      </c>
      <c r="Q342" t="str">
        <f>_xll.BDP("186423AJ Muni","MUNI_FED_TAX")</f>
        <v>#N/A Requesting Data...</v>
      </c>
      <c r="R342" t="str">
        <f>_xll.BDP("186423AJ Muni","MUNI_MSRB_VOLUME")</f>
        <v>#N/A Requesting Data...</v>
      </c>
      <c r="S342" t="str">
        <f>_xll.BDP("186423AJ Muni","BB_COMPOSITE")</f>
        <v>#N/A Requesting Data...</v>
      </c>
      <c r="T342" t="str">
        <f>_xll.BDP("186423AJ Muni","LQA_LIQUIDITY_SCORE")</f>
        <v>#N/A Requesting Data...</v>
      </c>
    </row>
    <row r="343" spans="1:20" x14ac:dyDescent="0.25">
      <c r="A343" t="str">
        <f>_xll.BDP("006514GB Muni","ID_CUSIP")</f>
        <v>#N/A Requesting Data...</v>
      </c>
      <c r="B343" t="s">
        <v>177</v>
      </c>
      <c r="C343" t="str">
        <f>_xll.BDP("006514GB Muni","INSURANCE_STATUS")</f>
        <v>#N/A Requesting Data...</v>
      </c>
      <c r="D343" t="str">
        <f>_xll.BDP("006514GB Muni","STATE_CODE")</f>
        <v>#N/A Requesting Data...</v>
      </c>
      <c r="E343" t="str">
        <f>_xll.BDP("006514GB Muni","COUNTY_LOCATION_ISSUER")</f>
        <v>#N/A Requesting Data...</v>
      </c>
      <c r="F343" t="str">
        <f>_xll.BDP("006514GB Muni","DUR_ADJ_MID")</f>
        <v>#N/A Requesting Data...</v>
      </c>
      <c r="G343" t="str">
        <f>_xll.BDP("006514GB Muni","SPREAD_AT_ISSUANCE_TO_WORST")</f>
        <v>#N/A Requesting Data...</v>
      </c>
      <c r="H343" t="str">
        <f>_xll.BDP("006514GB Muni","ISSUE_DT")</f>
        <v>#N/A Requesting Data...</v>
      </c>
      <c r="I343" t="str">
        <f>_xll.BDS("006514GB Muni","MUNI_PURPOSE_SCHED", "aggregate=y")</f>
        <v>#N/A Review</v>
      </c>
      <c r="J343" t="str">
        <f>_xll.BDP("006514GB Muni","CPN")</f>
        <v>#N/A Requesting Data...</v>
      </c>
      <c r="K343" t="str">
        <f>_xll.BDP("006514GB Muni","MATURITY")</f>
        <v>#N/A Requesting Data...</v>
      </c>
      <c r="L343">
        <v>165000</v>
      </c>
      <c r="M343" t="str">
        <f>_xll.BDP("006514GB Muni","YIELD_ON_ISSUE_DATE")</f>
        <v>#N/A Requesting Data...</v>
      </c>
      <c r="N343" t="str">
        <f>_xll.BDP("006514GB Muni","YTW_SPREAD_TO_MATURITY_AT_ISSU")</f>
        <v>#N/A Requesting Data...</v>
      </c>
      <c r="O343" t="str">
        <f>_xll.BDP("006514GB Muni","BVAL_MID_YTM")</f>
        <v>#N/A Requesting Data...</v>
      </c>
      <c r="P343" t="str">
        <f>_xll.BDP("006514GB Muni","MUNI_TAX_PROV")</f>
        <v>#N/A Requesting Data...</v>
      </c>
      <c r="Q343" t="str">
        <f>_xll.BDP("006514GB Muni","MUNI_FED_TAX")</f>
        <v>#N/A Requesting Data...</v>
      </c>
      <c r="R343" t="str">
        <f>_xll.BDP("006514GB Muni","MUNI_MSRB_VOLUME")</f>
        <v>#N/A Requesting Data...</v>
      </c>
      <c r="S343" t="str">
        <f>_xll.BDP("006514GB Muni","BB_COMPOSITE")</f>
        <v>#N/A Requesting Data...</v>
      </c>
      <c r="T343" t="str">
        <f>_xll.BDP("006514GB Muni","LQA_LIQUIDITY_SCORE")</f>
        <v>#N/A Requesting Data...</v>
      </c>
    </row>
    <row r="344" spans="1:20" x14ac:dyDescent="0.25">
      <c r="A344" t="str">
        <f>_xll.BDP("186423AH Muni","ID_CUSIP")</f>
        <v>#N/A Requesting Data...</v>
      </c>
      <c r="B344" t="s">
        <v>176</v>
      </c>
      <c r="C344" t="str">
        <f>_xll.BDP("186423AH Muni","INSURANCE_STATUS")</f>
        <v>#N/A Requesting Data...</v>
      </c>
      <c r="D344" t="str">
        <f>_xll.BDP("186423AH Muni","STATE_CODE")</f>
        <v>#N/A Requesting Data...</v>
      </c>
      <c r="E344" t="str">
        <f>_xll.BDP("186423AH Muni","COUNTY_LOCATION_ISSUER")</f>
        <v>#N/A Requesting Data...</v>
      </c>
      <c r="F344" t="str">
        <f>_xll.BDP("186423AH Muni","DUR_ADJ_MID")</f>
        <v>#N/A Requesting Data...</v>
      </c>
      <c r="G344" t="str">
        <f>_xll.BDP("186423AH Muni","SPREAD_AT_ISSUANCE_TO_WORST")</f>
        <v>#N/A Requesting Data...</v>
      </c>
      <c r="H344" t="str">
        <f>_xll.BDP("186423AH Muni","ISSUE_DT")</f>
        <v>#N/A Requesting Data...</v>
      </c>
      <c r="I344" t="str">
        <f>_xll.BDS("186423AH Muni","MUNI_PURPOSE_SCHED", "aggregate=y")</f>
        <v>#N/A Review</v>
      </c>
      <c r="J344" t="str">
        <f>_xll.BDP("186423AH Muni","CPN")</f>
        <v>#N/A Requesting Data...</v>
      </c>
      <c r="K344" t="str">
        <f>_xll.BDP("186423AH Muni","MATURITY")</f>
        <v>#N/A Requesting Data...</v>
      </c>
      <c r="L344">
        <v>730000</v>
      </c>
      <c r="M344" t="str">
        <f>_xll.BDP("186423AH Muni","YIELD_ON_ISSUE_DATE")</f>
        <v>#N/A Requesting Data...</v>
      </c>
      <c r="N344" t="str">
        <f>_xll.BDP("186423AH Muni","YTW_SPREAD_TO_MATURITY_AT_ISSU")</f>
        <v>#N/A Requesting Data...</v>
      </c>
      <c r="O344" t="str">
        <f>_xll.BDP("186423AH Muni","BVAL_MID_YTM")</f>
        <v>#N/A Requesting Data...</v>
      </c>
      <c r="P344" t="str">
        <f>_xll.BDP("186423AH Muni","MUNI_TAX_PROV")</f>
        <v>#N/A Requesting Data...</v>
      </c>
      <c r="Q344" t="str">
        <f>_xll.BDP("186423AH Muni","MUNI_FED_TAX")</f>
        <v>#N/A Requesting Data...</v>
      </c>
      <c r="R344" t="str">
        <f>_xll.BDP("186423AH Muni","MUNI_MSRB_VOLUME")</f>
        <v>#N/A Requesting Data...</v>
      </c>
      <c r="S344" t="str">
        <f>_xll.BDP("186423AH Muni","BB_COMPOSITE")</f>
        <v>#N/A Requesting Data...</v>
      </c>
      <c r="T344" t="str">
        <f>_xll.BDP("186423AH Muni","LQA_LIQUIDITY_SCORE")</f>
        <v>#N/A Requesting Data...</v>
      </c>
    </row>
    <row r="345" spans="1:20" x14ac:dyDescent="0.25">
      <c r="A345" t="str">
        <f>_xll.BDP("006514GC Muni","ID_CUSIP")</f>
        <v>#N/A Requesting Data...</v>
      </c>
      <c r="B345" t="s">
        <v>177</v>
      </c>
      <c r="C345" t="str">
        <f>_xll.BDP("006514GC Muni","INSURANCE_STATUS")</f>
        <v>#N/A Requesting Data...</v>
      </c>
      <c r="D345" t="str">
        <f>_xll.BDP("006514GC Muni","STATE_CODE")</f>
        <v>#N/A Requesting Data...</v>
      </c>
      <c r="E345" t="str">
        <f>_xll.BDP("006514GC Muni","COUNTY_LOCATION_ISSUER")</f>
        <v>#N/A Requesting Data...</v>
      </c>
      <c r="F345" t="str">
        <f>_xll.BDP("006514GC Muni","DUR_ADJ_MID")</f>
        <v>#N/A Requesting Data...</v>
      </c>
      <c r="G345" t="str">
        <f>_xll.BDP("006514GC Muni","SPREAD_AT_ISSUANCE_TO_WORST")</f>
        <v>#N/A Requesting Data...</v>
      </c>
      <c r="H345" t="str">
        <f>_xll.BDP("006514GC Muni","ISSUE_DT")</f>
        <v>#N/A Requesting Data...</v>
      </c>
      <c r="I345" t="str">
        <f>_xll.BDS("006514GC Muni","MUNI_PURPOSE_SCHED", "aggregate=y")</f>
        <v>#N/A Review</v>
      </c>
      <c r="J345" t="str">
        <f>_xll.BDP("006514GC Muni","CPN")</f>
        <v>#N/A Requesting Data...</v>
      </c>
      <c r="K345" t="str">
        <f>_xll.BDP("006514GC Muni","MATURITY")</f>
        <v>#N/A Requesting Data...</v>
      </c>
      <c r="L345">
        <v>250000</v>
      </c>
      <c r="M345" t="str">
        <f>_xll.BDP("006514GC Muni","YIELD_ON_ISSUE_DATE")</f>
        <v>#N/A Requesting Data...</v>
      </c>
      <c r="N345" t="str">
        <f>_xll.BDP("006514GC Muni","YTW_SPREAD_TO_MATURITY_AT_ISSU")</f>
        <v>#N/A Requesting Data...</v>
      </c>
      <c r="O345" t="str">
        <f>_xll.BDP("006514GC Muni","BVAL_MID_YTM")</f>
        <v>#N/A Requesting Data...</v>
      </c>
      <c r="P345" t="str">
        <f>_xll.BDP("006514GC Muni","MUNI_TAX_PROV")</f>
        <v>#N/A Requesting Data...</v>
      </c>
      <c r="Q345" t="str">
        <f>_xll.BDP("006514GC Muni","MUNI_FED_TAX")</f>
        <v>#N/A Requesting Data...</v>
      </c>
      <c r="R345" t="str">
        <f>_xll.BDP("006514GC Muni","MUNI_MSRB_VOLUME")</f>
        <v>#N/A Requesting Data...</v>
      </c>
      <c r="S345" t="str">
        <f>_xll.BDP("006514GC Muni","BB_COMPOSITE")</f>
        <v>#N/A Requesting Data...</v>
      </c>
      <c r="T345" t="str">
        <f>_xll.BDP("006514GC Muni","LQA_LIQUIDITY_SCORE")</f>
        <v>#N/A Requesting Data...</v>
      </c>
    </row>
    <row r="346" spans="1:20" x14ac:dyDescent="0.25">
      <c r="A346" t="str">
        <f>_xll.BDP("24879TNM Muni","ID_CUSIP")</f>
        <v>#N/A Requesting Data...</v>
      </c>
      <c r="B346" t="s">
        <v>178</v>
      </c>
      <c r="C346" t="str">
        <f>_xll.BDP("24879TNM Muni","INSURANCE_STATUS")</f>
        <v>#N/A Requesting Data...</v>
      </c>
      <c r="D346" t="str">
        <f>_xll.BDP("24879TNM Muni","STATE_CODE")</f>
        <v>#N/A Requesting Data...</v>
      </c>
      <c r="E346" t="str">
        <f>_xll.BDP("24879TNM Muni","COUNTY_LOCATION_ISSUER")</f>
        <v>#N/A Requesting Data...</v>
      </c>
      <c r="F346" t="str">
        <f>_xll.BDP("24879TNM Muni","DUR_ADJ_MID")</f>
        <v>#N/A Requesting Data...</v>
      </c>
      <c r="G346" t="str">
        <f>_xll.BDP("24879TNM Muni","SPREAD_AT_ISSUANCE_TO_WORST")</f>
        <v>#N/A Requesting Data...</v>
      </c>
      <c r="H346" t="str">
        <f>_xll.BDP("24879TNM Muni","ISSUE_DT")</f>
        <v>#N/A Requesting Data...</v>
      </c>
      <c r="I346" t="str">
        <f>_xll.BDS("24879TNM Muni","MUNI_PURPOSE_SCHED", "aggregate=y")</f>
        <v>#N/A Review</v>
      </c>
      <c r="J346" t="str">
        <f>_xll.BDP("24879TNM Muni","CPN")</f>
        <v>#N/A Requesting Data...</v>
      </c>
      <c r="K346" t="str">
        <f>_xll.BDP("24879TNM Muni","MATURITY")</f>
        <v>#N/A Requesting Data...</v>
      </c>
      <c r="L346">
        <v>600000</v>
      </c>
      <c r="M346" t="str">
        <f>_xll.BDP("24879TNM Muni","YIELD_ON_ISSUE_DATE")</f>
        <v>#N/A Requesting Data...</v>
      </c>
      <c r="N346" t="str">
        <f>_xll.BDP("24879TNM Muni","YTW_SPREAD_TO_MATURITY_AT_ISSU")</f>
        <v>#N/A Requesting Data...</v>
      </c>
      <c r="O346" t="str">
        <f>_xll.BDP("24879TNM Muni","BVAL_MID_YTM")</f>
        <v>#N/A Requesting Data...</v>
      </c>
      <c r="P346" t="str">
        <f>_xll.BDP("24879TNM Muni","MUNI_TAX_PROV")</f>
        <v>#N/A Requesting Data...</v>
      </c>
      <c r="Q346" t="str">
        <f>_xll.BDP("24879TNM Muni","MUNI_FED_TAX")</f>
        <v>#N/A Requesting Data...</v>
      </c>
      <c r="R346" t="str">
        <f>_xll.BDP("24879TNM Muni","MUNI_MSRB_VOLUME")</f>
        <v>#N/A Requesting Data...</v>
      </c>
      <c r="S346" t="str">
        <f>_xll.BDP("24879TNM Muni","BB_COMPOSITE")</f>
        <v>#N/A Requesting Data...</v>
      </c>
      <c r="T346" t="str">
        <f>_xll.BDP("24879TNM Muni","LQA_LIQUIDITY_SCORE")</f>
        <v>#N/A Requesting Data...</v>
      </c>
    </row>
    <row r="347" spans="1:20" x14ac:dyDescent="0.25">
      <c r="A347" t="str">
        <f>_xll.BDP("24879TNP Muni","ID_CUSIP")</f>
        <v>#N/A Requesting Data...</v>
      </c>
      <c r="B347" t="s">
        <v>178</v>
      </c>
      <c r="C347" t="str">
        <f>_xll.BDP("24879TNP Muni","INSURANCE_STATUS")</f>
        <v>#N/A Requesting Data...</v>
      </c>
      <c r="D347" t="str">
        <f>_xll.BDP("24879TNP Muni","STATE_CODE")</f>
        <v>#N/A Requesting Data...</v>
      </c>
      <c r="E347" t="str">
        <f>_xll.BDP("24879TNP Muni","COUNTY_LOCATION_ISSUER")</f>
        <v>#N/A Requesting Data...</v>
      </c>
      <c r="F347" t="str">
        <f>_xll.BDP("24879TNP Muni","DUR_ADJ_MID")</f>
        <v>#N/A Requesting Data...</v>
      </c>
      <c r="G347" t="str">
        <f>_xll.BDP("24879TNP Muni","SPREAD_AT_ISSUANCE_TO_WORST")</f>
        <v>#N/A Requesting Data...</v>
      </c>
      <c r="H347" t="str">
        <f>_xll.BDP("24879TNP Muni","ISSUE_DT")</f>
        <v>#N/A Requesting Data...</v>
      </c>
      <c r="I347" t="str">
        <f>_xll.BDS("24879TNP Muni","MUNI_PURPOSE_SCHED", "aggregate=y")</f>
        <v>#N/A Review</v>
      </c>
      <c r="J347" t="str">
        <f>_xll.BDP("24879TNP Muni","CPN")</f>
        <v>#N/A Requesting Data...</v>
      </c>
      <c r="K347" t="str">
        <f>_xll.BDP("24879TNP Muni","MATURITY")</f>
        <v>#N/A Requesting Data...</v>
      </c>
      <c r="L347">
        <v>600000</v>
      </c>
      <c r="M347" t="str">
        <f>_xll.BDP("24879TNP Muni","YIELD_ON_ISSUE_DATE")</f>
        <v>#N/A Requesting Data...</v>
      </c>
      <c r="N347" t="str">
        <f>_xll.BDP("24879TNP Muni","YTW_SPREAD_TO_MATURITY_AT_ISSU")</f>
        <v>#N/A Requesting Data...</v>
      </c>
      <c r="O347" t="str">
        <f>_xll.BDP("24879TNP Muni","BVAL_MID_YTM")</f>
        <v>#N/A Requesting Data...</v>
      </c>
      <c r="P347" t="str">
        <f>_xll.BDP("24879TNP Muni","MUNI_TAX_PROV")</f>
        <v>#N/A Requesting Data...</v>
      </c>
      <c r="Q347" t="str">
        <f>_xll.BDP("24879TNP Muni","MUNI_FED_TAX")</f>
        <v>#N/A Requesting Data...</v>
      </c>
      <c r="R347" t="str">
        <f>_xll.BDP("24879TNP Muni","MUNI_MSRB_VOLUME")</f>
        <v>#N/A Requesting Data...</v>
      </c>
      <c r="S347" t="str">
        <f>_xll.BDP("24879TNP Muni","BB_COMPOSITE")</f>
        <v>#N/A Requesting Data...</v>
      </c>
      <c r="T347" t="str">
        <f>_xll.BDP("24879TNP Muni","LQA_LIQUIDITY_SCORE")</f>
        <v>#N/A Requesting Data...</v>
      </c>
    </row>
    <row r="348" spans="1:20" x14ac:dyDescent="0.25">
      <c r="A348" t="str">
        <f>_xll.BDP("24879UKK Muni","ID_CUSIP")</f>
        <v>#N/A Requesting Data...</v>
      </c>
      <c r="B348" t="s">
        <v>179</v>
      </c>
      <c r="C348" t="str">
        <f>_xll.BDP("24879UKK Muni","INSURANCE_STATUS")</f>
        <v>#N/A Requesting Data...</v>
      </c>
      <c r="D348" t="str">
        <f>_xll.BDP("24879UKK Muni","STATE_CODE")</f>
        <v>#N/A Requesting Data...</v>
      </c>
      <c r="E348" t="str">
        <f>_xll.BDP("24879UKK Muni","COUNTY_LOCATION_ISSUER")</f>
        <v>#N/A Requesting Data...</v>
      </c>
      <c r="F348" t="str">
        <f>_xll.BDP("24879UKK Muni","DUR_ADJ_MID")</f>
        <v>#N/A Requesting Data...</v>
      </c>
      <c r="G348" t="str">
        <f>_xll.BDP("24879UKK Muni","SPREAD_AT_ISSUANCE_TO_WORST")</f>
        <v>#N/A Requesting Data...</v>
      </c>
      <c r="H348" t="str">
        <f>_xll.BDP("24879UKK Muni","ISSUE_DT")</f>
        <v>#N/A Requesting Data...</v>
      </c>
      <c r="I348" t="str">
        <f>_xll.BDS("24879UKK Muni","MUNI_PURPOSE_SCHED", "aggregate=y")</f>
        <v>#N/A Review</v>
      </c>
      <c r="J348" t="str">
        <f>_xll.BDP("24879UKK Muni","CPN")</f>
        <v>#N/A Requesting Data...</v>
      </c>
      <c r="K348" t="str">
        <f>_xll.BDP("24879UKK Muni","MATURITY")</f>
        <v>#N/A Requesting Data...</v>
      </c>
      <c r="L348">
        <v>130000</v>
      </c>
      <c r="M348" t="str">
        <f>_xll.BDP("24879UKK Muni","YIELD_ON_ISSUE_DATE")</f>
        <v>#N/A Requesting Data...</v>
      </c>
      <c r="N348" t="str">
        <f>_xll.BDP("24879UKK Muni","YTW_SPREAD_TO_MATURITY_AT_ISSU")</f>
        <v>#N/A Requesting Data...</v>
      </c>
      <c r="O348" t="str">
        <f>_xll.BDP("24879UKK Muni","BVAL_MID_YTM")</f>
        <v>#N/A Requesting Data...</v>
      </c>
      <c r="P348" t="str">
        <f>_xll.BDP("24879UKK Muni","MUNI_TAX_PROV")</f>
        <v>#N/A Requesting Data...</v>
      </c>
      <c r="Q348" t="str">
        <f>_xll.BDP("24879UKK Muni","MUNI_FED_TAX")</f>
        <v>#N/A Requesting Data...</v>
      </c>
      <c r="R348" t="str">
        <f>_xll.BDP("24879UKK Muni","MUNI_MSRB_VOLUME")</f>
        <v>#N/A Requesting Data...</v>
      </c>
      <c r="S348" t="str">
        <f>_xll.BDP("24879UKK Muni","BB_COMPOSITE")</f>
        <v>#N/A Requesting Data...</v>
      </c>
      <c r="T348" t="str">
        <f>_xll.BDP("24879UKK Muni","LQA_LIQUIDITY_SCORE")</f>
        <v>#N/A Requesting Data...</v>
      </c>
    </row>
    <row r="349" spans="1:20" x14ac:dyDescent="0.25">
      <c r="A349" t="str">
        <f>_xll.BDP("24879VDG Muni","ID_CUSIP")</f>
        <v>#N/A Requesting Data...</v>
      </c>
      <c r="B349" t="s">
        <v>180</v>
      </c>
      <c r="C349" t="str">
        <f>_xll.BDP("24879VDG Muni","INSURANCE_STATUS")</f>
        <v>#N/A Requesting Data...</v>
      </c>
      <c r="D349" t="str">
        <f>_xll.BDP("24879VDG Muni","STATE_CODE")</f>
        <v>#N/A Requesting Data...</v>
      </c>
      <c r="E349" t="str">
        <f>_xll.BDP("24879VDG Muni","COUNTY_LOCATION_ISSUER")</f>
        <v>#N/A Requesting Data...</v>
      </c>
      <c r="F349" t="str">
        <f>_xll.BDP("24879VDG Muni","DUR_ADJ_MID")</f>
        <v>#N/A Requesting Data...</v>
      </c>
      <c r="G349" t="str">
        <f>_xll.BDP("24879VDG Muni","SPREAD_AT_ISSUANCE_TO_WORST")</f>
        <v>#N/A Requesting Data...</v>
      </c>
      <c r="H349" t="str">
        <f>_xll.BDP("24879VDG Muni","ISSUE_DT")</f>
        <v>#N/A Requesting Data...</v>
      </c>
      <c r="I349" t="str">
        <f>_xll.BDS("24879VDG Muni","MUNI_PURPOSE_SCHED", "aggregate=y")</f>
        <v>#N/A Review</v>
      </c>
      <c r="J349" t="str">
        <f>_xll.BDP("24879VDG Muni","CPN")</f>
        <v>#N/A Requesting Data...</v>
      </c>
      <c r="K349" t="str">
        <f>_xll.BDP("24879VDG Muni","MATURITY")</f>
        <v>#N/A Requesting Data...</v>
      </c>
      <c r="L349">
        <v>160000</v>
      </c>
      <c r="M349" t="str">
        <f>_xll.BDP("24879VDG Muni","YIELD_ON_ISSUE_DATE")</f>
        <v>#N/A Requesting Data...</v>
      </c>
      <c r="N349" t="str">
        <f>_xll.BDP("24879VDG Muni","YTW_SPREAD_TO_MATURITY_AT_ISSU")</f>
        <v>#N/A Requesting Data...</v>
      </c>
      <c r="O349" t="str">
        <f>_xll.BDP("24879VDG Muni","BVAL_MID_YTM")</f>
        <v>#N/A Requesting Data...</v>
      </c>
      <c r="P349" t="str">
        <f>_xll.BDP("24879VDG Muni","MUNI_TAX_PROV")</f>
        <v>#N/A Requesting Data...</v>
      </c>
      <c r="Q349" t="str">
        <f>_xll.BDP("24879VDG Muni","MUNI_FED_TAX")</f>
        <v>#N/A Requesting Data...</v>
      </c>
      <c r="R349" t="str">
        <f>_xll.BDP("24879VDG Muni","MUNI_MSRB_VOLUME")</f>
        <v>#N/A Requesting Data...</v>
      </c>
      <c r="S349" t="str">
        <f>_xll.BDP("24879VDG Muni","BB_COMPOSITE")</f>
        <v>#N/A Requesting Data...</v>
      </c>
      <c r="T349" t="str">
        <f>_xll.BDP("24879VDG Muni","LQA_LIQUIDITY_SCORE")</f>
        <v>#N/A Requesting Data...</v>
      </c>
    </row>
    <row r="350" spans="1:20" x14ac:dyDescent="0.25">
      <c r="A350" t="str">
        <f>_xll.BDP("24879VDJ Muni","ID_CUSIP")</f>
        <v>#N/A Requesting Data...</v>
      </c>
      <c r="B350" t="s">
        <v>180</v>
      </c>
      <c r="C350" t="str">
        <f>_xll.BDP("24879VDJ Muni","INSURANCE_STATUS")</f>
        <v>#N/A Requesting Data...</v>
      </c>
      <c r="D350" t="str">
        <f>_xll.BDP("24879VDJ Muni","STATE_CODE")</f>
        <v>#N/A Requesting Data...</v>
      </c>
      <c r="E350" t="str">
        <f>_xll.BDP("24879VDJ Muni","COUNTY_LOCATION_ISSUER")</f>
        <v>#N/A Requesting Data...</v>
      </c>
      <c r="F350" t="str">
        <f>_xll.BDP("24879VDJ Muni","DUR_ADJ_MID")</f>
        <v>#N/A Requesting Data...</v>
      </c>
      <c r="G350" t="str">
        <f>_xll.BDP("24879VDJ Muni","SPREAD_AT_ISSUANCE_TO_WORST")</f>
        <v>#N/A Requesting Data...</v>
      </c>
      <c r="H350" t="str">
        <f>_xll.BDP("24879VDJ Muni","ISSUE_DT")</f>
        <v>#N/A Requesting Data...</v>
      </c>
      <c r="I350" t="str">
        <f>_xll.BDS("24879VDJ Muni","MUNI_PURPOSE_SCHED", "aggregate=y")</f>
        <v>#N/A Review</v>
      </c>
      <c r="J350" t="str">
        <f>_xll.BDP("24879VDJ Muni","CPN")</f>
        <v>#N/A Requesting Data...</v>
      </c>
      <c r="K350" t="str">
        <f>_xll.BDP("24879VDJ Muni","MATURITY")</f>
        <v>#N/A Requesting Data...</v>
      </c>
      <c r="L350">
        <v>170000</v>
      </c>
      <c r="M350" t="str">
        <f>_xll.BDP("24879VDJ Muni","YIELD_ON_ISSUE_DATE")</f>
        <v>#N/A Requesting Data...</v>
      </c>
      <c r="N350" t="str">
        <f>_xll.BDP("24879VDJ Muni","YTW_SPREAD_TO_MATURITY_AT_ISSU")</f>
        <v>#N/A Requesting Data...</v>
      </c>
      <c r="O350" t="str">
        <f>_xll.BDP("24879VDJ Muni","BVAL_MID_YTM")</f>
        <v>#N/A Requesting Data...</v>
      </c>
      <c r="P350" t="str">
        <f>_xll.BDP("24879VDJ Muni","MUNI_TAX_PROV")</f>
        <v>#N/A Requesting Data...</v>
      </c>
      <c r="Q350" t="str">
        <f>_xll.BDP("24879VDJ Muni","MUNI_FED_TAX")</f>
        <v>#N/A Requesting Data...</v>
      </c>
      <c r="R350" t="str">
        <f>_xll.BDP("24879VDJ Muni","MUNI_MSRB_VOLUME")</f>
        <v>#N/A Requesting Data...</v>
      </c>
      <c r="S350" t="str">
        <f>_xll.BDP("24879VDJ Muni","BB_COMPOSITE")</f>
        <v>#N/A Requesting Data...</v>
      </c>
      <c r="T350" t="str">
        <f>_xll.BDP("24879VDJ Muni","LQA_LIQUIDITY_SCORE")</f>
        <v>#N/A Requesting Data...</v>
      </c>
    </row>
    <row r="351" spans="1:20" x14ac:dyDescent="0.25">
      <c r="A351" t="str">
        <f>_xll.BDP("24880AHZ Muni","ID_CUSIP")</f>
        <v>#N/A Requesting Data...</v>
      </c>
      <c r="B351" t="s">
        <v>181</v>
      </c>
      <c r="C351" t="str">
        <f>_xll.BDP("24880AHZ Muni","INSURANCE_STATUS")</f>
        <v>#N/A Requesting Data...</v>
      </c>
      <c r="D351" t="str">
        <f>_xll.BDP("24880AHZ Muni","STATE_CODE")</f>
        <v>#N/A Requesting Data...</v>
      </c>
      <c r="E351" t="str">
        <f>_xll.BDP("24880AHZ Muni","COUNTY_LOCATION_ISSUER")</f>
        <v>#N/A Requesting Data...</v>
      </c>
      <c r="F351" t="str">
        <f>_xll.BDP("24880AHZ Muni","DUR_ADJ_MID")</f>
        <v>#N/A Requesting Data...</v>
      </c>
      <c r="G351" t="str">
        <f>_xll.BDP("24880AHZ Muni","SPREAD_AT_ISSUANCE_TO_WORST")</f>
        <v>#N/A Requesting Data...</v>
      </c>
      <c r="H351" t="str">
        <f>_xll.BDP("24880AHZ Muni","ISSUE_DT")</f>
        <v>#N/A Requesting Data...</v>
      </c>
      <c r="I351" t="str">
        <f>_xll.BDS("24880AHZ Muni","MUNI_PURPOSE_SCHED", "aggregate=y")</f>
        <v>#N/A Review</v>
      </c>
      <c r="J351" t="str">
        <f>_xll.BDP("24880AHZ Muni","CPN")</f>
        <v>#N/A Requesting Data...</v>
      </c>
      <c r="K351" t="str">
        <f>_xll.BDP("24880AHZ Muni","MATURITY")</f>
        <v>#N/A Requesting Data...</v>
      </c>
      <c r="L351">
        <v>95000</v>
      </c>
      <c r="M351" t="str">
        <f>_xll.BDP("24880AHZ Muni","YIELD_ON_ISSUE_DATE")</f>
        <v>#N/A Requesting Data...</v>
      </c>
      <c r="N351" t="str">
        <f>_xll.BDP("24880AHZ Muni","YTW_SPREAD_TO_MATURITY_AT_ISSU")</f>
        <v>#N/A Requesting Data...</v>
      </c>
      <c r="O351" t="str">
        <f>_xll.BDP("24880AHZ Muni","BVAL_MID_YTM")</f>
        <v>#N/A Requesting Data...</v>
      </c>
      <c r="P351" t="str">
        <f>_xll.BDP("24880AHZ Muni","MUNI_TAX_PROV")</f>
        <v>#N/A Requesting Data...</v>
      </c>
      <c r="Q351" t="str">
        <f>_xll.BDP("24880AHZ Muni","MUNI_FED_TAX")</f>
        <v>#N/A Requesting Data...</v>
      </c>
      <c r="R351" t="str">
        <f>_xll.BDP("24880AHZ Muni","MUNI_MSRB_VOLUME")</f>
        <v>#N/A Requesting Data...</v>
      </c>
      <c r="S351" t="str">
        <f>_xll.BDP("24880AHZ Muni","BB_COMPOSITE")</f>
        <v>#N/A Requesting Data...</v>
      </c>
      <c r="T351" t="str">
        <f>_xll.BDP("24880AHZ Muni","LQA_LIQUIDITY_SCORE")</f>
        <v>#N/A Requesting Data...</v>
      </c>
    </row>
    <row r="352" spans="1:20" x14ac:dyDescent="0.25">
      <c r="A352" t="str">
        <f>_xll.BDP("04184KQV Muni","ID_CUSIP")</f>
        <v>#N/A Requesting Data...</v>
      </c>
      <c r="B352" t="s">
        <v>170</v>
      </c>
      <c r="C352" t="str">
        <f>_xll.BDP("04184KQV Muni","INSURANCE_STATUS")</f>
        <v>#N/A Requesting Data...</v>
      </c>
      <c r="D352" t="str">
        <f>_xll.BDP("04184KQV Muni","STATE_CODE")</f>
        <v>#N/A Requesting Data...</v>
      </c>
      <c r="E352" t="str">
        <f>_xll.BDP("04184KQV Muni","COUNTY_LOCATION_ISSUER")</f>
        <v>#N/A Requesting Data...</v>
      </c>
      <c r="F352" t="str">
        <f>_xll.BDP("04184KQV Muni","DUR_ADJ_MID")</f>
        <v>#N/A Requesting Data...</v>
      </c>
      <c r="G352" t="str">
        <f>_xll.BDP("04184KQV Muni","SPREAD_AT_ISSUANCE_TO_WORST")</f>
        <v>#N/A Requesting Data...</v>
      </c>
      <c r="H352" t="str">
        <f>_xll.BDP("04184KQV Muni","ISSUE_DT")</f>
        <v>#N/A Requesting Data...</v>
      </c>
      <c r="I352" t="str">
        <f>_xll.BDS("04184KQV Muni","MUNI_PURPOSE_SCHED", "aggregate=y")</f>
        <v>#N/A Review</v>
      </c>
      <c r="J352" t="str">
        <f>_xll.BDP("04184KQV Muni","CPN")</f>
        <v>#N/A Requesting Data...</v>
      </c>
      <c r="K352" t="str">
        <f>_xll.BDP("04184KQV Muni","MATURITY")</f>
        <v>#N/A Requesting Data...</v>
      </c>
      <c r="L352">
        <v>1960000</v>
      </c>
      <c r="M352" t="str">
        <f>_xll.BDP("04184KQV Muni","YIELD_ON_ISSUE_DATE")</f>
        <v>#N/A Requesting Data...</v>
      </c>
      <c r="N352" t="str">
        <f>_xll.BDP("04184KQV Muni","YTW_SPREAD_TO_MATURITY_AT_ISSU")</f>
        <v>#N/A Requesting Data...</v>
      </c>
      <c r="O352" t="str">
        <f>_xll.BDP("04184KQV Muni","BVAL_MID_YTM")</f>
        <v>#N/A Requesting Data...</v>
      </c>
      <c r="P352" t="str">
        <f>_xll.BDP("04184KQV Muni","MUNI_TAX_PROV")</f>
        <v>#N/A Requesting Data...</v>
      </c>
      <c r="Q352" t="str">
        <f>_xll.BDP("04184KQV Muni","MUNI_FED_TAX")</f>
        <v>#N/A Requesting Data...</v>
      </c>
      <c r="R352" t="str">
        <f>_xll.BDP("04184KQV Muni","MUNI_MSRB_VOLUME")</f>
        <v>#N/A Requesting Data...</v>
      </c>
      <c r="S352" t="str">
        <f>_xll.BDP("04184KQV Muni","BB_COMPOSITE")</f>
        <v>#N/A Requesting Data...</v>
      </c>
      <c r="T352" t="str">
        <f>_xll.BDP("04184KQV Muni","LQA_LIQUIDITY_SCORE")</f>
        <v>#N/A Requesting Data...</v>
      </c>
    </row>
    <row r="353" spans="1:20" x14ac:dyDescent="0.25">
      <c r="A353" t="str">
        <f>_xll.BDP("04184KQY Muni","ID_CUSIP")</f>
        <v>#N/A Requesting Data...</v>
      </c>
      <c r="B353" t="s">
        <v>170</v>
      </c>
      <c r="C353" t="str">
        <f>_xll.BDP("04184KQY Muni","INSURANCE_STATUS")</f>
        <v>#N/A Requesting Data...</v>
      </c>
      <c r="D353" t="str">
        <f>_xll.BDP("04184KQY Muni","STATE_CODE")</f>
        <v>#N/A Requesting Data...</v>
      </c>
      <c r="E353" t="str">
        <f>_xll.BDP("04184KQY Muni","COUNTY_LOCATION_ISSUER")</f>
        <v>#N/A Requesting Data...</v>
      </c>
      <c r="F353" t="str">
        <f>_xll.BDP("04184KQY Muni","DUR_ADJ_MID")</f>
        <v>#N/A Requesting Data...</v>
      </c>
      <c r="G353" t="str">
        <f>_xll.BDP("04184KQY Muni","SPREAD_AT_ISSUANCE_TO_WORST")</f>
        <v>#N/A Requesting Data...</v>
      </c>
      <c r="H353" t="str">
        <f>_xll.BDP("04184KQY Muni","ISSUE_DT")</f>
        <v>#N/A Requesting Data...</v>
      </c>
      <c r="I353" t="str">
        <f>_xll.BDS("04184KQY Muni","MUNI_PURPOSE_SCHED", "aggregate=y")</f>
        <v>#N/A Review</v>
      </c>
      <c r="J353" t="str">
        <f>_xll.BDP("04184KQY Muni","CPN")</f>
        <v>#N/A Requesting Data...</v>
      </c>
      <c r="K353" t="str">
        <f>_xll.BDP("04184KQY Muni","MATURITY")</f>
        <v>#N/A Requesting Data...</v>
      </c>
      <c r="L353">
        <v>1960000</v>
      </c>
      <c r="M353" t="str">
        <f>_xll.BDP("04184KQY Muni","YIELD_ON_ISSUE_DATE")</f>
        <v>#N/A Requesting Data...</v>
      </c>
      <c r="N353" t="str">
        <f>_xll.BDP("04184KQY Muni","YTW_SPREAD_TO_MATURITY_AT_ISSU")</f>
        <v>#N/A Requesting Data...</v>
      </c>
      <c r="O353" t="str">
        <f>_xll.BDP("04184KQY Muni","BVAL_MID_YTM")</f>
        <v>#N/A Requesting Data...</v>
      </c>
      <c r="P353" t="str">
        <f>_xll.BDP("04184KQY Muni","MUNI_TAX_PROV")</f>
        <v>#N/A Requesting Data...</v>
      </c>
      <c r="Q353" t="str">
        <f>_xll.BDP("04184KQY Muni","MUNI_FED_TAX")</f>
        <v>#N/A Requesting Data...</v>
      </c>
      <c r="R353" t="str">
        <f>_xll.BDP("04184KQY Muni","MUNI_MSRB_VOLUME")</f>
        <v>#N/A Requesting Data...</v>
      </c>
      <c r="S353" t="str">
        <f>_xll.BDP("04184KQY Muni","BB_COMPOSITE")</f>
        <v>#N/A Requesting Data...</v>
      </c>
      <c r="T353" t="str">
        <f>_xll.BDP("04184KQY Muni","LQA_LIQUIDITY_SCORE")</f>
        <v>#N/A Requesting Data...</v>
      </c>
    </row>
    <row r="354" spans="1:20" x14ac:dyDescent="0.25">
      <c r="A354" t="str">
        <f>_xll.BDP("340266AS Muni","ID_CUSIP")</f>
        <v>#N/A Requesting Data...</v>
      </c>
      <c r="B354" t="s">
        <v>182</v>
      </c>
      <c r="C354" t="str">
        <f>_xll.BDP("340266AS Muni","INSURANCE_STATUS")</f>
        <v>#N/A Requesting Data...</v>
      </c>
      <c r="D354" t="str">
        <f>_xll.BDP("340266AS Muni","STATE_CODE")</f>
        <v>#N/A Requesting Data...</v>
      </c>
      <c r="E354" t="str">
        <f>_xll.BDP("340266AS Muni","COUNTY_LOCATION_ISSUER")</f>
        <v>#N/A Requesting Data...</v>
      </c>
      <c r="F354" t="str">
        <f>_xll.BDP("340266AS Muni","DUR_ADJ_MID")</f>
        <v>#N/A Requesting Data...</v>
      </c>
      <c r="G354" t="str">
        <f>_xll.BDP("340266AS Muni","SPREAD_AT_ISSUANCE_TO_WORST")</f>
        <v>#N/A Requesting Data...</v>
      </c>
      <c r="H354" t="str">
        <f>_xll.BDP("340266AS Muni","ISSUE_DT")</f>
        <v>#N/A Requesting Data...</v>
      </c>
      <c r="I354" t="str">
        <f>_xll.BDS("340266AS Muni","MUNI_PURPOSE_SCHED", "aggregate=y")</f>
        <v>#N/A Review</v>
      </c>
      <c r="J354" t="str">
        <f>_xll.BDP("340266AS Muni","CPN")</f>
        <v>#N/A Requesting Data...</v>
      </c>
      <c r="K354" t="str">
        <f>_xll.BDP("340266AS Muni","MATURITY")</f>
        <v>#N/A Requesting Data...</v>
      </c>
      <c r="L354">
        <v>160000</v>
      </c>
      <c r="M354" t="str">
        <f>_xll.BDP("340266AS Muni","YIELD_ON_ISSUE_DATE")</f>
        <v>#N/A Requesting Data...</v>
      </c>
      <c r="N354" t="str">
        <f>_xll.BDP("340266AS Muni","YTW_SPREAD_TO_MATURITY_AT_ISSU")</f>
        <v>#N/A Requesting Data...</v>
      </c>
      <c r="O354" t="str">
        <f>_xll.BDP("340266AS Muni","BVAL_MID_YTM")</f>
        <v>#N/A Requesting Data...</v>
      </c>
      <c r="P354" t="str">
        <f>_xll.BDP("340266AS Muni","MUNI_TAX_PROV")</f>
        <v>#N/A Requesting Data...</v>
      </c>
      <c r="Q354" t="str">
        <f>_xll.BDP("340266AS Muni","MUNI_FED_TAX")</f>
        <v>#N/A Requesting Data...</v>
      </c>
      <c r="R354" t="str">
        <f>_xll.BDP("340266AS Muni","MUNI_MSRB_VOLUME")</f>
        <v>#N/A Requesting Data...</v>
      </c>
      <c r="S354" t="str">
        <f>_xll.BDP("340266AS Muni","BB_COMPOSITE")</f>
        <v>#N/A Requesting Data...</v>
      </c>
      <c r="T354" t="str">
        <f>_xll.BDP("340266AS Muni","LQA_LIQUIDITY_SCORE")</f>
        <v>#N/A Requesting Data...</v>
      </c>
    </row>
    <row r="355" spans="1:20" x14ac:dyDescent="0.25">
      <c r="A355" t="str">
        <f>_xll.BDP("340266AT Muni","ID_CUSIP")</f>
        <v>#N/A Requesting Data...</v>
      </c>
      <c r="B355" t="s">
        <v>182</v>
      </c>
      <c r="C355" t="str">
        <f>_xll.BDP("340266AT Muni","INSURANCE_STATUS")</f>
        <v>#N/A Requesting Data...</v>
      </c>
      <c r="D355" t="str">
        <f>_xll.BDP("340266AT Muni","STATE_CODE")</f>
        <v>#N/A Requesting Data...</v>
      </c>
      <c r="E355" t="str">
        <f>_xll.BDP("340266AT Muni","COUNTY_LOCATION_ISSUER")</f>
        <v>#N/A Requesting Data...</v>
      </c>
      <c r="F355" t="str">
        <f>_xll.BDP("340266AT Muni","DUR_ADJ_MID")</f>
        <v>#N/A Requesting Data...</v>
      </c>
      <c r="G355" t="str">
        <f>_xll.BDP("340266AT Muni","SPREAD_AT_ISSUANCE_TO_WORST")</f>
        <v>#N/A Requesting Data...</v>
      </c>
      <c r="H355" t="str">
        <f>_xll.BDP("340266AT Muni","ISSUE_DT")</f>
        <v>#N/A Requesting Data...</v>
      </c>
      <c r="I355" t="str">
        <f>_xll.BDS("340266AT Muni","MUNI_PURPOSE_SCHED", "aggregate=y")</f>
        <v>#N/A Review</v>
      </c>
      <c r="J355" t="str">
        <f>_xll.BDP("340266AT Muni","CPN")</f>
        <v>#N/A Requesting Data...</v>
      </c>
      <c r="K355" t="str">
        <f>_xll.BDP("340266AT Muni","MATURITY")</f>
        <v>#N/A Requesting Data...</v>
      </c>
      <c r="L355">
        <v>165000</v>
      </c>
      <c r="M355" t="str">
        <f>_xll.BDP("340266AT Muni","YIELD_ON_ISSUE_DATE")</f>
        <v>#N/A Requesting Data...</v>
      </c>
      <c r="N355" t="str">
        <f>_xll.BDP("340266AT Muni","YTW_SPREAD_TO_MATURITY_AT_ISSU")</f>
        <v>#N/A Requesting Data...</v>
      </c>
      <c r="O355" t="str">
        <f>_xll.BDP("340266AT Muni","BVAL_MID_YTM")</f>
        <v>#N/A Requesting Data...</v>
      </c>
      <c r="P355" t="str">
        <f>_xll.BDP("340266AT Muni","MUNI_TAX_PROV")</f>
        <v>#N/A Requesting Data...</v>
      </c>
      <c r="Q355" t="str">
        <f>_xll.BDP("340266AT Muni","MUNI_FED_TAX")</f>
        <v>#N/A Requesting Data...</v>
      </c>
      <c r="R355" t="str">
        <f>_xll.BDP("340266AT Muni","MUNI_MSRB_VOLUME")</f>
        <v>#N/A Requesting Data...</v>
      </c>
      <c r="S355" t="str">
        <f>_xll.BDP("340266AT Muni","BB_COMPOSITE")</f>
        <v>#N/A Requesting Data...</v>
      </c>
      <c r="T355" t="str">
        <f>_xll.BDP("340266AT Muni","LQA_LIQUIDITY_SCORE")</f>
        <v>#N/A Requesting Data...</v>
      </c>
    </row>
    <row r="356" spans="1:20" x14ac:dyDescent="0.25">
      <c r="A356" t="str">
        <f>_xll.BDP("338423QH Muni","ID_CUSIP")</f>
        <v>#N/A Requesting Data...</v>
      </c>
      <c r="B356" t="s">
        <v>72</v>
      </c>
      <c r="C356" t="str">
        <f>_xll.BDP("338423QH Muni","INSURANCE_STATUS")</f>
        <v>#N/A Requesting Data...</v>
      </c>
      <c r="D356" t="str">
        <f>_xll.BDP("338423QH Muni","STATE_CODE")</f>
        <v>#N/A Requesting Data...</v>
      </c>
      <c r="E356" t="str">
        <f>_xll.BDP("338423QH Muni","COUNTY_LOCATION_ISSUER")</f>
        <v>#N/A Requesting Data...</v>
      </c>
      <c r="F356" t="str">
        <f>_xll.BDP("338423QH Muni","DUR_ADJ_MID")</f>
        <v>#N/A Requesting Data...</v>
      </c>
      <c r="G356" t="str">
        <f>_xll.BDP("338423QH Muni","SPREAD_AT_ISSUANCE_TO_WORST")</f>
        <v>#N/A Requesting Data...</v>
      </c>
      <c r="H356" t="str">
        <f>_xll.BDP("338423QH Muni","ISSUE_DT")</f>
        <v>#N/A Requesting Data...</v>
      </c>
      <c r="I356" t="str">
        <f>_xll.BDS("338423QH Muni","MUNI_PURPOSE_SCHED", "aggregate=y")</f>
        <v>#N/A Review</v>
      </c>
      <c r="J356" t="str">
        <f>_xll.BDP("338423QH Muni","CPN")</f>
        <v>#N/A Requesting Data...</v>
      </c>
      <c r="K356" t="str">
        <f>_xll.BDP("338423QH Muni","MATURITY")</f>
        <v>#N/A Requesting Data...</v>
      </c>
      <c r="L356">
        <v>735000</v>
      </c>
      <c r="M356" t="str">
        <f>_xll.BDP("338423QH Muni","YIELD_ON_ISSUE_DATE")</f>
        <v>#N/A Requesting Data...</v>
      </c>
      <c r="N356" t="str">
        <f>_xll.BDP("338423QH Muni","YTW_SPREAD_TO_MATURITY_AT_ISSU")</f>
        <v>#N/A Requesting Data...</v>
      </c>
      <c r="O356" t="str">
        <f>_xll.BDP("338423QH Muni","BVAL_MID_YTM")</f>
        <v>#N/A Requesting Data...</v>
      </c>
      <c r="P356" t="str">
        <f>_xll.BDP("338423QH Muni","MUNI_TAX_PROV")</f>
        <v>#N/A Requesting Data...</v>
      </c>
      <c r="Q356" t="str">
        <f>_xll.BDP("338423QH Muni","MUNI_FED_TAX")</f>
        <v>#N/A Requesting Data...</v>
      </c>
      <c r="R356" t="str">
        <f>_xll.BDP("338423QH Muni","MUNI_MSRB_VOLUME")</f>
        <v>#N/A Requesting Data...</v>
      </c>
      <c r="S356" t="str">
        <f>_xll.BDP("338423QH Muni","BB_COMPOSITE")</f>
        <v>#N/A Requesting Data...</v>
      </c>
      <c r="T356" t="str">
        <f>_xll.BDP("338423QH Muni","LQA_LIQUIDITY_SCORE")</f>
        <v>#N/A Requesting Data...</v>
      </c>
    </row>
    <row r="357" spans="1:20" x14ac:dyDescent="0.25">
      <c r="A357" t="str">
        <f>_xll.BDP("24880DEH Muni","ID_CUSIP")</f>
        <v>#N/A Requesting Data...</v>
      </c>
      <c r="B357" t="s">
        <v>183</v>
      </c>
      <c r="C357" t="str">
        <f>_xll.BDP("24880DEH Muni","INSURANCE_STATUS")</f>
        <v>#N/A Requesting Data...</v>
      </c>
      <c r="D357" t="str">
        <f>_xll.BDP("24880DEH Muni","STATE_CODE")</f>
        <v>#N/A Requesting Data...</v>
      </c>
      <c r="E357" t="str">
        <f>_xll.BDP("24880DEH Muni","COUNTY_LOCATION_ISSUER")</f>
        <v>#N/A Requesting Data...</v>
      </c>
      <c r="F357" t="str">
        <f>_xll.BDP("24880DEH Muni","DUR_ADJ_MID")</f>
        <v>#N/A Requesting Data...</v>
      </c>
      <c r="G357" t="str">
        <f>_xll.BDP("24880DEH Muni","SPREAD_AT_ISSUANCE_TO_WORST")</f>
        <v>#N/A Requesting Data...</v>
      </c>
      <c r="H357" t="str">
        <f>_xll.BDP("24880DEH Muni","ISSUE_DT")</f>
        <v>#N/A Requesting Data...</v>
      </c>
      <c r="I357" t="str">
        <f>_xll.BDS("24880DEH Muni","MUNI_PURPOSE_SCHED", "aggregate=y")</f>
        <v>#N/A Review</v>
      </c>
      <c r="J357" t="str">
        <f>_xll.BDP("24880DEH Muni","CPN")</f>
        <v>#N/A Requesting Data...</v>
      </c>
      <c r="K357" t="str">
        <f>_xll.BDP("24880DEH Muni","MATURITY")</f>
        <v>#N/A Requesting Data...</v>
      </c>
      <c r="L357">
        <v>110000</v>
      </c>
      <c r="M357" t="str">
        <f>_xll.BDP("24880DEH Muni","YIELD_ON_ISSUE_DATE")</f>
        <v>#N/A Requesting Data...</v>
      </c>
      <c r="N357" t="str">
        <f>_xll.BDP("24880DEH Muni","YTW_SPREAD_TO_MATURITY_AT_ISSU")</f>
        <v>#N/A Requesting Data...</v>
      </c>
      <c r="O357" t="str">
        <f>_xll.BDP("24880DEH Muni","BVAL_MID_YTM")</f>
        <v>#N/A Requesting Data...</v>
      </c>
      <c r="P357" t="str">
        <f>_xll.BDP("24880DEH Muni","MUNI_TAX_PROV")</f>
        <v>#N/A Requesting Data...</v>
      </c>
      <c r="Q357" t="str">
        <f>_xll.BDP("24880DEH Muni","MUNI_FED_TAX")</f>
        <v>#N/A Requesting Data...</v>
      </c>
      <c r="R357" t="str">
        <f>_xll.BDP("24880DEH Muni","MUNI_MSRB_VOLUME")</f>
        <v>#N/A Requesting Data...</v>
      </c>
      <c r="S357" t="str">
        <f>_xll.BDP("24880DEH Muni","BB_COMPOSITE")</f>
        <v>#N/A Requesting Data...</v>
      </c>
      <c r="T357" t="str">
        <f>_xll.BDP("24880DEH Muni","LQA_LIQUIDITY_SCORE")</f>
        <v>#N/A Requesting Data...</v>
      </c>
    </row>
    <row r="358" spans="1:20" x14ac:dyDescent="0.25">
      <c r="A358" t="str">
        <f>_xll.BDP("24880DEJ Muni","ID_CUSIP")</f>
        <v>#N/A Requesting Data...</v>
      </c>
      <c r="B358" t="s">
        <v>183</v>
      </c>
      <c r="C358" t="str">
        <f>_xll.BDP("24880DEJ Muni","INSURANCE_STATUS")</f>
        <v>#N/A Requesting Data...</v>
      </c>
      <c r="D358" t="str">
        <f>_xll.BDP("24880DEJ Muni","STATE_CODE")</f>
        <v>#N/A Requesting Data...</v>
      </c>
      <c r="E358" t="str">
        <f>_xll.BDP("24880DEJ Muni","COUNTY_LOCATION_ISSUER")</f>
        <v>#N/A Requesting Data...</v>
      </c>
      <c r="F358" t="str">
        <f>_xll.BDP("24880DEJ Muni","DUR_ADJ_MID")</f>
        <v>#N/A Requesting Data...</v>
      </c>
      <c r="G358" t="str">
        <f>_xll.BDP("24880DEJ Muni","SPREAD_AT_ISSUANCE_TO_WORST")</f>
        <v>#N/A Requesting Data...</v>
      </c>
      <c r="H358" t="str">
        <f>_xll.BDP("24880DEJ Muni","ISSUE_DT")</f>
        <v>#N/A Requesting Data...</v>
      </c>
      <c r="I358" t="str">
        <f>_xll.BDS("24880DEJ Muni","MUNI_PURPOSE_SCHED", "aggregate=y")</f>
        <v>#N/A Review</v>
      </c>
      <c r="J358" t="str">
        <f>_xll.BDP("24880DEJ Muni","CPN")</f>
        <v>#N/A Requesting Data...</v>
      </c>
      <c r="K358" t="str">
        <f>_xll.BDP("24880DEJ Muni","MATURITY")</f>
        <v>#N/A Requesting Data...</v>
      </c>
      <c r="L358">
        <v>110000</v>
      </c>
      <c r="M358" t="str">
        <f>_xll.BDP("24880DEJ Muni","YIELD_ON_ISSUE_DATE")</f>
        <v>#N/A Requesting Data...</v>
      </c>
      <c r="N358" t="str">
        <f>_xll.BDP("24880DEJ Muni","YTW_SPREAD_TO_MATURITY_AT_ISSU")</f>
        <v>#N/A Requesting Data...</v>
      </c>
      <c r="O358" t="str">
        <f>_xll.BDP("24880DEJ Muni","BVAL_MID_YTM")</f>
        <v>#N/A Requesting Data...</v>
      </c>
      <c r="P358" t="str">
        <f>_xll.BDP("24880DEJ Muni","MUNI_TAX_PROV")</f>
        <v>#N/A Requesting Data...</v>
      </c>
      <c r="Q358" t="str">
        <f>_xll.BDP("24880DEJ Muni","MUNI_FED_TAX")</f>
        <v>#N/A Requesting Data...</v>
      </c>
      <c r="R358" t="str">
        <f>_xll.BDP("24880DEJ Muni","MUNI_MSRB_VOLUME")</f>
        <v>#N/A Requesting Data...</v>
      </c>
      <c r="S358" t="str">
        <f>_xll.BDP("24880DEJ Muni","BB_COMPOSITE")</f>
        <v>#N/A Requesting Data...</v>
      </c>
      <c r="T358" t="str">
        <f>_xll.BDP("24880DEJ Muni","LQA_LIQUIDITY_SCORE")</f>
        <v>#N/A Requesting Data...</v>
      </c>
    </row>
    <row r="359" spans="1:20" x14ac:dyDescent="0.25">
      <c r="A359" t="str">
        <f>_xll.BDP("24880DEK Muni","ID_CUSIP")</f>
        <v>#N/A Requesting Data...</v>
      </c>
      <c r="B359" t="s">
        <v>183</v>
      </c>
      <c r="C359" t="str">
        <f>_xll.BDP("24880DEK Muni","INSURANCE_STATUS")</f>
        <v>#N/A Requesting Data...</v>
      </c>
      <c r="D359" t="str">
        <f>_xll.BDP("24880DEK Muni","STATE_CODE")</f>
        <v>#N/A Requesting Data...</v>
      </c>
      <c r="E359" t="str">
        <f>_xll.BDP("24880DEK Muni","COUNTY_LOCATION_ISSUER")</f>
        <v>#N/A Requesting Data...</v>
      </c>
      <c r="F359" t="str">
        <f>_xll.BDP("24880DEK Muni","DUR_ADJ_MID")</f>
        <v>#N/A Requesting Data...</v>
      </c>
      <c r="G359" t="str">
        <f>_xll.BDP("24880DEK Muni","SPREAD_AT_ISSUANCE_TO_WORST")</f>
        <v>#N/A Requesting Data...</v>
      </c>
      <c r="H359" t="str">
        <f>_xll.BDP("24880DEK Muni","ISSUE_DT")</f>
        <v>#N/A Requesting Data...</v>
      </c>
      <c r="I359" t="str">
        <f>_xll.BDS("24880DEK Muni","MUNI_PURPOSE_SCHED", "aggregate=y")</f>
        <v>#N/A Review</v>
      </c>
      <c r="J359" t="str">
        <f>_xll.BDP("24880DEK Muni","CPN")</f>
        <v>#N/A Requesting Data...</v>
      </c>
      <c r="K359" t="str">
        <f>_xll.BDP("24880DEK Muni","MATURITY")</f>
        <v>#N/A Requesting Data...</v>
      </c>
      <c r="L359">
        <v>115000</v>
      </c>
      <c r="M359" t="str">
        <f>_xll.BDP("24880DEK Muni","YIELD_ON_ISSUE_DATE")</f>
        <v>#N/A Requesting Data...</v>
      </c>
      <c r="N359" t="str">
        <f>_xll.BDP("24880DEK Muni","YTW_SPREAD_TO_MATURITY_AT_ISSU")</f>
        <v>#N/A Requesting Data...</v>
      </c>
      <c r="O359" t="str">
        <f>_xll.BDP("24880DEK Muni","BVAL_MID_YTM")</f>
        <v>#N/A Requesting Data...</v>
      </c>
      <c r="P359" t="str">
        <f>_xll.BDP("24880DEK Muni","MUNI_TAX_PROV")</f>
        <v>#N/A Requesting Data...</v>
      </c>
      <c r="Q359" t="str">
        <f>_xll.BDP("24880DEK Muni","MUNI_FED_TAX")</f>
        <v>#N/A Requesting Data...</v>
      </c>
      <c r="R359" t="str">
        <f>_xll.BDP("24880DEK Muni","MUNI_MSRB_VOLUME")</f>
        <v>#N/A Requesting Data...</v>
      </c>
      <c r="S359" t="str">
        <f>_xll.BDP("24880DEK Muni","BB_COMPOSITE")</f>
        <v>#N/A Requesting Data...</v>
      </c>
      <c r="T359" t="str">
        <f>_xll.BDP("24880DEK Muni","LQA_LIQUIDITY_SCORE")</f>
        <v>#N/A Requesting Data...</v>
      </c>
    </row>
    <row r="360" spans="1:20" x14ac:dyDescent="0.25">
      <c r="A360" t="str">
        <f>_xll.BDP("24916TDQ Muni","ID_CUSIP")</f>
        <v>#N/A Requesting Data...</v>
      </c>
      <c r="B360" t="s">
        <v>147</v>
      </c>
      <c r="C360" t="str">
        <f>_xll.BDP("24916TDQ Muni","INSURANCE_STATUS")</f>
        <v>#N/A Requesting Data...</v>
      </c>
      <c r="D360" t="str">
        <f>_xll.BDP("24916TDQ Muni","STATE_CODE")</f>
        <v>#N/A Requesting Data...</v>
      </c>
      <c r="E360" t="str">
        <f>_xll.BDP("24916TDQ Muni","COUNTY_LOCATION_ISSUER")</f>
        <v>#N/A Requesting Data...</v>
      </c>
      <c r="F360" t="str">
        <f>_xll.BDP("24916TDQ Muni","DUR_ADJ_MID")</f>
        <v>#N/A Requesting Data...</v>
      </c>
      <c r="G360" t="str">
        <f>_xll.BDP("24916TDQ Muni","SPREAD_AT_ISSUANCE_TO_WORST")</f>
        <v>#N/A Requesting Data...</v>
      </c>
      <c r="H360" t="str">
        <f>_xll.BDP("24916TDQ Muni","ISSUE_DT")</f>
        <v>#N/A Requesting Data...</v>
      </c>
      <c r="I360" t="str">
        <f>_xll.BDS("24916TDQ Muni","MUNI_PURPOSE_SCHED", "aggregate=y")</f>
        <v>#N/A Review</v>
      </c>
      <c r="J360" t="str">
        <f>_xll.BDP("24916TDQ Muni","CPN")</f>
        <v>#N/A Requesting Data...</v>
      </c>
      <c r="K360" t="str">
        <f>_xll.BDP("24916TDQ Muni","MATURITY")</f>
        <v>#N/A Requesting Data...</v>
      </c>
      <c r="L360">
        <v>1975000</v>
      </c>
      <c r="M360" t="str">
        <f>_xll.BDP("24916TDQ Muni","YIELD_ON_ISSUE_DATE")</f>
        <v>#N/A Requesting Data...</v>
      </c>
      <c r="N360" t="str">
        <f>_xll.BDP("24916TDQ Muni","YTW_SPREAD_TO_MATURITY_AT_ISSU")</f>
        <v>#N/A Requesting Data...</v>
      </c>
      <c r="O360" t="str">
        <f>_xll.BDP("24916TDQ Muni","BVAL_MID_YTM")</f>
        <v>#N/A Requesting Data...</v>
      </c>
      <c r="P360" t="str">
        <f>_xll.BDP("24916TDQ Muni","MUNI_TAX_PROV")</f>
        <v>#N/A Requesting Data...</v>
      </c>
      <c r="Q360" t="str">
        <f>_xll.BDP("24916TDQ Muni","MUNI_FED_TAX")</f>
        <v>#N/A Requesting Data...</v>
      </c>
      <c r="R360" t="str">
        <f>_xll.BDP("24916TDQ Muni","MUNI_MSRB_VOLUME")</f>
        <v>#N/A Requesting Data...</v>
      </c>
      <c r="S360" t="str">
        <f>_xll.BDP("24916TDQ Muni","BB_COMPOSITE")</f>
        <v>#N/A Requesting Data...</v>
      </c>
      <c r="T360" t="str">
        <f>_xll.BDP("24916TDQ Muni","LQA_LIQUIDITY_SCORE")</f>
        <v>#N/A Requesting Data...</v>
      </c>
    </row>
    <row r="361" spans="1:20" x14ac:dyDescent="0.25">
      <c r="A361" t="str">
        <f>_xll.BDP("24916TDR Muni","ID_CUSIP")</f>
        <v>#N/A Requesting Data...</v>
      </c>
      <c r="B361" t="s">
        <v>147</v>
      </c>
      <c r="C361" t="str">
        <f>_xll.BDP("24916TDR Muni","INSURANCE_STATUS")</f>
        <v>#N/A Requesting Data...</v>
      </c>
      <c r="D361" t="str">
        <f>_xll.BDP("24916TDR Muni","STATE_CODE")</f>
        <v>#N/A Requesting Data...</v>
      </c>
      <c r="E361" t="str">
        <f>_xll.BDP("24916TDR Muni","COUNTY_LOCATION_ISSUER")</f>
        <v>#N/A Requesting Data...</v>
      </c>
      <c r="F361" t="str">
        <f>_xll.BDP("24916TDR Muni","DUR_ADJ_MID")</f>
        <v>#N/A Requesting Data...</v>
      </c>
      <c r="G361" t="str">
        <f>_xll.BDP("24916TDR Muni","SPREAD_AT_ISSUANCE_TO_WORST")</f>
        <v>#N/A Requesting Data...</v>
      </c>
      <c r="H361" t="str">
        <f>_xll.BDP("24916TDR Muni","ISSUE_DT")</f>
        <v>#N/A Requesting Data...</v>
      </c>
      <c r="I361" t="str">
        <f>_xll.BDS("24916TDR Muni","MUNI_PURPOSE_SCHED", "aggregate=y")</f>
        <v>#N/A Review</v>
      </c>
      <c r="J361" t="str">
        <f>_xll.BDP("24916TDR Muni","CPN")</f>
        <v>#N/A Requesting Data...</v>
      </c>
      <c r="K361" t="str">
        <f>_xll.BDP("24916TDR Muni","MATURITY")</f>
        <v>#N/A Requesting Data...</v>
      </c>
      <c r="L361">
        <v>1965000</v>
      </c>
      <c r="M361" t="str">
        <f>_xll.BDP("24916TDR Muni","YIELD_ON_ISSUE_DATE")</f>
        <v>#N/A Requesting Data...</v>
      </c>
      <c r="N361" t="str">
        <f>_xll.BDP("24916TDR Muni","YTW_SPREAD_TO_MATURITY_AT_ISSU")</f>
        <v>#N/A Requesting Data...</v>
      </c>
      <c r="O361" t="str">
        <f>_xll.BDP("24916TDR Muni","BVAL_MID_YTM")</f>
        <v>#N/A Requesting Data...</v>
      </c>
      <c r="P361" t="str">
        <f>_xll.BDP("24916TDR Muni","MUNI_TAX_PROV")</f>
        <v>#N/A Requesting Data...</v>
      </c>
      <c r="Q361" t="str">
        <f>_xll.BDP("24916TDR Muni","MUNI_FED_TAX")</f>
        <v>#N/A Requesting Data...</v>
      </c>
      <c r="R361" t="str">
        <f>_xll.BDP("24916TDR Muni","MUNI_MSRB_VOLUME")</f>
        <v>#N/A Requesting Data...</v>
      </c>
      <c r="S361" t="str">
        <f>_xll.BDP("24916TDR Muni","BB_COMPOSITE")</f>
        <v>#N/A Requesting Data...</v>
      </c>
      <c r="T361" t="str">
        <f>_xll.BDP("24916TDR Muni","LQA_LIQUIDITY_SCORE")</f>
        <v>#N/A Requesting Data...</v>
      </c>
    </row>
    <row r="362" spans="1:20" x14ac:dyDescent="0.25">
      <c r="A362" t="str">
        <f>_xll.BDP("24916TDT Muni","ID_CUSIP")</f>
        <v>#N/A Requesting Data...</v>
      </c>
      <c r="B362" t="s">
        <v>147</v>
      </c>
      <c r="C362" t="str">
        <f>_xll.BDP("24916TDT Muni","INSURANCE_STATUS")</f>
        <v>#N/A Requesting Data...</v>
      </c>
      <c r="D362" t="str">
        <f>_xll.BDP("24916TDT Muni","STATE_CODE")</f>
        <v>#N/A Requesting Data...</v>
      </c>
      <c r="E362" t="str">
        <f>_xll.BDP("24916TDT Muni","COUNTY_LOCATION_ISSUER")</f>
        <v>#N/A Requesting Data...</v>
      </c>
      <c r="F362" t="str">
        <f>_xll.BDP("24916TDT Muni","DUR_ADJ_MID")</f>
        <v>#N/A Requesting Data...</v>
      </c>
      <c r="G362" t="str">
        <f>_xll.BDP("24916TDT Muni","SPREAD_AT_ISSUANCE_TO_WORST")</f>
        <v>#N/A Requesting Data...</v>
      </c>
      <c r="H362" t="str">
        <f>_xll.BDP("24916TDT Muni","ISSUE_DT")</f>
        <v>#N/A Requesting Data...</v>
      </c>
      <c r="I362" t="str">
        <f>_xll.BDS("24916TDT Muni","MUNI_PURPOSE_SCHED", "aggregate=y")</f>
        <v>#N/A Review</v>
      </c>
      <c r="J362" t="str">
        <f>_xll.BDP("24916TDT Muni","CPN")</f>
        <v>#N/A Requesting Data...</v>
      </c>
      <c r="K362" t="str">
        <f>_xll.BDP("24916TDT Muni","MATURITY")</f>
        <v>#N/A Requesting Data...</v>
      </c>
      <c r="L362">
        <v>2210000</v>
      </c>
      <c r="M362" t="str">
        <f>_xll.BDP("24916TDT Muni","YIELD_ON_ISSUE_DATE")</f>
        <v>#N/A Requesting Data...</v>
      </c>
      <c r="N362" t="str">
        <f>_xll.BDP("24916TDT Muni","YTW_SPREAD_TO_MATURITY_AT_ISSU")</f>
        <v>#N/A Requesting Data...</v>
      </c>
      <c r="O362" t="str">
        <f>_xll.BDP("24916TDT Muni","BVAL_MID_YTM")</f>
        <v>#N/A Requesting Data...</v>
      </c>
      <c r="P362" t="str">
        <f>_xll.BDP("24916TDT Muni","MUNI_TAX_PROV")</f>
        <v>#N/A Requesting Data...</v>
      </c>
      <c r="Q362" t="str">
        <f>_xll.BDP("24916TDT Muni","MUNI_FED_TAX")</f>
        <v>#N/A Requesting Data...</v>
      </c>
      <c r="R362" t="str">
        <f>_xll.BDP("24916TDT Muni","MUNI_MSRB_VOLUME")</f>
        <v>#N/A Requesting Data...</v>
      </c>
      <c r="S362" t="str">
        <f>_xll.BDP("24916TDT Muni","BB_COMPOSITE")</f>
        <v>#N/A Requesting Data...</v>
      </c>
      <c r="T362" t="str">
        <f>_xll.BDP("24916TDT Muni","LQA_LIQUIDITY_SCORE")</f>
        <v>#N/A Requesting Data...</v>
      </c>
    </row>
    <row r="363" spans="1:20" x14ac:dyDescent="0.25">
      <c r="A363" t="str">
        <f>_xll.BDP("24916TDU Muni","ID_CUSIP")</f>
        <v>#N/A Requesting Data...</v>
      </c>
      <c r="B363" t="s">
        <v>147</v>
      </c>
      <c r="C363" t="str">
        <f>_xll.BDP("24916TDU Muni","INSURANCE_STATUS")</f>
        <v>#N/A Requesting Data...</v>
      </c>
      <c r="D363" t="str">
        <f>_xll.BDP("24916TDU Muni","STATE_CODE")</f>
        <v>#N/A Requesting Data...</v>
      </c>
      <c r="E363" t="str">
        <f>_xll.BDP("24916TDU Muni","COUNTY_LOCATION_ISSUER")</f>
        <v>#N/A Requesting Data...</v>
      </c>
      <c r="F363" t="str">
        <f>_xll.BDP("24916TDU Muni","DUR_ADJ_MID")</f>
        <v>#N/A Requesting Data...</v>
      </c>
      <c r="G363" t="str">
        <f>_xll.BDP("24916TDU Muni","SPREAD_AT_ISSUANCE_TO_WORST")</f>
        <v>#N/A Requesting Data...</v>
      </c>
      <c r="H363" t="str">
        <f>_xll.BDP("24916TDU Muni","ISSUE_DT")</f>
        <v>#N/A Requesting Data...</v>
      </c>
      <c r="I363" t="str">
        <f>_xll.BDS("24916TDU Muni","MUNI_PURPOSE_SCHED", "aggregate=y")</f>
        <v>#N/A Review</v>
      </c>
      <c r="J363" t="str">
        <f>_xll.BDP("24916TDU Muni","CPN")</f>
        <v>#N/A Requesting Data...</v>
      </c>
      <c r="K363" t="str">
        <f>_xll.BDP("24916TDU Muni","MATURITY")</f>
        <v>#N/A Requesting Data...</v>
      </c>
      <c r="L363">
        <v>2300000</v>
      </c>
      <c r="M363" t="str">
        <f>_xll.BDP("24916TDU Muni","YIELD_ON_ISSUE_DATE")</f>
        <v>#N/A Requesting Data...</v>
      </c>
      <c r="N363" t="str">
        <f>_xll.BDP("24916TDU Muni","YTW_SPREAD_TO_MATURITY_AT_ISSU")</f>
        <v>#N/A Requesting Data...</v>
      </c>
      <c r="O363" t="str">
        <f>_xll.BDP("24916TDU Muni","BVAL_MID_YTM")</f>
        <v>#N/A Requesting Data...</v>
      </c>
      <c r="P363" t="str">
        <f>_xll.BDP("24916TDU Muni","MUNI_TAX_PROV")</f>
        <v>#N/A Requesting Data...</v>
      </c>
      <c r="Q363" t="str">
        <f>_xll.BDP("24916TDU Muni","MUNI_FED_TAX")</f>
        <v>#N/A Requesting Data...</v>
      </c>
      <c r="R363" t="str">
        <f>_xll.BDP("24916TDU Muni","MUNI_MSRB_VOLUME")</f>
        <v>#N/A Requesting Data...</v>
      </c>
      <c r="S363" t="str">
        <f>_xll.BDP("24916TDU Muni","BB_COMPOSITE")</f>
        <v>#N/A Requesting Data...</v>
      </c>
      <c r="T363" t="str">
        <f>_xll.BDP("24916TDU Muni","LQA_LIQUIDITY_SCORE")</f>
        <v>#N/A Requesting Data...</v>
      </c>
    </row>
    <row r="364" spans="1:20" x14ac:dyDescent="0.25">
      <c r="A364" t="str">
        <f>_xll.BDP("927260EZ Muni","ID_CUSIP")</f>
        <v>#N/A Requesting Data...</v>
      </c>
      <c r="B364" t="s">
        <v>184</v>
      </c>
      <c r="C364" t="str">
        <f>_xll.BDP("927260EZ Muni","INSURANCE_STATUS")</f>
        <v>#N/A Requesting Data...</v>
      </c>
      <c r="D364" t="str">
        <f>_xll.BDP("927260EZ Muni","STATE_CODE")</f>
        <v>#N/A Requesting Data...</v>
      </c>
      <c r="E364" t="str">
        <f>_xll.BDP("927260EZ Muni","COUNTY_LOCATION_ISSUER")</f>
        <v>#N/A Requesting Data...</v>
      </c>
      <c r="F364" t="str">
        <f>_xll.BDP("927260EZ Muni","DUR_ADJ_MID")</f>
        <v>#N/A Requesting Data...</v>
      </c>
      <c r="G364" t="str">
        <f>_xll.BDP("927260EZ Muni","SPREAD_AT_ISSUANCE_TO_WORST")</f>
        <v>#N/A Requesting Data...</v>
      </c>
      <c r="H364" t="str">
        <f>_xll.BDP("927260EZ Muni","ISSUE_DT")</f>
        <v>#N/A Requesting Data...</v>
      </c>
      <c r="I364" t="str">
        <f>_xll.BDS("927260EZ Muni","MUNI_PURPOSE_SCHED", "aggregate=y")</f>
        <v>#N/A Review</v>
      </c>
      <c r="J364" t="str">
        <f>_xll.BDP("927260EZ Muni","CPN")</f>
        <v>#N/A Requesting Data...</v>
      </c>
      <c r="K364" t="str">
        <f>_xll.BDP("927260EZ Muni","MATURITY")</f>
        <v>#N/A Requesting Data...</v>
      </c>
      <c r="L364">
        <v>150000</v>
      </c>
      <c r="M364" t="str">
        <f>_xll.BDP("927260EZ Muni","YIELD_ON_ISSUE_DATE")</f>
        <v>#N/A Requesting Data...</v>
      </c>
      <c r="N364" t="str">
        <f>_xll.BDP("927260EZ Muni","YTW_SPREAD_TO_MATURITY_AT_ISSU")</f>
        <v>#N/A Requesting Data...</v>
      </c>
      <c r="O364" t="str">
        <f>_xll.BDP("927260EZ Muni","BVAL_MID_YTM")</f>
        <v>#N/A Requesting Data...</v>
      </c>
      <c r="P364" t="str">
        <f>_xll.BDP("927260EZ Muni","MUNI_TAX_PROV")</f>
        <v>#N/A Requesting Data...</v>
      </c>
      <c r="Q364" t="str">
        <f>_xll.BDP("927260EZ Muni","MUNI_FED_TAX")</f>
        <v>#N/A Requesting Data...</v>
      </c>
      <c r="R364" t="str">
        <f>_xll.BDP("927260EZ Muni","MUNI_MSRB_VOLUME")</f>
        <v>#N/A Requesting Data...</v>
      </c>
      <c r="S364" t="str">
        <f>_xll.BDP("927260EZ Muni","BB_COMPOSITE")</f>
        <v>#N/A Requesting Data...</v>
      </c>
      <c r="T364" t="str">
        <f>_xll.BDP("927260EZ Muni","LQA_LIQUIDITY_SCORE")</f>
        <v>#N/A Requesting Data...</v>
      </c>
    </row>
    <row r="365" spans="1:20" x14ac:dyDescent="0.25">
      <c r="A365" t="str">
        <f>_xll.BDP("927260FA Muni","ID_CUSIP")</f>
        <v>#N/A Requesting Data...</v>
      </c>
      <c r="B365" t="s">
        <v>184</v>
      </c>
      <c r="C365" t="str">
        <f>_xll.BDP("927260FA Muni","INSURANCE_STATUS")</f>
        <v>#N/A Requesting Data...</v>
      </c>
      <c r="D365" t="str">
        <f>_xll.BDP("927260FA Muni","STATE_CODE")</f>
        <v>#N/A Requesting Data...</v>
      </c>
      <c r="E365" t="str">
        <f>_xll.BDP("927260FA Muni","COUNTY_LOCATION_ISSUER")</f>
        <v>#N/A Requesting Data...</v>
      </c>
      <c r="F365" t="str">
        <f>_xll.BDP("927260FA Muni","DUR_ADJ_MID")</f>
        <v>#N/A Requesting Data...</v>
      </c>
      <c r="G365" t="str">
        <f>_xll.BDP("927260FA Muni","SPREAD_AT_ISSUANCE_TO_WORST")</f>
        <v>#N/A Requesting Data...</v>
      </c>
      <c r="H365" t="str">
        <f>_xll.BDP("927260FA Muni","ISSUE_DT")</f>
        <v>#N/A Requesting Data...</v>
      </c>
      <c r="I365" t="str">
        <f>_xll.BDS("927260FA Muni","MUNI_PURPOSE_SCHED", "aggregate=y")</f>
        <v>#N/A Review</v>
      </c>
      <c r="J365" t="str">
        <f>_xll.BDP("927260FA Muni","CPN")</f>
        <v>#N/A Requesting Data...</v>
      </c>
      <c r="K365" t="str">
        <f>_xll.BDP("927260FA Muni","MATURITY")</f>
        <v>#N/A Requesting Data...</v>
      </c>
      <c r="L365">
        <v>150000</v>
      </c>
      <c r="M365" t="str">
        <f>_xll.BDP("927260FA Muni","YIELD_ON_ISSUE_DATE")</f>
        <v>#N/A Requesting Data...</v>
      </c>
      <c r="N365" t="str">
        <f>_xll.BDP("927260FA Muni","YTW_SPREAD_TO_MATURITY_AT_ISSU")</f>
        <v>#N/A Requesting Data...</v>
      </c>
      <c r="O365" t="str">
        <f>_xll.BDP("927260FA Muni","BVAL_MID_YTM")</f>
        <v>#N/A Requesting Data...</v>
      </c>
      <c r="P365" t="str">
        <f>_xll.BDP("927260FA Muni","MUNI_TAX_PROV")</f>
        <v>#N/A Requesting Data...</v>
      </c>
      <c r="Q365" t="str">
        <f>_xll.BDP("927260FA Muni","MUNI_FED_TAX")</f>
        <v>#N/A Requesting Data...</v>
      </c>
      <c r="R365" t="str">
        <f>_xll.BDP("927260FA Muni","MUNI_MSRB_VOLUME")</f>
        <v>#N/A Requesting Data...</v>
      </c>
      <c r="S365" t="str">
        <f>_xll.BDP("927260FA Muni","BB_COMPOSITE")</f>
        <v>#N/A Requesting Data...</v>
      </c>
      <c r="T365" t="str">
        <f>_xll.BDP("927260FA Muni","LQA_LIQUIDITY_SCORE")</f>
        <v>#N/A Requesting Data...</v>
      </c>
    </row>
    <row r="366" spans="1:20" x14ac:dyDescent="0.25">
      <c r="A366" t="str">
        <f>_xll.BDP("927260FD Muni","ID_CUSIP")</f>
        <v>#N/A Requesting Data...</v>
      </c>
      <c r="B366" t="s">
        <v>184</v>
      </c>
      <c r="C366" t="str">
        <f>_xll.BDP("927260FD Muni","INSURANCE_STATUS")</f>
        <v>#N/A Requesting Data...</v>
      </c>
      <c r="D366" t="str">
        <f>_xll.BDP("927260FD Muni","STATE_CODE")</f>
        <v>#N/A Requesting Data...</v>
      </c>
      <c r="E366" t="str">
        <f>_xll.BDP("927260FD Muni","COUNTY_LOCATION_ISSUER")</f>
        <v>#N/A Requesting Data...</v>
      </c>
      <c r="F366" t="str">
        <f>_xll.BDP("927260FD Muni","DUR_ADJ_MID")</f>
        <v>#N/A Requesting Data...</v>
      </c>
      <c r="G366" t="str">
        <f>_xll.BDP("927260FD Muni","SPREAD_AT_ISSUANCE_TO_WORST")</f>
        <v>#N/A Requesting Data...</v>
      </c>
      <c r="H366" t="str">
        <f>_xll.BDP("927260FD Muni","ISSUE_DT")</f>
        <v>#N/A Requesting Data...</v>
      </c>
      <c r="I366" t="str">
        <f>_xll.BDS("927260FD Muni","MUNI_PURPOSE_SCHED", "aggregate=y")</f>
        <v>#N/A Review</v>
      </c>
      <c r="J366" t="str">
        <f>_xll.BDP("927260FD Muni","CPN")</f>
        <v>#N/A Requesting Data...</v>
      </c>
      <c r="K366" t="str">
        <f>_xll.BDP("927260FD Muni","MATURITY")</f>
        <v>#N/A Requesting Data...</v>
      </c>
      <c r="L366">
        <v>155000</v>
      </c>
      <c r="M366" t="str">
        <f>_xll.BDP("927260FD Muni","YIELD_ON_ISSUE_DATE")</f>
        <v>#N/A Requesting Data...</v>
      </c>
      <c r="N366" t="str">
        <f>_xll.BDP("927260FD Muni","YTW_SPREAD_TO_MATURITY_AT_ISSU")</f>
        <v>#N/A Requesting Data...</v>
      </c>
      <c r="O366" t="str">
        <f>_xll.BDP("927260FD Muni","BVAL_MID_YTM")</f>
        <v>#N/A Requesting Data...</v>
      </c>
      <c r="P366" t="str">
        <f>_xll.BDP("927260FD Muni","MUNI_TAX_PROV")</f>
        <v>#N/A Requesting Data...</v>
      </c>
      <c r="Q366" t="str">
        <f>_xll.BDP("927260FD Muni","MUNI_FED_TAX")</f>
        <v>#N/A Requesting Data...</v>
      </c>
      <c r="R366" t="str">
        <f>_xll.BDP("927260FD Muni","MUNI_MSRB_VOLUME")</f>
        <v>#N/A Requesting Data...</v>
      </c>
      <c r="S366" t="str">
        <f>_xll.BDP("927260FD Muni","BB_COMPOSITE")</f>
        <v>#N/A Requesting Data...</v>
      </c>
      <c r="T366" t="str">
        <f>_xll.BDP("927260FD Muni","LQA_LIQUIDITY_SCORE")</f>
        <v>#N/A Requesting Data...</v>
      </c>
    </row>
    <row r="367" spans="1:20" x14ac:dyDescent="0.25">
      <c r="A367" t="str">
        <f>_xll.BDP("927260FE Muni","ID_CUSIP")</f>
        <v>#N/A Requesting Data...</v>
      </c>
      <c r="B367" t="s">
        <v>184</v>
      </c>
      <c r="C367" t="str">
        <f>_xll.BDP("927260FE Muni","INSURANCE_STATUS")</f>
        <v>#N/A Requesting Data...</v>
      </c>
      <c r="D367" t="str">
        <f>_xll.BDP("927260FE Muni","STATE_CODE")</f>
        <v>#N/A Requesting Data...</v>
      </c>
      <c r="E367" t="str">
        <f>_xll.BDP("927260FE Muni","COUNTY_LOCATION_ISSUER")</f>
        <v>#N/A Requesting Data...</v>
      </c>
      <c r="F367" t="str">
        <f>_xll.BDP("927260FE Muni","DUR_ADJ_MID")</f>
        <v>#N/A Requesting Data...</v>
      </c>
      <c r="G367" t="str">
        <f>_xll.BDP("927260FE Muni","SPREAD_AT_ISSUANCE_TO_WORST")</f>
        <v>#N/A Requesting Data...</v>
      </c>
      <c r="H367" t="str">
        <f>_xll.BDP("927260FE Muni","ISSUE_DT")</f>
        <v>#N/A Requesting Data...</v>
      </c>
      <c r="I367" t="str">
        <f>_xll.BDS("927260FE Muni","MUNI_PURPOSE_SCHED", "aggregate=y")</f>
        <v>#N/A Review</v>
      </c>
      <c r="J367" t="str">
        <f>_xll.BDP("927260FE Muni","CPN")</f>
        <v>#N/A Requesting Data...</v>
      </c>
      <c r="K367" t="str">
        <f>_xll.BDP("927260FE Muni","MATURITY")</f>
        <v>#N/A Requesting Data...</v>
      </c>
      <c r="L367">
        <v>160000</v>
      </c>
      <c r="M367" t="str">
        <f>_xll.BDP("927260FE Muni","YIELD_ON_ISSUE_DATE")</f>
        <v>#N/A Requesting Data...</v>
      </c>
      <c r="N367" t="str">
        <f>_xll.BDP("927260FE Muni","YTW_SPREAD_TO_MATURITY_AT_ISSU")</f>
        <v>#N/A Requesting Data...</v>
      </c>
      <c r="O367" t="str">
        <f>_xll.BDP("927260FE Muni","BVAL_MID_YTM")</f>
        <v>#N/A Requesting Data...</v>
      </c>
      <c r="P367" t="str">
        <f>_xll.BDP("927260FE Muni","MUNI_TAX_PROV")</f>
        <v>#N/A Requesting Data...</v>
      </c>
      <c r="Q367" t="str">
        <f>_xll.BDP("927260FE Muni","MUNI_FED_TAX")</f>
        <v>#N/A Requesting Data...</v>
      </c>
      <c r="R367" t="str">
        <f>_xll.BDP("927260FE Muni","MUNI_MSRB_VOLUME")</f>
        <v>#N/A Requesting Data...</v>
      </c>
      <c r="S367" t="str">
        <f>_xll.BDP("927260FE Muni","BB_COMPOSITE")</f>
        <v>#N/A Requesting Data...</v>
      </c>
      <c r="T367" t="str">
        <f>_xll.BDP("927260FE Muni","LQA_LIQUIDITY_SCORE")</f>
        <v>#N/A Requesting Data...</v>
      </c>
    </row>
    <row r="368" spans="1:20" x14ac:dyDescent="0.25">
      <c r="A368" t="str">
        <f>_xll.BDP("927749JB Muni","ID_CUSIP")</f>
        <v>#N/A Requesting Data...</v>
      </c>
      <c r="B368" t="s">
        <v>185</v>
      </c>
      <c r="C368" t="str">
        <f>_xll.BDP("927749JB Muni","INSURANCE_STATUS")</f>
        <v>#N/A Requesting Data...</v>
      </c>
      <c r="D368" t="str">
        <f>_xll.BDP("927749JB Muni","STATE_CODE")</f>
        <v>#N/A Requesting Data...</v>
      </c>
      <c r="E368" t="str">
        <f>_xll.BDP("927749JB Muni","COUNTY_LOCATION_ISSUER")</f>
        <v>#N/A Requesting Data...</v>
      </c>
      <c r="F368" t="str">
        <f>_xll.BDP("927749JB Muni","DUR_ADJ_MID")</f>
        <v>#N/A Requesting Data...</v>
      </c>
      <c r="G368" t="str">
        <f>_xll.BDP("927749JB Muni","SPREAD_AT_ISSUANCE_TO_WORST")</f>
        <v>#N/A Requesting Data...</v>
      </c>
      <c r="H368" t="str">
        <f>_xll.BDP("927749JB Muni","ISSUE_DT")</f>
        <v>#N/A Requesting Data...</v>
      </c>
      <c r="I368" t="str">
        <f>_xll.BDS("927749JB Muni","MUNI_PURPOSE_SCHED", "aggregate=y")</f>
        <v>#N/A Review</v>
      </c>
      <c r="J368" t="str">
        <f>_xll.BDP("927749JB Muni","CPN")</f>
        <v>#N/A Requesting Data...</v>
      </c>
      <c r="K368" t="str">
        <f>_xll.BDP("927749JB Muni","MATURITY")</f>
        <v>#N/A Requesting Data...</v>
      </c>
      <c r="L368">
        <v>1425000</v>
      </c>
      <c r="M368" t="str">
        <f>_xll.BDP("927749JB Muni","YIELD_ON_ISSUE_DATE")</f>
        <v>#N/A Requesting Data...</v>
      </c>
      <c r="N368" t="str">
        <f>_xll.BDP("927749JB Muni","YTW_SPREAD_TO_MATURITY_AT_ISSU")</f>
        <v>#N/A Requesting Data...</v>
      </c>
      <c r="O368" t="str">
        <f>_xll.BDP("927749JB Muni","BVAL_MID_YTM")</f>
        <v>#N/A Requesting Data...</v>
      </c>
      <c r="P368" t="str">
        <f>_xll.BDP("927749JB Muni","MUNI_TAX_PROV")</f>
        <v>#N/A Requesting Data...</v>
      </c>
      <c r="Q368" t="str">
        <f>_xll.BDP("927749JB Muni","MUNI_FED_TAX")</f>
        <v>#N/A Requesting Data...</v>
      </c>
      <c r="R368" t="str">
        <f>_xll.BDP("927749JB Muni","MUNI_MSRB_VOLUME")</f>
        <v>#N/A Requesting Data...</v>
      </c>
      <c r="S368" t="str">
        <f>_xll.BDP("927749JB Muni","BB_COMPOSITE")</f>
        <v>#N/A Requesting Data...</v>
      </c>
      <c r="T368" t="str">
        <f>_xll.BDP("927749JB Muni","LQA_LIQUIDITY_SCORE")</f>
        <v>#N/A Requesting Data...</v>
      </c>
    </row>
    <row r="369" spans="1:20" x14ac:dyDescent="0.25">
      <c r="A369" t="str">
        <f>_xll.BDP("927749JC Muni","ID_CUSIP")</f>
        <v>#N/A Requesting Data...</v>
      </c>
      <c r="B369" t="s">
        <v>185</v>
      </c>
      <c r="C369" t="str">
        <f>_xll.BDP("927749JC Muni","INSURANCE_STATUS")</f>
        <v>#N/A Requesting Data...</v>
      </c>
      <c r="D369" t="str">
        <f>_xll.BDP("927749JC Muni","STATE_CODE")</f>
        <v>#N/A Requesting Data...</v>
      </c>
      <c r="E369" t="str">
        <f>_xll.BDP("927749JC Muni","COUNTY_LOCATION_ISSUER")</f>
        <v>#N/A Requesting Data...</v>
      </c>
      <c r="F369" t="str">
        <f>_xll.BDP("927749JC Muni","DUR_ADJ_MID")</f>
        <v>#N/A Requesting Data...</v>
      </c>
      <c r="G369" t="str">
        <f>_xll.BDP("927749JC Muni","SPREAD_AT_ISSUANCE_TO_WORST")</f>
        <v>#N/A Requesting Data...</v>
      </c>
      <c r="H369" t="str">
        <f>_xll.BDP("927749JC Muni","ISSUE_DT")</f>
        <v>#N/A Requesting Data...</v>
      </c>
      <c r="I369" t="str">
        <f>_xll.BDS("927749JC Muni","MUNI_PURPOSE_SCHED", "aggregate=y")</f>
        <v>#N/A Review</v>
      </c>
      <c r="J369" t="str">
        <f>_xll.BDP("927749JC Muni","CPN")</f>
        <v>#N/A Requesting Data...</v>
      </c>
      <c r="K369" t="str">
        <f>_xll.BDP("927749JC Muni","MATURITY")</f>
        <v>#N/A Requesting Data...</v>
      </c>
      <c r="L369">
        <v>1500000</v>
      </c>
      <c r="M369" t="str">
        <f>_xll.BDP("927749JC Muni","YIELD_ON_ISSUE_DATE")</f>
        <v>#N/A Requesting Data...</v>
      </c>
      <c r="N369" t="str">
        <f>_xll.BDP("927749JC Muni","YTW_SPREAD_TO_MATURITY_AT_ISSU")</f>
        <v>#N/A Requesting Data...</v>
      </c>
      <c r="O369" t="str">
        <f>_xll.BDP("927749JC Muni","BVAL_MID_YTM")</f>
        <v>#N/A Requesting Data...</v>
      </c>
      <c r="P369" t="str">
        <f>_xll.BDP("927749JC Muni","MUNI_TAX_PROV")</f>
        <v>#N/A Requesting Data...</v>
      </c>
      <c r="Q369" t="str">
        <f>_xll.BDP("927749JC Muni","MUNI_FED_TAX")</f>
        <v>#N/A Requesting Data...</v>
      </c>
      <c r="R369" t="str">
        <f>_xll.BDP("927749JC Muni","MUNI_MSRB_VOLUME")</f>
        <v>#N/A Requesting Data...</v>
      </c>
      <c r="S369" t="str">
        <f>_xll.BDP("927749JC Muni","BB_COMPOSITE")</f>
        <v>#N/A Requesting Data...</v>
      </c>
      <c r="T369" t="str">
        <f>_xll.BDP("927749JC Muni","LQA_LIQUIDITY_SCORE")</f>
        <v>#N/A Requesting Data...</v>
      </c>
    </row>
    <row r="370" spans="1:20" x14ac:dyDescent="0.25">
      <c r="A370" t="str">
        <f>_xll.BDP("927749JD Muni","ID_CUSIP")</f>
        <v>#N/A Requesting Data...</v>
      </c>
      <c r="B370" t="s">
        <v>185</v>
      </c>
      <c r="C370" t="str">
        <f>_xll.BDP("927749JD Muni","INSURANCE_STATUS")</f>
        <v>#N/A Requesting Data...</v>
      </c>
      <c r="D370" t="str">
        <f>_xll.BDP("927749JD Muni","STATE_CODE")</f>
        <v>#N/A Requesting Data...</v>
      </c>
      <c r="E370" t="str">
        <f>_xll.BDP("927749JD Muni","COUNTY_LOCATION_ISSUER")</f>
        <v>#N/A Requesting Data...</v>
      </c>
      <c r="F370" t="str">
        <f>_xll.BDP("927749JD Muni","DUR_ADJ_MID")</f>
        <v>#N/A Requesting Data...</v>
      </c>
      <c r="G370" t="str">
        <f>_xll.BDP("927749JD Muni","SPREAD_AT_ISSUANCE_TO_WORST")</f>
        <v>#N/A Requesting Data...</v>
      </c>
      <c r="H370" t="str">
        <f>_xll.BDP("927749JD Muni","ISSUE_DT")</f>
        <v>#N/A Requesting Data...</v>
      </c>
      <c r="I370" t="str">
        <f>_xll.BDS("927749JD Muni","MUNI_PURPOSE_SCHED", "aggregate=y")</f>
        <v>#N/A Review</v>
      </c>
      <c r="J370" t="str">
        <f>_xll.BDP("927749JD Muni","CPN")</f>
        <v>#N/A Requesting Data...</v>
      </c>
      <c r="K370" t="str">
        <f>_xll.BDP("927749JD Muni","MATURITY")</f>
        <v>#N/A Requesting Data...</v>
      </c>
      <c r="L370">
        <v>1575000</v>
      </c>
      <c r="M370" t="str">
        <f>_xll.BDP("927749JD Muni","YIELD_ON_ISSUE_DATE")</f>
        <v>#N/A Requesting Data...</v>
      </c>
      <c r="N370" t="str">
        <f>_xll.BDP("927749JD Muni","YTW_SPREAD_TO_MATURITY_AT_ISSU")</f>
        <v>#N/A Requesting Data...</v>
      </c>
      <c r="O370" t="str">
        <f>_xll.BDP("927749JD Muni","BVAL_MID_YTM")</f>
        <v>#N/A Requesting Data...</v>
      </c>
      <c r="P370" t="str">
        <f>_xll.BDP("927749JD Muni","MUNI_TAX_PROV")</f>
        <v>#N/A Requesting Data...</v>
      </c>
      <c r="Q370" t="str">
        <f>_xll.BDP("927749JD Muni","MUNI_FED_TAX")</f>
        <v>#N/A Requesting Data...</v>
      </c>
      <c r="R370" t="str">
        <f>_xll.BDP("927749JD Muni","MUNI_MSRB_VOLUME")</f>
        <v>#N/A Requesting Data...</v>
      </c>
      <c r="S370" t="str">
        <f>_xll.BDP("927749JD Muni","BB_COMPOSITE")</f>
        <v>#N/A Requesting Data...</v>
      </c>
      <c r="T370" t="str">
        <f>_xll.BDP("927749JD Muni","LQA_LIQUIDITY_SCORE")</f>
        <v>#N/A Requesting Data...</v>
      </c>
    </row>
    <row r="371" spans="1:20" x14ac:dyDescent="0.25">
      <c r="A371" t="str">
        <f>_xll.BDP("927749JE Muni","ID_CUSIP")</f>
        <v>#N/A Requesting Data...</v>
      </c>
      <c r="B371" t="s">
        <v>185</v>
      </c>
      <c r="C371" t="str">
        <f>_xll.BDP("927749JE Muni","INSURANCE_STATUS")</f>
        <v>#N/A Requesting Data...</v>
      </c>
      <c r="D371" t="str">
        <f>_xll.BDP("927749JE Muni","STATE_CODE")</f>
        <v>#N/A Requesting Data...</v>
      </c>
      <c r="E371" t="str">
        <f>_xll.BDP("927749JE Muni","COUNTY_LOCATION_ISSUER")</f>
        <v>#N/A Requesting Data...</v>
      </c>
      <c r="F371" t="str">
        <f>_xll.BDP("927749JE Muni","DUR_ADJ_MID")</f>
        <v>#N/A Requesting Data...</v>
      </c>
      <c r="G371" t="str">
        <f>_xll.BDP("927749JE Muni","SPREAD_AT_ISSUANCE_TO_WORST")</f>
        <v>#N/A Requesting Data...</v>
      </c>
      <c r="H371" t="str">
        <f>_xll.BDP("927749JE Muni","ISSUE_DT")</f>
        <v>#N/A Requesting Data...</v>
      </c>
      <c r="I371" t="str">
        <f>_xll.BDS("927749JE Muni","MUNI_PURPOSE_SCHED", "aggregate=y")</f>
        <v>#N/A Review</v>
      </c>
      <c r="J371" t="str">
        <f>_xll.BDP("927749JE Muni","CPN")</f>
        <v>#N/A Requesting Data...</v>
      </c>
      <c r="K371" t="str">
        <f>_xll.BDP("927749JE Muni","MATURITY")</f>
        <v>#N/A Requesting Data...</v>
      </c>
      <c r="L371">
        <v>1655000</v>
      </c>
      <c r="M371" t="str">
        <f>_xll.BDP("927749JE Muni","YIELD_ON_ISSUE_DATE")</f>
        <v>#N/A Requesting Data...</v>
      </c>
      <c r="N371" t="str">
        <f>_xll.BDP("927749JE Muni","YTW_SPREAD_TO_MATURITY_AT_ISSU")</f>
        <v>#N/A Requesting Data...</v>
      </c>
      <c r="O371" t="str">
        <f>_xll.BDP("927749JE Muni","BVAL_MID_YTM")</f>
        <v>#N/A Requesting Data...</v>
      </c>
      <c r="P371" t="str">
        <f>_xll.BDP("927749JE Muni","MUNI_TAX_PROV")</f>
        <v>#N/A Requesting Data...</v>
      </c>
      <c r="Q371" t="str">
        <f>_xll.BDP("927749JE Muni","MUNI_FED_TAX")</f>
        <v>#N/A Requesting Data...</v>
      </c>
      <c r="R371" t="str">
        <f>_xll.BDP("927749JE Muni","MUNI_MSRB_VOLUME")</f>
        <v>#N/A Requesting Data...</v>
      </c>
      <c r="S371" t="str">
        <f>_xll.BDP("927749JE Muni","BB_COMPOSITE")</f>
        <v>#N/A Requesting Data...</v>
      </c>
      <c r="T371" t="str">
        <f>_xll.BDP("927749JE Muni","LQA_LIQUIDITY_SCORE")</f>
        <v>#N/A Requesting Data...</v>
      </c>
    </row>
    <row r="372" spans="1:20" x14ac:dyDescent="0.25">
      <c r="A372" t="str">
        <f>_xll.BDP("815883LB Muni","ID_CUSIP")</f>
        <v>#N/A Requesting Data...</v>
      </c>
      <c r="B372" t="s">
        <v>186</v>
      </c>
      <c r="C372" t="str">
        <f>_xll.BDP("815883LB Muni","INSURANCE_STATUS")</f>
        <v>#N/A Requesting Data...</v>
      </c>
      <c r="D372" t="str">
        <f>_xll.BDP("815883LB Muni","STATE_CODE")</f>
        <v>#N/A Requesting Data...</v>
      </c>
      <c r="E372" t="str">
        <f>_xll.BDP("815883LB Muni","COUNTY_LOCATION_ISSUER")</f>
        <v>#N/A Requesting Data...</v>
      </c>
      <c r="F372" t="str">
        <f>_xll.BDP("815883LB Muni","DUR_ADJ_MID")</f>
        <v>#N/A Requesting Data...</v>
      </c>
      <c r="G372" t="str">
        <f>_xll.BDP("815883LB Muni","SPREAD_AT_ISSUANCE_TO_WORST")</f>
        <v>#N/A Requesting Data...</v>
      </c>
      <c r="H372" t="str">
        <f>_xll.BDP("815883LB Muni","ISSUE_DT")</f>
        <v>#N/A Requesting Data...</v>
      </c>
      <c r="I372" t="str">
        <f>_xll.BDS("815883LB Muni","MUNI_PURPOSE_SCHED", "aggregate=y")</f>
        <v>#N/A Review</v>
      </c>
      <c r="J372" t="str">
        <f>_xll.BDP("815883LB Muni","CPN")</f>
        <v>#N/A Requesting Data...</v>
      </c>
      <c r="K372" t="str">
        <f>_xll.BDP("815883LB Muni","MATURITY")</f>
        <v>#N/A Requesting Data...</v>
      </c>
      <c r="L372">
        <v>100000</v>
      </c>
      <c r="M372" t="str">
        <f>_xll.BDP("815883LB Muni","YIELD_ON_ISSUE_DATE")</f>
        <v>#N/A Requesting Data...</v>
      </c>
      <c r="N372" t="str">
        <f>_xll.BDP("815883LB Muni","YTW_SPREAD_TO_MATURITY_AT_ISSU")</f>
        <v>#N/A Requesting Data...</v>
      </c>
      <c r="O372" t="str">
        <f>_xll.BDP("815883LB Muni","BVAL_MID_YTM")</f>
        <v>#N/A Requesting Data...</v>
      </c>
      <c r="P372" t="str">
        <f>_xll.BDP("815883LB Muni","MUNI_TAX_PROV")</f>
        <v>#N/A Requesting Data...</v>
      </c>
      <c r="Q372" t="str">
        <f>_xll.BDP("815883LB Muni","MUNI_FED_TAX")</f>
        <v>#N/A Requesting Data...</v>
      </c>
      <c r="R372" t="str">
        <f>_xll.BDP("815883LB Muni","MUNI_MSRB_VOLUME")</f>
        <v>#N/A Requesting Data...</v>
      </c>
      <c r="S372" t="str">
        <f>_xll.BDP("815883LB Muni","BB_COMPOSITE")</f>
        <v>#N/A Requesting Data...</v>
      </c>
      <c r="T372" t="str">
        <f>_xll.BDP("815883LB Muni","LQA_LIQUIDITY_SCORE")</f>
        <v>#N/A Requesting Data...</v>
      </c>
    </row>
    <row r="373" spans="1:20" x14ac:dyDescent="0.25">
      <c r="A373" t="str">
        <f>_xll.BDP("815883LC Muni","ID_CUSIP")</f>
        <v>#N/A Requesting Data...</v>
      </c>
      <c r="B373" t="s">
        <v>186</v>
      </c>
      <c r="C373" t="str">
        <f>_xll.BDP("815883LC Muni","INSURANCE_STATUS")</f>
        <v>#N/A Requesting Data...</v>
      </c>
      <c r="D373" t="str">
        <f>_xll.BDP("815883LC Muni","STATE_CODE")</f>
        <v>#N/A Requesting Data...</v>
      </c>
      <c r="E373" t="str">
        <f>_xll.BDP("815883LC Muni","COUNTY_LOCATION_ISSUER")</f>
        <v>#N/A Requesting Data...</v>
      </c>
      <c r="F373" t="str">
        <f>_xll.BDP("815883LC Muni","DUR_ADJ_MID")</f>
        <v>#N/A Requesting Data...</v>
      </c>
      <c r="G373" t="str">
        <f>_xll.BDP("815883LC Muni","SPREAD_AT_ISSUANCE_TO_WORST")</f>
        <v>#N/A Requesting Data...</v>
      </c>
      <c r="H373" t="str">
        <f>_xll.BDP("815883LC Muni","ISSUE_DT")</f>
        <v>#N/A Requesting Data...</v>
      </c>
      <c r="I373" t="str">
        <f>_xll.BDS("815883LC Muni","MUNI_PURPOSE_SCHED", "aggregate=y")</f>
        <v>#N/A Review</v>
      </c>
      <c r="J373" t="str">
        <f>_xll.BDP("815883LC Muni","CPN")</f>
        <v>#N/A Requesting Data...</v>
      </c>
      <c r="K373" t="str">
        <f>_xll.BDP("815883LC Muni","MATURITY")</f>
        <v>#N/A Requesting Data...</v>
      </c>
      <c r="L373">
        <v>225000</v>
      </c>
      <c r="M373" t="str">
        <f>_xll.BDP("815883LC Muni","YIELD_ON_ISSUE_DATE")</f>
        <v>#N/A Requesting Data...</v>
      </c>
      <c r="N373" t="str">
        <f>_xll.BDP("815883LC Muni","YTW_SPREAD_TO_MATURITY_AT_ISSU")</f>
        <v>#N/A Requesting Data...</v>
      </c>
      <c r="O373" t="str">
        <f>_xll.BDP("815883LC Muni","BVAL_MID_YTM")</f>
        <v>#N/A Requesting Data...</v>
      </c>
      <c r="P373" t="str">
        <f>_xll.BDP("815883LC Muni","MUNI_TAX_PROV")</f>
        <v>#N/A Requesting Data...</v>
      </c>
      <c r="Q373" t="str">
        <f>_xll.BDP("815883LC Muni","MUNI_FED_TAX")</f>
        <v>#N/A Requesting Data...</v>
      </c>
      <c r="R373" t="str">
        <f>_xll.BDP("815883LC Muni","MUNI_MSRB_VOLUME")</f>
        <v>#N/A Requesting Data...</v>
      </c>
      <c r="S373" t="str">
        <f>_xll.BDP("815883LC Muni","BB_COMPOSITE")</f>
        <v>#N/A Requesting Data...</v>
      </c>
      <c r="T373" t="str">
        <f>_xll.BDP("815883LC Muni","LQA_LIQUIDITY_SCORE")</f>
        <v>#N/A Requesting Data...</v>
      </c>
    </row>
    <row r="374" spans="1:20" x14ac:dyDescent="0.25">
      <c r="A374" t="str">
        <f>_xll.BDP("816885FS Muni","ID_CUSIP")</f>
        <v>#N/A Requesting Data...</v>
      </c>
      <c r="B374" t="s">
        <v>187</v>
      </c>
      <c r="C374" t="str">
        <f>_xll.BDP("816885FS Muni","INSURANCE_STATUS")</f>
        <v>#N/A Requesting Data...</v>
      </c>
      <c r="D374" t="str">
        <f>_xll.BDP("816885FS Muni","STATE_CODE")</f>
        <v>#N/A Requesting Data...</v>
      </c>
      <c r="E374" t="str">
        <f>_xll.BDP("816885FS Muni","COUNTY_LOCATION_ISSUER")</f>
        <v>#N/A Requesting Data...</v>
      </c>
      <c r="F374" t="str">
        <f>_xll.BDP("816885FS Muni","DUR_ADJ_MID")</f>
        <v>#N/A Requesting Data...</v>
      </c>
      <c r="G374" t="str">
        <f>_xll.BDP("816885FS Muni","SPREAD_AT_ISSUANCE_TO_WORST")</f>
        <v>#N/A Requesting Data...</v>
      </c>
      <c r="H374" t="str">
        <f>_xll.BDP("816885FS Muni","ISSUE_DT")</f>
        <v>#N/A Requesting Data...</v>
      </c>
      <c r="I374" t="str">
        <f>_xll.BDS("816885FS Muni","MUNI_PURPOSE_SCHED", "aggregate=y")</f>
        <v>#N/A Review</v>
      </c>
      <c r="J374" t="str">
        <f>_xll.BDP("816885FS Muni","CPN")</f>
        <v>#N/A Requesting Data...</v>
      </c>
      <c r="K374" t="str">
        <f>_xll.BDP("816885FS Muni","MATURITY")</f>
        <v>#N/A Requesting Data...</v>
      </c>
      <c r="L374">
        <v>95000</v>
      </c>
      <c r="M374" t="str">
        <f>_xll.BDP("816885FS Muni","YIELD_ON_ISSUE_DATE")</f>
        <v>#N/A Requesting Data...</v>
      </c>
      <c r="N374" t="str">
        <f>_xll.BDP("816885FS Muni","YTW_SPREAD_TO_MATURITY_AT_ISSU")</f>
        <v>#N/A Requesting Data...</v>
      </c>
      <c r="O374" t="str">
        <f>_xll.BDP("816885FS Muni","BVAL_MID_YTM")</f>
        <v>#N/A Requesting Data...</v>
      </c>
      <c r="P374" t="str">
        <f>_xll.BDP("816885FS Muni","MUNI_TAX_PROV")</f>
        <v>#N/A Requesting Data...</v>
      </c>
      <c r="Q374" t="str">
        <f>_xll.BDP("816885FS Muni","MUNI_FED_TAX")</f>
        <v>#N/A Requesting Data...</v>
      </c>
      <c r="R374" t="str">
        <f>_xll.BDP("816885FS Muni","MUNI_MSRB_VOLUME")</f>
        <v>#N/A Requesting Data...</v>
      </c>
      <c r="S374" t="str">
        <f>_xll.BDP("816885FS Muni","BB_COMPOSITE")</f>
        <v>#N/A Requesting Data...</v>
      </c>
      <c r="T374" t="str">
        <f>_xll.BDP("816885FS Muni","LQA_LIQUIDITY_SCORE")</f>
        <v>#N/A Requesting Data...</v>
      </c>
    </row>
    <row r="375" spans="1:20" x14ac:dyDescent="0.25">
      <c r="A375" t="str">
        <f>_xll.BDP("816885FT Muni","ID_CUSIP")</f>
        <v>#N/A Requesting Data...</v>
      </c>
      <c r="B375" t="s">
        <v>187</v>
      </c>
      <c r="C375" t="str">
        <f>_xll.BDP("816885FT Muni","INSURANCE_STATUS")</f>
        <v>#N/A Requesting Data...</v>
      </c>
      <c r="D375" t="str">
        <f>_xll.BDP("816885FT Muni","STATE_CODE")</f>
        <v>#N/A Requesting Data...</v>
      </c>
      <c r="E375" t="str">
        <f>_xll.BDP("816885FT Muni","COUNTY_LOCATION_ISSUER")</f>
        <v>#N/A Requesting Data...</v>
      </c>
      <c r="F375" t="str">
        <f>_xll.BDP("816885FT Muni","DUR_ADJ_MID")</f>
        <v>#N/A Requesting Data...</v>
      </c>
      <c r="G375" t="str">
        <f>_xll.BDP("816885FT Muni","SPREAD_AT_ISSUANCE_TO_WORST")</f>
        <v>#N/A Requesting Data...</v>
      </c>
      <c r="H375" t="str">
        <f>_xll.BDP("816885FT Muni","ISSUE_DT")</f>
        <v>#N/A Requesting Data...</v>
      </c>
      <c r="I375" t="str">
        <f>_xll.BDS("816885FT Muni","MUNI_PURPOSE_SCHED", "aggregate=y")</f>
        <v>#N/A Review</v>
      </c>
      <c r="J375" t="str">
        <f>_xll.BDP("816885FT Muni","CPN")</f>
        <v>#N/A Requesting Data...</v>
      </c>
      <c r="K375" t="str">
        <f>_xll.BDP("816885FT Muni","MATURITY")</f>
        <v>#N/A Requesting Data...</v>
      </c>
      <c r="L375">
        <v>100000</v>
      </c>
      <c r="M375" t="str">
        <f>_xll.BDP("816885FT Muni","YIELD_ON_ISSUE_DATE")</f>
        <v>#N/A Requesting Data...</v>
      </c>
      <c r="N375" t="str">
        <f>_xll.BDP("816885FT Muni","YTW_SPREAD_TO_MATURITY_AT_ISSU")</f>
        <v>#N/A Requesting Data...</v>
      </c>
      <c r="O375" t="str">
        <f>_xll.BDP("816885FT Muni","BVAL_MID_YTM")</f>
        <v>#N/A Requesting Data...</v>
      </c>
      <c r="P375" t="str">
        <f>_xll.BDP("816885FT Muni","MUNI_TAX_PROV")</f>
        <v>#N/A Requesting Data...</v>
      </c>
      <c r="Q375" t="str">
        <f>_xll.BDP("816885FT Muni","MUNI_FED_TAX")</f>
        <v>#N/A Requesting Data...</v>
      </c>
      <c r="R375" t="str">
        <f>_xll.BDP("816885FT Muni","MUNI_MSRB_VOLUME")</f>
        <v>#N/A Requesting Data...</v>
      </c>
      <c r="S375" t="str">
        <f>_xll.BDP("816885FT Muni","BB_COMPOSITE")</f>
        <v>#N/A Requesting Data...</v>
      </c>
      <c r="T375" t="str">
        <f>_xll.BDP("816885FT Muni","LQA_LIQUIDITY_SCORE")</f>
        <v>#N/A Requesting Data...</v>
      </c>
    </row>
    <row r="376" spans="1:20" x14ac:dyDescent="0.25">
      <c r="A376" t="str">
        <f>_xll.BDP("817227FW Muni","ID_CUSIP")</f>
        <v>#N/A Requesting Data...</v>
      </c>
      <c r="B376" t="s">
        <v>188</v>
      </c>
      <c r="C376" t="str">
        <f>_xll.BDP("817227FW Muni","INSURANCE_STATUS")</f>
        <v>#N/A Requesting Data...</v>
      </c>
      <c r="D376" t="str">
        <f>_xll.BDP("817227FW Muni","STATE_CODE")</f>
        <v>#N/A Requesting Data...</v>
      </c>
      <c r="E376" t="str">
        <f>_xll.BDP("817227FW Muni","COUNTY_LOCATION_ISSUER")</f>
        <v>#N/A Requesting Data...</v>
      </c>
      <c r="F376" t="str">
        <f>_xll.BDP("817227FW Muni","DUR_ADJ_MID")</f>
        <v>#N/A Requesting Data...</v>
      </c>
      <c r="G376" t="str">
        <f>_xll.BDP("817227FW Muni","SPREAD_AT_ISSUANCE_TO_WORST")</f>
        <v>#N/A Requesting Data...</v>
      </c>
      <c r="H376" t="str">
        <f>_xll.BDP("817227FW Muni","ISSUE_DT")</f>
        <v>#N/A Requesting Data...</v>
      </c>
      <c r="I376" t="str">
        <f>_xll.BDS("817227FW Muni","MUNI_PURPOSE_SCHED", "aggregate=y")</f>
        <v>#N/A Review</v>
      </c>
      <c r="J376" t="str">
        <f>_xll.BDP("817227FW Muni","CPN")</f>
        <v>#N/A Requesting Data...</v>
      </c>
      <c r="K376" t="str">
        <f>_xll.BDP("817227FW Muni","MATURITY")</f>
        <v>#N/A Requesting Data...</v>
      </c>
      <c r="L376">
        <v>50000</v>
      </c>
      <c r="M376" t="str">
        <f>_xll.BDP("817227FW Muni","YIELD_ON_ISSUE_DATE")</f>
        <v>#N/A Requesting Data...</v>
      </c>
      <c r="N376" t="str">
        <f>_xll.BDP("817227FW Muni","YTW_SPREAD_TO_MATURITY_AT_ISSU")</f>
        <v>#N/A Requesting Data...</v>
      </c>
      <c r="O376" t="str">
        <f>_xll.BDP("817227FW Muni","BVAL_MID_YTM")</f>
        <v>#N/A Requesting Data...</v>
      </c>
      <c r="P376" t="str">
        <f>_xll.BDP("817227FW Muni","MUNI_TAX_PROV")</f>
        <v>#N/A Requesting Data...</v>
      </c>
      <c r="Q376" t="str">
        <f>_xll.BDP("817227FW Muni","MUNI_FED_TAX")</f>
        <v>#N/A Requesting Data...</v>
      </c>
      <c r="R376" t="str">
        <f>_xll.BDP("817227FW Muni","MUNI_MSRB_VOLUME")</f>
        <v>#N/A Requesting Data...</v>
      </c>
      <c r="S376" t="str">
        <f>_xll.BDP("817227FW Muni","BB_COMPOSITE")</f>
        <v>#N/A Requesting Data...</v>
      </c>
      <c r="T376" t="str">
        <f>_xll.BDP("817227FW Muni","LQA_LIQUIDITY_SCORE")</f>
        <v>#N/A Requesting Data...</v>
      </c>
    </row>
    <row r="377" spans="1:20" x14ac:dyDescent="0.25">
      <c r="A377" t="str">
        <f>_xll.BDP("817227FX Muni","ID_CUSIP")</f>
        <v>#N/A Requesting Data...</v>
      </c>
      <c r="B377" t="s">
        <v>188</v>
      </c>
      <c r="C377" t="str">
        <f>_xll.BDP("817227FX Muni","INSURANCE_STATUS")</f>
        <v>#N/A Requesting Data...</v>
      </c>
      <c r="D377" t="str">
        <f>_xll.BDP("817227FX Muni","STATE_CODE")</f>
        <v>#N/A Requesting Data...</v>
      </c>
      <c r="E377" t="str">
        <f>_xll.BDP("817227FX Muni","COUNTY_LOCATION_ISSUER")</f>
        <v>#N/A Requesting Data...</v>
      </c>
      <c r="F377" t="str">
        <f>_xll.BDP("817227FX Muni","DUR_ADJ_MID")</f>
        <v>#N/A Requesting Data...</v>
      </c>
      <c r="G377" t="str">
        <f>_xll.BDP("817227FX Muni","SPREAD_AT_ISSUANCE_TO_WORST")</f>
        <v>#N/A Requesting Data...</v>
      </c>
      <c r="H377" t="str">
        <f>_xll.BDP("817227FX Muni","ISSUE_DT")</f>
        <v>#N/A Requesting Data...</v>
      </c>
      <c r="I377" t="str">
        <f>_xll.BDS("817227FX Muni","MUNI_PURPOSE_SCHED", "aggregate=y")</f>
        <v>#N/A Review</v>
      </c>
      <c r="J377" t="str">
        <f>_xll.BDP("817227FX Muni","CPN")</f>
        <v>#N/A Requesting Data...</v>
      </c>
      <c r="K377" t="str">
        <f>_xll.BDP("817227FX Muni","MATURITY")</f>
        <v>#N/A Requesting Data...</v>
      </c>
      <c r="L377">
        <v>50000</v>
      </c>
      <c r="M377" t="str">
        <f>_xll.BDP("817227FX Muni","YIELD_ON_ISSUE_DATE")</f>
        <v>#N/A Requesting Data...</v>
      </c>
      <c r="N377" t="str">
        <f>_xll.BDP("817227FX Muni","YTW_SPREAD_TO_MATURITY_AT_ISSU")</f>
        <v>#N/A Requesting Data...</v>
      </c>
      <c r="O377" t="str">
        <f>_xll.BDP("817227FX Muni","BVAL_MID_YTM")</f>
        <v>#N/A Requesting Data...</v>
      </c>
      <c r="P377" t="str">
        <f>_xll.BDP("817227FX Muni","MUNI_TAX_PROV")</f>
        <v>#N/A Requesting Data...</v>
      </c>
      <c r="Q377" t="str">
        <f>_xll.BDP("817227FX Muni","MUNI_FED_TAX")</f>
        <v>#N/A Requesting Data...</v>
      </c>
      <c r="R377" t="str">
        <f>_xll.BDP("817227FX Muni","MUNI_MSRB_VOLUME")</f>
        <v>#N/A Requesting Data...</v>
      </c>
      <c r="S377" t="str">
        <f>_xll.BDP("817227FX Muni","BB_COMPOSITE")</f>
        <v>#N/A Requesting Data...</v>
      </c>
      <c r="T377" t="str">
        <f>_xll.BDP("817227FX Muni","LQA_LIQUIDITY_SCORE")</f>
        <v>#N/A Requesting Data...</v>
      </c>
    </row>
    <row r="378" spans="1:20" x14ac:dyDescent="0.25">
      <c r="A378" t="str">
        <f>_xll.BDP("817227FY Muni","ID_CUSIP")</f>
        <v>#N/A Requesting Data...</v>
      </c>
      <c r="B378" t="s">
        <v>188</v>
      </c>
      <c r="C378" t="str">
        <f>_xll.BDP("817227FY Muni","INSURANCE_STATUS")</f>
        <v>#N/A Requesting Data...</v>
      </c>
      <c r="D378" t="str">
        <f>_xll.BDP("817227FY Muni","STATE_CODE")</f>
        <v>#N/A Requesting Data...</v>
      </c>
      <c r="E378" t="str">
        <f>_xll.BDP("817227FY Muni","COUNTY_LOCATION_ISSUER")</f>
        <v>#N/A Requesting Data...</v>
      </c>
      <c r="F378" t="str">
        <f>_xll.BDP("817227FY Muni","DUR_ADJ_MID")</f>
        <v>#N/A Requesting Data...</v>
      </c>
      <c r="G378" t="str">
        <f>_xll.BDP("817227FY Muni","SPREAD_AT_ISSUANCE_TO_WORST")</f>
        <v>#N/A Requesting Data...</v>
      </c>
      <c r="H378" t="str">
        <f>_xll.BDP("817227FY Muni","ISSUE_DT")</f>
        <v>#N/A Requesting Data...</v>
      </c>
      <c r="I378" t="str">
        <f>_xll.BDS("817227FY Muni","MUNI_PURPOSE_SCHED", "aggregate=y")</f>
        <v>#N/A Review</v>
      </c>
      <c r="J378" t="str">
        <f>_xll.BDP("817227FY Muni","CPN")</f>
        <v>#N/A Requesting Data...</v>
      </c>
      <c r="K378" t="str">
        <f>_xll.BDP("817227FY Muni","MATURITY")</f>
        <v>#N/A Requesting Data...</v>
      </c>
      <c r="L378">
        <v>50000</v>
      </c>
      <c r="M378" t="str">
        <f>_xll.BDP("817227FY Muni","YIELD_ON_ISSUE_DATE")</f>
        <v>#N/A Requesting Data...</v>
      </c>
      <c r="N378" t="str">
        <f>_xll.BDP("817227FY Muni","YTW_SPREAD_TO_MATURITY_AT_ISSU")</f>
        <v>#N/A Requesting Data...</v>
      </c>
      <c r="O378" t="str">
        <f>_xll.BDP("817227FY Muni","BVAL_MID_YTM")</f>
        <v>#N/A Requesting Data...</v>
      </c>
      <c r="P378" t="str">
        <f>_xll.BDP("817227FY Muni","MUNI_TAX_PROV")</f>
        <v>#N/A Requesting Data...</v>
      </c>
      <c r="Q378" t="str">
        <f>_xll.BDP("817227FY Muni","MUNI_FED_TAX")</f>
        <v>#N/A Requesting Data...</v>
      </c>
      <c r="R378" t="str">
        <f>_xll.BDP("817227FY Muni","MUNI_MSRB_VOLUME")</f>
        <v>#N/A Requesting Data...</v>
      </c>
      <c r="S378" t="str">
        <f>_xll.BDP("817227FY Muni","BB_COMPOSITE")</f>
        <v>#N/A Requesting Data...</v>
      </c>
      <c r="T378" t="str">
        <f>_xll.BDP("817227FY Muni","LQA_LIQUIDITY_SCORE")</f>
        <v>#N/A Requesting Data...</v>
      </c>
    </row>
    <row r="379" spans="1:20" x14ac:dyDescent="0.25">
      <c r="A379" t="str">
        <f>_xll.BDP("817227FZ Muni","ID_CUSIP")</f>
        <v>#N/A Requesting Data...</v>
      </c>
      <c r="B379" t="s">
        <v>188</v>
      </c>
      <c r="C379" t="str">
        <f>_xll.BDP("817227FZ Muni","INSURANCE_STATUS")</f>
        <v>#N/A Requesting Data...</v>
      </c>
      <c r="D379" t="str">
        <f>_xll.BDP("817227FZ Muni","STATE_CODE")</f>
        <v>#N/A Requesting Data...</v>
      </c>
      <c r="E379" t="str">
        <f>_xll.BDP("817227FZ Muni","COUNTY_LOCATION_ISSUER")</f>
        <v>#N/A Requesting Data...</v>
      </c>
      <c r="F379" t="str">
        <f>_xll.BDP("817227FZ Muni","DUR_ADJ_MID")</f>
        <v>#N/A Requesting Data...</v>
      </c>
      <c r="G379" t="str">
        <f>_xll.BDP("817227FZ Muni","SPREAD_AT_ISSUANCE_TO_WORST")</f>
        <v>#N/A Requesting Data...</v>
      </c>
      <c r="H379" t="str">
        <f>_xll.BDP("817227FZ Muni","ISSUE_DT")</f>
        <v>#N/A Requesting Data...</v>
      </c>
      <c r="I379" t="str">
        <f>_xll.BDS("817227FZ Muni","MUNI_PURPOSE_SCHED", "aggregate=y")</f>
        <v>#N/A Review</v>
      </c>
      <c r="J379" t="str">
        <f>_xll.BDP("817227FZ Muni","CPN")</f>
        <v>#N/A Requesting Data...</v>
      </c>
      <c r="K379" t="str">
        <f>_xll.BDP("817227FZ Muni","MATURITY")</f>
        <v>#N/A Requesting Data...</v>
      </c>
      <c r="L379">
        <v>55000</v>
      </c>
      <c r="M379" t="str">
        <f>_xll.BDP("817227FZ Muni","YIELD_ON_ISSUE_DATE")</f>
        <v>#N/A Requesting Data...</v>
      </c>
      <c r="N379" t="str">
        <f>_xll.BDP("817227FZ Muni","YTW_SPREAD_TO_MATURITY_AT_ISSU")</f>
        <v>#N/A Requesting Data...</v>
      </c>
      <c r="O379" t="str">
        <f>_xll.BDP("817227FZ Muni","BVAL_MID_YTM")</f>
        <v>#N/A Requesting Data...</v>
      </c>
      <c r="P379" t="str">
        <f>_xll.BDP("817227FZ Muni","MUNI_TAX_PROV")</f>
        <v>#N/A Requesting Data...</v>
      </c>
      <c r="Q379" t="str">
        <f>_xll.BDP("817227FZ Muni","MUNI_FED_TAX")</f>
        <v>#N/A Requesting Data...</v>
      </c>
      <c r="R379" t="str">
        <f>_xll.BDP("817227FZ Muni","MUNI_MSRB_VOLUME")</f>
        <v>#N/A Requesting Data...</v>
      </c>
      <c r="S379" t="str">
        <f>_xll.BDP("817227FZ Muni","BB_COMPOSITE")</f>
        <v>#N/A Requesting Data...</v>
      </c>
      <c r="T379" t="str">
        <f>_xll.BDP("817227FZ Muni","LQA_LIQUIDITY_SCORE")</f>
        <v>#N/A Requesting Data...</v>
      </c>
    </row>
    <row r="380" spans="1:20" x14ac:dyDescent="0.25">
      <c r="A380" t="str">
        <f>_xll.BDP("817227GA Muni","ID_CUSIP")</f>
        <v>#N/A Requesting Data...</v>
      </c>
      <c r="B380" t="s">
        <v>188</v>
      </c>
      <c r="C380" t="str">
        <f>_xll.BDP("817227GA Muni","INSURANCE_STATUS")</f>
        <v>#N/A Requesting Data...</v>
      </c>
      <c r="D380" t="str">
        <f>_xll.BDP("817227GA Muni","STATE_CODE")</f>
        <v>#N/A Requesting Data...</v>
      </c>
      <c r="E380" t="str">
        <f>_xll.BDP("817227GA Muni","COUNTY_LOCATION_ISSUER")</f>
        <v>#N/A Requesting Data...</v>
      </c>
      <c r="F380" t="str">
        <f>_xll.BDP("817227GA Muni","DUR_ADJ_MID")</f>
        <v>#N/A Requesting Data...</v>
      </c>
      <c r="G380" t="str">
        <f>_xll.BDP("817227GA Muni","SPREAD_AT_ISSUANCE_TO_WORST")</f>
        <v>#N/A Requesting Data...</v>
      </c>
      <c r="H380" t="str">
        <f>_xll.BDP("817227GA Muni","ISSUE_DT")</f>
        <v>#N/A Requesting Data...</v>
      </c>
      <c r="I380" t="str">
        <f>_xll.BDS("817227GA Muni","MUNI_PURPOSE_SCHED", "aggregate=y")</f>
        <v>#N/A Review</v>
      </c>
      <c r="J380" t="str">
        <f>_xll.BDP("817227GA Muni","CPN")</f>
        <v>#N/A Requesting Data...</v>
      </c>
      <c r="K380" t="str">
        <f>_xll.BDP("817227GA Muni","MATURITY")</f>
        <v>#N/A Requesting Data...</v>
      </c>
      <c r="L380">
        <v>55000</v>
      </c>
      <c r="M380" t="str">
        <f>_xll.BDP("817227GA Muni","YIELD_ON_ISSUE_DATE")</f>
        <v>#N/A Requesting Data...</v>
      </c>
      <c r="N380" t="str">
        <f>_xll.BDP("817227GA Muni","YTW_SPREAD_TO_MATURITY_AT_ISSU")</f>
        <v>#N/A Requesting Data...</v>
      </c>
      <c r="O380" t="str">
        <f>_xll.BDP("817227GA Muni","BVAL_MID_YTM")</f>
        <v>#N/A Requesting Data...</v>
      </c>
      <c r="P380" t="str">
        <f>_xll.BDP("817227GA Muni","MUNI_TAX_PROV")</f>
        <v>#N/A Requesting Data...</v>
      </c>
      <c r="Q380" t="str">
        <f>_xll.BDP("817227GA Muni","MUNI_FED_TAX")</f>
        <v>#N/A Requesting Data...</v>
      </c>
      <c r="R380" t="str">
        <f>_xll.BDP("817227GA Muni","MUNI_MSRB_VOLUME")</f>
        <v>#N/A Requesting Data...</v>
      </c>
      <c r="S380" t="str">
        <f>_xll.BDP("817227GA Muni","BB_COMPOSITE")</f>
        <v>#N/A Requesting Data...</v>
      </c>
      <c r="T380" t="str">
        <f>_xll.BDP("817227GA Muni","LQA_LIQUIDITY_SCORE")</f>
        <v>#N/A Requesting Data...</v>
      </c>
    </row>
    <row r="381" spans="1:20" x14ac:dyDescent="0.25">
      <c r="A381" t="str">
        <f>_xll.BDP("8372272Q Muni","ID_CUSIP")</f>
        <v>#N/A Requesting Data...</v>
      </c>
      <c r="B381" t="s">
        <v>105</v>
      </c>
      <c r="C381" t="str">
        <f>_xll.BDP("8372272Q Muni","INSURANCE_STATUS")</f>
        <v>#N/A Requesting Data...</v>
      </c>
      <c r="D381" t="str">
        <f>_xll.BDP("8372272Q Muni","STATE_CODE")</f>
        <v>#N/A Requesting Data...</v>
      </c>
      <c r="E381" t="str">
        <f>_xll.BDP("8372272Q Muni","COUNTY_LOCATION_ISSUER")</f>
        <v>#N/A Requesting Data...</v>
      </c>
      <c r="F381" t="str">
        <f>_xll.BDP("8372272Q Muni","DUR_ADJ_MID")</f>
        <v>#N/A Requesting Data...</v>
      </c>
      <c r="G381" t="str">
        <f>_xll.BDP("8372272Q Muni","SPREAD_AT_ISSUANCE_TO_WORST")</f>
        <v>#N/A Requesting Data...</v>
      </c>
      <c r="H381" t="str">
        <f>_xll.BDP("8372272Q Muni","ISSUE_DT")</f>
        <v>#N/A Requesting Data...</v>
      </c>
      <c r="I381" t="str">
        <f>_xll.BDS("8372272Q Muni","MUNI_PURPOSE_SCHED", "aggregate=y")</f>
        <v>#N/A Review</v>
      </c>
      <c r="J381" t="str">
        <f>_xll.BDP("8372272Q Muni","CPN")</f>
        <v>#N/A Requesting Data...</v>
      </c>
      <c r="K381" t="str">
        <f>_xll.BDP("8372272Q Muni","MATURITY")</f>
        <v>#N/A Requesting Data...</v>
      </c>
      <c r="L381">
        <v>405000</v>
      </c>
      <c r="M381" t="str">
        <f>_xll.BDP("8372272Q Muni","YIELD_ON_ISSUE_DATE")</f>
        <v>#N/A Requesting Data...</v>
      </c>
      <c r="N381" t="str">
        <f>_xll.BDP("8372272Q Muni","YTW_SPREAD_TO_MATURITY_AT_ISSU")</f>
        <v>#N/A Requesting Data...</v>
      </c>
      <c r="O381" t="str">
        <f>_xll.BDP("8372272Q Muni","BVAL_MID_YTM")</f>
        <v>#N/A Requesting Data...</v>
      </c>
      <c r="P381" t="str">
        <f>_xll.BDP("8372272Q Muni","MUNI_TAX_PROV")</f>
        <v>#N/A Requesting Data...</v>
      </c>
      <c r="Q381" t="str">
        <f>_xll.BDP("8372272Q Muni","MUNI_FED_TAX")</f>
        <v>#N/A Requesting Data...</v>
      </c>
      <c r="R381" t="str">
        <f>_xll.BDP("8372272Q Muni","MUNI_MSRB_VOLUME")</f>
        <v>#N/A Requesting Data...</v>
      </c>
      <c r="S381" t="str">
        <f>_xll.BDP("8372272Q Muni","BB_COMPOSITE")</f>
        <v>#N/A Requesting Data...</v>
      </c>
      <c r="T381" t="str">
        <f>_xll.BDP("8372272Q Muni","LQA_LIQUIDITY_SCORE")</f>
        <v>#N/A Requesting Data...</v>
      </c>
    </row>
    <row r="382" spans="1:20" x14ac:dyDescent="0.25">
      <c r="A382" t="str">
        <f>_xll.BDP("8372272S Muni","ID_CUSIP")</f>
        <v>#N/A Requesting Data...</v>
      </c>
      <c r="B382" t="s">
        <v>105</v>
      </c>
      <c r="C382" t="str">
        <f>_xll.BDP("8372272S Muni","INSURANCE_STATUS")</f>
        <v>#N/A Requesting Data...</v>
      </c>
      <c r="D382" t="str">
        <f>_xll.BDP("8372272S Muni","STATE_CODE")</f>
        <v>#N/A Requesting Data...</v>
      </c>
      <c r="E382" t="str">
        <f>_xll.BDP("8372272S Muni","COUNTY_LOCATION_ISSUER")</f>
        <v>#N/A Requesting Data...</v>
      </c>
      <c r="F382" t="str">
        <f>_xll.BDP("8372272S Muni","DUR_ADJ_MID")</f>
        <v>#N/A Requesting Data...</v>
      </c>
      <c r="G382" t="str">
        <f>_xll.BDP("8372272S Muni","SPREAD_AT_ISSUANCE_TO_WORST")</f>
        <v>#N/A Requesting Data...</v>
      </c>
      <c r="H382" t="str">
        <f>_xll.BDP("8372272S Muni","ISSUE_DT")</f>
        <v>#N/A Requesting Data...</v>
      </c>
      <c r="I382" t="str">
        <f>_xll.BDS("8372272S Muni","MUNI_PURPOSE_SCHED", "aggregate=y")</f>
        <v>#N/A Review</v>
      </c>
      <c r="J382" t="str">
        <f>_xll.BDP("8372272S Muni","CPN")</f>
        <v>#N/A Requesting Data...</v>
      </c>
      <c r="K382" t="str">
        <f>_xll.BDP("8372272S Muni","MATURITY")</f>
        <v>#N/A Requesting Data...</v>
      </c>
      <c r="L382">
        <v>430000</v>
      </c>
      <c r="M382" t="str">
        <f>_xll.BDP("8372272S Muni","YIELD_ON_ISSUE_DATE")</f>
        <v>#N/A Requesting Data...</v>
      </c>
      <c r="N382" t="str">
        <f>_xll.BDP("8372272S Muni","YTW_SPREAD_TO_MATURITY_AT_ISSU")</f>
        <v>#N/A Requesting Data...</v>
      </c>
      <c r="O382" t="str">
        <f>_xll.BDP("8372272S Muni","BVAL_MID_YTM")</f>
        <v>#N/A Requesting Data...</v>
      </c>
      <c r="P382" t="str">
        <f>_xll.BDP("8372272S Muni","MUNI_TAX_PROV")</f>
        <v>#N/A Requesting Data...</v>
      </c>
      <c r="Q382" t="str">
        <f>_xll.BDP("8372272S Muni","MUNI_FED_TAX")</f>
        <v>#N/A Requesting Data...</v>
      </c>
      <c r="R382" t="str">
        <f>_xll.BDP("8372272S Muni","MUNI_MSRB_VOLUME")</f>
        <v>#N/A Requesting Data...</v>
      </c>
      <c r="S382" t="str">
        <f>_xll.BDP("8372272S Muni","BB_COMPOSITE")</f>
        <v>#N/A Requesting Data...</v>
      </c>
      <c r="T382" t="str">
        <f>_xll.BDP("8372272S Muni","LQA_LIQUIDITY_SCORE")</f>
        <v>#N/A Requesting Data...</v>
      </c>
    </row>
    <row r="383" spans="1:20" x14ac:dyDescent="0.25">
      <c r="A383" t="str">
        <f>_xll.BDP("8372272T Muni","ID_CUSIP")</f>
        <v>#N/A Requesting Data...</v>
      </c>
      <c r="B383" t="s">
        <v>105</v>
      </c>
      <c r="C383" t="str">
        <f>_xll.BDP("8372272T Muni","INSURANCE_STATUS")</f>
        <v>#N/A Requesting Data...</v>
      </c>
      <c r="D383" t="str">
        <f>_xll.BDP("8372272T Muni","STATE_CODE")</f>
        <v>#N/A Requesting Data...</v>
      </c>
      <c r="E383" t="str">
        <f>_xll.BDP("8372272T Muni","COUNTY_LOCATION_ISSUER")</f>
        <v>#N/A Requesting Data...</v>
      </c>
      <c r="F383" t="str">
        <f>_xll.BDP("8372272T Muni","DUR_ADJ_MID")</f>
        <v>#N/A Requesting Data...</v>
      </c>
      <c r="G383" t="str">
        <f>_xll.BDP("8372272T Muni","SPREAD_AT_ISSUANCE_TO_WORST")</f>
        <v>#N/A Requesting Data...</v>
      </c>
      <c r="H383" t="str">
        <f>_xll.BDP("8372272T Muni","ISSUE_DT")</f>
        <v>#N/A Requesting Data...</v>
      </c>
      <c r="I383" t="str">
        <f>_xll.BDS("8372272T Muni","MUNI_PURPOSE_SCHED", "aggregate=y")</f>
        <v>#N/A Review</v>
      </c>
      <c r="J383" t="str">
        <f>_xll.BDP("8372272T Muni","CPN")</f>
        <v>#N/A Requesting Data...</v>
      </c>
      <c r="K383" t="str">
        <f>_xll.BDP("8372272T Muni","MATURITY")</f>
        <v>#N/A Requesting Data...</v>
      </c>
      <c r="L383">
        <v>445000</v>
      </c>
      <c r="M383" t="str">
        <f>_xll.BDP("8372272T Muni","YIELD_ON_ISSUE_DATE")</f>
        <v>#N/A Requesting Data...</v>
      </c>
      <c r="N383" t="str">
        <f>_xll.BDP("8372272T Muni","YTW_SPREAD_TO_MATURITY_AT_ISSU")</f>
        <v>#N/A Requesting Data...</v>
      </c>
      <c r="O383" t="str">
        <f>_xll.BDP("8372272T Muni","BVAL_MID_YTM")</f>
        <v>#N/A Requesting Data...</v>
      </c>
      <c r="P383" t="str">
        <f>_xll.BDP("8372272T Muni","MUNI_TAX_PROV")</f>
        <v>#N/A Requesting Data...</v>
      </c>
      <c r="Q383" t="str">
        <f>_xll.BDP("8372272T Muni","MUNI_FED_TAX")</f>
        <v>#N/A Requesting Data...</v>
      </c>
      <c r="R383" t="str">
        <f>_xll.BDP("8372272T Muni","MUNI_MSRB_VOLUME")</f>
        <v>#N/A Requesting Data...</v>
      </c>
      <c r="S383" t="str">
        <f>_xll.BDP("8372272T Muni","BB_COMPOSITE")</f>
        <v>#N/A Requesting Data...</v>
      </c>
      <c r="T383" t="str">
        <f>_xll.BDP("8372272T Muni","LQA_LIQUIDITY_SCORE")</f>
        <v>#N/A Requesting Data...</v>
      </c>
    </row>
    <row r="384" spans="1:20" x14ac:dyDescent="0.25">
      <c r="A384" t="str">
        <f>_xll.BDP("8372272U Muni","ID_CUSIP")</f>
        <v>#N/A Requesting Data...</v>
      </c>
      <c r="B384" t="s">
        <v>105</v>
      </c>
      <c r="C384" t="str">
        <f>_xll.BDP("8372272U Muni","INSURANCE_STATUS")</f>
        <v>#N/A Requesting Data...</v>
      </c>
      <c r="D384" t="str">
        <f>_xll.BDP("8372272U Muni","STATE_CODE")</f>
        <v>#N/A Requesting Data...</v>
      </c>
      <c r="E384" t="str">
        <f>_xll.BDP("8372272U Muni","COUNTY_LOCATION_ISSUER")</f>
        <v>#N/A Requesting Data...</v>
      </c>
      <c r="F384" t="str">
        <f>_xll.BDP("8372272U Muni","DUR_ADJ_MID")</f>
        <v>#N/A Requesting Data...</v>
      </c>
      <c r="G384" t="str">
        <f>_xll.BDP("8372272U Muni","SPREAD_AT_ISSUANCE_TO_WORST")</f>
        <v>#N/A Requesting Data...</v>
      </c>
      <c r="H384" t="str">
        <f>_xll.BDP("8372272U Muni","ISSUE_DT")</f>
        <v>#N/A Requesting Data...</v>
      </c>
      <c r="I384" t="str">
        <f>_xll.BDS("8372272U Muni","MUNI_PURPOSE_SCHED", "aggregate=y")</f>
        <v>#N/A Review</v>
      </c>
      <c r="J384" t="str">
        <f>_xll.BDP("8372272U Muni","CPN")</f>
        <v>#N/A Requesting Data...</v>
      </c>
      <c r="K384" t="str">
        <f>_xll.BDP("8372272U Muni","MATURITY")</f>
        <v>#N/A Requesting Data...</v>
      </c>
      <c r="L384">
        <v>465000</v>
      </c>
      <c r="M384" t="str">
        <f>_xll.BDP("8372272U Muni","YIELD_ON_ISSUE_DATE")</f>
        <v>#N/A Requesting Data...</v>
      </c>
      <c r="N384" t="str">
        <f>_xll.BDP("8372272U Muni","YTW_SPREAD_TO_MATURITY_AT_ISSU")</f>
        <v>#N/A Requesting Data...</v>
      </c>
      <c r="O384" t="str">
        <f>_xll.BDP("8372272U Muni","BVAL_MID_YTM")</f>
        <v>#N/A Requesting Data...</v>
      </c>
      <c r="P384" t="str">
        <f>_xll.BDP("8372272U Muni","MUNI_TAX_PROV")</f>
        <v>#N/A Requesting Data...</v>
      </c>
      <c r="Q384" t="str">
        <f>_xll.BDP("8372272U Muni","MUNI_FED_TAX")</f>
        <v>#N/A Requesting Data...</v>
      </c>
      <c r="R384" t="str">
        <f>_xll.BDP("8372272U Muni","MUNI_MSRB_VOLUME")</f>
        <v>#N/A Requesting Data...</v>
      </c>
      <c r="S384" t="str">
        <f>_xll.BDP("8372272U Muni","BB_COMPOSITE")</f>
        <v>#N/A Requesting Data...</v>
      </c>
      <c r="T384" t="str">
        <f>_xll.BDP("8372272U Muni","LQA_LIQUIDITY_SCORE")</f>
        <v>#N/A Requesting Data...</v>
      </c>
    </row>
    <row r="385" spans="1:20" x14ac:dyDescent="0.25">
      <c r="A385" t="str">
        <f>_xll.BDP("67919PMY Muni","ID_CUSIP")</f>
        <v>#N/A Requesting Data...</v>
      </c>
      <c r="B385" t="s">
        <v>45</v>
      </c>
      <c r="C385" t="str">
        <f>_xll.BDP("67919PMY Muni","INSURANCE_STATUS")</f>
        <v>#N/A Requesting Data...</v>
      </c>
      <c r="D385" t="str">
        <f>_xll.BDP("67919PMY Muni","STATE_CODE")</f>
        <v>#N/A Requesting Data...</v>
      </c>
      <c r="E385" t="str">
        <f>_xll.BDP("67919PMY Muni","COUNTY_LOCATION_ISSUER")</f>
        <v>#N/A Requesting Data...</v>
      </c>
      <c r="F385" t="str">
        <f>_xll.BDP("67919PMY Muni","DUR_ADJ_MID")</f>
        <v>#N/A Requesting Data...</v>
      </c>
      <c r="G385" t="str">
        <f>_xll.BDP("67919PMY Muni","SPREAD_AT_ISSUANCE_TO_WORST")</f>
        <v>#N/A Requesting Data...</v>
      </c>
      <c r="H385" t="str">
        <f>_xll.BDP("67919PMY Muni","ISSUE_DT")</f>
        <v>#N/A Requesting Data...</v>
      </c>
      <c r="I385" t="str">
        <f>_xll.BDS("67919PMY Muni","MUNI_PURPOSE_SCHED", "aggregate=y")</f>
        <v>#N/A Review</v>
      </c>
      <c r="J385" t="str">
        <f>_xll.BDP("67919PMY Muni","CPN")</f>
        <v>#N/A Requesting Data...</v>
      </c>
      <c r="K385" t="str">
        <f>_xll.BDP("67919PMY Muni","MATURITY")</f>
        <v>#N/A Requesting Data...</v>
      </c>
      <c r="L385">
        <v>1000000</v>
      </c>
      <c r="M385" t="str">
        <f>_xll.BDP("67919PMY Muni","YIELD_ON_ISSUE_DATE")</f>
        <v>#N/A Requesting Data...</v>
      </c>
      <c r="N385" t="str">
        <f>_xll.BDP("67919PMY Muni","YTW_SPREAD_TO_MATURITY_AT_ISSU")</f>
        <v>#N/A Requesting Data...</v>
      </c>
      <c r="O385" t="str">
        <f>_xll.BDP("67919PMY Muni","BVAL_MID_YTM")</f>
        <v>#N/A Requesting Data...</v>
      </c>
      <c r="P385" t="str">
        <f>_xll.BDP("67919PMY Muni","MUNI_TAX_PROV")</f>
        <v>#N/A Requesting Data...</v>
      </c>
      <c r="Q385" t="str">
        <f>_xll.BDP("67919PMY Muni","MUNI_FED_TAX")</f>
        <v>#N/A Requesting Data...</v>
      </c>
      <c r="R385" t="str">
        <f>_xll.BDP("67919PMY Muni","MUNI_MSRB_VOLUME")</f>
        <v>#N/A Requesting Data...</v>
      </c>
      <c r="S385" t="str">
        <f>_xll.BDP("67919PMY Muni","BB_COMPOSITE")</f>
        <v>#N/A Requesting Data...</v>
      </c>
      <c r="T385" t="str">
        <f>_xll.BDP("67919PMY Muni","LQA_LIQUIDITY_SCORE")</f>
        <v>#N/A Requesting Data...</v>
      </c>
    </row>
    <row r="386" spans="1:20" x14ac:dyDescent="0.25">
      <c r="A386" t="str">
        <f>_xll.BDP("67919PNS Muni","ID_CUSIP")</f>
        <v>#N/A Requesting Data...</v>
      </c>
      <c r="B386" t="s">
        <v>45</v>
      </c>
      <c r="C386" t="str">
        <f>_xll.BDP("67919PNS Muni","INSURANCE_STATUS")</f>
        <v>#N/A Requesting Data...</v>
      </c>
      <c r="D386" t="str">
        <f>_xll.BDP("67919PNS Muni","STATE_CODE")</f>
        <v>#N/A Requesting Data...</v>
      </c>
      <c r="E386" t="str">
        <f>_xll.BDP("67919PNS Muni","COUNTY_LOCATION_ISSUER")</f>
        <v>#N/A Requesting Data...</v>
      </c>
      <c r="F386" t="str">
        <f>_xll.BDP("67919PNS Muni","DUR_ADJ_MID")</f>
        <v>#N/A Requesting Data...</v>
      </c>
      <c r="G386" t="str">
        <f>_xll.BDP("67919PNS Muni","SPREAD_AT_ISSUANCE_TO_WORST")</f>
        <v>#N/A Requesting Data...</v>
      </c>
      <c r="H386" t="str">
        <f>_xll.BDP("67919PNS Muni","ISSUE_DT")</f>
        <v>#N/A Requesting Data...</v>
      </c>
      <c r="I386" t="str">
        <f>_xll.BDS("67919PNS Muni","MUNI_PURPOSE_SCHED", "aggregate=y")</f>
        <v>#N/A Review</v>
      </c>
      <c r="J386" t="str">
        <f>_xll.BDP("67919PNS Muni","CPN")</f>
        <v>#N/A Requesting Data...</v>
      </c>
      <c r="K386" t="str">
        <f>_xll.BDP("67919PNS Muni","MATURITY")</f>
        <v>#N/A Requesting Data...</v>
      </c>
      <c r="L386">
        <v>5080000</v>
      </c>
      <c r="M386" t="str">
        <f>_xll.BDP("67919PNS Muni","YIELD_ON_ISSUE_DATE")</f>
        <v>#N/A Requesting Data...</v>
      </c>
      <c r="N386" t="str">
        <f>_xll.BDP("67919PNS Muni","YTW_SPREAD_TO_MATURITY_AT_ISSU")</f>
        <v>#N/A Requesting Data...</v>
      </c>
      <c r="O386" t="str">
        <f>_xll.BDP("67919PNS Muni","BVAL_MID_YTM")</f>
        <v>#N/A Requesting Data...</v>
      </c>
      <c r="P386" t="str">
        <f>_xll.BDP("67919PNS Muni","MUNI_TAX_PROV")</f>
        <v>#N/A Requesting Data...</v>
      </c>
      <c r="Q386" t="str">
        <f>_xll.BDP("67919PNS Muni","MUNI_FED_TAX")</f>
        <v>#N/A Requesting Data...</v>
      </c>
      <c r="R386" t="str">
        <f>_xll.BDP("67919PNS Muni","MUNI_MSRB_VOLUME")</f>
        <v>#N/A Requesting Data...</v>
      </c>
      <c r="S386" t="str">
        <f>_xll.BDP("67919PNS Muni","BB_COMPOSITE")</f>
        <v>#N/A Requesting Data...</v>
      </c>
      <c r="T386" t="str">
        <f>_xll.BDP("67919PNS Muni","LQA_LIQUIDITY_SCORE")</f>
        <v>#N/A Requesting Data...</v>
      </c>
    </row>
    <row r="387" spans="1:20" x14ac:dyDescent="0.25">
      <c r="A387" t="str">
        <f>_xll.BDP("67920QJZ Muni","ID_CUSIP")</f>
        <v>#N/A Requesting Data...</v>
      </c>
      <c r="B387" t="s">
        <v>45</v>
      </c>
      <c r="C387" t="str">
        <f>_xll.BDP("67920QJZ Muni","INSURANCE_STATUS")</f>
        <v>#N/A Requesting Data...</v>
      </c>
      <c r="D387" t="str">
        <f>_xll.BDP("67920QJZ Muni","STATE_CODE")</f>
        <v>#N/A Requesting Data...</v>
      </c>
      <c r="E387" t="str">
        <f>_xll.BDP("67920QJZ Muni","COUNTY_LOCATION_ISSUER")</f>
        <v>#N/A Requesting Data...</v>
      </c>
      <c r="F387" t="str">
        <f>_xll.BDP("67920QJZ Muni","DUR_ADJ_MID")</f>
        <v>#N/A Requesting Data...</v>
      </c>
      <c r="G387" t="str">
        <f>_xll.BDP("67920QJZ Muni","SPREAD_AT_ISSUANCE_TO_WORST")</f>
        <v>#N/A Requesting Data...</v>
      </c>
      <c r="H387" t="str">
        <f>_xll.BDP("67920QJZ Muni","ISSUE_DT")</f>
        <v>#N/A Requesting Data...</v>
      </c>
      <c r="I387" t="str">
        <f>_xll.BDS("67920QJZ Muni","MUNI_PURPOSE_SCHED", "aggregate=y")</f>
        <v>#N/A Review</v>
      </c>
      <c r="J387" t="str">
        <f>_xll.BDP("67920QJZ Muni","CPN")</f>
        <v>#N/A Requesting Data...</v>
      </c>
      <c r="K387" t="str">
        <f>_xll.BDP("67920QJZ Muni","MATURITY")</f>
        <v>#N/A Requesting Data...</v>
      </c>
      <c r="L387">
        <v>410000</v>
      </c>
      <c r="M387" t="str">
        <f>_xll.BDP("67920QJZ Muni","YIELD_ON_ISSUE_DATE")</f>
        <v>#N/A Requesting Data...</v>
      </c>
      <c r="N387" t="str">
        <f>_xll.BDP("67920QJZ Muni","YTW_SPREAD_TO_MATURITY_AT_ISSU")</f>
        <v>#N/A Requesting Data...</v>
      </c>
      <c r="O387" t="str">
        <f>_xll.BDP("67920QJZ Muni","BVAL_MID_YTM")</f>
        <v>#N/A Requesting Data...</v>
      </c>
      <c r="P387" t="str">
        <f>_xll.BDP("67920QJZ Muni","MUNI_TAX_PROV")</f>
        <v>#N/A Requesting Data...</v>
      </c>
      <c r="Q387" t="str">
        <f>_xll.BDP("67920QJZ Muni","MUNI_FED_TAX")</f>
        <v>#N/A Requesting Data...</v>
      </c>
      <c r="R387" t="str">
        <f>_xll.BDP("67920QJZ Muni","MUNI_MSRB_VOLUME")</f>
        <v>#N/A Requesting Data...</v>
      </c>
      <c r="S387" t="str">
        <f>_xll.BDP("67920QJZ Muni","BB_COMPOSITE")</f>
        <v>#N/A Requesting Data...</v>
      </c>
      <c r="T387" t="str">
        <f>_xll.BDP("67920QJZ Muni","LQA_LIQUIDITY_SCORE")</f>
        <v>#N/A Requesting Data...</v>
      </c>
    </row>
    <row r="388" spans="1:20" x14ac:dyDescent="0.25">
      <c r="A388" t="str">
        <f>_xll.BDP("67920QKA Muni","ID_CUSIP")</f>
        <v>#N/A Requesting Data...</v>
      </c>
      <c r="B388" t="s">
        <v>45</v>
      </c>
      <c r="C388" t="str">
        <f>_xll.BDP("67920QKA Muni","INSURANCE_STATUS")</f>
        <v>#N/A Requesting Data...</v>
      </c>
      <c r="D388" t="str">
        <f>_xll.BDP("67920QKA Muni","STATE_CODE")</f>
        <v>#N/A Requesting Data...</v>
      </c>
      <c r="E388" t="str">
        <f>_xll.BDP("67920QKA Muni","COUNTY_LOCATION_ISSUER")</f>
        <v>#N/A Requesting Data...</v>
      </c>
      <c r="F388" t="str">
        <f>_xll.BDP("67920QKA Muni","DUR_ADJ_MID")</f>
        <v>#N/A Requesting Data...</v>
      </c>
      <c r="G388" t="str">
        <f>_xll.BDP("67920QKA Muni","SPREAD_AT_ISSUANCE_TO_WORST")</f>
        <v>#N/A Requesting Data...</v>
      </c>
      <c r="H388" t="str">
        <f>_xll.BDP("67920QKA Muni","ISSUE_DT")</f>
        <v>#N/A Requesting Data...</v>
      </c>
      <c r="I388" t="str">
        <f>_xll.BDS("67920QKA Muni","MUNI_PURPOSE_SCHED", "aggregate=y")</f>
        <v>#N/A Review</v>
      </c>
      <c r="J388" t="str">
        <f>_xll.BDP("67920QKA Muni","CPN")</f>
        <v>#N/A Requesting Data...</v>
      </c>
      <c r="K388" t="str">
        <f>_xll.BDP("67920QKA Muni","MATURITY")</f>
        <v>#N/A Requesting Data...</v>
      </c>
      <c r="L388">
        <v>425000</v>
      </c>
      <c r="M388" t="str">
        <f>_xll.BDP("67920QKA Muni","YIELD_ON_ISSUE_DATE")</f>
        <v>#N/A Requesting Data...</v>
      </c>
      <c r="N388" t="str">
        <f>_xll.BDP("67920QKA Muni","YTW_SPREAD_TO_MATURITY_AT_ISSU")</f>
        <v>#N/A Requesting Data...</v>
      </c>
      <c r="O388" t="str">
        <f>_xll.BDP("67920QKA Muni","BVAL_MID_YTM")</f>
        <v>#N/A Requesting Data...</v>
      </c>
      <c r="P388" t="str">
        <f>_xll.BDP("67920QKA Muni","MUNI_TAX_PROV")</f>
        <v>#N/A Requesting Data...</v>
      </c>
      <c r="Q388" t="str">
        <f>_xll.BDP("67920QKA Muni","MUNI_FED_TAX")</f>
        <v>#N/A Requesting Data...</v>
      </c>
      <c r="R388" t="str">
        <f>_xll.BDP("67920QKA Muni","MUNI_MSRB_VOLUME")</f>
        <v>#N/A Requesting Data...</v>
      </c>
      <c r="S388" t="str">
        <f>_xll.BDP("67920QKA Muni","BB_COMPOSITE")</f>
        <v>#N/A Requesting Data...</v>
      </c>
      <c r="T388" t="str">
        <f>_xll.BDP("67920QKA Muni","LQA_LIQUIDITY_SCORE")</f>
        <v>#N/A Requesting Data...</v>
      </c>
    </row>
    <row r="389" spans="1:20" x14ac:dyDescent="0.25">
      <c r="A389" t="str">
        <f>_xll.BDP("67920QKC Muni","ID_CUSIP")</f>
        <v>#N/A Requesting Data...</v>
      </c>
      <c r="B389" t="s">
        <v>45</v>
      </c>
      <c r="C389" t="str">
        <f>_xll.BDP("67920QKC Muni","INSURANCE_STATUS")</f>
        <v>#N/A Requesting Data...</v>
      </c>
      <c r="D389" t="str">
        <f>_xll.BDP("67920QKC Muni","STATE_CODE")</f>
        <v>#N/A Requesting Data...</v>
      </c>
      <c r="E389" t="str">
        <f>_xll.BDP("67920QKC Muni","COUNTY_LOCATION_ISSUER")</f>
        <v>#N/A Requesting Data...</v>
      </c>
      <c r="F389" t="str">
        <f>_xll.BDP("67920QKC Muni","DUR_ADJ_MID")</f>
        <v>#N/A Requesting Data...</v>
      </c>
      <c r="G389" t="str">
        <f>_xll.BDP("67920QKC Muni","SPREAD_AT_ISSUANCE_TO_WORST")</f>
        <v>#N/A Requesting Data...</v>
      </c>
      <c r="H389" t="str">
        <f>_xll.BDP("67920QKC Muni","ISSUE_DT")</f>
        <v>#N/A Requesting Data...</v>
      </c>
      <c r="I389" t="str">
        <f>_xll.BDS("67920QKC Muni","MUNI_PURPOSE_SCHED", "aggregate=y")</f>
        <v>#N/A Review</v>
      </c>
      <c r="J389" t="str">
        <f>_xll.BDP("67920QKC Muni","CPN")</f>
        <v>#N/A Requesting Data...</v>
      </c>
      <c r="K389" t="str">
        <f>_xll.BDP("67920QKC Muni","MATURITY")</f>
        <v>#N/A Requesting Data...</v>
      </c>
      <c r="L389">
        <v>450000</v>
      </c>
      <c r="M389" t="str">
        <f>_xll.BDP("67920QKC Muni","YIELD_ON_ISSUE_DATE")</f>
        <v>#N/A Requesting Data...</v>
      </c>
      <c r="N389" t="str">
        <f>_xll.BDP("67920QKC Muni","YTW_SPREAD_TO_MATURITY_AT_ISSU")</f>
        <v>#N/A Requesting Data...</v>
      </c>
      <c r="O389" t="str">
        <f>_xll.BDP("67920QKC Muni","BVAL_MID_YTM")</f>
        <v>#N/A Requesting Data...</v>
      </c>
      <c r="P389" t="str">
        <f>_xll.BDP("67920QKC Muni","MUNI_TAX_PROV")</f>
        <v>#N/A Requesting Data...</v>
      </c>
      <c r="Q389" t="str">
        <f>_xll.BDP("67920QKC Muni","MUNI_FED_TAX")</f>
        <v>#N/A Requesting Data...</v>
      </c>
      <c r="R389" t="str">
        <f>_xll.BDP("67920QKC Muni","MUNI_MSRB_VOLUME")</f>
        <v>#N/A Requesting Data...</v>
      </c>
      <c r="S389" t="str">
        <f>_xll.BDP("67920QKC Muni","BB_COMPOSITE")</f>
        <v>#N/A Requesting Data...</v>
      </c>
      <c r="T389" t="str">
        <f>_xll.BDP("67920QKC Muni","LQA_LIQUIDITY_SCORE")</f>
        <v>#N/A Requesting Data...</v>
      </c>
    </row>
    <row r="390" spans="1:20" x14ac:dyDescent="0.25">
      <c r="A390" t="str">
        <f>_xll.BDP("67920QKD Muni","ID_CUSIP")</f>
        <v>#N/A Requesting Data...</v>
      </c>
      <c r="B390" t="s">
        <v>45</v>
      </c>
      <c r="C390" t="str">
        <f>_xll.BDP("67920QKD Muni","INSURANCE_STATUS")</f>
        <v>#N/A Requesting Data...</v>
      </c>
      <c r="D390" t="str">
        <f>_xll.BDP("67920QKD Muni","STATE_CODE")</f>
        <v>#N/A Requesting Data...</v>
      </c>
      <c r="E390" t="str">
        <f>_xll.BDP("67920QKD Muni","COUNTY_LOCATION_ISSUER")</f>
        <v>#N/A Requesting Data...</v>
      </c>
      <c r="F390" t="str">
        <f>_xll.BDP("67920QKD Muni","DUR_ADJ_MID")</f>
        <v>#N/A Requesting Data...</v>
      </c>
      <c r="G390" t="str">
        <f>_xll.BDP("67920QKD Muni","SPREAD_AT_ISSUANCE_TO_WORST")</f>
        <v>#N/A Requesting Data...</v>
      </c>
      <c r="H390" t="str">
        <f>_xll.BDP("67920QKD Muni","ISSUE_DT")</f>
        <v>#N/A Requesting Data...</v>
      </c>
      <c r="I390" t="str">
        <f>_xll.BDS("67920QKD Muni","MUNI_PURPOSE_SCHED", "aggregate=y")</f>
        <v>#N/A Review</v>
      </c>
      <c r="J390" t="str">
        <f>_xll.BDP("67920QKD Muni","CPN")</f>
        <v>#N/A Requesting Data...</v>
      </c>
      <c r="K390" t="str">
        <f>_xll.BDP("67920QKD Muni","MATURITY")</f>
        <v>#N/A Requesting Data...</v>
      </c>
      <c r="L390">
        <v>460000</v>
      </c>
      <c r="M390" t="str">
        <f>_xll.BDP("67920QKD Muni","YIELD_ON_ISSUE_DATE")</f>
        <v>#N/A Requesting Data...</v>
      </c>
      <c r="N390" t="str">
        <f>_xll.BDP("67920QKD Muni","YTW_SPREAD_TO_MATURITY_AT_ISSU")</f>
        <v>#N/A Requesting Data...</v>
      </c>
      <c r="O390" t="str">
        <f>_xll.BDP("67920QKD Muni","BVAL_MID_YTM")</f>
        <v>#N/A Requesting Data...</v>
      </c>
      <c r="P390" t="str">
        <f>_xll.BDP("67920QKD Muni","MUNI_TAX_PROV")</f>
        <v>#N/A Requesting Data...</v>
      </c>
      <c r="Q390" t="str">
        <f>_xll.BDP("67920QKD Muni","MUNI_FED_TAX")</f>
        <v>#N/A Requesting Data...</v>
      </c>
      <c r="R390" t="str">
        <f>_xll.BDP("67920QKD Muni","MUNI_MSRB_VOLUME")</f>
        <v>#N/A Requesting Data...</v>
      </c>
      <c r="S390" t="str">
        <f>_xll.BDP("67920QKD Muni","BB_COMPOSITE")</f>
        <v>#N/A Requesting Data...</v>
      </c>
      <c r="T390" t="str">
        <f>_xll.BDP("67920QKD Muni","LQA_LIQUIDITY_SCORE")</f>
        <v>#N/A Requesting Data...</v>
      </c>
    </row>
    <row r="391" spans="1:20" x14ac:dyDescent="0.25">
      <c r="A391" t="str">
        <f>_xll.BDP("681922DP Muni","ID_CUSIP")</f>
        <v>#N/A Requesting Data...</v>
      </c>
      <c r="B391" t="s">
        <v>189</v>
      </c>
      <c r="C391" t="str">
        <f>_xll.BDP("681922DP Muni","INSURANCE_STATUS")</f>
        <v>#N/A Requesting Data...</v>
      </c>
      <c r="D391" t="str">
        <f>_xll.BDP("681922DP Muni","STATE_CODE")</f>
        <v>#N/A Requesting Data...</v>
      </c>
      <c r="E391" t="str">
        <f>_xll.BDP("681922DP Muni","COUNTY_LOCATION_ISSUER")</f>
        <v>#N/A Requesting Data...</v>
      </c>
      <c r="F391" t="str">
        <f>_xll.BDP("681922DP Muni","DUR_ADJ_MID")</f>
        <v>#N/A Requesting Data...</v>
      </c>
      <c r="G391" t="str">
        <f>_xll.BDP("681922DP Muni","SPREAD_AT_ISSUANCE_TO_WORST")</f>
        <v>#N/A Requesting Data...</v>
      </c>
      <c r="H391" t="str">
        <f>_xll.BDP("681922DP Muni","ISSUE_DT")</f>
        <v>#N/A Requesting Data...</v>
      </c>
      <c r="I391" t="str">
        <f>_xll.BDS("681922DP Muni","MUNI_PURPOSE_SCHED", "aggregate=y")</f>
        <v>#N/A Review</v>
      </c>
      <c r="J391" t="str">
        <f>_xll.BDP("681922DP Muni","CPN")</f>
        <v>#N/A Requesting Data...</v>
      </c>
      <c r="K391" t="str">
        <f>_xll.BDP("681922DP Muni","MATURITY")</f>
        <v>#N/A Requesting Data...</v>
      </c>
      <c r="L391">
        <v>310000</v>
      </c>
      <c r="M391" t="str">
        <f>_xll.BDP("681922DP Muni","YIELD_ON_ISSUE_DATE")</f>
        <v>#N/A Requesting Data...</v>
      </c>
      <c r="N391" t="str">
        <f>_xll.BDP("681922DP Muni","YTW_SPREAD_TO_MATURITY_AT_ISSU")</f>
        <v>#N/A Requesting Data...</v>
      </c>
      <c r="O391" t="str">
        <f>_xll.BDP("681922DP Muni","BVAL_MID_YTM")</f>
        <v>#N/A Requesting Data...</v>
      </c>
      <c r="P391" t="str">
        <f>_xll.BDP("681922DP Muni","MUNI_TAX_PROV")</f>
        <v>#N/A Requesting Data...</v>
      </c>
      <c r="Q391" t="str">
        <f>_xll.BDP("681922DP Muni","MUNI_FED_TAX")</f>
        <v>#N/A Requesting Data...</v>
      </c>
      <c r="R391" t="str">
        <f>_xll.BDP("681922DP Muni","MUNI_MSRB_VOLUME")</f>
        <v>#N/A Requesting Data...</v>
      </c>
      <c r="S391" t="str">
        <f>_xll.BDP("681922DP Muni","BB_COMPOSITE")</f>
        <v>#N/A Requesting Data...</v>
      </c>
      <c r="T391" t="str">
        <f>_xll.BDP("681922DP Muni","LQA_LIQUIDITY_SCORE")</f>
        <v>#N/A Requesting Data...</v>
      </c>
    </row>
    <row r="392" spans="1:20" x14ac:dyDescent="0.25">
      <c r="A392" t="str">
        <f>_xll.BDP("681922DQ Muni","ID_CUSIP")</f>
        <v>#N/A Requesting Data...</v>
      </c>
      <c r="B392" t="s">
        <v>189</v>
      </c>
      <c r="C392" t="str">
        <f>_xll.BDP("681922DQ Muni","INSURANCE_STATUS")</f>
        <v>#N/A Requesting Data...</v>
      </c>
      <c r="D392" t="str">
        <f>_xll.BDP("681922DQ Muni","STATE_CODE")</f>
        <v>#N/A Requesting Data...</v>
      </c>
      <c r="E392" t="str">
        <f>_xll.BDP("681922DQ Muni","COUNTY_LOCATION_ISSUER")</f>
        <v>#N/A Requesting Data...</v>
      </c>
      <c r="F392" t="str">
        <f>_xll.BDP("681922DQ Muni","DUR_ADJ_MID")</f>
        <v>#N/A Requesting Data...</v>
      </c>
      <c r="G392" t="str">
        <f>_xll.BDP("681922DQ Muni","SPREAD_AT_ISSUANCE_TO_WORST")</f>
        <v>#N/A Requesting Data...</v>
      </c>
      <c r="H392" t="str">
        <f>_xll.BDP("681922DQ Muni","ISSUE_DT")</f>
        <v>#N/A Requesting Data...</v>
      </c>
      <c r="I392" t="str">
        <f>_xll.BDS("681922DQ Muni","MUNI_PURPOSE_SCHED", "aggregate=y")</f>
        <v>#N/A Review</v>
      </c>
      <c r="J392" t="str">
        <f>_xll.BDP("681922DQ Muni","CPN")</f>
        <v>#N/A Requesting Data...</v>
      </c>
      <c r="K392" t="str">
        <f>_xll.BDP("681922DQ Muni","MATURITY")</f>
        <v>#N/A Requesting Data...</v>
      </c>
      <c r="L392">
        <v>355000</v>
      </c>
      <c r="M392" t="str">
        <f>_xll.BDP("681922DQ Muni","YIELD_ON_ISSUE_DATE")</f>
        <v>#N/A Requesting Data...</v>
      </c>
      <c r="N392" t="str">
        <f>_xll.BDP("681922DQ Muni","YTW_SPREAD_TO_MATURITY_AT_ISSU")</f>
        <v>#N/A Requesting Data...</v>
      </c>
      <c r="O392" t="str">
        <f>_xll.BDP("681922DQ Muni","BVAL_MID_YTM")</f>
        <v>#N/A Requesting Data...</v>
      </c>
      <c r="P392" t="str">
        <f>_xll.BDP("681922DQ Muni","MUNI_TAX_PROV")</f>
        <v>#N/A Requesting Data...</v>
      </c>
      <c r="Q392" t="str">
        <f>_xll.BDP("681922DQ Muni","MUNI_FED_TAX")</f>
        <v>#N/A Requesting Data...</v>
      </c>
      <c r="R392" t="str">
        <f>_xll.BDP("681922DQ Muni","MUNI_MSRB_VOLUME")</f>
        <v>#N/A Requesting Data...</v>
      </c>
      <c r="S392" t="str">
        <f>_xll.BDP("681922DQ Muni","BB_COMPOSITE")</f>
        <v>#N/A Requesting Data...</v>
      </c>
      <c r="T392" t="str">
        <f>_xll.BDP("681922DQ Muni","LQA_LIQUIDITY_SCORE")</f>
        <v>#N/A Requesting Data...</v>
      </c>
    </row>
    <row r="393" spans="1:20" x14ac:dyDescent="0.25">
      <c r="A393" t="str">
        <f>_xll.BDP("681922DR Muni","ID_CUSIP")</f>
        <v>#N/A Requesting Data...</v>
      </c>
      <c r="B393" t="s">
        <v>189</v>
      </c>
      <c r="C393" t="str">
        <f>_xll.BDP("681922DR Muni","INSURANCE_STATUS")</f>
        <v>#N/A Requesting Data...</v>
      </c>
      <c r="D393" t="str">
        <f>_xll.BDP("681922DR Muni","STATE_CODE")</f>
        <v>#N/A Requesting Data...</v>
      </c>
      <c r="E393" t="str">
        <f>_xll.BDP("681922DR Muni","COUNTY_LOCATION_ISSUER")</f>
        <v>#N/A Requesting Data...</v>
      </c>
      <c r="F393" t="str">
        <f>_xll.BDP("681922DR Muni","DUR_ADJ_MID")</f>
        <v>#N/A Requesting Data...</v>
      </c>
      <c r="G393" t="str">
        <f>_xll.BDP("681922DR Muni","SPREAD_AT_ISSUANCE_TO_WORST")</f>
        <v>#N/A Requesting Data...</v>
      </c>
      <c r="H393" t="str">
        <f>_xll.BDP("681922DR Muni","ISSUE_DT")</f>
        <v>#N/A Requesting Data...</v>
      </c>
      <c r="I393" t="str">
        <f>_xll.BDS("681922DR Muni","MUNI_PURPOSE_SCHED", "aggregate=y")</f>
        <v>#N/A Review</v>
      </c>
      <c r="J393" t="str">
        <f>_xll.BDP("681922DR Muni","CPN")</f>
        <v>#N/A Requesting Data...</v>
      </c>
      <c r="K393" t="str">
        <f>_xll.BDP("681922DR Muni","MATURITY")</f>
        <v>#N/A Requesting Data...</v>
      </c>
      <c r="L393">
        <v>365000</v>
      </c>
      <c r="M393" t="str">
        <f>_xll.BDP("681922DR Muni","YIELD_ON_ISSUE_DATE")</f>
        <v>#N/A Requesting Data...</v>
      </c>
      <c r="N393" t="str">
        <f>_xll.BDP("681922DR Muni","YTW_SPREAD_TO_MATURITY_AT_ISSU")</f>
        <v>#N/A Requesting Data...</v>
      </c>
      <c r="O393" t="str">
        <f>_xll.BDP("681922DR Muni","BVAL_MID_YTM")</f>
        <v>#N/A Requesting Data...</v>
      </c>
      <c r="P393" t="str">
        <f>_xll.BDP("681922DR Muni","MUNI_TAX_PROV")</f>
        <v>#N/A Requesting Data...</v>
      </c>
      <c r="Q393" t="str">
        <f>_xll.BDP("681922DR Muni","MUNI_FED_TAX")</f>
        <v>#N/A Requesting Data...</v>
      </c>
      <c r="R393" t="str">
        <f>_xll.BDP("681922DR Muni","MUNI_MSRB_VOLUME")</f>
        <v>#N/A Requesting Data...</v>
      </c>
      <c r="S393" t="str">
        <f>_xll.BDP("681922DR Muni","BB_COMPOSITE")</f>
        <v>#N/A Requesting Data...</v>
      </c>
      <c r="T393" t="str">
        <f>_xll.BDP("681922DR Muni","LQA_LIQUIDITY_SCORE")</f>
        <v>#N/A Requesting Data...</v>
      </c>
    </row>
    <row r="394" spans="1:20" x14ac:dyDescent="0.25">
      <c r="A394" t="str">
        <f>_xll.BDP("681922DS Muni","ID_CUSIP")</f>
        <v>#N/A Requesting Data...</v>
      </c>
      <c r="B394" t="s">
        <v>189</v>
      </c>
      <c r="C394" t="str">
        <f>_xll.BDP("681922DS Muni","INSURANCE_STATUS")</f>
        <v>#N/A Requesting Data...</v>
      </c>
      <c r="D394" t="str">
        <f>_xll.BDP("681922DS Muni","STATE_CODE")</f>
        <v>#N/A Requesting Data...</v>
      </c>
      <c r="E394" t="str">
        <f>_xll.BDP("681922DS Muni","COUNTY_LOCATION_ISSUER")</f>
        <v>#N/A Requesting Data...</v>
      </c>
      <c r="F394" t="str">
        <f>_xll.BDP("681922DS Muni","DUR_ADJ_MID")</f>
        <v>#N/A Requesting Data...</v>
      </c>
      <c r="G394" t="str">
        <f>_xll.BDP("681922DS Muni","SPREAD_AT_ISSUANCE_TO_WORST")</f>
        <v>#N/A Requesting Data...</v>
      </c>
      <c r="H394" t="str">
        <f>_xll.BDP("681922DS Muni","ISSUE_DT")</f>
        <v>#N/A Requesting Data...</v>
      </c>
      <c r="I394" t="str">
        <f>_xll.BDS("681922DS Muni","MUNI_PURPOSE_SCHED", "aggregate=y")</f>
        <v>#N/A Review</v>
      </c>
      <c r="J394" t="str">
        <f>_xll.BDP("681922DS Muni","CPN")</f>
        <v>#N/A Requesting Data...</v>
      </c>
      <c r="K394" t="str">
        <f>_xll.BDP("681922DS Muni","MATURITY")</f>
        <v>#N/A Requesting Data...</v>
      </c>
      <c r="L394">
        <v>375000</v>
      </c>
      <c r="M394" t="str">
        <f>_xll.BDP("681922DS Muni","YIELD_ON_ISSUE_DATE")</f>
        <v>#N/A Requesting Data...</v>
      </c>
      <c r="N394" t="str">
        <f>_xll.BDP("681922DS Muni","YTW_SPREAD_TO_MATURITY_AT_ISSU")</f>
        <v>#N/A Requesting Data...</v>
      </c>
      <c r="O394" t="str">
        <f>_xll.BDP("681922DS Muni","BVAL_MID_YTM")</f>
        <v>#N/A Requesting Data...</v>
      </c>
      <c r="P394" t="str">
        <f>_xll.BDP("681922DS Muni","MUNI_TAX_PROV")</f>
        <v>#N/A Requesting Data...</v>
      </c>
      <c r="Q394" t="str">
        <f>_xll.BDP("681922DS Muni","MUNI_FED_TAX")</f>
        <v>#N/A Requesting Data...</v>
      </c>
      <c r="R394" t="str">
        <f>_xll.BDP("681922DS Muni","MUNI_MSRB_VOLUME")</f>
        <v>#N/A Requesting Data...</v>
      </c>
      <c r="S394" t="str">
        <f>_xll.BDP("681922DS Muni","BB_COMPOSITE")</f>
        <v>#N/A Requesting Data...</v>
      </c>
      <c r="T394" t="str">
        <f>_xll.BDP("681922DS Muni","LQA_LIQUIDITY_SCORE")</f>
        <v>#N/A Requesting Data...</v>
      </c>
    </row>
    <row r="395" spans="1:20" x14ac:dyDescent="0.25">
      <c r="A395" t="str">
        <f>_xll.BDP("6533522D Muni","ID_CUSIP")</f>
        <v>#N/A Requesting Data...</v>
      </c>
      <c r="B395" t="s">
        <v>190</v>
      </c>
      <c r="C395" t="str">
        <f>_xll.BDP("6533522D Muni","INSURANCE_STATUS")</f>
        <v>#N/A Requesting Data...</v>
      </c>
      <c r="D395" t="str">
        <f>_xll.BDP("6533522D Muni","STATE_CODE")</f>
        <v>#N/A Requesting Data...</v>
      </c>
      <c r="E395" t="str">
        <f>_xll.BDP("6533522D Muni","COUNTY_LOCATION_ISSUER")</f>
        <v>#N/A Requesting Data...</v>
      </c>
      <c r="F395" t="str">
        <f>_xll.BDP("6533522D Muni","DUR_ADJ_MID")</f>
        <v>#N/A Requesting Data...</v>
      </c>
      <c r="G395" t="str">
        <f>_xll.BDP("6533522D Muni","SPREAD_AT_ISSUANCE_TO_WORST")</f>
        <v>#N/A Requesting Data...</v>
      </c>
      <c r="H395" t="str">
        <f>_xll.BDP("6533522D Muni","ISSUE_DT")</f>
        <v>#N/A Requesting Data...</v>
      </c>
      <c r="I395" t="str">
        <f>_xll.BDS("6533522D Muni","MUNI_PURPOSE_SCHED", "aggregate=y")</f>
        <v>#N/A Review</v>
      </c>
      <c r="J395" t="str">
        <f>_xll.BDP("6533522D Muni","CPN")</f>
        <v>#N/A Requesting Data...</v>
      </c>
      <c r="K395" t="str">
        <f>_xll.BDP("6533522D Muni","MATURITY")</f>
        <v>#N/A Requesting Data...</v>
      </c>
      <c r="L395">
        <v>935000</v>
      </c>
      <c r="M395" t="str">
        <f>_xll.BDP("6533522D Muni","YIELD_ON_ISSUE_DATE")</f>
        <v>#N/A Requesting Data...</v>
      </c>
      <c r="N395" t="str">
        <f>_xll.BDP("6533522D Muni","YTW_SPREAD_TO_MATURITY_AT_ISSU")</f>
        <v>#N/A Requesting Data...</v>
      </c>
      <c r="O395" t="str">
        <f>_xll.BDP("6533522D Muni","BVAL_MID_YTM")</f>
        <v>#N/A Requesting Data...</v>
      </c>
      <c r="P395" t="str">
        <f>_xll.BDP("6533522D Muni","MUNI_TAX_PROV")</f>
        <v>#N/A Requesting Data...</v>
      </c>
      <c r="Q395" t="str">
        <f>_xll.BDP("6533522D Muni","MUNI_FED_TAX")</f>
        <v>#N/A Requesting Data...</v>
      </c>
      <c r="R395" t="str">
        <f>_xll.BDP("6533522D Muni","MUNI_MSRB_VOLUME")</f>
        <v>#N/A Requesting Data...</v>
      </c>
      <c r="S395" t="str">
        <f>_xll.BDP("6533522D Muni","BB_COMPOSITE")</f>
        <v>#N/A Requesting Data...</v>
      </c>
      <c r="T395" t="str">
        <f>_xll.BDP("6533522D Muni","LQA_LIQUIDITY_SCORE")</f>
        <v>#N/A Requesting Data...</v>
      </c>
    </row>
    <row r="396" spans="1:20" x14ac:dyDescent="0.25">
      <c r="A396" t="str">
        <f>_xll.BDP("6533522E Muni","ID_CUSIP")</f>
        <v>#N/A Requesting Data...</v>
      </c>
      <c r="B396" t="s">
        <v>190</v>
      </c>
      <c r="C396" t="str">
        <f>_xll.BDP("6533522E Muni","INSURANCE_STATUS")</f>
        <v>#N/A Requesting Data...</v>
      </c>
      <c r="D396" t="str">
        <f>_xll.BDP("6533522E Muni","STATE_CODE")</f>
        <v>#N/A Requesting Data...</v>
      </c>
      <c r="E396" t="str">
        <f>_xll.BDP("6533522E Muni","COUNTY_LOCATION_ISSUER")</f>
        <v>#N/A Requesting Data...</v>
      </c>
      <c r="F396" t="str">
        <f>_xll.BDP("6533522E Muni","DUR_ADJ_MID")</f>
        <v>#N/A Requesting Data...</v>
      </c>
      <c r="G396" t="str">
        <f>_xll.BDP("6533522E Muni","SPREAD_AT_ISSUANCE_TO_WORST")</f>
        <v>#N/A Requesting Data...</v>
      </c>
      <c r="H396" t="str">
        <f>_xll.BDP("6533522E Muni","ISSUE_DT")</f>
        <v>#N/A Requesting Data...</v>
      </c>
      <c r="I396" t="str">
        <f>_xll.BDS("6533522E Muni","MUNI_PURPOSE_SCHED", "aggregate=y")</f>
        <v>#N/A Review</v>
      </c>
      <c r="J396" t="str">
        <f>_xll.BDP("6533522E Muni","CPN")</f>
        <v>#N/A Requesting Data...</v>
      </c>
      <c r="K396" t="str">
        <f>_xll.BDP("6533522E Muni","MATURITY")</f>
        <v>#N/A Requesting Data...</v>
      </c>
      <c r="L396">
        <v>950000</v>
      </c>
      <c r="M396" t="str">
        <f>_xll.BDP("6533522E Muni","YIELD_ON_ISSUE_DATE")</f>
        <v>#N/A Requesting Data...</v>
      </c>
      <c r="N396" t="str">
        <f>_xll.BDP("6533522E Muni","YTW_SPREAD_TO_MATURITY_AT_ISSU")</f>
        <v>#N/A Requesting Data...</v>
      </c>
      <c r="O396" t="str">
        <f>_xll.BDP("6533522E Muni","BVAL_MID_YTM")</f>
        <v>#N/A Requesting Data...</v>
      </c>
      <c r="P396" t="str">
        <f>_xll.BDP("6533522E Muni","MUNI_TAX_PROV")</f>
        <v>#N/A Requesting Data...</v>
      </c>
      <c r="Q396" t="str">
        <f>_xll.BDP("6533522E Muni","MUNI_FED_TAX")</f>
        <v>#N/A Requesting Data...</v>
      </c>
      <c r="R396" t="str">
        <f>_xll.BDP("6533522E Muni","MUNI_MSRB_VOLUME")</f>
        <v>#N/A Requesting Data...</v>
      </c>
      <c r="S396" t="str">
        <f>_xll.BDP("6533522E Muni","BB_COMPOSITE")</f>
        <v>#N/A Requesting Data...</v>
      </c>
      <c r="T396" t="str">
        <f>_xll.BDP("6533522E Muni","LQA_LIQUIDITY_SCORE")</f>
        <v>#N/A Requesting Data...</v>
      </c>
    </row>
    <row r="397" spans="1:20" x14ac:dyDescent="0.25">
      <c r="A397" t="str">
        <f>_xll.BDP("6533522F Muni","ID_CUSIP")</f>
        <v>#N/A Requesting Data...</v>
      </c>
      <c r="B397" t="s">
        <v>190</v>
      </c>
      <c r="C397" t="str">
        <f>_xll.BDP("6533522F Muni","INSURANCE_STATUS")</f>
        <v>#N/A Requesting Data...</v>
      </c>
      <c r="D397" t="str">
        <f>_xll.BDP("6533522F Muni","STATE_CODE")</f>
        <v>#N/A Requesting Data...</v>
      </c>
      <c r="E397" t="str">
        <f>_xll.BDP("6533522F Muni","COUNTY_LOCATION_ISSUER")</f>
        <v>#N/A Requesting Data...</v>
      </c>
      <c r="F397" t="str">
        <f>_xll.BDP("6533522F Muni","DUR_ADJ_MID")</f>
        <v>#N/A Requesting Data...</v>
      </c>
      <c r="G397" t="str">
        <f>_xll.BDP("6533522F Muni","SPREAD_AT_ISSUANCE_TO_WORST")</f>
        <v>#N/A Requesting Data...</v>
      </c>
      <c r="H397" t="str">
        <f>_xll.BDP("6533522F Muni","ISSUE_DT")</f>
        <v>#N/A Requesting Data...</v>
      </c>
      <c r="I397" t="str">
        <f>_xll.BDS("6533522F Muni","MUNI_PURPOSE_SCHED", "aggregate=y")</f>
        <v>#N/A Review</v>
      </c>
      <c r="J397" t="str">
        <f>_xll.BDP("6533522F Muni","CPN")</f>
        <v>#N/A Requesting Data...</v>
      </c>
      <c r="K397" t="str">
        <f>_xll.BDP("6533522F Muni","MATURITY")</f>
        <v>#N/A Requesting Data...</v>
      </c>
      <c r="L397">
        <v>965000</v>
      </c>
      <c r="M397" t="str">
        <f>_xll.BDP("6533522F Muni","YIELD_ON_ISSUE_DATE")</f>
        <v>#N/A Requesting Data...</v>
      </c>
      <c r="N397" t="str">
        <f>_xll.BDP("6533522F Muni","YTW_SPREAD_TO_MATURITY_AT_ISSU")</f>
        <v>#N/A Requesting Data...</v>
      </c>
      <c r="O397" t="str">
        <f>_xll.BDP("6533522F Muni","BVAL_MID_YTM")</f>
        <v>#N/A Requesting Data...</v>
      </c>
      <c r="P397" t="str">
        <f>_xll.BDP("6533522F Muni","MUNI_TAX_PROV")</f>
        <v>#N/A Requesting Data...</v>
      </c>
      <c r="Q397" t="str">
        <f>_xll.BDP("6533522F Muni","MUNI_FED_TAX")</f>
        <v>#N/A Requesting Data...</v>
      </c>
      <c r="R397" t="str">
        <f>_xll.BDP("6533522F Muni","MUNI_MSRB_VOLUME")</f>
        <v>#N/A Requesting Data...</v>
      </c>
      <c r="S397" t="str">
        <f>_xll.BDP("6533522F Muni","BB_COMPOSITE")</f>
        <v>#N/A Requesting Data...</v>
      </c>
      <c r="T397" t="str">
        <f>_xll.BDP("6533522F Muni","LQA_LIQUIDITY_SCORE")</f>
        <v>#N/A Requesting Data...</v>
      </c>
    </row>
    <row r="398" spans="1:20" x14ac:dyDescent="0.25">
      <c r="A398" t="str">
        <f>_xll.BDP("6533522G Muni","ID_CUSIP")</f>
        <v>#N/A Requesting Data...</v>
      </c>
      <c r="B398" t="s">
        <v>190</v>
      </c>
      <c r="C398" t="str">
        <f>_xll.BDP("6533522G Muni","INSURANCE_STATUS")</f>
        <v>#N/A Requesting Data...</v>
      </c>
      <c r="D398" t="str">
        <f>_xll.BDP("6533522G Muni","STATE_CODE")</f>
        <v>#N/A Requesting Data...</v>
      </c>
      <c r="E398" t="str">
        <f>_xll.BDP("6533522G Muni","COUNTY_LOCATION_ISSUER")</f>
        <v>#N/A Requesting Data...</v>
      </c>
      <c r="F398" t="str">
        <f>_xll.BDP("6533522G Muni","DUR_ADJ_MID")</f>
        <v>#N/A Requesting Data...</v>
      </c>
      <c r="G398" t="str">
        <f>_xll.BDP("6533522G Muni","SPREAD_AT_ISSUANCE_TO_WORST")</f>
        <v>#N/A Requesting Data...</v>
      </c>
      <c r="H398" t="str">
        <f>_xll.BDP("6533522G Muni","ISSUE_DT")</f>
        <v>#N/A Requesting Data...</v>
      </c>
      <c r="I398" t="str">
        <f>_xll.BDS("6533522G Muni","MUNI_PURPOSE_SCHED", "aggregate=y")</f>
        <v>#N/A Review</v>
      </c>
      <c r="J398" t="str">
        <f>_xll.BDP("6533522G Muni","CPN")</f>
        <v>#N/A Requesting Data...</v>
      </c>
      <c r="K398" t="str">
        <f>_xll.BDP("6533522G Muni","MATURITY")</f>
        <v>#N/A Requesting Data...</v>
      </c>
      <c r="L398">
        <v>985000</v>
      </c>
      <c r="M398" t="str">
        <f>_xll.BDP("6533522G Muni","YIELD_ON_ISSUE_DATE")</f>
        <v>#N/A Requesting Data...</v>
      </c>
      <c r="N398" t="str">
        <f>_xll.BDP("6533522G Muni","YTW_SPREAD_TO_MATURITY_AT_ISSU")</f>
        <v>#N/A Requesting Data...</v>
      </c>
      <c r="O398" t="str">
        <f>_xll.BDP("6533522G Muni","BVAL_MID_YTM")</f>
        <v>#N/A Requesting Data...</v>
      </c>
      <c r="P398" t="str">
        <f>_xll.BDP("6533522G Muni","MUNI_TAX_PROV")</f>
        <v>#N/A Requesting Data...</v>
      </c>
      <c r="Q398" t="str">
        <f>_xll.BDP("6533522G Muni","MUNI_FED_TAX")</f>
        <v>#N/A Requesting Data...</v>
      </c>
      <c r="R398" t="str">
        <f>_xll.BDP("6533522G Muni","MUNI_MSRB_VOLUME")</f>
        <v>#N/A Requesting Data...</v>
      </c>
      <c r="S398" t="str">
        <f>_xll.BDP("6533522G Muni","BB_COMPOSITE")</f>
        <v>#N/A Requesting Data...</v>
      </c>
      <c r="T398" t="str">
        <f>_xll.BDP("6533522G Muni","LQA_LIQUIDITY_SCORE")</f>
        <v>#N/A Requesting Data...</v>
      </c>
    </row>
    <row r="399" spans="1:20" x14ac:dyDescent="0.25">
      <c r="A399" t="str">
        <f>_xll.BDP("655308BB Muni","ID_CUSIP")</f>
        <v>#N/A Requesting Data...</v>
      </c>
      <c r="B399" t="s">
        <v>191</v>
      </c>
      <c r="C399" t="str">
        <f>_xll.BDP("655308BB Muni","INSURANCE_STATUS")</f>
        <v>#N/A Requesting Data...</v>
      </c>
      <c r="D399" t="str">
        <f>_xll.BDP("655308BB Muni","STATE_CODE")</f>
        <v>#N/A Requesting Data...</v>
      </c>
      <c r="E399" t="str">
        <f>_xll.BDP("655308BB Muni","COUNTY_LOCATION_ISSUER")</f>
        <v>#N/A Requesting Data...</v>
      </c>
      <c r="F399" t="str">
        <f>_xll.BDP("655308BB Muni","DUR_ADJ_MID")</f>
        <v>#N/A Requesting Data...</v>
      </c>
      <c r="G399" t="str">
        <f>_xll.BDP("655308BB Muni","SPREAD_AT_ISSUANCE_TO_WORST")</f>
        <v>#N/A Requesting Data...</v>
      </c>
      <c r="H399" t="str">
        <f>_xll.BDP("655308BB Muni","ISSUE_DT")</f>
        <v>#N/A Requesting Data...</v>
      </c>
      <c r="I399" t="str">
        <f>_xll.BDS("655308BB Muni","MUNI_PURPOSE_SCHED", "aggregate=y")</f>
        <v>#N/A Review</v>
      </c>
      <c r="J399" t="str">
        <f>_xll.BDP("655308BB Muni","CPN")</f>
        <v>#N/A Requesting Data...</v>
      </c>
      <c r="K399" t="str">
        <f>_xll.BDP("655308BB Muni","MATURITY")</f>
        <v>#N/A Requesting Data...</v>
      </c>
      <c r="L399">
        <v>520000</v>
      </c>
      <c r="M399" t="str">
        <f>_xll.BDP("655308BB Muni","YIELD_ON_ISSUE_DATE")</f>
        <v>#N/A Requesting Data...</v>
      </c>
      <c r="N399" t="str">
        <f>_xll.BDP("655308BB Muni","YTW_SPREAD_TO_MATURITY_AT_ISSU")</f>
        <v>#N/A Requesting Data...</v>
      </c>
      <c r="O399" t="str">
        <f>_xll.BDP("655308BB Muni","BVAL_MID_YTM")</f>
        <v>#N/A Requesting Data...</v>
      </c>
      <c r="P399" t="str">
        <f>_xll.BDP("655308BB Muni","MUNI_TAX_PROV")</f>
        <v>#N/A Requesting Data...</v>
      </c>
      <c r="Q399" t="str">
        <f>_xll.BDP("655308BB Muni","MUNI_FED_TAX")</f>
        <v>#N/A Requesting Data...</v>
      </c>
      <c r="R399" t="str">
        <f>_xll.BDP("655308BB Muni","MUNI_MSRB_VOLUME")</f>
        <v>#N/A Requesting Data...</v>
      </c>
      <c r="S399" t="str">
        <f>_xll.BDP("655308BB Muni","BB_COMPOSITE")</f>
        <v>#N/A Requesting Data...</v>
      </c>
      <c r="T399" t="str">
        <f>_xll.BDP("655308BB Muni","LQA_LIQUIDITY_SCORE")</f>
        <v>#N/A Requesting Data...</v>
      </c>
    </row>
    <row r="400" spans="1:20" x14ac:dyDescent="0.25">
      <c r="A400" t="str">
        <f>_xll.BDP("823653AU Muni","ID_CUSIP")</f>
        <v>#N/A Requesting Data...</v>
      </c>
      <c r="B400" t="s">
        <v>128</v>
      </c>
      <c r="C400" t="str">
        <f>_xll.BDP("823653AU Muni","INSURANCE_STATUS")</f>
        <v>#N/A Requesting Data...</v>
      </c>
      <c r="D400" t="str">
        <f>_xll.BDP("823653AU Muni","STATE_CODE")</f>
        <v>#N/A Requesting Data...</v>
      </c>
      <c r="E400" t="str">
        <f>_xll.BDP("823653AU Muni","COUNTY_LOCATION_ISSUER")</f>
        <v>#N/A Requesting Data...</v>
      </c>
      <c r="F400" t="str">
        <f>_xll.BDP("823653AU Muni","DUR_ADJ_MID")</f>
        <v>#N/A Requesting Data...</v>
      </c>
      <c r="G400" t="str">
        <f>_xll.BDP("823653AU Muni","SPREAD_AT_ISSUANCE_TO_WORST")</f>
        <v>#N/A Requesting Data...</v>
      </c>
      <c r="H400" t="str">
        <f>_xll.BDP("823653AU Muni","ISSUE_DT")</f>
        <v>#N/A Requesting Data...</v>
      </c>
      <c r="I400" t="str">
        <f>_xll.BDS("823653AU Muni","MUNI_PURPOSE_SCHED", "aggregate=y")</f>
        <v>#N/A Review</v>
      </c>
      <c r="J400" t="str">
        <f>_xll.BDP("823653AU Muni","CPN")</f>
        <v>#N/A Requesting Data...</v>
      </c>
      <c r="K400" t="str">
        <f>_xll.BDP("823653AU Muni","MATURITY")</f>
        <v>#N/A Requesting Data...</v>
      </c>
      <c r="L400">
        <v>465000</v>
      </c>
      <c r="M400" t="str">
        <f>_xll.BDP("823653AU Muni","YIELD_ON_ISSUE_DATE")</f>
        <v>#N/A Requesting Data...</v>
      </c>
      <c r="N400" t="str">
        <f>_xll.BDP("823653AU Muni","YTW_SPREAD_TO_MATURITY_AT_ISSU")</f>
        <v>#N/A Requesting Data...</v>
      </c>
      <c r="O400" t="str">
        <f>_xll.BDP("823653AU Muni","BVAL_MID_YTM")</f>
        <v>#N/A Requesting Data...</v>
      </c>
      <c r="P400" t="str">
        <f>_xll.BDP("823653AU Muni","MUNI_TAX_PROV")</f>
        <v>#N/A Requesting Data...</v>
      </c>
      <c r="Q400" t="str">
        <f>_xll.BDP("823653AU Muni","MUNI_FED_TAX")</f>
        <v>#N/A Requesting Data...</v>
      </c>
      <c r="R400" t="str">
        <f>_xll.BDP("823653AU Muni","MUNI_MSRB_VOLUME")</f>
        <v>#N/A Requesting Data...</v>
      </c>
      <c r="S400" t="str">
        <f>_xll.BDP("823653AU Muni","BB_COMPOSITE")</f>
        <v>#N/A Requesting Data...</v>
      </c>
      <c r="T400" t="str">
        <f>_xll.BDP("823653AU Muni","LQA_LIQUIDITY_SCORE")</f>
        <v>#N/A Requesting Data...</v>
      </c>
    </row>
    <row r="401" spans="1:20" x14ac:dyDescent="0.25">
      <c r="A401" t="str">
        <f>_xll.BDP("823653AV Muni","ID_CUSIP")</f>
        <v>#N/A Requesting Data...</v>
      </c>
      <c r="B401" t="s">
        <v>128</v>
      </c>
      <c r="C401" t="str">
        <f>_xll.BDP("823653AV Muni","INSURANCE_STATUS")</f>
        <v>#N/A Requesting Data...</v>
      </c>
      <c r="D401" t="str">
        <f>_xll.BDP("823653AV Muni","STATE_CODE")</f>
        <v>#N/A Requesting Data...</v>
      </c>
      <c r="E401" t="str">
        <f>_xll.BDP("823653AV Muni","COUNTY_LOCATION_ISSUER")</f>
        <v>#N/A Requesting Data...</v>
      </c>
      <c r="F401" t="str">
        <f>_xll.BDP("823653AV Muni","DUR_ADJ_MID")</f>
        <v>#N/A Requesting Data...</v>
      </c>
      <c r="G401" t="str">
        <f>_xll.BDP("823653AV Muni","SPREAD_AT_ISSUANCE_TO_WORST")</f>
        <v>#N/A Requesting Data...</v>
      </c>
      <c r="H401" t="str">
        <f>_xll.BDP("823653AV Muni","ISSUE_DT")</f>
        <v>#N/A Requesting Data...</v>
      </c>
      <c r="I401" t="str">
        <f>_xll.BDS("823653AV Muni","MUNI_PURPOSE_SCHED", "aggregate=y")</f>
        <v>#N/A Review</v>
      </c>
      <c r="J401" t="str">
        <f>_xll.BDP("823653AV Muni","CPN")</f>
        <v>#N/A Requesting Data...</v>
      </c>
      <c r="K401" t="str">
        <f>_xll.BDP("823653AV Muni","MATURITY")</f>
        <v>#N/A Requesting Data...</v>
      </c>
      <c r="L401">
        <v>490000</v>
      </c>
      <c r="M401" t="str">
        <f>_xll.BDP("823653AV Muni","YIELD_ON_ISSUE_DATE")</f>
        <v>#N/A Requesting Data...</v>
      </c>
      <c r="N401" t="str">
        <f>_xll.BDP("823653AV Muni","YTW_SPREAD_TO_MATURITY_AT_ISSU")</f>
        <v>#N/A Requesting Data...</v>
      </c>
      <c r="O401" t="str">
        <f>_xll.BDP("823653AV Muni","BVAL_MID_YTM")</f>
        <v>#N/A Requesting Data...</v>
      </c>
      <c r="P401" t="str">
        <f>_xll.BDP("823653AV Muni","MUNI_TAX_PROV")</f>
        <v>#N/A Requesting Data...</v>
      </c>
      <c r="Q401" t="str">
        <f>_xll.BDP("823653AV Muni","MUNI_FED_TAX")</f>
        <v>#N/A Requesting Data...</v>
      </c>
      <c r="R401" t="str">
        <f>_xll.BDP("823653AV Muni","MUNI_MSRB_VOLUME")</f>
        <v>#N/A Requesting Data...</v>
      </c>
      <c r="S401" t="str">
        <f>_xll.BDP("823653AV Muni","BB_COMPOSITE")</f>
        <v>#N/A Requesting Data...</v>
      </c>
      <c r="T401" t="str">
        <f>_xll.BDP("823653AV Muni","LQA_LIQUIDITY_SCORE")</f>
        <v>#N/A Requesting Data...</v>
      </c>
    </row>
    <row r="402" spans="1:20" x14ac:dyDescent="0.25">
      <c r="A402" t="str">
        <f>_xll.BDP("823653AW Muni","ID_CUSIP")</f>
        <v>#N/A Requesting Data...</v>
      </c>
      <c r="B402" t="s">
        <v>128</v>
      </c>
      <c r="C402" t="str">
        <f>_xll.BDP("823653AW Muni","INSURANCE_STATUS")</f>
        <v>#N/A Requesting Data...</v>
      </c>
      <c r="D402" t="str">
        <f>_xll.BDP("823653AW Muni","STATE_CODE")</f>
        <v>#N/A Requesting Data...</v>
      </c>
      <c r="E402" t="str">
        <f>_xll.BDP("823653AW Muni","COUNTY_LOCATION_ISSUER")</f>
        <v>#N/A Requesting Data...</v>
      </c>
      <c r="F402" t="str">
        <f>_xll.BDP("823653AW Muni","DUR_ADJ_MID")</f>
        <v>#N/A Requesting Data...</v>
      </c>
      <c r="G402" t="str">
        <f>_xll.BDP("823653AW Muni","SPREAD_AT_ISSUANCE_TO_WORST")</f>
        <v>#N/A Requesting Data...</v>
      </c>
      <c r="H402" t="str">
        <f>_xll.BDP("823653AW Muni","ISSUE_DT")</f>
        <v>#N/A Requesting Data...</v>
      </c>
      <c r="I402" t="str">
        <f>_xll.BDS("823653AW Muni","MUNI_PURPOSE_SCHED", "aggregate=y")</f>
        <v>#N/A Review</v>
      </c>
      <c r="J402" t="str">
        <f>_xll.BDP("823653AW Muni","CPN")</f>
        <v>#N/A Requesting Data...</v>
      </c>
      <c r="K402" t="str">
        <f>_xll.BDP("823653AW Muni","MATURITY")</f>
        <v>#N/A Requesting Data...</v>
      </c>
      <c r="L402">
        <v>515000</v>
      </c>
      <c r="M402" t="str">
        <f>_xll.BDP("823653AW Muni","YIELD_ON_ISSUE_DATE")</f>
        <v>#N/A Requesting Data...</v>
      </c>
      <c r="N402" t="str">
        <f>_xll.BDP("823653AW Muni","YTW_SPREAD_TO_MATURITY_AT_ISSU")</f>
        <v>#N/A Requesting Data...</v>
      </c>
      <c r="O402" t="str">
        <f>_xll.BDP("823653AW Muni","BVAL_MID_YTM")</f>
        <v>#N/A Requesting Data...</v>
      </c>
      <c r="P402" t="str">
        <f>_xll.BDP("823653AW Muni","MUNI_TAX_PROV")</f>
        <v>#N/A Requesting Data...</v>
      </c>
      <c r="Q402" t="str">
        <f>_xll.BDP("823653AW Muni","MUNI_FED_TAX")</f>
        <v>#N/A Requesting Data...</v>
      </c>
      <c r="R402" t="str">
        <f>_xll.BDP("823653AW Muni","MUNI_MSRB_VOLUME")</f>
        <v>#N/A Requesting Data...</v>
      </c>
      <c r="S402" t="str">
        <f>_xll.BDP("823653AW Muni","BB_COMPOSITE")</f>
        <v>#N/A Requesting Data...</v>
      </c>
      <c r="T402" t="str">
        <f>_xll.BDP("823653AW Muni","LQA_LIQUIDITY_SCORE")</f>
        <v>#N/A Requesting Data...</v>
      </c>
    </row>
    <row r="403" spans="1:20" x14ac:dyDescent="0.25">
      <c r="A403" t="str">
        <f>_xll.BDP("825214JV Muni","ID_CUSIP")</f>
        <v>#N/A Requesting Data...</v>
      </c>
      <c r="B403" t="s">
        <v>192</v>
      </c>
      <c r="C403" t="str">
        <f>_xll.BDP("825214JV Muni","INSURANCE_STATUS")</f>
        <v>#N/A Requesting Data...</v>
      </c>
      <c r="D403" t="str">
        <f>_xll.BDP("825214JV Muni","STATE_CODE")</f>
        <v>#N/A Requesting Data...</v>
      </c>
      <c r="E403" t="str">
        <f>_xll.BDP("825214JV Muni","COUNTY_LOCATION_ISSUER")</f>
        <v>#N/A Requesting Data...</v>
      </c>
      <c r="F403" t="str">
        <f>_xll.BDP("825214JV Muni","DUR_ADJ_MID")</f>
        <v>#N/A Requesting Data...</v>
      </c>
      <c r="G403" t="str">
        <f>_xll.BDP("825214JV Muni","SPREAD_AT_ISSUANCE_TO_WORST")</f>
        <v>#N/A Requesting Data...</v>
      </c>
      <c r="H403" t="str">
        <f>_xll.BDP("825214JV Muni","ISSUE_DT")</f>
        <v>#N/A Requesting Data...</v>
      </c>
      <c r="I403" t="str">
        <f>_xll.BDS("825214JV Muni","MUNI_PURPOSE_SCHED", "aggregate=y")</f>
        <v>#N/A Review</v>
      </c>
      <c r="J403" t="str">
        <f>_xll.BDP("825214JV Muni","CPN")</f>
        <v>#N/A Requesting Data...</v>
      </c>
      <c r="K403" t="str">
        <f>_xll.BDP("825214JV Muni","MATURITY")</f>
        <v>#N/A Requesting Data...</v>
      </c>
      <c r="L403">
        <v>380000</v>
      </c>
      <c r="M403" t="str">
        <f>_xll.BDP("825214JV Muni","YIELD_ON_ISSUE_DATE")</f>
        <v>#N/A Requesting Data...</v>
      </c>
      <c r="N403" t="str">
        <f>_xll.BDP("825214JV Muni","YTW_SPREAD_TO_MATURITY_AT_ISSU")</f>
        <v>#N/A Requesting Data...</v>
      </c>
      <c r="O403" t="str">
        <f>_xll.BDP("825214JV Muni","BVAL_MID_YTM")</f>
        <v>#N/A Requesting Data...</v>
      </c>
      <c r="P403" t="str">
        <f>_xll.BDP("825214JV Muni","MUNI_TAX_PROV")</f>
        <v>#N/A Requesting Data...</v>
      </c>
      <c r="Q403" t="str">
        <f>_xll.BDP("825214JV Muni","MUNI_FED_TAX")</f>
        <v>#N/A Requesting Data...</v>
      </c>
      <c r="R403" t="str">
        <f>_xll.BDP("825214JV Muni","MUNI_MSRB_VOLUME")</f>
        <v>#N/A Requesting Data...</v>
      </c>
      <c r="S403" t="str">
        <f>_xll.BDP("825214JV Muni","BB_COMPOSITE")</f>
        <v>#N/A Requesting Data...</v>
      </c>
      <c r="T403" t="str">
        <f>_xll.BDP("825214JV Muni","LQA_LIQUIDITY_SCORE")</f>
        <v>#N/A Requesting Data...</v>
      </c>
    </row>
    <row r="404" spans="1:20" x14ac:dyDescent="0.25">
      <c r="A404" t="str">
        <f>_xll.BDP("825214JW Muni","ID_CUSIP")</f>
        <v>#N/A Requesting Data...</v>
      </c>
      <c r="B404" t="s">
        <v>192</v>
      </c>
      <c r="C404" t="str">
        <f>_xll.BDP("825214JW Muni","INSURANCE_STATUS")</f>
        <v>#N/A Requesting Data...</v>
      </c>
      <c r="D404" t="str">
        <f>_xll.BDP("825214JW Muni","STATE_CODE")</f>
        <v>#N/A Requesting Data...</v>
      </c>
      <c r="E404" t="str">
        <f>_xll.BDP("825214JW Muni","COUNTY_LOCATION_ISSUER")</f>
        <v>#N/A Requesting Data...</v>
      </c>
      <c r="F404" t="str">
        <f>_xll.BDP("825214JW Muni","DUR_ADJ_MID")</f>
        <v>#N/A Requesting Data...</v>
      </c>
      <c r="G404" t="str">
        <f>_xll.BDP("825214JW Muni","SPREAD_AT_ISSUANCE_TO_WORST")</f>
        <v>#N/A Requesting Data...</v>
      </c>
      <c r="H404" t="str">
        <f>_xll.BDP("825214JW Muni","ISSUE_DT")</f>
        <v>#N/A Requesting Data...</v>
      </c>
      <c r="I404" t="str">
        <f>_xll.BDS("825214JW Muni","MUNI_PURPOSE_SCHED", "aggregate=y")</f>
        <v>#N/A Review</v>
      </c>
      <c r="J404" t="str">
        <f>_xll.BDP("825214JW Muni","CPN")</f>
        <v>#N/A Requesting Data...</v>
      </c>
      <c r="K404" t="str">
        <f>_xll.BDP("825214JW Muni","MATURITY")</f>
        <v>#N/A Requesting Data...</v>
      </c>
      <c r="L404">
        <v>380000</v>
      </c>
      <c r="M404" t="str">
        <f>_xll.BDP("825214JW Muni","YIELD_ON_ISSUE_DATE")</f>
        <v>#N/A Requesting Data...</v>
      </c>
      <c r="N404" t="str">
        <f>_xll.BDP("825214JW Muni","YTW_SPREAD_TO_MATURITY_AT_ISSU")</f>
        <v>#N/A Requesting Data...</v>
      </c>
      <c r="O404" t="str">
        <f>_xll.BDP("825214JW Muni","BVAL_MID_YTM")</f>
        <v>#N/A Requesting Data...</v>
      </c>
      <c r="P404" t="str">
        <f>_xll.BDP("825214JW Muni","MUNI_TAX_PROV")</f>
        <v>#N/A Requesting Data...</v>
      </c>
      <c r="Q404" t="str">
        <f>_xll.BDP("825214JW Muni","MUNI_FED_TAX")</f>
        <v>#N/A Requesting Data...</v>
      </c>
      <c r="R404" t="str">
        <f>_xll.BDP("825214JW Muni","MUNI_MSRB_VOLUME")</f>
        <v>#N/A Requesting Data...</v>
      </c>
      <c r="S404" t="str">
        <f>_xll.BDP("825214JW Muni","BB_COMPOSITE")</f>
        <v>#N/A Requesting Data...</v>
      </c>
      <c r="T404" t="str">
        <f>_xll.BDP("825214JW Muni","LQA_LIQUIDITY_SCORE")</f>
        <v>#N/A Requesting Data...</v>
      </c>
    </row>
    <row r="405" spans="1:20" x14ac:dyDescent="0.25">
      <c r="A405" t="str">
        <f>_xll.BDP("825214JX Muni","ID_CUSIP")</f>
        <v>#N/A Requesting Data...</v>
      </c>
      <c r="B405" t="s">
        <v>192</v>
      </c>
      <c r="C405" t="str">
        <f>_xll.BDP("825214JX Muni","INSURANCE_STATUS")</f>
        <v>#N/A Requesting Data...</v>
      </c>
      <c r="D405" t="str">
        <f>_xll.BDP("825214JX Muni","STATE_CODE")</f>
        <v>#N/A Requesting Data...</v>
      </c>
      <c r="E405" t="str">
        <f>_xll.BDP("825214JX Muni","COUNTY_LOCATION_ISSUER")</f>
        <v>#N/A Requesting Data...</v>
      </c>
      <c r="F405" t="str">
        <f>_xll.BDP("825214JX Muni","DUR_ADJ_MID")</f>
        <v>#N/A Requesting Data...</v>
      </c>
      <c r="G405" t="str">
        <f>_xll.BDP("825214JX Muni","SPREAD_AT_ISSUANCE_TO_WORST")</f>
        <v>#N/A Requesting Data...</v>
      </c>
      <c r="H405" t="str">
        <f>_xll.BDP("825214JX Muni","ISSUE_DT")</f>
        <v>#N/A Requesting Data...</v>
      </c>
      <c r="I405" t="str">
        <f>_xll.BDS("825214JX Muni","MUNI_PURPOSE_SCHED", "aggregate=y")</f>
        <v>#N/A Review</v>
      </c>
      <c r="J405" t="str">
        <f>_xll.BDP("825214JX Muni","CPN")</f>
        <v>#N/A Requesting Data...</v>
      </c>
      <c r="K405" t="str">
        <f>_xll.BDP("825214JX Muni","MATURITY")</f>
        <v>#N/A Requesting Data...</v>
      </c>
      <c r="L405">
        <v>385000</v>
      </c>
      <c r="M405" t="str">
        <f>_xll.BDP("825214JX Muni","YIELD_ON_ISSUE_DATE")</f>
        <v>#N/A Requesting Data...</v>
      </c>
      <c r="N405" t="str">
        <f>_xll.BDP("825214JX Muni","YTW_SPREAD_TO_MATURITY_AT_ISSU")</f>
        <v>#N/A Requesting Data...</v>
      </c>
      <c r="O405" t="str">
        <f>_xll.BDP("825214JX Muni","BVAL_MID_YTM")</f>
        <v>#N/A Requesting Data...</v>
      </c>
      <c r="P405" t="str">
        <f>_xll.BDP("825214JX Muni","MUNI_TAX_PROV")</f>
        <v>#N/A Requesting Data...</v>
      </c>
      <c r="Q405" t="str">
        <f>_xll.BDP("825214JX Muni","MUNI_FED_TAX")</f>
        <v>#N/A Requesting Data...</v>
      </c>
      <c r="R405" t="str">
        <f>_xll.BDP("825214JX Muni","MUNI_MSRB_VOLUME")</f>
        <v>#N/A Requesting Data...</v>
      </c>
      <c r="S405" t="str">
        <f>_xll.BDP("825214JX Muni","BB_COMPOSITE")</f>
        <v>#N/A Requesting Data...</v>
      </c>
      <c r="T405" t="str">
        <f>_xll.BDP("825214JX Muni","LQA_LIQUIDITY_SCORE")</f>
        <v>#N/A Requesting Data...</v>
      </c>
    </row>
    <row r="406" spans="1:20" x14ac:dyDescent="0.25">
      <c r="A406" t="str">
        <f>_xll.BDP("825485UT Muni","ID_CUSIP")</f>
        <v>#N/A Requesting Data...</v>
      </c>
      <c r="B406" t="s">
        <v>193</v>
      </c>
      <c r="C406" t="str">
        <f>_xll.BDP("825485UT Muni","INSURANCE_STATUS")</f>
        <v>#N/A Requesting Data...</v>
      </c>
      <c r="D406" t="str">
        <f>_xll.BDP("825485UT Muni","STATE_CODE")</f>
        <v>#N/A Requesting Data...</v>
      </c>
      <c r="E406" t="str">
        <f>_xll.BDP("825485UT Muni","COUNTY_LOCATION_ISSUER")</f>
        <v>#N/A Requesting Data...</v>
      </c>
      <c r="F406" t="str">
        <f>_xll.BDP("825485UT Muni","DUR_ADJ_MID")</f>
        <v>#N/A Requesting Data...</v>
      </c>
      <c r="G406" t="str">
        <f>_xll.BDP("825485UT Muni","SPREAD_AT_ISSUANCE_TO_WORST")</f>
        <v>#N/A Requesting Data...</v>
      </c>
      <c r="H406" t="str">
        <f>_xll.BDP("825485UT Muni","ISSUE_DT")</f>
        <v>#N/A Requesting Data...</v>
      </c>
      <c r="I406" t="str">
        <f>_xll.BDS("825485UT Muni","MUNI_PURPOSE_SCHED", "aggregate=y")</f>
        <v>#N/A Review</v>
      </c>
      <c r="J406" t="str">
        <f>_xll.BDP("825485UT Muni","CPN")</f>
        <v>#N/A Requesting Data...</v>
      </c>
      <c r="K406" t="str">
        <f>_xll.BDP("825485UT Muni","MATURITY")</f>
        <v>#N/A Requesting Data...</v>
      </c>
      <c r="L406">
        <v>1030000</v>
      </c>
      <c r="M406" t="str">
        <f>_xll.BDP("825485UT Muni","YIELD_ON_ISSUE_DATE")</f>
        <v>#N/A Requesting Data...</v>
      </c>
      <c r="N406" t="str">
        <f>_xll.BDP("825485UT Muni","YTW_SPREAD_TO_MATURITY_AT_ISSU")</f>
        <v>#N/A Requesting Data...</v>
      </c>
      <c r="O406" t="str">
        <f>_xll.BDP("825485UT Muni","BVAL_MID_YTM")</f>
        <v>#N/A Requesting Data...</v>
      </c>
      <c r="P406" t="str">
        <f>_xll.BDP("825485UT Muni","MUNI_TAX_PROV")</f>
        <v>#N/A Requesting Data...</v>
      </c>
      <c r="Q406" t="str">
        <f>_xll.BDP("825485UT Muni","MUNI_FED_TAX")</f>
        <v>#N/A Requesting Data...</v>
      </c>
      <c r="R406" t="str">
        <f>_xll.BDP("825485UT Muni","MUNI_MSRB_VOLUME")</f>
        <v>#N/A Requesting Data...</v>
      </c>
      <c r="S406" t="str">
        <f>_xll.BDP("825485UT Muni","BB_COMPOSITE")</f>
        <v>#N/A Requesting Data...</v>
      </c>
      <c r="T406" t="str">
        <f>_xll.BDP("825485UT Muni","LQA_LIQUIDITY_SCORE")</f>
        <v>#N/A Requesting Data...</v>
      </c>
    </row>
    <row r="407" spans="1:20" x14ac:dyDescent="0.25">
      <c r="A407" t="str">
        <f>_xll.BDP("825485UU Muni","ID_CUSIP")</f>
        <v>#N/A Requesting Data...</v>
      </c>
      <c r="B407" t="s">
        <v>193</v>
      </c>
      <c r="C407" t="str">
        <f>_xll.BDP("825485UU Muni","INSURANCE_STATUS")</f>
        <v>#N/A Requesting Data...</v>
      </c>
      <c r="D407" t="str">
        <f>_xll.BDP("825485UU Muni","STATE_CODE")</f>
        <v>#N/A Requesting Data...</v>
      </c>
      <c r="E407" t="str">
        <f>_xll.BDP("825485UU Muni","COUNTY_LOCATION_ISSUER")</f>
        <v>#N/A Requesting Data...</v>
      </c>
      <c r="F407" t="str">
        <f>_xll.BDP("825485UU Muni","DUR_ADJ_MID")</f>
        <v>#N/A Requesting Data...</v>
      </c>
      <c r="G407" t="str">
        <f>_xll.BDP("825485UU Muni","SPREAD_AT_ISSUANCE_TO_WORST")</f>
        <v>#N/A Requesting Data...</v>
      </c>
      <c r="H407" t="str">
        <f>_xll.BDP("825485UU Muni","ISSUE_DT")</f>
        <v>#N/A Requesting Data...</v>
      </c>
      <c r="I407" t="str">
        <f>_xll.BDS("825485UU Muni","MUNI_PURPOSE_SCHED", "aggregate=y")</f>
        <v>#N/A Review</v>
      </c>
      <c r="J407" t="str">
        <f>_xll.BDP("825485UU Muni","CPN")</f>
        <v>#N/A Requesting Data...</v>
      </c>
      <c r="K407" t="str">
        <f>_xll.BDP("825485UU Muni","MATURITY")</f>
        <v>#N/A Requesting Data...</v>
      </c>
      <c r="L407">
        <v>2600000</v>
      </c>
      <c r="M407" t="str">
        <f>_xll.BDP("825485UU Muni","YIELD_ON_ISSUE_DATE")</f>
        <v>#N/A Requesting Data...</v>
      </c>
      <c r="N407" t="str">
        <f>_xll.BDP("825485UU Muni","YTW_SPREAD_TO_MATURITY_AT_ISSU")</f>
        <v>#N/A Requesting Data...</v>
      </c>
      <c r="O407" t="str">
        <f>_xll.BDP("825485UU Muni","BVAL_MID_YTM")</f>
        <v>#N/A Requesting Data...</v>
      </c>
      <c r="P407" t="str">
        <f>_xll.BDP("825485UU Muni","MUNI_TAX_PROV")</f>
        <v>#N/A Requesting Data...</v>
      </c>
      <c r="Q407" t="str">
        <f>_xll.BDP("825485UU Muni","MUNI_FED_TAX")</f>
        <v>#N/A Requesting Data...</v>
      </c>
      <c r="R407" t="str">
        <f>_xll.BDP("825485UU Muni","MUNI_MSRB_VOLUME")</f>
        <v>#N/A Requesting Data...</v>
      </c>
      <c r="S407" t="str">
        <f>_xll.BDP("825485UU Muni","BB_COMPOSITE")</f>
        <v>#N/A Requesting Data...</v>
      </c>
      <c r="T407" t="str">
        <f>_xll.BDP("825485UU Muni","LQA_LIQUIDITY_SCORE")</f>
        <v>#N/A Requesting Data...</v>
      </c>
    </row>
    <row r="408" spans="1:20" x14ac:dyDescent="0.25">
      <c r="A408" t="str">
        <f>_xll.BDP("825485UV Muni","ID_CUSIP")</f>
        <v>#N/A Requesting Data...</v>
      </c>
      <c r="B408" t="s">
        <v>193</v>
      </c>
      <c r="C408" t="str">
        <f>_xll.BDP("825485UV Muni","INSURANCE_STATUS")</f>
        <v>#N/A Requesting Data...</v>
      </c>
      <c r="D408" t="str">
        <f>_xll.BDP("825485UV Muni","STATE_CODE")</f>
        <v>#N/A Requesting Data...</v>
      </c>
      <c r="E408" t="str">
        <f>_xll.BDP("825485UV Muni","COUNTY_LOCATION_ISSUER")</f>
        <v>#N/A Requesting Data...</v>
      </c>
      <c r="F408" t="str">
        <f>_xll.BDP("825485UV Muni","DUR_ADJ_MID")</f>
        <v>#N/A Requesting Data...</v>
      </c>
      <c r="G408" t="str">
        <f>_xll.BDP("825485UV Muni","SPREAD_AT_ISSUANCE_TO_WORST")</f>
        <v>#N/A Requesting Data...</v>
      </c>
      <c r="H408" t="str">
        <f>_xll.BDP("825485UV Muni","ISSUE_DT")</f>
        <v>#N/A Requesting Data...</v>
      </c>
      <c r="I408" t="str">
        <f>_xll.BDS("825485UV Muni","MUNI_PURPOSE_SCHED", "aggregate=y")</f>
        <v>#N/A Review</v>
      </c>
      <c r="J408" t="str">
        <f>_xll.BDP("825485UV Muni","CPN")</f>
        <v>#N/A Requesting Data...</v>
      </c>
      <c r="K408" t="str">
        <f>_xll.BDP("825485UV Muni","MATURITY")</f>
        <v>#N/A Requesting Data...</v>
      </c>
      <c r="L408">
        <v>2940000</v>
      </c>
      <c r="M408" t="str">
        <f>_xll.BDP("825485UV Muni","YIELD_ON_ISSUE_DATE")</f>
        <v>#N/A Requesting Data...</v>
      </c>
      <c r="N408" t="str">
        <f>_xll.BDP("825485UV Muni","YTW_SPREAD_TO_MATURITY_AT_ISSU")</f>
        <v>#N/A Requesting Data...</v>
      </c>
      <c r="O408" t="str">
        <f>_xll.BDP("825485UV Muni","BVAL_MID_YTM")</f>
        <v>#N/A Requesting Data...</v>
      </c>
      <c r="P408" t="str">
        <f>_xll.BDP("825485UV Muni","MUNI_TAX_PROV")</f>
        <v>#N/A Requesting Data...</v>
      </c>
      <c r="Q408" t="str">
        <f>_xll.BDP("825485UV Muni","MUNI_FED_TAX")</f>
        <v>#N/A Requesting Data...</v>
      </c>
      <c r="R408" t="str">
        <f>_xll.BDP("825485UV Muni","MUNI_MSRB_VOLUME")</f>
        <v>#N/A Requesting Data...</v>
      </c>
      <c r="S408" t="str">
        <f>_xll.BDP("825485UV Muni","BB_COMPOSITE")</f>
        <v>#N/A Requesting Data...</v>
      </c>
      <c r="T408" t="str">
        <f>_xll.BDP("825485UV Muni","LQA_LIQUIDITY_SCORE")</f>
        <v>#N/A Requesting Data...</v>
      </c>
    </row>
    <row r="409" spans="1:20" x14ac:dyDescent="0.25">
      <c r="A409" t="str">
        <f>_xll.BDP("82620YHX Muni","ID_CUSIP")</f>
        <v>#N/A Requesting Data...</v>
      </c>
      <c r="B409" t="s">
        <v>194</v>
      </c>
      <c r="C409" t="str">
        <f>_xll.BDP("82620YHX Muni","INSURANCE_STATUS")</f>
        <v>#N/A Requesting Data...</v>
      </c>
      <c r="D409" t="str">
        <f>_xll.BDP("82620YHX Muni","STATE_CODE")</f>
        <v>#N/A Requesting Data...</v>
      </c>
      <c r="E409" t="str">
        <f>_xll.BDP("82620YHX Muni","COUNTY_LOCATION_ISSUER")</f>
        <v>#N/A Requesting Data...</v>
      </c>
      <c r="F409" t="str">
        <f>_xll.BDP("82620YHX Muni","DUR_ADJ_MID")</f>
        <v>#N/A Requesting Data...</v>
      </c>
      <c r="G409" t="str">
        <f>_xll.BDP("82620YHX Muni","SPREAD_AT_ISSUANCE_TO_WORST")</f>
        <v>#N/A Requesting Data...</v>
      </c>
      <c r="H409" t="str">
        <f>_xll.BDP("82620YHX Muni","ISSUE_DT")</f>
        <v>#N/A Requesting Data...</v>
      </c>
      <c r="I409" t="str">
        <f>_xll.BDS("82620YHX Muni","MUNI_PURPOSE_SCHED", "aggregate=y")</f>
        <v>#N/A Review</v>
      </c>
      <c r="J409" t="str">
        <f>_xll.BDP("82620YHX Muni","CPN")</f>
        <v>#N/A Requesting Data...</v>
      </c>
      <c r="K409" t="str">
        <f>_xll.BDP("82620YHX Muni","MATURITY")</f>
        <v>#N/A Requesting Data...</v>
      </c>
      <c r="L409">
        <v>130000</v>
      </c>
      <c r="M409" t="str">
        <f>_xll.BDP("82620YHX Muni","YIELD_ON_ISSUE_DATE")</f>
        <v>#N/A Requesting Data...</v>
      </c>
      <c r="N409" t="str">
        <f>_xll.BDP("82620YHX Muni","YTW_SPREAD_TO_MATURITY_AT_ISSU")</f>
        <v>#N/A Requesting Data...</v>
      </c>
      <c r="O409" t="str">
        <f>_xll.BDP("82620YHX Muni","BVAL_MID_YTM")</f>
        <v>#N/A Requesting Data...</v>
      </c>
      <c r="P409" t="str">
        <f>_xll.BDP("82620YHX Muni","MUNI_TAX_PROV")</f>
        <v>#N/A Requesting Data...</v>
      </c>
      <c r="Q409" t="str">
        <f>_xll.BDP("82620YHX Muni","MUNI_FED_TAX")</f>
        <v>#N/A Requesting Data...</v>
      </c>
      <c r="R409" t="str">
        <f>_xll.BDP("82620YHX Muni","MUNI_MSRB_VOLUME")</f>
        <v>#N/A Requesting Data...</v>
      </c>
      <c r="S409" t="str">
        <f>_xll.BDP("82620YHX Muni","BB_COMPOSITE")</f>
        <v>#N/A Requesting Data...</v>
      </c>
      <c r="T409" t="str">
        <f>_xll.BDP("82620YHX Muni","LQA_LIQUIDITY_SCORE")</f>
        <v>#N/A Requesting Data...</v>
      </c>
    </row>
    <row r="410" spans="1:20" x14ac:dyDescent="0.25">
      <c r="A410" t="str">
        <f>_xll.BDP("82620YHY Muni","ID_CUSIP")</f>
        <v>#N/A Requesting Data...</v>
      </c>
      <c r="B410" t="s">
        <v>194</v>
      </c>
      <c r="C410" t="str">
        <f>_xll.BDP("82620YHY Muni","INSURANCE_STATUS")</f>
        <v>#N/A Requesting Data...</v>
      </c>
      <c r="D410" t="str">
        <f>_xll.BDP("82620YHY Muni","STATE_CODE")</f>
        <v>#N/A Requesting Data...</v>
      </c>
      <c r="E410" t="str">
        <f>_xll.BDP("82620YHY Muni","COUNTY_LOCATION_ISSUER")</f>
        <v>#N/A Requesting Data...</v>
      </c>
      <c r="F410" t="str">
        <f>_xll.BDP("82620YHY Muni","DUR_ADJ_MID")</f>
        <v>#N/A Requesting Data...</v>
      </c>
      <c r="G410" t="str">
        <f>_xll.BDP("82620YHY Muni","SPREAD_AT_ISSUANCE_TO_WORST")</f>
        <v>#N/A Requesting Data...</v>
      </c>
      <c r="H410" t="str">
        <f>_xll.BDP("82620YHY Muni","ISSUE_DT")</f>
        <v>#N/A Requesting Data...</v>
      </c>
      <c r="I410" t="str">
        <f>_xll.BDS("82620YHY Muni","MUNI_PURPOSE_SCHED", "aggregate=y")</f>
        <v>#N/A Review</v>
      </c>
      <c r="J410" t="str">
        <f>_xll.BDP("82620YHY Muni","CPN")</f>
        <v>#N/A Requesting Data...</v>
      </c>
      <c r="K410" t="str">
        <f>_xll.BDP("82620YHY Muni","MATURITY")</f>
        <v>#N/A Requesting Data...</v>
      </c>
      <c r="L410">
        <v>135000</v>
      </c>
      <c r="M410" t="str">
        <f>_xll.BDP("82620YHY Muni","YIELD_ON_ISSUE_DATE")</f>
        <v>#N/A Requesting Data...</v>
      </c>
      <c r="N410" t="str">
        <f>_xll.BDP("82620YHY Muni","YTW_SPREAD_TO_MATURITY_AT_ISSU")</f>
        <v>#N/A Requesting Data...</v>
      </c>
      <c r="O410" t="str">
        <f>_xll.BDP("82620YHY Muni","BVAL_MID_YTM")</f>
        <v>#N/A Requesting Data...</v>
      </c>
      <c r="P410" t="str">
        <f>_xll.BDP("82620YHY Muni","MUNI_TAX_PROV")</f>
        <v>#N/A Requesting Data...</v>
      </c>
      <c r="Q410" t="str">
        <f>_xll.BDP("82620YHY Muni","MUNI_FED_TAX")</f>
        <v>#N/A Requesting Data...</v>
      </c>
      <c r="R410" t="str">
        <f>_xll.BDP("82620YHY Muni","MUNI_MSRB_VOLUME")</f>
        <v>#N/A Requesting Data...</v>
      </c>
      <c r="S410" t="str">
        <f>_xll.BDP("82620YHY Muni","BB_COMPOSITE")</f>
        <v>#N/A Requesting Data...</v>
      </c>
      <c r="T410" t="str">
        <f>_xll.BDP("82620YHY Muni","LQA_LIQUIDITY_SCORE")</f>
        <v>#N/A Requesting Data...</v>
      </c>
    </row>
    <row r="411" spans="1:20" x14ac:dyDescent="0.25">
      <c r="A411" t="str">
        <f>_xll.BDP("82620YHZ Muni","ID_CUSIP")</f>
        <v>#N/A Requesting Data...</v>
      </c>
      <c r="B411" t="s">
        <v>194</v>
      </c>
      <c r="C411" t="str">
        <f>_xll.BDP("82620YHZ Muni","INSURANCE_STATUS")</f>
        <v>#N/A Requesting Data...</v>
      </c>
      <c r="D411" t="str">
        <f>_xll.BDP("82620YHZ Muni","STATE_CODE")</f>
        <v>#N/A Requesting Data...</v>
      </c>
      <c r="E411" t="str">
        <f>_xll.BDP("82620YHZ Muni","COUNTY_LOCATION_ISSUER")</f>
        <v>#N/A Requesting Data...</v>
      </c>
      <c r="F411" t="str">
        <f>_xll.BDP("82620YHZ Muni","DUR_ADJ_MID")</f>
        <v>#N/A Requesting Data...</v>
      </c>
      <c r="G411" t="str">
        <f>_xll.BDP("82620YHZ Muni","SPREAD_AT_ISSUANCE_TO_WORST")</f>
        <v>#N/A Requesting Data...</v>
      </c>
      <c r="H411" t="str">
        <f>_xll.BDP("82620YHZ Muni","ISSUE_DT")</f>
        <v>#N/A Requesting Data...</v>
      </c>
      <c r="I411" t="str">
        <f>_xll.BDS("82620YHZ Muni","MUNI_PURPOSE_SCHED", "aggregate=y")</f>
        <v>#N/A Review</v>
      </c>
      <c r="J411" t="str">
        <f>_xll.BDP("82620YHZ Muni","CPN")</f>
        <v>#N/A Requesting Data...</v>
      </c>
      <c r="K411" t="str">
        <f>_xll.BDP("82620YHZ Muni","MATURITY")</f>
        <v>#N/A Requesting Data...</v>
      </c>
      <c r="L411">
        <v>140000</v>
      </c>
      <c r="M411" t="str">
        <f>_xll.BDP("82620YHZ Muni","YIELD_ON_ISSUE_DATE")</f>
        <v>#N/A Requesting Data...</v>
      </c>
      <c r="N411" t="str">
        <f>_xll.BDP("82620YHZ Muni","YTW_SPREAD_TO_MATURITY_AT_ISSU")</f>
        <v>#N/A Requesting Data...</v>
      </c>
      <c r="O411" t="str">
        <f>_xll.BDP("82620YHZ Muni","BVAL_MID_YTM")</f>
        <v>#N/A Requesting Data...</v>
      </c>
      <c r="P411" t="str">
        <f>_xll.BDP("82620YHZ Muni","MUNI_TAX_PROV")</f>
        <v>#N/A Requesting Data...</v>
      </c>
      <c r="Q411" t="str">
        <f>_xll.BDP("82620YHZ Muni","MUNI_FED_TAX")</f>
        <v>#N/A Requesting Data...</v>
      </c>
      <c r="R411" t="str">
        <f>_xll.BDP("82620YHZ Muni","MUNI_MSRB_VOLUME")</f>
        <v>#N/A Requesting Data...</v>
      </c>
      <c r="S411" t="str">
        <f>_xll.BDP("82620YHZ Muni","BB_COMPOSITE")</f>
        <v>#N/A Requesting Data...</v>
      </c>
      <c r="T411" t="str">
        <f>_xll.BDP("82620YHZ Muni","LQA_LIQUIDITY_SCORE")</f>
        <v>#N/A Requesting Data...</v>
      </c>
    </row>
    <row r="412" spans="1:20" x14ac:dyDescent="0.25">
      <c r="A412" t="str">
        <f>_xll.BDP("82621NBE Muni","ID_CUSIP")</f>
        <v>#N/A Requesting Data...</v>
      </c>
      <c r="B412" t="s">
        <v>195</v>
      </c>
      <c r="C412" t="str">
        <f>_xll.BDP("82621NBE Muni","INSURANCE_STATUS")</f>
        <v>#N/A Requesting Data...</v>
      </c>
      <c r="D412" t="str">
        <f>_xll.BDP("82621NBE Muni","STATE_CODE")</f>
        <v>#N/A Requesting Data...</v>
      </c>
      <c r="E412" t="str">
        <f>_xll.BDP("82621NBE Muni","COUNTY_LOCATION_ISSUER")</f>
        <v>#N/A Requesting Data...</v>
      </c>
      <c r="F412" t="str">
        <f>_xll.BDP("82621NBE Muni","DUR_ADJ_MID")</f>
        <v>#N/A Requesting Data...</v>
      </c>
      <c r="G412" t="str">
        <f>_xll.BDP("82621NBE Muni","SPREAD_AT_ISSUANCE_TO_WORST")</f>
        <v>#N/A Requesting Data...</v>
      </c>
      <c r="H412" t="str">
        <f>_xll.BDP("82621NBE Muni","ISSUE_DT")</f>
        <v>#N/A Requesting Data...</v>
      </c>
      <c r="I412" t="str">
        <f>_xll.BDS("82621NBE Muni","MUNI_PURPOSE_SCHED", "aggregate=y")</f>
        <v>#N/A Review</v>
      </c>
      <c r="J412" t="str">
        <f>_xll.BDP("82621NBE Muni","CPN")</f>
        <v>#N/A Requesting Data...</v>
      </c>
      <c r="K412" t="str">
        <f>_xll.BDP("82621NBE Muni","MATURITY")</f>
        <v>#N/A Requesting Data...</v>
      </c>
      <c r="L412">
        <v>250000</v>
      </c>
      <c r="M412" t="str">
        <f>_xll.BDP("82621NBE Muni","YIELD_ON_ISSUE_DATE")</f>
        <v>#N/A Requesting Data...</v>
      </c>
      <c r="N412" t="str">
        <f>_xll.BDP("82621NBE Muni","YTW_SPREAD_TO_MATURITY_AT_ISSU")</f>
        <v>#N/A Requesting Data...</v>
      </c>
      <c r="O412" t="str">
        <f>_xll.BDP("82621NBE Muni","BVAL_MID_YTM")</f>
        <v>#N/A Requesting Data...</v>
      </c>
      <c r="P412" t="str">
        <f>_xll.BDP("82621NBE Muni","MUNI_TAX_PROV")</f>
        <v>#N/A Requesting Data...</v>
      </c>
      <c r="Q412" t="str">
        <f>_xll.BDP("82621NBE Muni","MUNI_FED_TAX")</f>
        <v>#N/A Requesting Data...</v>
      </c>
      <c r="R412" t="str">
        <f>_xll.BDP("82621NBE Muni","MUNI_MSRB_VOLUME")</f>
        <v>#N/A Requesting Data...</v>
      </c>
      <c r="S412" t="str">
        <f>_xll.BDP("82621NBE Muni","BB_COMPOSITE")</f>
        <v>#N/A Requesting Data...</v>
      </c>
      <c r="T412" t="str">
        <f>_xll.BDP("82621NBE Muni","LQA_LIQUIDITY_SCORE")</f>
        <v>#N/A Requesting Data...</v>
      </c>
    </row>
    <row r="413" spans="1:20" x14ac:dyDescent="0.25">
      <c r="A413" t="str">
        <f>_xll.BDP("82621NBF Muni","ID_CUSIP")</f>
        <v>#N/A Requesting Data...</v>
      </c>
      <c r="B413" t="s">
        <v>195</v>
      </c>
      <c r="C413" t="str">
        <f>_xll.BDP("82621NBF Muni","INSURANCE_STATUS")</f>
        <v>#N/A Requesting Data...</v>
      </c>
      <c r="D413" t="str">
        <f>_xll.BDP("82621NBF Muni","STATE_CODE")</f>
        <v>#N/A Requesting Data...</v>
      </c>
      <c r="E413" t="str">
        <f>_xll.BDP("82621NBF Muni","COUNTY_LOCATION_ISSUER")</f>
        <v>#N/A Requesting Data...</v>
      </c>
      <c r="F413" t="str">
        <f>_xll.BDP("82621NBF Muni","DUR_ADJ_MID")</f>
        <v>#N/A Requesting Data...</v>
      </c>
      <c r="G413" t="str">
        <f>_xll.BDP("82621NBF Muni","SPREAD_AT_ISSUANCE_TO_WORST")</f>
        <v>#N/A Requesting Data...</v>
      </c>
      <c r="H413" t="str">
        <f>_xll.BDP("82621NBF Muni","ISSUE_DT")</f>
        <v>#N/A Requesting Data...</v>
      </c>
      <c r="I413" t="str">
        <f>_xll.BDS("82621NBF Muni","MUNI_PURPOSE_SCHED", "aggregate=y")</f>
        <v>#N/A Review</v>
      </c>
      <c r="J413" t="str">
        <f>_xll.BDP("82621NBF Muni","CPN")</f>
        <v>#N/A Requesting Data...</v>
      </c>
      <c r="K413" t="str">
        <f>_xll.BDP("82621NBF Muni","MATURITY")</f>
        <v>#N/A Requesting Data...</v>
      </c>
      <c r="L413">
        <v>275000</v>
      </c>
      <c r="M413" t="str">
        <f>_xll.BDP("82621NBF Muni","YIELD_ON_ISSUE_DATE")</f>
        <v>#N/A Requesting Data...</v>
      </c>
      <c r="N413" t="str">
        <f>_xll.BDP("82621NBF Muni","YTW_SPREAD_TO_MATURITY_AT_ISSU")</f>
        <v>#N/A Requesting Data...</v>
      </c>
      <c r="O413" t="str">
        <f>_xll.BDP("82621NBF Muni","BVAL_MID_YTM")</f>
        <v>#N/A Requesting Data...</v>
      </c>
      <c r="P413" t="str">
        <f>_xll.BDP("82621NBF Muni","MUNI_TAX_PROV")</f>
        <v>#N/A Requesting Data...</v>
      </c>
      <c r="Q413" t="str">
        <f>_xll.BDP("82621NBF Muni","MUNI_FED_TAX")</f>
        <v>#N/A Requesting Data...</v>
      </c>
      <c r="R413" t="str">
        <f>_xll.BDP("82621NBF Muni","MUNI_MSRB_VOLUME")</f>
        <v>#N/A Requesting Data...</v>
      </c>
      <c r="S413" t="str">
        <f>_xll.BDP("82621NBF Muni","BB_COMPOSITE")</f>
        <v>#N/A Requesting Data...</v>
      </c>
      <c r="T413" t="str">
        <f>_xll.BDP("82621NBF Muni","LQA_LIQUIDITY_SCORE")</f>
        <v>#N/A Requesting Data...</v>
      </c>
    </row>
    <row r="414" spans="1:20" x14ac:dyDescent="0.25">
      <c r="A414" t="str">
        <f>_xll.BDP("82621VBD Muni","ID_CUSIP")</f>
        <v>#N/A Requesting Data...</v>
      </c>
      <c r="B414" t="s">
        <v>196</v>
      </c>
      <c r="C414" t="str">
        <f>_xll.BDP("82621VBD Muni","INSURANCE_STATUS")</f>
        <v>#N/A Requesting Data...</v>
      </c>
      <c r="D414" t="str">
        <f>_xll.BDP("82621VBD Muni","STATE_CODE")</f>
        <v>#N/A Requesting Data...</v>
      </c>
      <c r="E414" t="str">
        <f>_xll.BDP("82621VBD Muni","COUNTY_LOCATION_ISSUER")</f>
        <v>#N/A Requesting Data...</v>
      </c>
      <c r="F414" t="str">
        <f>_xll.BDP("82621VBD Muni","DUR_ADJ_MID")</f>
        <v>#N/A Requesting Data...</v>
      </c>
      <c r="G414" t="str">
        <f>_xll.BDP("82621VBD Muni","SPREAD_AT_ISSUANCE_TO_WORST")</f>
        <v>#N/A Requesting Data...</v>
      </c>
      <c r="H414" t="str">
        <f>_xll.BDP("82621VBD Muni","ISSUE_DT")</f>
        <v>#N/A Requesting Data...</v>
      </c>
      <c r="I414" t="str">
        <f>_xll.BDS("82621VBD Muni","MUNI_PURPOSE_SCHED", "aggregate=y")</f>
        <v>#N/A Review</v>
      </c>
      <c r="J414" t="str">
        <f>_xll.BDP("82621VBD Muni","CPN")</f>
        <v>#N/A Requesting Data...</v>
      </c>
      <c r="K414" t="str">
        <f>_xll.BDP("82621VBD Muni","MATURITY")</f>
        <v>#N/A Requesting Data...</v>
      </c>
      <c r="L414">
        <v>65000</v>
      </c>
      <c r="M414" t="str">
        <f>_xll.BDP("82621VBD Muni","YIELD_ON_ISSUE_DATE")</f>
        <v>#N/A Requesting Data...</v>
      </c>
      <c r="N414" t="str">
        <f>_xll.BDP("82621VBD Muni","YTW_SPREAD_TO_MATURITY_AT_ISSU")</f>
        <v>#N/A Requesting Data...</v>
      </c>
      <c r="O414" t="str">
        <f>_xll.BDP("82621VBD Muni","BVAL_MID_YTM")</f>
        <v>#N/A Requesting Data...</v>
      </c>
      <c r="P414" t="str">
        <f>_xll.BDP("82621VBD Muni","MUNI_TAX_PROV")</f>
        <v>#N/A Requesting Data...</v>
      </c>
      <c r="Q414" t="str">
        <f>_xll.BDP("82621VBD Muni","MUNI_FED_TAX")</f>
        <v>#N/A Requesting Data...</v>
      </c>
      <c r="R414" t="str">
        <f>_xll.BDP("82621VBD Muni","MUNI_MSRB_VOLUME")</f>
        <v>#N/A Requesting Data...</v>
      </c>
      <c r="S414" t="str">
        <f>_xll.BDP("82621VBD Muni","BB_COMPOSITE")</f>
        <v>#N/A Requesting Data...</v>
      </c>
      <c r="T414" t="str">
        <f>_xll.BDP("82621VBD Muni","LQA_LIQUIDITY_SCORE")</f>
        <v>#N/A Requesting Data...</v>
      </c>
    </row>
    <row r="415" spans="1:20" x14ac:dyDescent="0.25">
      <c r="A415" t="str">
        <f>_xll.BDP("82621VBE Muni","ID_CUSIP")</f>
        <v>#N/A Requesting Data...</v>
      </c>
      <c r="B415" t="s">
        <v>196</v>
      </c>
      <c r="C415" t="str">
        <f>_xll.BDP("82621VBE Muni","INSURANCE_STATUS")</f>
        <v>#N/A Requesting Data...</v>
      </c>
      <c r="D415" t="str">
        <f>_xll.BDP("82621VBE Muni","STATE_CODE")</f>
        <v>#N/A Requesting Data...</v>
      </c>
      <c r="E415" t="str">
        <f>_xll.BDP("82621VBE Muni","COUNTY_LOCATION_ISSUER")</f>
        <v>#N/A Requesting Data...</v>
      </c>
      <c r="F415" t="str">
        <f>_xll.BDP("82621VBE Muni","DUR_ADJ_MID")</f>
        <v>#N/A Requesting Data...</v>
      </c>
      <c r="G415" t="str">
        <f>_xll.BDP("82621VBE Muni","SPREAD_AT_ISSUANCE_TO_WORST")</f>
        <v>#N/A Requesting Data...</v>
      </c>
      <c r="H415" t="str">
        <f>_xll.BDP("82621VBE Muni","ISSUE_DT")</f>
        <v>#N/A Requesting Data...</v>
      </c>
      <c r="I415" t="str">
        <f>_xll.BDS("82621VBE Muni","MUNI_PURPOSE_SCHED", "aggregate=y")</f>
        <v>#N/A Review</v>
      </c>
      <c r="J415" t="str">
        <f>_xll.BDP("82621VBE Muni","CPN")</f>
        <v>#N/A Requesting Data...</v>
      </c>
      <c r="K415" t="str">
        <f>_xll.BDP("82621VBE Muni","MATURITY")</f>
        <v>#N/A Requesting Data...</v>
      </c>
      <c r="L415">
        <v>70000</v>
      </c>
      <c r="M415" t="str">
        <f>_xll.BDP("82621VBE Muni","YIELD_ON_ISSUE_DATE")</f>
        <v>#N/A Requesting Data...</v>
      </c>
      <c r="N415" t="str">
        <f>_xll.BDP("82621VBE Muni","YTW_SPREAD_TO_MATURITY_AT_ISSU")</f>
        <v>#N/A Requesting Data...</v>
      </c>
      <c r="O415" t="str">
        <f>_xll.BDP("82621VBE Muni","BVAL_MID_YTM")</f>
        <v>#N/A Requesting Data...</v>
      </c>
      <c r="P415" t="str">
        <f>_xll.BDP("82621VBE Muni","MUNI_TAX_PROV")</f>
        <v>#N/A Requesting Data...</v>
      </c>
      <c r="Q415" t="str">
        <f>_xll.BDP("82621VBE Muni","MUNI_FED_TAX")</f>
        <v>#N/A Requesting Data...</v>
      </c>
      <c r="R415" t="str">
        <f>_xll.BDP("82621VBE Muni","MUNI_MSRB_VOLUME")</f>
        <v>#N/A Requesting Data...</v>
      </c>
      <c r="S415" t="str">
        <f>_xll.BDP("82621VBE Muni","BB_COMPOSITE")</f>
        <v>#N/A Requesting Data...</v>
      </c>
      <c r="T415" t="str">
        <f>_xll.BDP("82621VBE Muni","LQA_LIQUIDITY_SCORE")</f>
        <v>#N/A Requesting Data...</v>
      </c>
    </row>
    <row r="416" spans="1:20" x14ac:dyDescent="0.25">
      <c r="A416" t="str">
        <f>_xll.BDP("82621VBF Muni","ID_CUSIP")</f>
        <v>#N/A Requesting Data...</v>
      </c>
      <c r="B416" t="s">
        <v>196</v>
      </c>
      <c r="C416" t="str">
        <f>_xll.BDP("82621VBF Muni","INSURANCE_STATUS")</f>
        <v>#N/A Requesting Data...</v>
      </c>
      <c r="D416" t="str">
        <f>_xll.BDP("82621VBF Muni","STATE_CODE")</f>
        <v>#N/A Requesting Data...</v>
      </c>
      <c r="E416" t="str">
        <f>_xll.BDP("82621VBF Muni","COUNTY_LOCATION_ISSUER")</f>
        <v>#N/A Requesting Data...</v>
      </c>
      <c r="F416" t="str">
        <f>_xll.BDP("82621VBF Muni","DUR_ADJ_MID")</f>
        <v>#N/A Requesting Data...</v>
      </c>
      <c r="G416" t="str">
        <f>_xll.BDP("82621VBF Muni","SPREAD_AT_ISSUANCE_TO_WORST")</f>
        <v>#N/A Requesting Data...</v>
      </c>
      <c r="H416" t="str">
        <f>_xll.BDP("82621VBF Muni","ISSUE_DT")</f>
        <v>#N/A Requesting Data...</v>
      </c>
      <c r="I416" t="str">
        <f>_xll.BDS("82621VBF Muni","MUNI_PURPOSE_SCHED", "aggregate=y")</f>
        <v>#N/A Review</v>
      </c>
      <c r="J416" t="str">
        <f>_xll.BDP("82621VBF Muni","CPN")</f>
        <v>#N/A Requesting Data...</v>
      </c>
      <c r="K416" t="str">
        <f>_xll.BDP("82621VBF Muni","MATURITY")</f>
        <v>#N/A Requesting Data...</v>
      </c>
      <c r="L416">
        <v>70000</v>
      </c>
      <c r="M416" t="str">
        <f>_xll.BDP("82621VBF Muni","YIELD_ON_ISSUE_DATE")</f>
        <v>#N/A Requesting Data...</v>
      </c>
      <c r="N416" t="str">
        <f>_xll.BDP("82621VBF Muni","YTW_SPREAD_TO_MATURITY_AT_ISSU")</f>
        <v>#N/A Requesting Data...</v>
      </c>
      <c r="O416" t="str">
        <f>_xll.BDP("82621VBF Muni","BVAL_MID_YTM")</f>
        <v>#N/A Requesting Data...</v>
      </c>
      <c r="P416" t="str">
        <f>_xll.BDP("82621VBF Muni","MUNI_TAX_PROV")</f>
        <v>#N/A Requesting Data...</v>
      </c>
      <c r="Q416" t="str">
        <f>_xll.BDP("82621VBF Muni","MUNI_FED_TAX")</f>
        <v>#N/A Requesting Data...</v>
      </c>
      <c r="R416" t="str">
        <f>_xll.BDP("82621VBF Muni","MUNI_MSRB_VOLUME")</f>
        <v>#N/A Requesting Data...</v>
      </c>
      <c r="S416" t="str">
        <f>_xll.BDP("82621VBF Muni","BB_COMPOSITE")</f>
        <v>#N/A Requesting Data...</v>
      </c>
      <c r="T416" t="str">
        <f>_xll.BDP("82621VBF Muni","LQA_LIQUIDITY_SCORE")</f>
        <v>#N/A Requesting Data...</v>
      </c>
    </row>
    <row r="417" spans="1:20" x14ac:dyDescent="0.25">
      <c r="A417" t="str">
        <f>_xll.BDP("757419FK Muni","ID_CUSIP")</f>
        <v>#N/A Requesting Data...</v>
      </c>
      <c r="B417" t="s">
        <v>129</v>
      </c>
      <c r="C417" t="str">
        <f>_xll.BDP("757419FK Muni","INSURANCE_STATUS")</f>
        <v>#N/A Requesting Data...</v>
      </c>
      <c r="D417" t="str">
        <f>_xll.BDP("757419FK Muni","STATE_CODE")</f>
        <v>#N/A Requesting Data...</v>
      </c>
      <c r="E417" t="str">
        <f>_xll.BDP("757419FK Muni","COUNTY_LOCATION_ISSUER")</f>
        <v>#N/A Requesting Data...</v>
      </c>
      <c r="F417" t="str">
        <f>_xll.BDP("757419FK Muni","DUR_ADJ_MID")</f>
        <v>#N/A Requesting Data...</v>
      </c>
      <c r="G417" t="str">
        <f>_xll.BDP("757419FK Muni","SPREAD_AT_ISSUANCE_TO_WORST")</f>
        <v>#N/A Requesting Data...</v>
      </c>
      <c r="H417" t="str">
        <f>_xll.BDP("757419FK Muni","ISSUE_DT")</f>
        <v>#N/A Requesting Data...</v>
      </c>
      <c r="I417" t="str">
        <f>_xll.BDS("757419FK Muni","MUNI_PURPOSE_SCHED", "aggregate=y")</f>
        <v>#N/A Review</v>
      </c>
      <c r="J417" t="str">
        <f>_xll.BDP("757419FK Muni","CPN")</f>
        <v>#N/A Requesting Data...</v>
      </c>
      <c r="K417" t="str">
        <f>_xll.BDP("757419FK Muni","MATURITY")</f>
        <v>#N/A Requesting Data...</v>
      </c>
      <c r="L417">
        <v>350000</v>
      </c>
      <c r="M417" t="str">
        <f>_xll.BDP("757419FK Muni","YIELD_ON_ISSUE_DATE")</f>
        <v>#N/A Requesting Data...</v>
      </c>
      <c r="N417" t="str">
        <f>_xll.BDP("757419FK Muni","YTW_SPREAD_TO_MATURITY_AT_ISSU")</f>
        <v>#N/A Requesting Data...</v>
      </c>
      <c r="O417" t="str">
        <f>_xll.BDP("757419FK Muni","BVAL_MID_YTM")</f>
        <v>#N/A Requesting Data...</v>
      </c>
      <c r="P417" t="str">
        <f>_xll.BDP("757419FK Muni","MUNI_TAX_PROV")</f>
        <v>#N/A Requesting Data...</v>
      </c>
      <c r="Q417" t="str">
        <f>_xll.BDP("757419FK Muni","MUNI_FED_TAX")</f>
        <v>#N/A Requesting Data...</v>
      </c>
      <c r="R417" t="str">
        <f>_xll.BDP("757419FK Muni","MUNI_MSRB_VOLUME")</f>
        <v>#N/A Requesting Data...</v>
      </c>
      <c r="S417" t="str">
        <f>_xll.BDP("757419FK Muni","BB_COMPOSITE")</f>
        <v>#N/A Requesting Data...</v>
      </c>
      <c r="T417" t="str">
        <f>_xll.BDP("757419FK Muni","LQA_LIQUIDITY_SCORE")</f>
        <v>#N/A Requesting Data...</v>
      </c>
    </row>
    <row r="418" spans="1:20" x14ac:dyDescent="0.25">
      <c r="A418" t="str">
        <f>_xll.BDP("757419FL Muni","ID_CUSIP")</f>
        <v>#N/A Requesting Data...</v>
      </c>
      <c r="B418" t="s">
        <v>129</v>
      </c>
      <c r="C418" t="str">
        <f>_xll.BDP("757419FL Muni","INSURANCE_STATUS")</f>
        <v>#N/A Requesting Data...</v>
      </c>
      <c r="D418" t="str">
        <f>_xll.BDP("757419FL Muni","STATE_CODE")</f>
        <v>#N/A Requesting Data...</v>
      </c>
      <c r="E418" t="str">
        <f>_xll.BDP("757419FL Muni","COUNTY_LOCATION_ISSUER")</f>
        <v>#N/A Requesting Data...</v>
      </c>
      <c r="F418" t="str">
        <f>_xll.BDP("757419FL Muni","DUR_ADJ_MID")</f>
        <v>#N/A Requesting Data...</v>
      </c>
      <c r="G418" t="str">
        <f>_xll.BDP("757419FL Muni","SPREAD_AT_ISSUANCE_TO_WORST")</f>
        <v>#N/A Requesting Data...</v>
      </c>
      <c r="H418" t="str">
        <f>_xll.BDP("757419FL Muni","ISSUE_DT")</f>
        <v>#N/A Requesting Data...</v>
      </c>
      <c r="I418" t="str">
        <f>_xll.BDS("757419FL Muni","MUNI_PURPOSE_SCHED", "aggregate=y")</f>
        <v>#N/A Review</v>
      </c>
      <c r="J418" t="str">
        <f>_xll.BDP("757419FL Muni","CPN")</f>
        <v>#N/A Requesting Data...</v>
      </c>
      <c r="K418" t="str">
        <f>_xll.BDP("757419FL Muni","MATURITY")</f>
        <v>#N/A Requesting Data...</v>
      </c>
      <c r="L418">
        <v>375000</v>
      </c>
      <c r="M418" t="str">
        <f>_xll.BDP("757419FL Muni","YIELD_ON_ISSUE_DATE")</f>
        <v>#N/A Requesting Data...</v>
      </c>
      <c r="N418" t="str">
        <f>_xll.BDP("757419FL Muni","YTW_SPREAD_TO_MATURITY_AT_ISSU")</f>
        <v>#N/A Requesting Data...</v>
      </c>
      <c r="O418" t="str">
        <f>_xll.BDP("757419FL Muni","BVAL_MID_YTM")</f>
        <v>#N/A Requesting Data...</v>
      </c>
      <c r="P418" t="str">
        <f>_xll.BDP("757419FL Muni","MUNI_TAX_PROV")</f>
        <v>#N/A Requesting Data...</v>
      </c>
      <c r="Q418" t="str">
        <f>_xll.BDP("757419FL Muni","MUNI_FED_TAX")</f>
        <v>#N/A Requesting Data...</v>
      </c>
      <c r="R418" t="str">
        <f>_xll.BDP("757419FL Muni","MUNI_MSRB_VOLUME")</f>
        <v>#N/A Requesting Data...</v>
      </c>
      <c r="S418" t="str">
        <f>_xll.BDP("757419FL Muni","BB_COMPOSITE")</f>
        <v>#N/A Requesting Data...</v>
      </c>
      <c r="T418" t="str">
        <f>_xll.BDP("757419FL Muni","LQA_LIQUIDITY_SCORE")</f>
        <v>#N/A Requesting Data...</v>
      </c>
    </row>
    <row r="419" spans="1:20" x14ac:dyDescent="0.25">
      <c r="A419" t="str">
        <f>_xll.BDP("6827457E Muni","ID_CUSIP")</f>
        <v>#N/A Requesting Data...</v>
      </c>
      <c r="B419" t="s">
        <v>197</v>
      </c>
      <c r="C419" t="str">
        <f>_xll.BDP("6827457E Muni","INSURANCE_STATUS")</f>
        <v>#N/A Requesting Data...</v>
      </c>
      <c r="D419" t="str">
        <f>_xll.BDP("6827457E Muni","STATE_CODE")</f>
        <v>#N/A Requesting Data...</v>
      </c>
      <c r="E419" t="str">
        <f>_xll.BDP("6827457E Muni","COUNTY_LOCATION_ISSUER")</f>
        <v>#N/A Requesting Data...</v>
      </c>
      <c r="F419" t="str">
        <f>_xll.BDP("6827457E Muni","DUR_ADJ_MID")</f>
        <v>#N/A Requesting Data...</v>
      </c>
      <c r="G419" t="str">
        <f>_xll.BDP("6827457E Muni","SPREAD_AT_ISSUANCE_TO_WORST")</f>
        <v>#N/A Requesting Data...</v>
      </c>
      <c r="H419" t="str">
        <f>_xll.BDP("6827457E Muni","ISSUE_DT")</f>
        <v>#N/A Requesting Data...</v>
      </c>
      <c r="I419" t="str">
        <f>_xll.BDS("6827457E Muni","MUNI_PURPOSE_SCHED", "aggregate=y")</f>
        <v>#N/A Review</v>
      </c>
      <c r="J419" t="str">
        <f>_xll.BDP("6827457E Muni","CPN")</f>
        <v>#N/A Requesting Data...</v>
      </c>
      <c r="K419" t="str">
        <f>_xll.BDP("6827457E Muni","MATURITY")</f>
        <v>#N/A Requesting Data...</v>
      </c>
      <c r="L419">
        <v>1255000</v>
      </c>
      <c r="M419" t="str">
        <f>_xll.BDP("6827457E Muni","YIELD_ON_ISSUE_DATE")</f>
        <v>#N/A Requesting Data...</v>
      </c>
      <c r="N419" t="str">
        <f>_xll.BDP("6827457E Muni","YTW_SPREAD_TO_MATURITY_AT_ISSU")</f>
        <v>#N/A Requesting Data...</v>
      </c>
      <c r="O419" t="str">
        <f>_xll.BDP("6827457E Muni","BVAL_MID_YTM")</f>
        <v>#N/A Requesting Data...</v>
      </c>
      <c r="P419" t="str">
        <f>_xll.BDP("6827457E Muni","MUNI_TAX_PROV")</f>
        <v>#N/A Requesting Data...</v>
      </c>
      <c r="Q419" t="str">
        <f>_xll.BDP("6827457E Muni","MUNI_FED_TAX")</f>
        <v>#N/A Requesting Data...</v>
      </c>
      <c r="R419" t="str">
        <f>_xll.BDP("6827457E Muni","MUNI_MSRB_VOLUME")</f>
        <v>#N/A Requesting Data...</v>
      </c>
      <c r="S419" t="str">
        <f>_xll.BDP("6827457E Muni","BB_COMPOSITE")</f>
        <v>#N/A Requesting Data...</v>
      </c>
      <c r="T419" t="str">
        <f>_xll.BDP("6827457E Muni","LQA_LIQUIDITY_SCORE")</f>
        <v>#N/A Requesting Data...</v>
      </c>
    </row>
    <row r="420" spans="1:20" x14ac:dyDescent="0.25">
      <c r="A420" t="str">
        <f>_xll.BDP("6827457F Muni","ID_CUSIP")</f>
        <v>#N/A Requesting Data...</v>
      </c>
      <c r="B420" t="s">
        <v>197</v>
      </c>
      <c r="C420" t="str">
        <f>_xll.BDP("6827457F Muni","INSURANCE_STATUS")</f>
        <v>#N/A Requesting Data...</v>
      </c>
      <c r="D420" t="str">
        <f>_xll.BDP("6827457F Muni","STATE_CODE")</f>
        <v>#N/A Requesting Data...</v>
      </c>
      <c r="E420" t="str">
        <f>_xll.BDP("6827457F Muni","COUNTY_LOCATION_ISSUER")</f>
        <v>#N/A Requesting Data...</v>
      </c>
      <c r="F420" t="str">
        <f>_xll.BDP("6827457F Muni","DUR_ADJ_MID")</f>
        <v>#N/A Requesting Data...</v>
      </c>
      <c r="G420" t="str">
        <f>_xll.BDP("6827457F Muni","SPREAD_AT_ISSUANCE_TO_WORST")</f>
        <v>#N/A Requesting Data...</v>
      </c>
      <c r="H420" t="str">
        <f>_xll.BDP("6827457F Muni","ISSUE_DT")</f>
        <v>#N/A Requesting Data...</v>
      </c>
      <c r="I420" t="str">
        <f>_xll.BDS("6827457F Muni","MUNI_PURPOSE_SCHED", "aggregate=y")</f>
        <v>#N/A Review</v>
      </c>
      <c r="J420" t="str">
        <f>_xll.BDP("6827457F Muni","CPN")</f>
        <v>#N/A Requesting Data...</v>
      </c>
      <c r="K420" t="str">
        <f>_xll.BDP("6827457F Muni","MATURITY")</f>
        <v>#N/A Requesting Data...</v>
      </c>
      <c r="L420">
        <v>1280000</v>
      </c>
      <c r="M420" t="str">
        <f>_xll.BDP("6827457F Muni","YIELD_ON_ISSUE_DATE")</f>
        <v>#N/A Requesting Data...</v>
      </c>
      <c r="N420" t="str">
        <f>_xll.BDP("6827457F Muni","YTW_SPREAD_TO_MATURITY_AT_ISSU")</f>
        <v>#N/A Requesting Data...</v>
      </c>
      <c r="O420" t="str">
        <f>_xll.BDP("6827457F Muni","BVAL_MID_YTM")</f>
        <v>#N/A Requesting Data...</v>
      </c>
      <c r="P420" t="str">
        <f>_xll.BDP("6827457F Muni","MUNI_TAX_PROV")</f>
        <v>#N/A Requesting Data...</v>
      </c>
      <c r="Q420" t="str">
        <f>_xll.BDP("6827457F Muni","MUNI_FED_TAX")</f>
        <v>#N/A Requesting Data...</v>
      </c>
      <c r="R420" t="str">
        <f>_xll.BDP("6827457F Muni","MUNI_MSRB_VOLUME")</f>
        <v>#N/A Requesting Data...</v>
      </c>
      <c r="S420" t="str">
        <f>_xll.BDP("6827457F Muni","BB_COMPOSITE")</f>
        <v>#N/A Requesting Data...</v>
      </c>
      <c r="T420" t="str">
        <f>_xll.BDP("6827457F Muni","LQA_LIQUIDITY_SCORE")</f>
        <v>#N/A Requesting Data...</v>
      </c>
    </row>
    <row r="421" spans="1:20" x14ac:dyDescent="0.25">
      <c r="A421" t="str">
        <f>_xll.BDP("752111HQ Muni","ID_CUSIP")</f>
        <v>#N/A Requesting Data...</v>
      </c>
      <c r="B421" t="s">
        <v>131</v>
      </c>
      <c r="C421" t="str">
        <f>_xll.BDP("752111HQ Muni","INSURANCE_STATUS")</f>
        <v>#N/A Requesting Data...</v>
      </c>
      <c r="D421" t="str">
        <f>_xll.BDP("752111HQ Muni","STATE_CODE")</f>
        <v>#N/A Requesting Data...</v>
      </c>
      <c r="E421" t="str">
        <f>_xll.BDP("752111HQ Muni","COUNTY_LOCATION_ISSUER")</f>
        <v>#N/A Requesting Data...</v>
      </c>
      <c r="F421" t="str">
        <f>_xll.BDP("752111HQ Muni","DUR_ADJ_MID")</f>
        <v>#N/A Requesting Data...</v>
      </c>
      <c r="G421" t="str">
        <f>_xll.BDP("752111HQ Muni","SPREAD_AT_ISSUANCE_TO_WORST")</f>
        <v>#N/A Requesting Data...</v>
      </c>
      <c r="H421" t="str">
        <f>_xll.BDP("752111HQ Muni","ISSUE_DT")</f>
        <v>#N/A Requesting Data...</v>
      </c>
      <c r="I421" t="str">
        <f>_xll.BDS("752111HQ Muni","MUNI_PURPOSE_SCHED", "aggregate=y")</f>
        <v>#N/A Review</v>
      </c>
      <c r="J421" t="str">
        <f>_xll.BDP("752111HQ Muni","CPN")</f>
        <v>#N/A Requesting Data...</v>
      </c>
      <c r="K421" t="str">
        <f>_xll.BDP("752111HQ Muni","MATURITY")</f>
        <v>#N/A Requesting Data...</v>
      </c>
      <c r="L421">
        <v>720000</v>
      </c>
      <c r="M421" t="str">
        <f>_xll.BDP("752111HQ Muni","YIELD_ON_ISSUE_DATE")</f>
        <v>#N/A Requesting Data...</v>
      </c>
      <c r="N421" t="str">
        <f>_xll.BDP("752111HQ Muni","YTW_SPREAD_TO_MATURITY_AT_ISSU")</f>
        <v>#N/A Requesting Data...</v>
      </c>
      <c r="O421" t="str">
        <f>_xll.BDP("752111HQ Muni","BVAL_MID_YTM")</f>
        <v>#N/A Requesting Data...</v>
      </c>
      <c r="P421" t="str">
        <f>_xll.BDP("752111HQ Muni","MUNI_TAX_PROV")</f>
        <v>#N/A Requesting Data...</v>
      </c>
      <c r="Q421" t="str">
        <f>_xll.BDP("752111HQ Muni","MUNI_FED_TAX")</f>
        <v>#N/A Requesting Data...</v>
      </c>
      <c r="R421" t="str">
        <f>_xll.BDP("752111HQ Muni","MUNI_MSRB_VOLUME")</f>
        <v>#N/A Requesting Data...</v>
      </c>
      <c r="S421" t="str">
        <f>_xll.BDP("752111HQ Muni","BB_COMPOSITE")</f>
        <v>#N/A Requesting Data...</v>
      </c>
      <c r="T421" t="str">
        <f>_xll.BDP("752111HQ Muni","LQA_LIQUIDITY_SCORE")</f>
        <v>#N/A Requesting Data...</v>
      </c>
    </row>
    <row r="422" spans="1:20" x14ac:dyDescent="0.25">
      <c r="A422" t="str">
        <f>_xll.BDP("83569BGQ Muni","ID_CUSIP")</f>
        <v>#N/A Requesting Data...</v>
      </c>
      <c r="B422" t="s">
        <v>198</v>
      </c>
      <c r="C422" t="str">
        <f>_xll.BDP("83569BGQ Muni","INSURANCE_STATUS")</f>
        <v>#N/A Requesting Data...</v>
      </c>
      <c r="D422" t="str">
        <f>_xll.BDP("83569BGQ Muni","STATE_CODE")</f>
        <v>#N/A Requesting Data...</v>
      </c>
      <c r="E422" t="str">
        <f>_xll.BDP("83569BGQ Muni","COUNTY_LOCATION_ISSUER")</f>
        <v>#N/A Requesting Data...</v>
      </c>
      <c r="F422" t="str">
        <f>_xll.BDP("83569BGQ Muni","DUR_ADJ_MID")</f>
        <v>#N/A Requesting Data...</v>
      </c>
      <c r="G422" t="str">
        <f>_xll.BDP("83569BGQ Muni","SPREAD_AT_ISSUANCE_TO_WORST")</f>
        <v>#N/A Requesting Data...</v>
      </c>
      <c r="H422" t="str">
        <f>_xll.BDP("83569BGQ Muni","ISSUE_DT")</f>
        <v>#N/A Requesting Data...</v>
      </c>
      <c r="I422" t="str">
        <f>_xll.BDS("83569BGQ Muni","MUNI_PURPOSE_SCHED", "aggregate=y")</f>
        <v>#N/A Review</v>
      </c>
      <c r="J422" t="str">
        <f>_xll.BDP("83569BGQ Muni","CPN")</f>
        <v>#N/A Requesting Data...</v>
      </c>
      <c r="K422" t="str">
        <f>_xll.BDP("83569BGQ Muni","MATURITY")</f>
        <v>#N/A Requesting Data...</v>
      </c>
      <c r="L422">
        <v>100000</v>
      </c>
      <c r="M422" t="str">
        <f>_xll.BDP("83569BGQ Muni","YIELD_ON_ISSUE_DATE")</f>
        <v>#N/A Requesting Data...</v>
      </c>
      <c r="N422" t="str">
        <f>_xll.BDP("83569BGQ Muni","YTW_SPREAD_TO_MATURITY_AT_ISSU")</f>
        <v>#N/A Requesting Data...</v>
      </c>
      <c r="O422" t="str">
        <f>_xll.BDP("83569BGQ Muni","BVAL_MID_YTM")</f>
        <v>#N/A Requesting Data...</v>
      </c>
      <c r="P422" t="str">
        <f>_xll.BDP("83569BGQ Muni","MUNI_TAX_PROV")</f>
        <v>#N/A Requesting Data...</v>
      </c>
      <c r="Q422" t="str">
        <f>_xll.BDP("83569BGQ Muni","MUNI_FED_TAX")</f>
        <v>#N/A Requesting Data...</v>
      </c>
      <c r="R422" t="str">
        <f>_xll.BDP("83569BGQ Muni","MUNI_MSRB_VOLUME")</f>
        <v>#N/A Requesting Data...</v>
      </c>
      <c r="S422" t="str">
        <f>_xll.BDP("83569BGQ Muni","BB_COMPOSITE")</f>
        <v>#N/A Requesting Data...</v>
      </c>
      <c r="T422" t="str">
        <f>_xll.BDP("83569BGQ Muni","LQA_LIQUIDITY_SCORE")</f>
        <v>#N/A Requesting Data...</v>
      </c>
    </row>
    <row r="423" spans="1:20" x14ac:dyDescent="0.25">
      <c r="A423" t="str">
        <f>_xll.BDP("83569BGR Muni","ID_CUSIP")</f>
        <v>#N/A Requesting Data...</v>
      </c>
      <c r="B423" t="s">
        <v>198</v>
      </c>
      <c r="C423" t="str">
        <f>_xll.BDP("83569BGR Muni","INSURANCE_STATUS")</f>
        <v>#N/A Requesting Data...</v>
      </c>
      <c r="D423" t="str">
        <f>_xll.BDP("83569BGR Muni","STATE_CODE")</f>
        <v>#N/A Requesting Data...</v>
      </c>
      <c r="E423" t="str">
        <f>_xll.BDP("83569BGR Muni","COUNTY_LOCATION_ISSUER")</f>
        <v>#N/A Requesting Data...</v>
      </c>
      <c r="F423" t="str">
        <f>_xll.BDP("83569BGR Muni","DUR_ADJ_MID")</f>
        <v>#N/A Requesting Data...</v>
      </c>
      <c r="G423" t="str">
        <f>_xll.BDP("83569BGR Muni","SPREAD_AT_ISSUANCE_TO_WORST")</f>
        <v>#N/A Requesting Data...</v>
      </c>
      <c r="H423" t="str">
        <f>_xll.BDP("83569BGR Muni","ISSUE_DT")</f>
        <v>#N/A Requesting Data...</v>
      </c>
      <c r="I423" t="str">
        <f>_xll.BDS("83569BGR Muni","MUNI_PURPOSE_SCHED", "aggregate=y")</f>
        <v>#N/A Review</v>
      </c>
      <c r="J423" t="str">
        <f>_xll.BDP("83569BGR Muni","CPN")</f>
        <v>#N/A Requesting Data...</v>
      </c>
      <c r="K423" t="str">
        <f>_xll.BDP("83569BGR Muni","MATURITY")</f>
        <v>#N/A Requesting Data...</v>
      </c>
      <c r="L423">
        <v>100000</v>
      </c>
      <c r="M423" t="str">
        <f>_xll.BDP("83569BGR Muni","YIELD_ON_ISSUE_DATE")</f>
        <v>#N/A Requesting Data...</v>
      </c>
      <c r="N423" t="str">
        <f>_xll.BDP("83569BGR Muni","YTW_SPREAD_TO_MATURITY_AT_ISSU")</f>
        <v>#N/A Requesting Data...</v>
      </c>
      <c r="O423" t="str">
        <f>_xll.BDP("83569BGR Muni","BVAL_MID_YTM")</f>
        <v>#N/A Requesting Data...</v>
      </c>
      <c r="P423" t="str">
        <f>_xll.BDP("83569BGR Muni","MUNI_TAX_PROV")</f>
        <v>#N/A Requesting Data...</v>
      </c>
      <c r="Q423" t="str">
        <f>_xll.BDP("83569BGR Muni","MUNI_FED_TAX")</f>
        <v>#N/A Requesting Data...</v>
      </c>
      <c r="R423" t="str">
        <f>_xll.BDP("83569BGR Muni","MUNI_MSRB_VOLUME")</f>
        <v>#N/A Requesting Data...</v>
      </c>
      <c r="S423" t="str">
        <f>_xll.BDP("83569BGR Muni","BB_COMPOSITE")</f>
        <v>#N/A Requesting Data...</v>
      </c>
      <c r="T423" t="str">
        <f>_xll.BDP("83569BGR Muni","LQA_LIQUIDITY_SCORE")</f>
        <v>#N/A Requesting Data...</v>
      </c>
    </row>
    <row r="424" spans="1:20" x14ac:dyDescent="0.25">
      <c r="A424" t="str">
        <f>_xll.BDP("836809FL Muni","ID_CUSIP")</f>
        <v>#N/A Requesting Data...</v>
      </c>
      <c r="B424" t="s">
        <v>199</v>
      </c>
      <c r="C424" t="str">
        <f>_xll.BDP("836809FL Muni","INSURANCE_STATUS")</f>
        <v>#N/A Requesting Data...</v>
      </c>
      <c r="D424" t="str">
        <f>_xll.BDP("836809FL Muni","STATE_CODE")</f>
        <v>#N/A Requesting Data...</v>
      </c>
      <c r="E424" t="str">
        <f>_xll.BDP("836809FL Muni","COUNTY_LOCATION_ISSUER")</f>
        <v>#N/A Requesting Data...</v>
      </c>
      <c r="F424" t="str">
        <f>_xll.BDP("836809FL Muni","DUR_ADJ_MID")</f>
        <v>#N/A Requesting Data...</v>
      </c>
      <c r="G424" t="str">
        <f>_xll.BDP("836809FL Muni","SPREAD_AT_ISSUANCE_TO_WORST")</f>
        <v>#N/A Requesting Data...</v>
      </c>
      <c r="H424" t="str">
        <f>_xll.BDP("836809FL Muni","ISSUE_DT")</f>
        <v>#N/A Requesting Data...</v>
      </c>
      <c r="I424" t="str">
        <f>_xll.BDS("836809FL Muni","MUNI_PURPOSE_SCHED", "aggregate=y")</f>
        <v>#N/A Review</v>
      </c>
      <c r="J424" t="str">
        <f>_xll.BDP("836809FL Muni","CPN")</f>
        <v>#N/A Requesting Data...</v>
      </c>
      <c r="K424" t="str">
        <f>_xll.BDP("836809FL Muni","MATURITY")</f>
        <v>#N/A Requesting Data...</v>
      </c>
      <c r="L424">
        <v>95000</v>
      </c>
      <c r="M424" t="str">
        <f>_xll.BDP("836809FL Muni","YIELD_ON_ISSUE_DATE")</f>
        <v>#N/A Requesting Data...</v>
      </c>
      <c r="N424" t="str">
        <f>_xll.BDP("836809FL Muni","YTW_SPREAD_TO_MATURITY_AT_ISSU")</f>
        <v>#N/A Requesting Data...</v>
      </c>
      <c r="O424" t="str">
        <f>_xll.BDP("836809FL Muni","BVAL_MID_YTM")</f>
        <v>#N/A Requesting Data...</v>
      </c>
      <c r="P424" t="str">
        <f>_xll.BDP("836809FL Muni","MUNI_TAX_PROV")</f>
        <v>#N/A Requesting Data...</v>
      </c>
      <c r="Q424" t="str">
        <f>_xll.BDP("836809FL Muni","MUNI_FED_TAX")</f>
        <v>#N/A Requesting Data...</v>
      </c>
      <c r="R424" t="str">
        <f>_xll.BDP("836809FL Muni","MUNI_MSRB_VOLUME")</f>
        <v>#N/A Requesting Data...</v>
      </c>
      <c r="S424" t="str">
        <f>_xll.BDP("836809FL Muni","BB_COMPOSITE")</f>
        <v>#N/A Requesting Data...</v>
      </c>
      <c r="T424" t="str">
        <f>_xll.BDP("836809FL Muni","LQA_LIQUIDITY_SCORE")</f>
        <v>#N/A Requesting Data...</v>
      </c>
    </row>
    <row r="425" spans="1:20" x14ac:dyDescent="0.25">
      <c r="A425" t="str">
        <f>_xll.BDP("684554EF Muni","ID_CUSIP")</f>
        <v>#N/A Requesting Data...</v>
      </c>
      <c r="B425" t="s">
        <v>122</v>
      </c>
      <c r="C425" t="str">
        <f>_xll.BDP("684554EF Muni","INSURANCE_STATUS")</f>
        <v>#N/A Requesting Data...</v>
      </c>
      <c r="D425" t="str">
        <f>_xll.BDP("684554EF Muni","STATE_CODE")</f>
        <v>#N/A Requesting Data...</v>
      </c>
      <c r="E425" t="str">
        <f>_xll.BDP("684554EF Muni","COUNTY_LOCATION_ISSUER")</f>
        <v>#N/A Requesting Data...</v>
      </c>
      <c r="F425" t="str">
        <f>_xll.BDP("684554EF Muni","DUR_ADJ_MID")</f>
        <v>#N/A Requesting Data...</v>
      </c>
      <c r="G425" t="str">
        <f>_xll.BDP("684554EF Muni","SPREAD_AT_ISSUANCE_TO_WORST")</f>
        <v>#N/A Requesting Data...</v>
      </c>
      <c r="H425" t="str">
        <f>_xll.BDP("684554EF Muni","ISSUE_DT")</f>
        <v>#N/A Requesting Data...</v>
      </c>
      <c r="I425" t="str">
        <f>_xll.BDS("684554EF Muni","MUNI_PURPOSE_SCHED", "aggregate=y")</f>
        <v>#N/A Review</v>
      </c>
      <c r="J425" t="str">
        <f>_xll.BDP("684554EF Muni","CPN")</f>
        <v>#N/A Requesting Data...</v>
      </c>
      <c r="K425" t="str">
        <f>_xll.BDP("684554EF Muni","MATURITY")</f>
        <v>#N/A Requesting Data...</v>
      </c>
      <c r="L425">
        <v>4170000</v>
      </c>
      <c r="M425" t="str">
        <f>_xll.BDP("684554EF Muni","YIELD_ON_ISSUE_DATE")</f>
        <v>#N/A Requesting Data...</v>
      </c>
      <c r="N425" t="str">
        <f>_xll.BDP("684554EF Muni","YTW_SPREAD_TO_MATURITY_AT_ISSU")</f>
        <v>#N/A Requesting Data...</v>
      </c>
      <c r="O425" t="str">
        <f>_xll.BDP("684554EF Muni","BVAL_MID_YTM")</f>
        <v>#N/A Requesting Data...</v>
      </c>
      <c r="P425" t="str">
        <f>_xll.BDP("684554EF Muni","MUNI_TAX_PROV")</f>
        <v>#N/A Requesting Data...</v>
      </c>
      <c r="Q425" t="str">
        <f>_xll.BDP("684554EF Muni","MUNI_FED_TAX")</f>
        <v>#N/A Requesting Data...</v>
      </c>
      <c r="R425" t="str">
        <f>_xll.BDP("684554EF Muni","MUNI_MSRB_VOLUME")</f>
        <v>#N/A Requesting Data...</v>
      </c>
      <c r="S425" t="str">
        <f>_xll.BDP("684554EF Muni","BB_COMPOSITE")</f>
        <v>#N/A Requesting Data...</v>
      </c>
      <c r="T425" t="str">
        <f>_xll.BDP("684554EF Muni","LQA_LIQUIDITY_SCORE")</f>
        <v>#N/A Requesting Data...</v>
      </c>
    </row>
    <row r="426" spans="1:20" x14ac:dyDescent="0.25">
      <c r="A426" t="str">
        <f>_xll.BDP("684554EG Muni","ID_CUSIP")</f>
        <v>#N/A Requesting Data...</v>
      </c>
      <c r="B426" t="s">
        <v>122</v>
      </c>
      <c r="C426" t="str">
        <f>_xll.BDP("684554EG Muni","INSURANCE_STATUS")</f>
        <v>#N/A Requesting Data...</v>
      </c>
      <c r="D426" t="str">
        <f>_xll.BDP("684554EG Muni","STATE_CODE")</f>
        <v>#N/A Requesting Data...</v>
      </c>
      <c r="E426" t="str">
        <f>_xll.BDP("684554EG Muni","COUNTY_LOCATION_ISSUER")</f>
        <v>#N/A Requesting Data...</v>
      </c>
      <c r="F426" t="str">
        <f>_xll.BDP("684554EG Muni","DUR_ADJ_MID")</f>
        <v>#N/A Requesting Data...</v>
      </c>
      <c r="G426" t="str">
        <f>_xll.BDP("684554EG Muni","SPREAD_AT_ISSUANCE_TO_WORST")</f>
        <v>#N/A Requesting Data...</v>
      </c>
      <c r="H426" t="str">
        <f>_xll.BDP("684554EG Muni","ISSUE_DT")</f>
        <v>#N/A Requesting Data...</v>
      </c>
      <c r="I426" t="str">
        <f>_xll.BDS("684554EG Muni","MUNI_PURPOSE_SCHED", "aggregate=y")</f>
        <v>#N/A Review</v>
      </c>
      <c r="J426" t="str">
        <f>_xll.BDP("684554EG Muni","CPN")</f>
        <v>#N/A Requesting Data...</v>
      </c>
      <c r="K426" t="str">
        <f>_xll.BDP("684554EG Muni","MATURITY")</f>
        <v>#N/A Requesting Data...</v>
      </c>
      <c r="L426">
        <v>4375000</v>
      </c>
      <c r="M426" t="str">
        <f>_xll.BDP("684554EG Muni","YIELD_ON_ISSUE_DATE")</f>
        <v>#N/A Requesting Data...</v>
      </c>
      <c r="N426" t="str">
        <f>_xll.BDP("684554EG Muni","YTW_SPREAD_TO_MATURITY_AT_ISSU")</f>
        <v>#N/A Requesting Data...</v>
      </c>
      <c r="O426" t="str">
        <f>_xll.BDP("684554EG Muni","BVAL_MID_YTM")</f>
        <v>#N/A Requesting Data...</v>
      </c>
      <c r="P426" t="str">
        <f>_xll.BDP("684554EG Muni","MUNI_TAX_PROV")</f>
        <v>#N/A Requesting Data...</v>
      </c>
      <c r="Q426" t="str">
        <f>_xll.BDP("684554EG Muni","MUNI_FED_TAX")</f>
        <v>#N/A Requesting Data...</v>
      </c>
      <c r="R426" t="str">
        <f>_xll.BDP("684554EG Muni","MUNI_MSRB_VOLUME")</f>
        <v>#N/A Requesting Data...</v>
      </c>
      <c r="S426" t="str">
        <f>_xll.BDP("684554EG Muni","BB_COMPOSITE")</f>
        <v>#N/A Requesting Data...</v>
      </c>
      <c r="T426" t="str">
        <f>_xll.BDP("684554EG Muni","LQA_LIQUIDITY_SCORE")</f>
        <v>#N/A Requesting Data...</v>
      </c>
    </row>
    <row r="427" spans="1:20" x14ac:dyDescent="0.25">
      <c r="A427" t="str">
        <f>_xll.BDP("685253NY Muni","ID_CUSIP")</f>
        <v>#N/A Requesting Data...</v>
      </c>
      <c r="B427" t="s">
        <v>200</v>
      </c>
      <c r="C427" t="str">
        <f>_xll.BDP("685253NY Muni","INSURANCE_STATUS")</f>
        <v>#N/A Requesting Data...</v>
      </c>
      <c r="D427" t="str">
        <f>_xll.BDP("685253NY Muni","STATE_CODE")</f>
        <v>#N/A Requesting Data...</v>
      </c>
      <c r="E427" t="str">
        <f>_xll.BDP("685253NY Muni","COUNTY_LOCATION_ISSUER")</f>
        <v>#N/A Requesting Data...</v>
      </c>
      <c r="F427" t="str">
        <f>_xll.BDP("685253NY Muni","DUR_ADJ_MID")</f>
        <v>#N/A Requesting Data...</v>
      </c>
      <c r="G427" t="str">
        <f>_xll.BDP("685253NY Muni","SPREAD_AT_ISSUANCE_TO_WORST")</f>
        <v>#N/A Requesting Data...</v>
      </c>
      <c r="H427" t="str">
        <f>_xll.BDP("685253NY Muni","ISSUE_DT")</f>
        <v>#N/A Requesting Data...</v>
      </c>
      <c r="I427" t="str">
        <f>_xll.BDS("685253NY Muni","MUNI_PURPOSE_SCHED", "aggregate=y")</f>
        <v>#N/A Review</v>
      </c>
      <c r="J427" t="str">
        <f>_xll.BDP("685253NY Muni","CPN")</f>
        <v>#N/A Requesting Data...</v>
      </c>
      <c r="K427" t="str">
        <f>_xll.BDP("685253NY Muni","MATURITY")</f>
        <v>#N/A Requesting Data...</v>
      </c>
      <c r="L427">
        <v>225000</v>
      </c>
      <c r="M427" t="str">
        <f>_xll.BDP("685253NY Muni","YIELD_ON_ISSUE_DATE")</f>
        <v>#N/A Requesting Data...</v>
      </c>
      <c r="N427" t="str">
        <f>_xll.BDP("685253NY Muni","YTW_SPREAD_TO_MATURITY_AT_ISSU")</f>
        <v>#N/A Requesting Data...</v>
      </c>
      <c r="O427" t="str">
        <f>_xll.BDP("685253NY Muni","BVAL_MID_YTM")</f>
        <v>#N/A Requesting Data...</v>
      </c>
      <c r="P427" t="str">
        <f>_xll.BDP("685253NY Muni","MUNI_TAX_PROV")</f>
        <v>#N/A Requesting Data...</v>
      </c>
      <c r="Q427" t="str">
        <f>_xll.BDP("685253NY Muni","MUNI_FED_TAX")</f>
        <v>#N/A Requesting Data...</v>
      </c>
      <c r="R427" t="str">
        <f>_xll.BDP("685253NY Muni","MUNI_MSRB_VOLUME")</f>
        <v>#N/A Requesting Data...</v>
      </c>
      <c r="S427" t="str">
        <f>_xll.BDP("685253NY Muni","BB_COMPOSITE")</f>
        <v>#N/A Requesting Data...</v>
      </c>
      <c r="T427" t="str">
        <f>_xll.BDP("685253NY Muni","LQA_LIQUIDITY_SCORE")</f>
        <v>#N/A Requesting Data...</v>
      </c>
    </row>
    <row r="428" spans="1:20" x14ac:dyDescent="0.25">
      <c r="A428" t="str">
        <f>_xll.BDP("685253NZ Muni","ID_CUSIP")</f>
        <v>#N/A Requesting Data...</v>
      </c>
      <c r="B428" t="s">
        <v>200</v>
      </c>
      <c r="C428" t="str">
        <f>_xll.BDP("685253NZ Muni","INSURANCE_STATUS")</f>
        <v>#N/A Requesting Data...</v>
      </c>
      <c r="D428" t="str">
        <f>_xll.BDP("685253NZ Muni","STATE_CODE")</f>
        <v>#N/A Requesting Data...</v>
      </c>
      <c r="E428" t="str">
        <f>_xll.BDP("685253NZ Muni","COUNTY_LOCATION_ISSUER")</f>
        <v>#N/A Requesting Data...</v>
      </c>
      <c r="F428" t="str">
        <f>_xll.BDP("685253NZ Muni","DUR_ADJ_MID")</f>
        <v>#N/A Requesting Data...</v>
      </c>
      <c r="G428" t="str">
        <f>_xll.BDP("685253NZ Muni","SPREAD_AT_ISSUANCE_TO_WORST")</f>
        <v>#N/A Requesting Data...</v>
      </c>
      <c r="H428" t="str">
        <f>_xll.BDP("685253NZ Muni","ISSUE_DT")</f>
        <v>#N/A Requesting Data...</v>
      </c>
      <c r="I428" t="str">
        <f>_xll.BDS("685253NZ Muni","MUNI_PURPOSE_SCHED", "aggregate=y")</f>
        <v>#N/A Review</v>
      </c>
      <c r="J428" t="str">
        <f>_xll.BDP("685253NZ Muni","CPN")</f>
        <v>#N/A Requesting Data...</v>
      </c>
      <c r="K428" t="str">
        <f>_xll.BDP("685253NZ Muni","MATURITY")</f>
        <v>#N/A Requesting Data...</v>
      </c>
      <c r="L428">
        <v>235000</v>
      </c>
      <c r="M428" t="str">
        <f>_xll.BDP("685253NZ Muni","YIELD_ON_ISSUE_DATE")</f>
        <v>#N/A Requesting Data...</v>
      </c>
      <c r="N428" t="str">
        <f>_xll.BDP("685253NZ Muni","YTW_SPREAD_TO_MATURITY_AT_ISSU")</f>
        <v>#N/A Requesting Data...</v>
      </c>
      <c r="O428" t="str">
        <f>_xll.BDP("685253NZ Muni","BVAL_MID_YTM")</f>
        <v>#N/A Requesting Data...</v>
      </c>
      <c r="P428" t="str">
        <f>_xll.BDP("685253NZ Muni","MUNI_TAX_PROV")</f>
        <v>#N/A Requesting Data...</v>
      </c>
      <c r="Q428" t="str">
        <f>_xll.BDP("685253NZ Muni","MUNI_FED_TAX")</f>
        <v>#N/A Requesting Data...</v>
      </c>
      <c r="R428" t="str">
        <f>_xll.BDP("685253NZ Muni","MUNI_MSRB_VOLUME")</f>
        <v>#N/A Requesting Data...</v>
      </c>
      <c r="S428" t="str">
        <f>_xll.BDP("685253NZ Muni","BB_COMPOSITE")</f>
        <v>#N/A Requesting Data...</v>
      </c>
      <c r="T428" t="str">
        <f>_xll.BDP("685253NZ Muni","LQA_LIQUIDITY_SCORE")</f>
        <v>#N/A Requesting Data...</v>
      </c>
    </row>
    <row r="429" spans="1:20" x14ac:dyDescent="0.25">
      <c r="A429" t="str">
        <f>_xll.BDP("685253PA Muni","ID_CUSIP")</f>
        <v>#N/A Requesting Data...</v>
      </c>
      <c r="B429" t="s">
        <v>200</v>
      </c>
      <c r="C429" t="str">
        <f>_xll.BDP("685253PA Muni","INSURANCE_STATUS")</f>
        <v>#N/A Requesting Data...</v>
      </c>
      <c r="D429" t="str">
        <f>_xll.BDP("685253PA Muni","STATE_CODE")</f>
        <v>#N/A Requesting Data...</v>
      </c>
      <c r="E429" t="str">
        <f>_xll.BDP("685253PA Muni","COUNTY_LOCATION_ISSUER")</f>
        <v>#N/A Requesting Data...</v>
      </c>
      <c r="F429" t="str">
        <f>_xll.BDP("685253PA Muni","DUR_ADJ_MID")</f>
        <v>#N/A Requesting Data...</v>
      </c>
      <c r="G429" t="str">
        <f>_xll.BDP("685253PA Muni","SPREAD_AT_ISSUANCE_TO_WORST")</f>
        <v>#N/A Requesting Data...</v>
      </c>
      <c r="H429" t="str">
        <f>_xll.BDP("685253PA Muni","ISSUE_DT")</f>
        <v>#N/A Requesting Data...</v>
      </c>
      <c r="I429" t="str">
        <f>_xll.BDS("685253PA Muni","MUNI_PURPOSE_SCHED", "aggregate=y")</f>
        <v>#N/A Review</v>
      </c>
      <c r="J429" t="str">
        <f>_xll.BDP("685253PA Muni","CPN")</f>
        <v>#N/A Requesting Data...</v>
      </c>
      <c r="K429" t="str">
        <f>_xll.BDP("685253PA Muni","MATURITY")</f>
        <v>#N/A Requesting Data...</v>
      </c>
      <c r="L429">
        <v>240000</v>
      </c>
      <c r="M429" t="str">
        <f>_xll.BDP("685253PA Muni","YIELD_ON_ISSUE_DATE")</f>
        <v>#N/A Requesting Data...</v>
      </c>
      <c r="N429" t="str">
        <f>_xll.BDP("685253PA Muni","YTW_SPREAD_TO_MATURITY_AT_ISSU")</f>
        <v>#N/A Requesting Data...</v>
      </c>
      <c r="O429" t="str">
        <f>_xll.BDP("685253PA Muni","BVAL_MID_YTM")</f>
        <v>#N/A Requesting Data...</v>
      </c>
      <c r="P429" t="str">
        <f>_xll.BDP("685253PA Muni","MUNI_TAX_PROV")</f>
        <v>#N/A Requesting Data...</v>
      </c>
      <c r="Q429" t="str">
        <f>_xll.BDP("685253PA Muni","MUNI_FED_TAX")</f>
        <v>#N/A Requesting Data...</v>
      </c>
      <c r="R429" t="str">
        <f>_xll.BDP("685253PA Muni","MUNI_MSRB_VOLUME")</f>
        <v>#N/A Requesting Data...</v>
      </c>
      <c r="S429" t="str">
        <f>_xll.BDP("685253PA Muni","BB_COMPOSITE")</f>
        <v>#N/A Requesting Data...</v>
      </c>
      <c r="T429" t="str">
        <f>_xll.BDP("685253PA Muni","LQA_LIQUIDITY_SCORE")</f>
        <v>#N/A Requesting Data...</v>
      </c>
    </row>
    <row r="430" spans="1:20" x14ac:dyDescent="0.25">
      <c r="A430" t="str">
        <f>_xll.BDP("685253PB Muni","ID_CUSIP")</f>
        <v>#N/A Requesting Data...</v>
      </c>
      <c r="B430" t="s">
        <v>200</v>
      </c>
      <c r="C430" t="str">
        <f>_xll.BDP("685253PB Muni","INSURANCE_STATUS")</f>
        <v>#N/A Requesting Data...</v>
      </c>
      <c r="D430" t="str">
        <f>_xll.BDP("685253PB Muni","STATE_CODE")</f>
        <v>#N/A Requesting Data...</v>
      </c>
      <c r="E430" t="str">
        <f>_xll.BDP("685253PB Muni","COUNTY_LOCATION_ISSUER")</f>
        <v>#N/A Requesting Data...</v>
      </c>
      <c r="F430" t="str">
        <f>_xll.BDP("685253PB Muni","DUR_ADJ_MID")</f>
        <v>#N/A Requesting Data...</v>
      </c>
      <c r="G430" t="str">
        <f>_xll.BDP("685253PB Muni","SPREAD_AT_ISSUANCE_TO_WORST")</f>
        <v>#N/A Requesting Data...</v>
      </c>
      <c r="H430" t="str">
        <f>_xll.BDP("685253PB Muni","ISSUE_DT")</f>
        <v>#N/A Requesting Data...</v>
      </c>
      <c r="I430" t="str">
        <f>_xll.BDS("685253PB Muni","MUNI_PURPOSE_SCHED", "aggregate=y")</f>
        <v>#N/A Review</v>
      </c>
      <c r="J430" t="str">
        <f>_xll.BDP("685253PB Muni","CPN")</f>
        <v>#N/A Requesting Data...</v>
      </c>
      <c r="K430" t="str">
        <f>_xll.BDP("685253PB Muni","MATURITY")</f>
        <v>#N/A Requesting Data...</v>
      </c>
      <c r="L430">
        <v>250000</v>
      </c>
      <c r="M430" t="str">
        <f>_xll.BDP("685253PB Muni","YIELD_ON_ISSUE_DATE")</f>
        <v>#N/A Requesting Data...</v>
      </c>
      <c r="N430" t="str">
        <f>_xll.BDP("685253PB Muni","YTW_SPREAD_TO_MATURITY_AT_ISSU")</f>
        <v>#N/A Requesting Data...</v>
      </c>
      <c r="O430" t="str">
        <f>_xll.BDP("685253PB Muni","BVAL_MID_YTM")</f>
        <v>#N/A Requesting Data...</v>
      </c>
      <c r="P430" t="str">
        <f>_xll.BDP("685253PB Muni","MUNI_TAX_PROV")</f>
        <v>#N/A Requesting Data...</v>
      </c>
      <c r="Q430" t="str">
        <f>_xll.BDP("685253PB Muni","MUNI_FED_TAX")</f>
        <v>#N/A Requesting Data...</v>
      </c>
      <c r="R430" t="str">
        <f>_xll.BDP("685253PB Muni","MUNI_MSRB_VOLUME")</f>
        <v>#N/A Requesting Data...</v>
      </c>
      <c r="S430" t="str">
        <f>_xll.BDP("685253PB Muni","BB_COMPOSITE")</f>
        <v>#N/A Requesting Data...</v>
      </c>
      <c r="T430" t="str">
        <f>_xll.BDP("685253PB Muni","LQA_LIQUIDITY_SCORE")</f>
        <v>#N/A Requesting Data...</v>
      </c>
    </row>
    <row r="431" spans="1:20" x14ac:dyDescent="0.25">
      <c r="A431" t="str">
        <f>_xll.BDP("6533522C Muni","ID_CUSIP")</f>
        <v>#N/A Requesting Data...</v>
      </c>
      <c r="B431" t="s">
        <v>190</v>
      </c>
      <c r="C431" t="str">
        <f>_xll.BDP("6533522C Muni","INSURANCE_STATUS")</f>
        <v>#N/A Requesting Data...</v>
      </c>
      <c r="D431" t="str">
        <f>_xll.BDP("6533522C Muni","STATE_CODE")</f>
        <v>#N/A Requesting Data...</v>
      </c>
      <c r="E431" t="str">
        <f>_xll.BDP("6533522C Muni","COUNTY_LOCATION_ISSUER")</f>
        <v>#N/A Requesting Data...</v>
      </c>
      <c r="F431" t="str">
        <f>_xll.BDP("6533522C Muni","DUR_ADJ_MID")</f>
        <v>#N/A Requesting Data...</v>
      </c>
      <c r="G431" t="str">
        <f>_xll.BDP("6533522C Muni","SPREAD_AT_ISSUANCE_TO_WORST")</f>
        <v>#N/A Requesting Data...</v>
      </c>
      <c r="H431" t="str">
        <f>_xll.BDP("6533522C Muni","ISSUE_DT")</f>
        <v>#N/A Requesting Data...</v>
      </c>
      <c r="I431" t="str">
        <f>_xll.BDS("6533522C Muni","MUNI_PURPOSE_SCHED", "aggregate=y")</f>
        <v>#N/A Review</v>
      </c>
      <c r="J431" t="str">
        <f>_xll.BDP("6533522C Muni","CPN")</f>
        <v>#N/A Requesting Data...</v>
      </c>
      <c r="K431" t="str">
        <f>_xll.BDP("6533522C Muni","MATURITY")</f>
        <v>#N/A Requesting Data...</v>
      </c>
      <c r="L431">
        <v>925000</v>
      </c>
      <c r="M431" t="str">
        <f>_xll.BDP("6533522C Muni","YIELD_ON_ISSUE_DATE")</f>
        <v>#N/A Requesting Data...</v>
      </c>
      <c r="N431" t="str">
        <f>_xll.BDP("6533522C Muni","YTW_SPREAD_TO_MATURITY_AT_ISSU")</f>
        <v>#N/A Requesting Data...</v>
      </c>
      <c r="O431" t="str">
        <f>_xll.BDP("6533522C Muni","BVAL_MID_YTM")</f>
        <v>#N/A Requesting Data...</v>
      </c>
      <c r="P431" t="str">
        <f>_xll.BDP("6533522C Muni","MUNI_TAX_PROV")</f>
        <v>#N/A Requesting Data...</v>
      </c>
      <c r="Q431" t="str">
        <f>_xll.BDP("6533522C Muni","MUNI_FED_TAX")</f>
        <v>#N/A Requesting Data...</v>
      </c>
      <c r="R431" t="str">
        <f>_xll.BDP("6533522C Muni","MUNI_MSRB_VOLUME")</f>
        <v>#N/A Requesting Data...</v>
      </c>
      <c r="S431" t="str">
        <f>_xll.BDP("6533522C Muni","BB_COMPOSITE")</f>
        <v>#N/A Requesting Data...</v>
      </c>
      <c r="T431" t="str">
        <f>_xll.BDP("6533522C Muni","LQA_LIQUIDITY_SCORE")</f>
        <v>#N/A Requesting Data...</v>
      </c>
    </row>
    <row r="432" spans="1:20" x14ac:dyDescent="0.25">
      <c r="A432" t="str">
        <f>_xll.BDP("83131PET Muni","ID_CUSIP")</f>
        <v>#N/A Requesting Data...</v>
      </c>
      <c r="B432" t="s">
        <v>201</v>
      </c>
      <c r="C432" t="str">
        <f>_xll.BDP("83131PET Muni","INSURANCE_STATUS")</f>
        <v>#N/A Requesting Data...</v>
      </c>
      <c r="D432" t="str">
        <f>_xll.BDP("83131PET Muni","STATE_CODE")</f>
        <v>#N/A Requesting Data...</v>
      </c>
      <c r="E432" t="str">
        <f>_xll.BDP("83131PET Muni","COUNTY_LOCATION_ISSUER")</f>
        <v>#N/A Requesting Data...</v>
      </c>
      <c r="F432" t="str">
        <f>_xll.BDP("83131PET Muni","DUR_ADJ_MID")</f>
        <v>#N/A Requesting Data...</v>
      </c>
      <c r="G432" t="str">
        <f>_xll.BDP("83131PET Muni","SPREAD_AT_ISSUANCE_TO_WORST")</f>
        <v>#N/A Requesting Data...</v>
      </c>
      <c r="H432" t="str">
        <f>_xll.BDP("83131PET Muni","ISSUE_DT")</f>
        <v>#N/A Requesting Data...</v>
      </c>
      <c r="I432" t="str">
        <f>_xll.BDS("83131PET Muni","MUNI_PURPOSE_SCHED", "aggregate=y")</f>
        <v>#N/A Review</v>
      </c>
      <c r="J432" t="str">
        <f>_xll.BDP("83131PET Muni","CPN")</f>
        <v>#N/A Requesting Data...</v>
      </c>
      <c r="K432" t="str">
        <f>_xll.BDP("83131PET Muni","MATURITY")</f>
        <v>#N/A Requesting Data...</v>
      </c>
      <c r="L432">
        <v>180000</v>
      </c>
      <c r="M432" t="str">
        <f>_xll.BDP("83131PET Muni","YIELD_ON_ISSUE_DATE")</f>
        <v>#N/A Requesting Data...</v>
      </c>
      <c r="N432" t="str">
        <f>_xll.BDP("83131PET Muni","YTW_SPREAD_TO_MATURITY_AT_ISSU")</f>
        <v>#N/A Requesting Data...</v>
      </c>
      <c r="O432" t="str">
        <f>_xll.BDP("83131PET Muni","BVAL_MID_YTM")</f>
        <v>#N/A Requesting Data...</v>
      </c>
      <c r="P432" t="str">
        <f>_xll.BDP("83131PET Muni","MUNI_TAX_PROV")</f>
        <v>#N/A Requesting Data...</v>
      </c>
      <c r="Q432" t="str">
        <f>_xll.BDP("83131PET Muni","MUNI_FED_TAX")</f>
        <v>#N/A Requesting Data...</v>
      </c>
      <c r="R432" t="str">
        <f>_xll.BDP("83131PET Muni","MUNI_MSRB_VOLUME")</f>
        <v>#N/A Requesting Data...</v>
      </c>
      <c r="S432" t="str">
        <f>_xll.BDP("83131PET Muni","BB_COMPOSITE")</f>
        <v>#N/A Requesting Data...</v>
      </c>
      <c r="T432" t="str">
        <f>_xll.BDP("83131PET Muni","LQA_LIQUIDITY_SCORE")</f>
        <v>#N/A Requesting Data...</v>
      </c>
    </row>
    <row r="433" spans="1:20" x14ac:dyDescent="0.25">
      <c r="A433" t="str">
        <f>_xll.BDP("83131PEU Muni","ID_CUSIP")</f>
        <v>#N/A Requesting Data...</v>
      </c>
      <c r="B433" t="s">
        <v>201</v>
      </c>
      <c r="C433" t="str">
        <f>_xll.BDP("83131PEU Muni","INSURANCE_STATUS")</f>
        <v>#N/A Requesting Data...</v>
      </c>
      <c r="D433" t="str">
        <f>_xll.BDP("83131PEU Muni","STATE_CODE")</f>
        <v>#N/A Requesting Data...</v>
      </c>
      <c r="E433" t="str">
        <f>_xll.BDP("83131PEU Muni","COUNTY_LOCATION_ISSUER")</f>
        <v>#N/A Requesting Data...</v>
      </c>
      <c r="F433" t="str">
        <f>_xll.BDP("83131PEU Muni","DUR_ADJ_MID")</f>
        <v>#N/A Requesting Data...</v>
      </c>
      <c r="G433" t="str">
        <f>_xll.BDP("83131PEU Muni","SPREAD_AT_ISSUANCE_TO_WORST")</f>
        <v>#N/A Requesting Data...</v>
      </c>
      <c r="H433" t="str">
        <f>_xll.BDP("83131PEU Muni","ISSUE_DT")</f>
        <v>#N/A Requesting Data...</v>
      </c>
      <c r="I433" t="str">
        <f>_xll.BDS("83131PEU Muni","MUNI_PURPOSE_SCHED", "aggregate=y")</f>
        <v>#N/A Review</v>
      </c>
      <c r="J433" t="str">
        <f>_xll.BDP("83131PEU Muni","CPN")</f>
        <v>#N/A Requesting Data...</v>
      </c>
      <c r="K433" t="str">
        <f>_xll.BDP("83131PEU Muni","MATURITY")</f>
        <v>#N/A Requesting Data...</v>
      </c>
      <c r="L433">
        <v>185000</v>
      </c>
      <c r="M433" t="str">
        <f>_xll.BDP("83131PEU Muni","YIELD_ON_ISSUE_DATE")</f>
        <v>#N/A Requesting Data...</v>
      </c>
      <c r="N433" t="str">
        <f>_xll.BDP("83131PEU Muni","YTW_SPREAD_TO_MATURITY_AT_ISSU")</f>
        <v>#N/A Requesting Data...</v>
      </c>
      <c r="O433" t="str">
        <f>_xll.BDP("83131PEU Muni","BVAL_MID_YTM")</f>
        <v>#N/A Requesting Data...</v>
      </c>
      <c r="P433" t="str">
        <f>_xll.BDP("83131PEU Muni","MUNI_TAX_PROV")</f>
        <v>#N/A Requesting Data...</v>
      </c>
      <c r="Q433" t="str">
        <f>_xll.BDP("83131PEU Muni","MUNI_FED_TAX")</f>
        <v>#N/A Requesting Data...</v>
      </c>
      <c r="R433" t="str">
        <f>_xll.BDP("83131PEU Muni","MUNI_MSRB_VOLUME")</f>
        <v>#N/A Requesting Data...</v>
      </c>
      <c r="S433" t="str">
        <f>_xll.BDP("83131PEU Muni","BB_COMPOSITE")</f>
        <v>#N/A Requesting Data...</v>
      </c>
      <c r="T433" t="str">
        <f>_xll.BDP("83131PEU Muni","LQA_LIQUIDITY_SCORE")</f>
        <v>#N/A Requesting Data...</v>
      </c>
    </row>
    <row r="434" spans="1:20" x14ac:dyDescent="0.25">
      <c r="A434" t="str">
        <f>_xll.BDP("83131PEV Muni","ID_CUSIP")</f>
        <v>#N/A Requesting Data...</v>
      </c>
      <c r="B434" t="s">
        <v>201</v>
      </c>
      <c r="C434" t="str">
        <f>_xll.BDP("83131PEV Muni","INSURANCE_STATUS")</f>
        <v>#N/A Requesting Data...</v>
      </c>
      <c r="D434" t="str">
        <f>_xll.BDP("83131PEV Muni","STATE_CODE")</f>
        <v>#N/A Requesting Data...</v>
      </c>
      <c r="E434" t="str">
        <f>_xll.BDP("83131PEV Muni","COUNTY_LOCATION_ISSUER")</f>
        <v>#N/A Requesting Data...</v>
      </c>
      <c r="F434" t="str">
        <f>_xll.BDP("83131PEV Muni","DUR_ADJ_MID")</f>
        <v>#N/A Requesting Data...</v>
      </c>
      <c r="G434" t="str">
        <f>_xll.BDP("83131PEV Muni","SPREAD_AT_ISSUANCE_TO_WORST")</f>
        <v>#N/A Requesting Data...</v>
      </c>
      <c r="H434" t="str">
        <f>_xll.BDP("83131PEV Muni","ISSUE_DT")</f>
        <v>#N/A Requesting Data...</v>
      </c>
      <c r="I434" t="str">
        <f>_xll.BDS("83131PEV Muni","MUNI_PURPOSE_SCHED", "aggregate=y")</f>
        <v>#N/A Review</v>
      </c>
      <c r="J434" t="str">
        <f>_xll.BDP("83131PEV Muni","CPN")</f>
        <v>#N/A Requesting Data...</v>
      </c>
      <c r="K434" t="str">
        <f>_xll.BDP("83131PEV Muni","MATURITY")</f>
        <v>#N/A Requesting Data...</v>
      </c>
      <c r="L434">
        <v>190000</v>
      </c>
      <c r="M434" t="str">
        <f>_xll.BDP("83131PEV Muni","YIELD_ON_ISSUE_DATE")</f>
        <v>#N/A Requesting Data...</v>
      </c>
      <c r="N434" t="str">
        <f>_xll.BDP("83131PEV Muni","YTW_SPREAD_TO_MATURITY_AT_ISSU")</f>
        <v>#N/A Requesting Data...</v>
      </c>
      <c r="O434" t="str">
        <f>_xll.BDP("83131PEV Muni","BVAL_MID_YTM")</f>
        <v>#N/A Requesting Data...</v>
      </c>
      <c r="P434" t="str">
        <f>_xll.BDP("83131PEV Muni","MUNI_TAX_PROV")</f>
        <v>#N/A Requesting Data...</v>
      </c>
      <c r="Q434" t="str">
        <f>_xll.BDP("83131PEV Muni","MUNI_FED_TAX")</f>
        <v>#N/A Requesting Data...</v>
      </c>
      <c r="R434" t="str">
        <f>_xll.BDP("83131PEV Muni","MUNI_MSRB_VOLUME")</f>
        <v>#N/A Requesting Data...</v>
      </c>
      <c r="S434" t="str">
        <f>_xll.BDP("83131PEV Muni","BB_COMPOSITE")</f>
        <v>#N/A Requesting Data...</v>
      </c>
      <c r="T434" t="str">
        <f>_xll.BDP("83131PEV Muni","LQA_LIQUIDITY_SCORE")</f>
        <v>#N/A Requesting Data...</v>
      </c>
    </row>
    <row r="435" spans="1:20" x14ac:dyDescent="0.25">
      <c r="A435" t="str">
        <f>_xll.BDP("832458C7 Muni","ID_CUSIP")</f>
        <v>#N/A Requesting Data...</v>
      </c>
      <c r="B435" t="s">
        <v>202</v>
      </c>
      <c r="C435" t="str">
        <f>_xll.BDP("832458C7 Muni","INSURANCE_STATUS")</f>
        <v>#N/A Requesting Data...</v>
      </c>
      <c r="D435" t="str">
        <f>_xll.BDP("832458C7 Muni","STATE_CODE")</f>
        <v>#N/A Requesting Data...</v>
      </c>
      <c r="E435" t="str">
        <f>_xll.BDP("832458C7 Muni","COUNTY_LOCATION_ISSUER")</f>
        <v>#N/A Requesting Data...</v>
      </c>
      <c r="F435" t="str">
        <f>_xll.BDP("832458C7 Muni","DUR_ADJ_MID")</f>
        <v>#N/A Requesting Data...</v>
      </c>
      <c r="G435" t="str">
        <f>_xll.BDP("832458C7 Muni","SPREAD_AT_ISSUANCE_TO_WORST")</f>
        <v>#N/A Requesting Data...</v>
      </c>
      <c r="H435" t="str">
        <f>_xll.BDP("832458C7 Muni","ISSUE_DT")</f>
        <v>#N/A Requesting Data...</v>
      </c>
      <c r="I435" t="str">
        <f>_xll.BDS("832458C7 Muni","MUNI_PURPOSE_SCHED", "aggregate=y")</f>
        <v>#N/A Review</v>
      </c>
      <c r="J435" t="str">
        <f>_xll.BDP("832458C7 Muni","CPN")</f>
        <v>#N/A Requesting Data...</v>
      </c>
      <c r="K435" t="str">
        <f>_xll.BDP("832458C7 Muni","MATURITY")</f>
        <v>#N/A Requesting Data...</v>
      </c>
      <c r="L435">
        <v>275000</v>
      </c>
      <c r="M435" t="str">
        <f>_xll.BDP("832458C7 Muni","YIELD_ON_ISSUE_DATE")</f>
        <v>#N/A Requesting Data...</v>
      </c>
      <c r="N435" t="str">
        <f>_xll.BDP("832458C7 Muni","YTW_SPREAD_TO_MATURITY_AT_ISSU")</f>
        <v>#N/A Requesting Data...</v>
      </c>
      <c r="O435" t="str">
        <f>_xll.BDP("832458C7 Muni","BVAL_MID_YTM")</f>
        <v>#N/A Requesting Data...</v>
      </c>
      <c r="P435" t="str">
        <f>_xll.BDP("832458C7 Muni","MUNI_TAX_PROV")</f>
        <v>#N/A Requesting Data...</v>
      </c>
      <c r="Q435" t="str">
        <f>_xll.BDP("832458C7 Muni","MUNI_FED_TAX")</f>
        <v>#N/A Requesting Data...</v>
      </c>
      <c r="R435" t="str">
        <f>_xll.BDP("832458C7 Muni","MUNI_MSRB_VOLUME")</f>
        <v>#N/A Requesting Data...</v>
      </c>
      <c r="S435" t="str">
        <f>_xll.BDP("832458C7 Muni","BB_COMPOSITE")</f>
        <v>#N/A Requesting Data...</v>
      </c>
      <c r="T435" t="str">
        <f>_xll.BDP("832458C7 Muni","LQA_LIQUIDITY_SCORE")</f>
        <v>#N/A Requesting Data...</v>
      </c>
    </row>
    <row r="436" spans="1:20" x14ac:dyDescent="0.25">
      <c r="A436" t="str">
        <f>_xll.BDP("832458C8 Muni","ID_CUSIP")</f>
        <v>#N/A Requesting Data...</v>
      </c>
      <c r="B436" t="s">
        <v>202</v>
      </c>
      <c r="C436" t="str">
        <f>_xll.BDP("832458C8 Muni","INSURANCE_STATUS")</f>
        <v>#N/A Requesting Data...</v>
      </c>
      <c r="D436" t="str">
        <f>_xll.BDP("832458C8 Muni","STATE_CODE")</f>
        <v>#N/A Requesting Data...</v>
      </c>
      <c r="E436" t="str">
        <f>_xll.BDP("832458C8 Muni","COUNTY_LOCATION_ISSUER")</f>
        <v>#N/A Requesting Data...</v>
      </c>
      <c r="F436" t="str">
        <f>_xll.BDP("832458C8 Muni","DUR_ADJ_MID")</f>
        <v>#N/A Requesting Data...</v>
      </c>
      <c r="G436" t="str">
        <f>_xll.BDP("832458C8 Muni","SPREAD_AT_ISSUANCE_TO_WORST")</f>
        <v>#N/A Requesting Data...</v>
      </c>
      <c r="H436" t="str">
        <f>_xll.BDP("832458C8 Muni","ISSUE_DT")</f>
        <v>#N/A Requesting Data...</v>
      </c>
      <c r="I436" t="str">
        <f>_xll.BDS("832458C8 Muni","MUNI_PURPOSE_SCHED", "aggregate=y")</f>
        <v>#N/A Review</v>
      </c>
      <c r="J436" t="str">
        <f>_xll.BDP("832458C8 Muni","CPN")</f>
        <v>#N/A Requesting Data...</v>
      </c>
      <c r="K436" t="str">
        <f>_xll.BDP("832458C8 Muni","MATURITY")</f>
        <v>#N/A Requesting Data...</v>
      </c>
      <c r="L436">
        <v>275000</v>
      </c>
      <c r="M436" t="str">
        <f>_xll.BDP("832458C8 Muni","YIELD_ON_ISSUE_DATE")</f>
        <v>#N/A Requesting Data...</v>
      </c>
      <c r="N436" t="str">
        <f>_xll.BDP("832458C8 Muni","YTW_SPREAD_TO_MATURITY_AT_ISSU")</f>
        <v>#N/A Requesting Data...</v>
      </c>
      <c r="O436" t="str">
        <f>_xll.BDP("832458C8 Muni","BVAL_MID_YTM")</f>
        <v>#N/A Requesting Data...</v>
      </c>
      <c r="P436" t="str">
        <f>_xll.BDP("832458C8 Muni","MUNI_TAX_PROV")</f>
        <v>#N/A Requesting Data...</v>
      </c>
      <c r="Q436" t="str">
        <f>_xll.BDP("832458C8 Muni","MUNI_FED_TAX")</f>
        <v>#N/A Requesting Data...</v>
      </c>
      <c r="R436" t="str">
        <f>_xll.BDP("832458C8 Muni","MUNI_MSRB_VOLUME")</f>
        <v>#N/A Requesting Data...</v>
      </c>
      <c r="S436" t="str">
        <f>_xll.BDP("832458C8 Muni","BB_COMPOSITE")</f>
        <v>#N/A Requesting Data...</v>
      </c>
      <c r="T436" t="str">
        <f>_xll.BDP("832458C8 Muni","LQA_LIQUIDITY_SCORE")</f>
        <v>#N/A Requesting Data...</v>
      </c>
    </row>
    <row r="437" spans="1:20" x14ac:dyDescent="0.25">
      <c r="A437" t="str">
        <f>_xll.BDP("832458C9 Muni","ID_CUSIP")</f>
        <v>#N/A Requesting Data...</v>
      </c>
      <c r="B437" t="s">
        <v>202</v>
      </c>
      <c r="C437" t="str">
        <f>_xll.BDP("832458C9 Muni","INSURANCE_STATUS")</f>
        <v>#N/A Requesting Data...</v>
      </c>
      <c r="D437" t="str">
        <f>_xll.BDP("832458C9 Muni","STATE_CODE")</f>
        <v>#N/A Requesting Data...</v>
      </c>
      <c r="E437" t="str">
        <f>_xll.BDP("832458C9 Muni","COUNTY_LOCATION_ISSUER")</f>
        <v>#N/A Requesting Data...</v>
      </c>
      <c r="F437" t="str">
        <f>_xll.BDP("832458C9 Muni","DUR_ADJ_MID")</f>
        <v>#N/A Requesting Data...</v>
      </c>
      <c r="G437" t="str">
        <f>_xll.BDP("832458C9 Muni","SPREAD_AT_ISSUANCE_TO_WORST")</f>
        <v>#N/A Requesting Data...</v>
      </c>
      <c r="H437" t="str">
        <f>_xll.BDP("832458C9 Muni","ISSUE_DT")</f>
        <v>#N/A Requesting Data...</v>
      </c>
      <c r="I437" t="str">
        <f>_xll.BDS("832458C9 Muni","MUNI_PURPOSE_SCHED", "aggregate=y")</f>
        <v>#N/A Review</v>
      </c>
      <c r="J437" t="str">
        <f>_xll.BDP("832458C9 Muni","CPN")</f>
        <v>#N/A Requesting Data...</v>
      </c>
      <c r="K437" t="str">
        <f>_xll.BDP("832458C9 Muni","MATURITY")</f>
        <v>#N/A Requesting Data...</v>
      </c>
      <c r="L437">
        <v>285000</v>
      </c>
      <c r="M437" t="str">
        <f>_xll.BDP("832458C9 Muni","YIELD_ON_ISSUE_DATE")</f>
        <v>#N/A Requesting Data...</v>
      </c>
      <c r="N437" t="str">
        <f>_xll.BDP("832458C9 Muni","YTW_SPREAD_TO_MATURITY_AT_ISSU")</f>
        <v>#N/A Requesting Data...</v>
      </c>
      <c r="O437" t="str">
        <f>_xll.BDP("832458C9 Muni","BVAL_MID_YTM")</f>
        <v>#N/A Requesting Data...</v>
      </c>
      <c r="P437" t="str">
        <f>_xll.BDP("832458C9 Muni","MUNI_TAX_PROV")</f>
        <v>#N/A Requesting Data...</v>
      </c>
      <c r="Q437" t="str">
        <f>_xll.BDP("832458C9 Muni","MUNI_FED_TAX")</f>
        <v>#N/A Requesting Data...</v>
      </c>
      <c r="R437" t="str">
        <f>_xll.BDP("832458C9 Muni","MUNI_MSRB_VOLUME")</f>
        <v>#N/A Requesting Data...</v>
      </c>
      <c r="S437" t="str">
        <f>_xll.BDP("832458C9 Muni","BB_COMPOSITE")</f>
        <v>#N/A Requesting Data...</v>
      </c>
      <c r="T437" t="str">
        <f>_xll.BDP("832458C9 Muni","LQA_LIQUIDITY_SCORE")</f>
        <v>#N/A Requesting Data...</v>
      </c>
    </row>
    <row r="438" spans="1:20" x14ac:dyDescent="0.25">
      <c r="A438" t="str">
        <f>_xll.BDP("655308BA Muni","ID_CUSIP")</f>
        <v>#N/A Requesting Data...</v>
      </c>
      <c r="B438" t="s">
        <v>191</v>
      </c>
      <c r="C438" t="str">
        <f>_xll.BDP("655308BA Muni","INSURANCE_STATUS")</f>
        <v>#N/A Requesting Data...</v>
      </c>
      <c r="D438" t="str">
        <f>_xll.BDP("655308BA Muni","STATE_CODE")</f>
        <v>#N/A Requesting Data...</v>
      </c>
      <c r="E438" t="str">
        <f>_xll.BDP("655308BA Muni","COUNTY_LOCATION_ISSUER")</f>
        <v>#N/A Requesting Data...</v>
      </c>
      <c r="F438" t="str">
        <f>_xll.BDP("655308BA Muni","DUR_ADJ_MID")</f>
        <v>#N/A Requesting Data...</v>
      </c>
      <c r="G438" t="str">
        <f>_xll.BDP("655308BA Muni","SPREAD_AT_ISSUANCE_TO_WORST")</f>
        <v>#N/A Requesting Data...</v>
      </c>
      <c r="H438" t="str">
        <f>_xll.BDP("655308BA Muni","ISSUE_DT")</f>
        <v>#N/A Requesting Data...</v>
      </c>
      <c r="I438" t="str">
        <f>_xll.BDS("655308BA Muni","MUNI_PURPOSE_SCHED", "aggregate=y")</f>
        <v>#N/A Review</v>
      </c>
      <c r="J438" t="str">
        <f>_xll.BDP("655308BA Muni","CPN")</f>
        <v>#N/A Requesting Data...</v>
      </c>
      <c r="K438" t="str">
        <f>_xll.BDP("655308BA Muni","MATURITY")</f>
        <v>#N/A Requesting Data...</v>
      </c>
      <c r="L438">
        <v>500000</v>
      </c>
      <c r="M438" t="str">
        <f>_xll.BDP("655308BA Muni","YIELD_ON_ISSUE_DATE")</f>
        <v>#N/A Requesting Data...</v>
      </c>
      <c r="N438" t="str">
        <f>_xll.BDP("655308BA Muni","YTW_SPREAD_TO_MATURITY_AT_ISSU")</f>
        <v>#N/A Requesting Data...</v>
      </c>
      <c r="O438" t="str">
        <f>_xll.BDP("655308BA Muni","BVAL_MID_YTM")</f>
        <v>#N/A Requesting Data...</v>
      </c>
      <c r="P438" t="str">
        <f>_xll.BDP("655308BA Muni","MUNI_TAX_PROV")</f>
        <v>#N/A Requesting Data...</v>
      </c>
      <c r="Q438" t="str">
        <f>_xll.BDP("655308BA Muni","MUNI_FED_TAX")</f>
        <v>#N/A Requesting Data...</v>
      </c>
      <c r="R438" t="str">
        <f>_xll.BDP("655308BA Muni","MUNI_MSRB_VOLUME")</f>
        <v>#N/A Requesting Data...</v>
      </c>
      <c r="S438" t="str">
        <f>_xll.BDP("655308BA Muni","BB_COMPOSITE")</f>
        <v>#N/A Requesting Data...</v>
      </c>
      <c r="T438" t="str">
        <f>_xll.BDP("655308BA Muni","LQA_LIQUIDITY_SCORE")</f>
        <v>#N/A Requesting Data...</v>
      </c>
    </row>
    <row r="439" spans="1:20" x14ac:dyDescent="0.25">
      <c r="A439" t="str">
        <f>_xll.BDP("657339B3 Muni","ID_CUSIP")</f>
        <v>#N/A Requesting Data...</v>
      </c>
      <c r="B439" t="s">
        <v>203</v>
      </c>
      <c r="C439" t="str">
        <f>_xll.BDP("657339B3 Muni","INSURANCE_STATUS")</f>
        <v>#N/A Requesting Data...</v>
      </c>
      <c r="D439" t="str">
        <f>_xll.BDP("657339B3 Muni","STATE_CODE")</f>
        <v>#N/A Requesting Data...</v>
      </c>
      <c r="E439" t="str">
        <f>_xll.BDP("657339B3 Muni","COUNTY_LOCATION_ISSUER")</f>
        <v>#N/A Requesting Data...</v>
      </c>
      <c r="F439" t="str">
        <f>_xll.BDP("657339B3 Muni","DUR_ADJ_MID")</f>
        <v>#N/A Requesting Data...</v>
      </c>
      <c r="G439" t="str">
        <f>_xll.BDP("657339B3 Muni","SPREAD_AT_ISSUANCE_TO_WORST")</f>
        <v>#N/A Requesting Data...</v>
      </c>
      <c r="H439" t="str">
        <f>_xll.BDP("657339B3 Muni","ISSUE_DT")</f>
        <v>#N/A Requesting Data...</v>
      </c>
      <c r="I439" t="str">
        <f>_xll.BDS("657339B3 Muni","MUNI_PURPOSE_SCHED", "aggregate=y")</f>
        <v>#N/A Review</v>
      </c>
      <c r="J439" t="str">
        <f>_xll.BDP("657339B3 Muni","CPN")</f>
        <v>#N/A Requesting Data...</v>
      </c>
      <c r="K439" t="str">
        <f>_xll.BDP("657339B3 Muni","MATURITY")</f>
        <v>#N/A Requesting Data...</v>
      </c>
      <c r="L439">
        <v>290000</v>
      </c>
      <c r="M439" t="str">
        <f>_xll.BDP("657339B3 Muni","YIELD_ON_ISSUE_DATE")</f>
        <v>#N/A Requesting Data...</v>
      </c>
      <c r="N439" t="str">
        <f>_xll.BDP("657339B3 Muni","YTW_SPREAD_TO_MATURITY_AT_ISSU")</f>
        <v>#N/A Requesting Data...</v>
      </c>
      <c r="O439" t="str">
        <f>_xll.BDP("657339B3 Muni","BVAL_MID_YTM")</f>
        <v>#N/A Requesting Data...</v>
      </c>
      <c r="P439" t="str">
        <f>_xll.BDP("657339B3 Muni","MUNI_TAX_PROV")</f>
        <v>#N/A Requesting Data...</v>
      </c>
      <c r="Q439" t="str">
        <f>_xll.BDP("657339B3 Muni","MUNI_FED_TAX")</f>
        <v>#N/A Requesting Data...</v>
      </c>
      <c r="R439" t="str">
        <f>_xll.BDP("657339B3 Muni","MUNI_MSRB_VOLUME")</f>
        <v>#N/A Requesting Data...</v>
      </c>
      <c r="S439" t="str">
        <f>_xll.BDP("657339B3 Muni","BB_COMPOSITE")</f>
        <v>#N/A Requesting Data...</v>
      </c>
      <c r="T439" t="str">
        <f>_xll.BDP("657339B3 Muni","LQA_LIQUIDITY_SCORE")</f>
        <v>#N/A Requesting Data...</v>
      </c>
    </row>
    <row r="440" spans="1:20" x14ac:dyDescent="0.25">
      <c r="A440" t="str">
        <f>_xll.BDP("657339B4 Muni","ID_CUSIP")</f>
        <v>#N/A Requesting Data...</v>
      </c>
      <c r="B440" t="s">
        <v>203</v>
      </c>
      <c r="C440" t="str">
        <f>_xll.BDP("657339B4 Muni","INSURANCE_STATUS")</f>
        <v>#N/A Requesting Data...</v>
      </c>
      <c r="D440" t="str">
        <f>_xll.BDP("657339B4 Muni","STATE_CODE")</f>
        <v>#N/A Requesting Data...</v>
      </c>
      <c r="E440" t="str">
        <f>_xll.BDP("657339B4 Muni","COUNTY_LOCATION_ISSUER")</f>
        <v>#N/A Requesting Data...</v>
      </c>
      <c r="F440" t="str">
        <f>_xll.BDP("657339B4 Muni","DUR_ADJ_MID")</f>
        <v>#N/A Requesting Data...</v>
      </c>
      <c r="G440" t="str">
        <f>_xll.BDP("657339B4 Muni","SPREAD_AT_ISSUANCE_TO_WORST")</f>
        <v>#N/A Requesting Data...</v>
      </c>
      <c r="H440" t="str">
        <f>_xll.BDP("657339B4 Muni","ISSUE_DT")</f>
        <v>#N/A Requesting Data...</v>
      </c>
      <c r="I440" t="str">
        <f>_xll.BDS("657339B4 Muni","MUNI_PURPOSE_SCHED", "aggregate=y")</f>
        <v>#N/A Review</v>
      </c>
      <c r="J440" t="str">
        <f>_xll.BDP("657339B4 Muni","CPN")</f>
        <v>#N/A Requesting Data...</v>
      </c>
      <c r="K440" t="str">
        <f>_xll.BDP("657339B4 Muni","MATURITY")</f>
        <v>#N/A Requesting Data...</v>
      </c>
      <c r="L440">
        <v>290000</v>
      </c>
      <c r="M440" t="str">
        <f>_xll.BDP("657339B4 Muni","YIELD_ON_ISSUE_DATE")</f>
        <v>#N/A Requesting Data...</v>
      </c>
      <c r="N440" t="str">
        <f>_xll.BDP("657339B4 Muni","YTW_SPREAD_TO_MATURITY_AT_ISSU")</f>
        <v>#N/A Requesting Data...</v>
      </c>
      <c r="O440" t="str">
        <f>_xll.BDP("657339B4 Muni","BVAL_MID_YTM")</f>
        <v>#N/A Requesting Data...</v>
      </c>
      <c r="P440" t="str">
        <f>_xll.BDP("657339B4 Muni","MUNI_TAX_PROV")</f>
        <v>#N/A Requesting Data...</v>
      </c>
      <c r="Q440" t="str">
        <f>_xll.BDP("657339B4 Muni","MUNI_FED_TAX")</f>
        <v>#N/A Requesting Data...</v>
      </c>
      <c r="R440" t="str">
        <f>_xll.BDP("657339B4 Muni","MUNI_MSRB_VOLUME")</f>
        <v>#N/A Requesting Data...</v>
      </c>
      <c r="S440" t="str">
        <f>_xll.BDP("657339B4 Muni","BB_COMPOSITE")</f>
        <v>#N/A Requesting Data...</v>
      </c>
      <c r="T440" t="str">
        <f>_xll.BDP("657339B4 Muni","LQA_LIQUIDITY_SCORE")</f>
        <v>#N/A Requesting Data...</v>
      </c>
    </row>
    <row r="441" spans="1:20" x14ac:dyDescent="0.25">
      <c r="A441" t="str">
        <f>_xll.BDP("657551FR Muni","ID_CUSIP")</f>
        <v>#N/A Requesting Data...</v>
      </c>
      <c r="B441" t="s">
        <v>204</v>
      </c>
      <c r="C441" t="str">
        <f>_xll.BDP("657551FR Muni","INSURANCE_STATUS")</f>
        <v>#N/A Requesting Data...</v>
      </c>
      <c r="D441" t="str">
        <f>_xll.BDP("657551FR Muni","STATE_CODE")</f>
        <v>#N/A Requesting Data...</v>
      </c>
      <c r="E441" t="str">
        <f>_xll.BDP("657551FR Muni","COUNTY_LOCATION_ISSUER")</f>
        <v>#N/A Requesting Data...</v>
      </c>
      <c r="F441" t="str">
        <f>_xll.BDP("657551FR Muni","DUR_ADJ_MID")</f>
        <v>#N/A Requesting Data...</v>
      </c>
      <c r="G441" t="str">
        <f>_xll.BDP("657551FR Muni","SPREAD_AT_ISSUANCE_TO_WORST")</f>
        <v>#N/A Requesting Data...</v>
      </c>
      <c r="H441" t="str">
        <f>_xll.BDP("657551FR Muni","ISSUE_DT")</f>
        <v>#N/A Requesting Data...</v>
      </c>
      <c r="I441" t="str">
        <f>_xll.BDS("657551FR Muni","MUNI_PURPOSE_SCHED", "aggregate=y")</f>
        <v>#N/A Review</v>
      </c>
      <c r="J441" t="str">
        <f>_xll.BDP("657551FR Muni","CPN")</f>
        <v>#N/A Requesting Data...</v>
      </c>
      <c r="K441" t="str">
        <f>_xll.BDP("657551FR Muni","MATURITY")</f>
        <v>#N/A Requesting Data...</v>
      </c>
      <c r="L441">
        <v>300000</v>
      </c>
      <c r="M441" t="str">
        <f>_xll.BDP("657551FR Muni","YIELD_ON_ISSUE_DATE")</f>
        <v>#N/A Requesting Data...</v>
      </c>
      <c r="N441" t="str">
        <f>_xll.BDP("657551FR Muni","YTW_SPREAD_TO_MATURITY_AT_ISSU")</f>
        <v>#N/A Requesting Data...</v>
      </c>
      <c r="O441" t="str">
        <f>_xll.BDP("657551FR Muni","BVAL_MID_YTM")</f>
        <v>#N/A Requesting Data...</v>
      </c>
      <c r="P441" t="str">
        <f>_xll.BDP("657551FR Muni","MUNI_TAX_PROV")</f>
        <v>#N/A Requesting Data...</v>
      </c>
      <c r="Q441" t="str">
        <f>_xll.BDP("657551FR Muni","MUNI_FED_TAX")</f>
        <v>#N/A Requesting Data...</v>
      </c>
      <c r="R441" t="str">
        <f>_xll.BDP("657551FR Muni","MUNI_MSRB_VOLUME")</f>
        <v>#N/A Requesting Data...</v>
      </c>
      <c r="S441" t="str">
        <f>_xll.BDP("657551FR Muni","BB_COMPOSITE")</f>
        <v>#N/A Requesting Data...</v>
      </c>
      <c r="T441" t="str">
        <f>_xll.BDP("657551FR Muni","LQA_LIQUIDITY_SCORE")</f>
        <v>#N/A Requesting Data...</v>
      </c>
    </row>
    <row r="442" spans="1:20" x14ac:dyDescent="0.25">
      <c r="A442" t="str">
        <f>_xll.BDP("657551FS Muni","ID_CUSIP")</f>
        <v>#N/A Requesting Data...</v>
      </c>
      <c r="B442" t="s">
        <v>204</v>
      </c>
      <c r="C442" t="str">
        <f>_xll.BDP("657551FS Muni","INSURANCE_STATUS")</f>
        <v>#N/A Requesting Data...</v>
      </c>
      <c r="D442" t="str">
        <f>_xll.BDP("657551FS Muni","STATE_CODE")</f>
        <v>#N/A Requesting Data...</v>
      </c>
      <c r="E442" t="str">
        <f>_xll.BDP("657551FS Muni","COUNTY_LOCATION_ISSUER")</f>
        <v>#N/A Requesting Data...</v>
      </c>
      <c r="F442" t="str">
        <f>_xll.BDP("657551FS Muni","DUR_ADJ_MID")</f>
        <v>#N/A Requesting Data...</v>
      </c>
      <c r="G442" t="str">
        <f>_xll.BDP("657551FS Muni","SPREAD_AT_ISSUANCE_TO_WORST")</f>
        <v>#N/A Requesting Data...</v>
      </c>
      <c r="H442" t="str">
        <f>_xll.BDP("657551FS Muni","ISSUE_DT")</f>
        <v>#N/A Requesting Data...</v>
      </c>
      <c r="I442" t="str">
        <f>_xll.BDS("657551FS Muni","MUNI_PURPOSE_SCHED", "aggregate=y")</f>
        <v>#N/A Review</v>
      </c>
      <c r="J442" t="str">
        <f>_xll.BDP("657551FS Muni","CPN")</f>
        <v>#N/A Requesting Data...</v>
      </c>
      <c r="K442" t="str">
        <f>_xll.BDP("657551FS Muni","MATURITY")</f>
        <v>#N/A Requesting Data...</v>
      </c>
      <c r="L442">
        <v>350000</v>
      </c>
      <c r="M442" t="str">
        <f>_xll.BDP("657551FS Muni","YIELD_ON_ISSUE_DATE")</f>
        <v>#N/A Requesting Data...</v>
      </c>
      <c r="N442" t="str">
        <f>_xll.BDP("657551FS Muni","YTW_SPREAD_TO_MATURITY_AT_ISSU")</f>
        <v>#N/A Requesting Data...</v>
      </c>
      <c r="O442" t="str">
        <f>_xll.BDP("657551FS Muni","BVAL_MID_YTM")</f>
        <v>#N/A Requesting Data...</v>
      </c>
      <c r="P442" t="str">
        <f>_xll.BDP("657551FS Muni","MUNI_TAX_PROV")</f>
        <v>#N/A Requesting Data...</v>
      </c>
      <c r="Q442" t="str">
        <f>_xll.BDP("657551FS Muni","MUNI_FED_TAX")</f>
        <v>#N/A Requesting Data...</v>
      </c>
      <c r="R442" t="str">
        <f>_xll.BDP("657551FS Muni","MUNI_MSRB_VOLUME")</f>
        <v>#N/A Requesting Data...</v>
      </c>
      <c r="S442" t="str">
        <f>_xll.BDP("657551FS Muni","BB_COMPOSITE")</f>
        <v>#N/A Requesting Data...</v>
      </c>
      <c r="T442" t="str">
        <f>_xll.BDP("657551FS Muni","LQA_LIQUIDITY_SCORE")</f>
        <v>#N/A Requesting Data...</v>
      </c>
    </row>
    <row r="443" spans="1:20" x14ac:dyDescent="0.25">
      <c r="A443" t="str">
        <f>_xll.BDP("769595BX Muni","ID_CUSIP")</f>
        <v>#N/A Requesting Data...</v>
      </c>
      <c r="B443" t="s">
        <v>125</v>
      </c>
      <c r="C443" t="str">
        <f>_xll.BDP("769595BX Muni","INSURANCE_STATUS")</f>
        <v>#N/A Requesting Data...</v>
      </c>
      <c r="D443" t="str">
        <f>_xll.BDP("769595BX Muni","STATE_CODE")</f>
        <v>#N/A Requesting Data...</v>
      </c>
      <c r="E443" t="str">
        <f>_xll.BDP("769595BX Muni","COUNTY_LOCATION_ISSUER")</f>
        <v>#N/A Requesting Data...</v>
      </c>
      <c r="F443" t="str">
        <f>_xll.BDP("769595BX Muni","DUR_ADJ_MID")</f>
        <v>#N/A Requesting Data...</v>
      </c>
      <c r="G443" t="str">
        <f>_xll.BDP("769595BX Muni","SPREAD_AT_ISSUANCE_TO_WORST")</f>
        <v>#N/A Requesting Data...</v>
      </c>
      <c r="H443" t="str">
        <f>_xll.BDP("769595BX Muni","ISSUE_DT")</f>
        <v>#N/A Requesting Data...</v>
      </c>
      <c r="I443" t="str">
        <f>_xll.BDS("769595BX Muni","MUNI_PURPOSE_SCHED", "aggregate=y")</f>
        <v>#N/A Review</v>
      </c>
      <c r="J443" t="str">
        <f>_xll.BDP("769595BX Muni","CPN")</f>
        <v>#N/A Requesting Data...</v>
      </c>
      <c r="K443" t="str">
        <f>_xll.BDP("769595BX Muni","MATURITY")</f>
        <v>#N/A Requesting Data...</v>
      </c>
      <c r="L443">
        <v>1185000</v>
      </c>
      <c r="M443" t="str">
        <f>_xll.BDP("769595BX Muni","YIELD_ON_ISSUE_DATE")</f>
        <v>#N/A Requesting Data...</v>
      </c>
      <c r="N443" t="str">
        <f>_xll.BDP("769595BX Muni","YTW_SPREAD_TO_MATURITY_AT_ISSU")</f>
        <v>#N/A Requesting Data...</v>
      </c>
      <c r="O443" t="str">
        <f>_xll.BDP("769595BX Muni","BVAL_MID_YTM")</f>
        <v>#N/A Requesting Data...</v>
      </c>
      <c r="P443" t="str">
        <f>_xll.BDP("769595BX Muni","MUNI_TAX_PROV")</f>
        <v>#N/A Requesting Data...</v>
      </c>
      <c r="Q443" t="str">
        <f>_xll.BDP("769595BX Muni","MUNI_FED_TAX")</f>
        <v>#N/A Requesting Data...</v>
      </c>
      <c r="R443" t="str">
        <f>_xll.BDP("769595BX Muni","MUNI_MSRB_VOLUME")</f>
        <v>#N/A Requesting Data...</v>
      </c>
      <c r="S443" t="str">
        <f>_xll.BDP("769595BX Muni","BB_COMPOSITE")</f>
        <v>#N/A Requesting Data...</v>
      </c>
      <c r="T443" t="str">
        <f>_xll.BDP("769595BX Muni","LQA_LIQUIDITY_SCORE")</f>
        <v>#N/A Requesting Data...</v>
      </c>
    </row>
    <row r="444" spans="1:20" x14ac:dyDescent="0.25">
      <c r="A444" t="str">
        <f>_xll.BDP("763750HD Muni","ID_CUSIP")</f>
        <v>#N/A Requesting Data...</v>
      </c>
      <c r="B444" t="s">
        <v>205</v>
      </c>
      <c r="C444" t="str">
        <f>_xll.BDP("763750HD Muni","INSURANCE_STATUS")</f>
        <v>#N/A Requesting Data...</v>
      </c>
      <c r="D444" t="str">
        <f>_xll.BDP("763750HD Muni","STATE_CODE")</f>
        <v>#N/A Requesting Data...</v>
      </c>
      <c r="E444" t="str">
        <f>_xll.BDP("763750HD Muni","COUNTY_LOCATION_ISSUER")</f>
        <v>#N/A Requesting Data...</v>
      </c>
      <c r="F444" t="str">
        <f>_xll.BDP("763750HD Muni","DUR_ADJ_MID")</f>
        <v>#N/A Requesting Data...</v>
      </c>
      <c r="G444" t="str">
        <f>_xll.BDP("763750HD Muni","SPREAD_AT_ISSUANCE_TO_WORST")</f>
        <v>#N/A Requesting Data...</v>
      </c>
      <c r="H444" t="str">
        <f>_xll.BDP("763750HD Muni","ISSUE_DT")</f>
        <v>#N/A Requesting Data...</v>
      </c>
      <c r="I444" t="str">
        <f>_xll.BDS("763750HD Muni","MUNI_PURPOSE_SCHED", "aggregate=y")</f>
        <v>#N/A Review</v>
      </c>
      <c r="J444" t="str">
        <f>_xll.BDP("763750HD Muni","CPN")</f>
        <v>#N/A Requesting Data...</v>
      </c>
      <c r="K444" t="str">
        <f>_xll.BDP("763750HD Muni","MATURITY")</f>
        <v>#N/A Requesting Data...</v>
      </c>
      <c r="L444">
        <v>195000</v>
      </c>
      <c r="M444" t="str">
        <f>_xll.BDP("763750HD Muni","YIELD_ON_ISSUE_DATE")</f>
        <v>#N/A Requesting Data...</v>
      </c>
      <c r="N444" t="str">
        <f>_xll.BDP("763750HD Muni","YTW_SPREAD_TO_MATURITY_AT_ISSU")</f>
        <v>#N/A Requesting Data...</v>
      </c>
      <c r="O444" t="str">
        <f>_xll.BDP("763750HD Muni","BVAL_MID_YTM")</f>
        <v>#N/A Requesting Data...</v>
      </c>
      <c r="P444" t="str">
        <f>_xll.BDP("763750HD Muni","MUNI_TAX_PROV")</f>
        <v>#N/A Requesting Data...</v>
      </c>
      <c r="Q444" t="str">
        <f>_xll.BDP("763750HD Muni","MUNI_FED_TAX")</f>
        <v>#N/A Requesting Data...</v>
      </c>
      <c r="R444" t="str">
        <f>_xll.BDP("763750HD Muni","MUNI_MSRB_VOLUME")</f>
        <v>#N/A Requesting Data...</v>
      </c>
      <c r="S444" t="str">
        <f>_xll.BDP("763750HD Muni","BB_COMPOSITE")</f>
        <v>#N/A Requesting Data...</v>
      </c>
      <c r="T444" t="str">
        <f>_xll.BDP("763750HD Muni","LQA_LIQUIDITY_SCORE")</f>
        <v>#N/A Requesting Data...</v>
      </c>
    </row>
    <row r="445" spans="1:20" x14ac:dyDescent="0.25">
      <c r="A445" t="str">
        <f>_xll.BDP("763750HG Muni","ID_CUSIP")</f>
        <v>#N/A Requesting Data...</v>
      </c>
      <c r="B445" t="s">
        <v>205</v>
      </c>
      <c r="C445" t="str">
        <f>_xll.BDP("763750HG Muni","INSURANCE_STATUS")</f>
        <v>#N/A Requesting Data...</v>
      </c>
      <c r="D445" t="str">
        <f>_xll.BDP("763750HG Muni","STATE_CODE")</f>
        <v>#N/A Requesting Data...</v>
      </c>
      <c r="E445" t="str">
        <f>_xll.BDP("763750HG Muni","COUNTY_LOCATION_ISSUER")</f>
        <v>#N/A Requesting Data...</v>
      </c>
      <c r="F445" t="str">
        <f>_xll.BDP("763750HG Muni","DUR_ADJ_MID")</f>
        <v>#N/A Requesting Data...</v>
      </c>
      <c r="G445" t="str">
        <f>_xll.BDP("763750HG Muni","SPREAD_AT_ISSUANCE_TO_WORST")</f>
        <v>#N/A Requesting Data...</v>
      </c>
      <c r="H445" t="str">
        <f>_xll.BDP("763750HG Muni","ISSUE_DT")</f>
        <v>#N/A Requesting Data...</v>
      </c>
      <c r="I445" t="str">
        <f>_xll.BDS("763750HG Muni","MUNI_PURPOSE_SCHED", "aggregate=y")</f>
        <v>#N/A Review</v>
      </c>
      <c r="J445" t="str">
        <f>_xll.BDP("763750HG Muni","CPN")</f>
        <v>#N/A Requesting Data...</v>
      </c>
      <c r="K445" t="str">
        <f>_xll.BDP("763750HG Muni","MATURITY")</f>
        <v>#N/A Requesting Data...</v>
      </c>
      <c r="L445">
        <v>210000</v>
      </c>
      <c r="M445" t="str">
        <f>_xll.BDP("763750HG Muni","YIELD_ON_ISSUE_DATE")</f>
        <v>#N/A Requesting Data...</v>
      </c>
      <c r="N445" t="str">
        <f>_xll.BDP("763750HG Muni","YTW_SPREAD_TO_MATURITY_AT_ISSU")</f>
        <v>#N/A Requesting Data...</v>
      </c>
      <c r="O445" t="str">
        <f>_xll.BDP("763750HG Muni","BVAL_MID_YTM")</f>
        <v>#N/A Requesting Data...</v>
      </c>
      <c r="P445" t="str">
        <f>_xll.BDP("763750HG Muni","MUNI_TAX_PROV")</f>
        <v>#N/A Requesting Data...</v>
      </c>
      <c r="Q445" t="str">
        <f>_xll.BDP("763750HG Muni","MUNI_FED_TAX")</f>
        <v>#N/A Requesting Data...</v>
      </c>
      <c r="R445" t="str">
        <f>_xll.BDP("763750HG Muni","MUNI_MSRB_VOLUME")</f>
        <v>#N/A Requesting Data...</v>
      </c>
      <c r="S445" t="str">
        <f>_xll.BDP("763750HG Muni","BB_COMPOSITE")</f>
        <v>#N/A Requesting Data...</v>
      </c>
      <c r="T445" t="str">
        <f>_xll.BDP("763750HG Muni","LQA_LIQUIDITY_SCORE")</f>
        <v>#N/A Requesting Data...</v>
      </c>
    </row>
    <row r="446" spans="1:20" x14ac:dyDescent="0.25">
      <c r="A446" t="str">
        <f>_xll.BDP("765378MP Muni","ID_CUSIP")</f>
        <v>#N/A Requesting Data...</v>
      </c>
      <c r="B446" t="s">
        <v>133</v>
      </c>
      <c r="C446" t="str">
        <f>_xll.BDP("765378MP Muni","INSURANCE_STATUS")</f>
        <v>#N/A Requesting Data...</v>
      </c>
      <c r="D446" t="str">
        <f>_xll.BDP("765378MP Muni","STATE_CODE")</f>
        <v>#N/A Requesting Data...</v>
      </c>
      <c r="E446" t="str">
        <f>_xll.BDP("765378MP Muni","COUNTY_LOCATION_ISSUER")</f>
        <v>#N/A Requesting Data...</v>
      </c>
      <c r="F446" t="str">
        <f>_xll.BDP("765378MP Muni","DUR_ADJ_MID")</f>
        <v>#N/A Requesting Data...</v>
      </c>
      <c r="G446" t="str">
        <f>_xll.BDP("765378MP Muni","SPREAD_AT_ISSUANCE_TO_WORST")</f>
        <v>#N/A Requesting Data...</v>
      </c>
      <c r="H446" t="str">
        <f>_xll.BDP("765378MP Muni","ISSUE_DT")</f>
        <v>#N/A Requesting Data...</v>
      </c>
      <c r="I446" t="str">
        <f>_xll.BDS("765378MP Muni","MUNI_PURPOSE_SCHED", "aggregate=y")</f>
        <v>#N/A Review</v>
      </c>
      <c r="J446" t="str">
        <f>_xll.BDP("765378MP Muni","CPN")</f>
        <v>#N/A Requesting Data...</v>
      </c>
      <c r="K446" t="str">
        <f>_xll.BDP("765378MP Muni","MATURITY")</f>
        <v>#N/A Requesting Data...</v>
      </c>
      <c r="L446">
        <v>125000</v>
      </c>
      <c r="M446" t="str">
        <f>_xll.BDP("765378MP Muni","YIELD_ON_ISSUE_DATE")</f>
        <v>#N/A Requesting Data...</v>
      </c>
      <c r="N446" t="str">
        <f>_xll.BDP("765378MP Muni","YTW_SPREAD_TO_MATURITY_AT_ISSU")</f>
        <v>#N/A Requesting Data...</v>
      </c>
      <c r="O446" t="str">
        <f>_xll.BDP("765378MP Muni","BVAL_MID_YTM")</f>
        <v>#N/A Requesting Data...</v>
      </c>
      <c r="P446" t="str">
        <f>_xll.BDP("765378MP Muni","MUNI_TAX_PROV")</f>
        <v>#N/A Requesting Data...</v>
      </c>
      <c r="Q446" t="str">
        <f>_xll.BDP("765378MP Muni","MUNI_FED_TAX")</f>
        <v>#N/A Requesting Data...</v>
      </c>
      <c r="R446" t="str">
        <f>_xll.BDP("765378MP Muni","MUNI_MSRB_VOLUME")</f>
        <v>#N/A Requesting Data...</v>
      </c>
      <c r="S446" t="str">
        <f>_xll.BDP("765378MP Muni","BB_COMPOSITE")</f>
        <v>#N/A Requesting Data...</v>
      </c>
      <c r="T446" t="str">
        <f>_xll.BDP("765378MP Muni","LQA_LIQUIDITY_SCORE")</f>
        <v>#N/A Requesting Data...</v>
      </c>
    </row>
    <row r="447" spans="1:20" x14ac:dyDescent="0.25">
      <c r="A447" t="str">
        <f>_xll.BDP("887127VM Muni","ID_CUSIP")</f>
        <v>#N/A Requesting Data...</v>
      </c>
      <c r="B447" t="s">
        <v>206</v>
      </c>
      <c r="C447" t="str">
        <f>_xll.BDP("887127VM Muni","INSURANCE_STATUS")</f>
        <v>#N/A Requesting Data...</v>
      </c>
      <c r="D447" t="str">
        <f>_xll.BDP("887127VM Muni","STATE_CODE")</f>
        <v>#N/A Requesting Data...</v>
      </c>
      <c r="E447" t="str">
        <f>_xll.BDP("887127VM Muni","COUNTY_LOCATION_ISSUER")</f>
        <v>#N/A Requesting Data...</v>
      </c>
      <c r="F447" t="str">
        <f>_xll.BDP("887127VM Muni","DUR_ADJ_MID")</f>
        <v>#N/A Requesting Data...</v>
      </c>
      <c r="G447" t="str">
        <f>_xll.BDP("887127VM Muni","SPREAD_AT_ISSUANCE_TO_WORST")</f>
        <v>#N/A Requesting Data...</v>
      </c>
      <c r="H447" t="str">
        <f>_xll.BDP("887127VM Muni","ISSUE_DT")</f>
        <v>#N/A Requesting Data...</v>
      </c>
      <c r="I447" t="str">
        <f>_xll.BDS("887127VM Muni","MUNI_PURPOSE_SCHED", "aggregate=y")</f>
        <v>#N/A Review</v>
      </c>
      <c r="J447" t="str">
        <f>_xll.BDP("887127VM Muni","CPN")</f>
        <v>#N/A Requesting Data...</v>
      </c>
      <c r="K447" t="str">
        <f>_xll.BDP("887127VM Muni","MATURITY")</f>
        <v>#N/A Requesting Data...</v>
      </c>
      <c r="L447">
        <v>250000</v>
      </c>
      <c r="M447" t="str">
        <f>_xll.BDP("887127VM Muni","YIELD_ON_ISSUE_DATE")</f>
        <v>#N/A Requesting Data...</v>
      </c>
      <c r="N447" t="str">
        <f>_xll.BDP("887127VM Muni","YTW_SPREAD_TO_MATURITY_AT_ISSU")</f>
        <v>#N/A Requesting Data...</v>
      </c>
      <c r="O447" t="str">
        <f>_xll.BDP("887127VM Muni","BVAL_MID_YTM")</f>
        <v>#N/A Requesting Data...</v>
      </c>
      <c r="P447" t="str">
        <f>_xll.BDP("887127VM Muni","MUNI_TAX_PROV")</f>
        <v>#N/A Requesting Data...</v>
      </c>
      <c r="Q447" t="str">
        <f>_xll.BDP("887127VM Muni","MUNI_FED_TAX")</f>
        <v>#N/A Requesting Data...</v>
      </c>
      <c r="R447" t="str">
        <f>_xll.BDP("887127VM Muni","MUNI_MSRB_VOLUME")</f>
        <v>#N/A Requesting Data...</v>
      </c>
      <c r="S447" t="str">
        <f>_xll.BDP("887127VM Muni","BB_COMPOSITE")</f>
        <v>#N/A Requesting Data...</v>
      </c>
      <c r="T447" t="str">
        <f>_xll.BDP("887127VM Muni","LQA_LIQUIDITY_SCORE")</f>
        <v>#N/A Requesting Data...</v>
      </c>
    </row>
    <row r="448" spans="1:20" x14ac:dyDescent="0.25">
      <c r="A448" t="str">
        <f>_xll.BDP("889396RP Muni","ID_CUSIP")</f>
        <v>#N/A Requesting Data...</v>
      </c>
      <c r="B448" t="s">
        <v>87</v>
      </c>
      <c r="C448" t="str">
        <f>_xll.BDP("889396RP Muni","INSURANCE_STATUS")</f>
        <v>#N/A Requesting Data...</v>
      </c>
      <c r="D448" t="str">
        <f>_xll.BDP("889396RP Muni","STATE_CODE")</f>
        <v>#N/A Requesting Data...</v>
      </c>
      <c r="E448" t="str">
        <f>_xll.BDP("889396RP Muni","COUNTY_LOCATION_ISSUER")</f>
        <v>#N/A Requesting Data...</v>
      </c>
      <c r="F448" t="str">
        <f>_xll.BDP("889396RP Muni","DUR_ADJ_MID")</f>
        <v>#N/A Requesting Data...</v>
      </c>
      <c r="G448" t="str">
        <f>_xll.BDP("889396RP Muni","SPREAD_AT_ISSUANCE_TO_WORST")</f>
        <v>#N/A Requesting Data...</v>
      </c>
      <c r="H448" t="str">
        <f>_xll.BDP("889396RP Muni","ISSUE_DT")</f>
        <v>#N/A Requesting Data...</v>
      </c>
      <c r="I448" t="str">
        <f>_xll.BDS("889396RP Muni","MUNI_PURPOSE_SCHED", "aggregate=y")</f>
        <v>#N/A Review</v>
      </c>
      <c r="J448" t="str">
        <f>_xll.BDP("889396RP Muni","CPN")</f>
        <v>#N/A Requesting Data...</v>
      </c>
      <c r="K448" t="str">
        <f>_xll.BDP("889396RP Muni","MATURITY")</f>
        <v>#N/A Requesting Data...</v>
      </c>
      <c r="L448">
        <v>1940000</v>
      </c>
      <c r="M448" t="str">
        <f>_xll.BDP("889396RP Muni","YIELD_ON_ISSUE_DATE")</f>
        <v>#N/A Requesting Data...</v>
      </c>
      <c r="N448" t="str">
        <f>_xll.BDP("889396RP Muni","YTW_SPREAD_TO_MATURITY_AT_ISSU")</f>
        <v>#N/A Requesting Data...</v>
      </c>
      <c r="O448" t="str">
        <f>_xll.BDP("889396RP Muni","BVAL_MID_YTM")</f>
        <v>#N/A Requesting Data...</v>
      </c>
      <c r="P448" t="str">
        <f>_xll.BDP("889396RP Muni","MUNI_TAX_PROV")</f>
        <v>#N/A Requesting Data...</v>
      </c>
      <c r="Q448" t="str">
        <f>_xll.BDP("889396RP Muni","MUNI_FED_TAX")</f>
        <v>#N/A Requesting Data...</v>
      </c>
      <c r="R448" t="str">
        <f>_xll.BDP("889396RP Muni","MUNI_MSRB_VOLUME")</f>
        <v>#N/A Requesting Data...</v>
      </c>
      <c r="S448" t="str">
        <f>_xll.BDP("889396RP Muni","BB_COMPOSITE")</f>
        <v>#N/A Requesting Data...</v>
      </c>
      <c r="T448" t="str">
        <f>_xll.BDP("889396RP Muni","LQA_LIQUIDITY_SCORE")</f>
        <v>#N/A Requesting Data...</v>
      </c>
    </row>
    <row r="449" spans="1:20" x14ac:dyDescent="0.25">
      <c r="A449" t="str">
        <f>_xll.BDP("894393ES Muni","ID_CUSIP")</f>
        <v>#N/A Requesting Data...</v>
      </c>
      <c r="B449" t="s">
        <v>207</v>
      </c>
      <c r="C449" t="str">
        <f>_xll.BDP("894393ES Muni","INSURANCE_STATUS")</f>
        <v>#N/A Requesting Data...</v>
      </c>
      <c r="D449" t="str">
        <f>_xll.BDP("894393ES Muni","STATE_CODE")</f>
        <v>#N/A Requesting Data...</v>
      </c>
      <c r="E449" t="str">
        <f>_xll.BDP("894393ES Muni","COUNTY_LOCATION_ISSUER")</f>
        <v>#N/A Requesting Data...</v>
      </c>
      <c r="F449" t="str">
        <f>_xll.BDP("894393ES Muni","DUR_ADJ_MID")</f>
        <v>#N/A Requesting Data...</v>
      </c>
      <c r="G449" t="str">
        <f>_xll.BDP("894393ES Muni","SPREAD_AT_ISSUANCE_TO_WORST")</f>
        <v>#N/A Requesting Data...</v>
      </c>
      <c r="H449" t="str">
        <f>_xll.BDP("894393ES Muni","ISSUE_DT")</f>
        <v>#N/A Requesting Data...</v>
      </c>
      <c r="I449" t="str">
        <f>_xll.BDS("894393ES Muni","MUNI_PURPOSE_SCHED", "aggregate=y")</f>
        <v>#N/A Review</v>
      </c>
      <c r="J449" t="str">
        <f>_xll.BDP("894393ES Muni","CPN")</f>
        <v>#N/A Requesting Data...</v>
      </c>
      <c r="K449" t="str">
        <f>_xll.BDP("894393ES Muni","MATURITY")</f>
        <v>#N/A Requesting Data...</v>
      </c>
      <c r="L449">
        <v>310000</v>
      </c>
      <c r="M449" t="str">
        <f>_xll.BDP("894393ES Muni","YIELD_ON_ISSUE_DATE")</f>
        <v>#N/A Requesting Data...</v>
      </c>
      <c r="N449" t="str">
        <f>_xll.BDP("894393ES Muni","YTW_SPREAD_TO_MATURITY_AT_ISSU")</f>
        <v>#N/A Requesting Data...</v>
      </c>
      <c r="O449" t="str">
        <f>_xll.BDP("894393ES Muni","BVAL_MID_YTM")</f>
        <v>#N/A Requesting Data...</v>
      </c>
      <c r="P449" t="str">
        <f>_xll.BDP("894393ES Muni","MUNI_TAX_PROV")</f>
        <v>#N/A Requesting Data...</v>
      </c>
      <c r="Q449" t="str">
        <f>_xll.BDP("894393ES Muni","MUNI_FED_TAX")</f>
        <v>#N/A Requesting Data...</v>
      </c>
      <c r="R449" t="str">
        <f>_xll.BDP("894393ES Muni","MUNI_MSRB_VOLUME")</f>
        <v>#N/A Requesting Data...</v>
      </c>
      <c r="S449" t="str">
        <f>_xll.BDP("894393ES Muni","BB_COMPOSITE")</f>
        <v>#N/A Requesting Data...</v>
      </c>
      <c r="T449" t="str">
        <f>_xll.BDP("894393ES Muni","LQA_LIQUIDITY_SCORE")</f>
        <v>#N/A Requesting Data...</v>
      </c>
    </row>
    <row r="450" spans="1:20" x14ac:dyDescent="0.25">
      <c r="A450" t="str">
        <f>_xll.BDP("894393ET Muni","ID_CUSIP")</f>
        <v>#N/A Requesting Data...</v>
      </c>
      <c r="B450" t="s">
        <v>207</v>
      </c>
      <c r="C450" t="str">
        <f>_xll.BDP("894393ET Muni","INSURANCE_STATUS")</f>
        <v>#N/A Requesting Data...</v>
      </c>
      <c r="D450" t="str">
        <f>_xll.BDP("894393ET Muni","STATE_CODE")</f>
        <v>#N/A Requesting Data...</v>
      </c>
      <c r="E450" t="str">
        <f>_xll.BDP("894393ET Muni","COUNTY_LOCATION_ISSUER")</f>
        <v>#N/A Requesting Data...</v>
      </c>
      <c r="F450" t="str">
        <f>_xll.BDP("894393ET Muni","DUR_ADJ_MID")</f>
        <v>#N/A Requesting Data...</v>
      </c>
      <c r="G450" t="str">
        <f>_xll.BDP("894393ET Muni","SPREAD_AT_ISSUANCE_TO_WORST")</f>
        <v>#N/A Requesting Data...</v>
      </c>
      <c r="H450" t="str">
        <f>_xll.BDP("894393ET Muni","ISSUE_DT")</f>
        <v>#N/A Requesting Data...</v>
      </c>
      <c r="I450" t="str">
        <f>_xll.BDS("894393ET Muni","MUNI_PURPOSE_SCHED", "aggregate=y")</f>
        <v>#N/A Review</v>
      </c>
      <c r="J450" t="str">
        <f>_xll.BDP("894393ET Muni","CPN")</f>
        <v>#N/A Requesting Data...</v>
      </c>
      <c r="K450" t="str">
        <f>_xll.BDP("894393ET Muni","MATURITY")</f>
        <v>#N/A Requesting Data...</v>
      </c>
      <c r="L450">
        <v>320000</v>
      </c>
      <c r="M450" t="str">
        <f>_xll.BDP("894393ET Muni","YIELD_ON_ISSUE_DATE")</f>
        <v>#N/A Requesting Data...</v>
      </c>
      <c r="N450" t="str">
        <f>_xll.BDP("894393ET Muni","YTW_SPREAD_TO_MATURITY_AT_ISSU")</f>
        <v>#N/A Requesting Data...</v>
      </c>
      <c r="O450" t="str">
        <f>_xll.BDP("894393ET Muni","BVAL_MID_YTM")</f>
        <v>#N/A Requesting Data...</v>
      </c>
      <c r="P450" t="str">
        <f>_xll.BDP("894393ET Muni","MUNI_TAX_PROV")</f>
        <v>#N/A Requesting Data...</v>
      </c>
      <c r="Q450" t="str">
        <f>_xll.BDP("894393ET Muni","MUNI_FED_TAX")</f>
        <v>#N/A Requesting Data...</v>
      </c>
      <c r="R450" t="str">
        <f>_xll.BDP("894393ET Muni","MUNI_MSRB_VOLUME")</f>
        <v>#N/A Requesting Data...</v>
      </c>
      <c r="S450" t="str">
        <f>_xll.BDP("894393ET Muni","BB_COMPOSITE")</f>
        <v>#N/A Requesting Data...</v>
      </c>
      <c r="T450" t="str">
        <f>_xll.BDP("894393ET Muni","LQA_LIQUIDITY_SCORE")</f>
        <v>#N/A Requesting Data...</v>
      </c>
    </row>
    <row r="451" spans="1:20" x14ac:dyDescent="0.25">
      <c r="A451" t="str">
        <f>_xll.BDP("89439PEE Muni","ID_CUSIP")</f>
        <v>#N/A Requesting Data...</v>
      </c>
      <c r="B451" t="s">
        <v>208</v>
      </c>
      <c r="C451" t="str">
        <f>_xll.BDP("89439PEE Muni","INSURANCE_STATUS")</f>
        <v>#N/A Requesting Data...</v>
      </c>
      <c r="D451" t="str">
        <f>_xll.BDP("89439PEE Muni","STATE_CODE")</f>
        <v>#N/A Requesting Data...</v>
      </c>
      <c r="E451" t="str">
        <f>_xll.BDP("89439PEE Muni","COUNTY_LOCATION_ISSUER")</f>
        <v>#N/A Requesting Data...</v>
      </c>
      <c r="F451" t="str">
        <f>_xll.BDP("89439PEE Muni","DUR_ADJ_MID")</f>
        <v>#N/A Requesting Data...</v>
      </c>
      <c r="G451" t="str">
        <f>_xll.BDP("89439PEE Muni","SPREAD_AT_ISSUANCE_TO_WORST")</f>
        <v>#N/A Requesting Data...</v>
      </c>
      <c r="H451" t="str">
        <f>_xll.BDP("89439PEE Muni","ISSUE_DT")</f>
        <v>#N/A Requesting Data...</v>
      </c>
      <c r="I451" t="str">
        <f>_xll.BDS("89439PEE Muni","MUNI_PURPOSE_SCHED", "aggregate=y")</f>
        <v>#N/A Review</v>
      </c>
      <c r="J451" t="str">
        <f>_xll.BDP("89439PEE Muni","CPN")</f>
        <v>#N/A Requesting Data...</v>
      </c>
      <c r="K451" t="str">
        <f>_xll.BDP("89439PEE Muni","MATURITY")</f>
        <v>#N/A Requesting Data...</v>
      </c>
      <c r="L451">
        <v>135000</v>
      </c>
      <c r="M451" t="str">
        <f>_xll.BDP("89439PEE Muni","YIELD_ON_ISSUE_DATE")</f>
        <v>#N/A Requesting Data...</v>
      </c>
      <c r="N451" t="str">
        <f>_xll.BDP("89439PEE Muni","YTW_SPREAD_TO_MATURITY_AT_ISSU")</f>
        <v>#N/A Requesting Data...</v>
      </c>
      <c r="O451" t="str">
        <f>_xll.BDP("89439PEE Muni","BVAL_MID_YTM")</f>
        <v>#N/A Requesting Data...</v>
      </c>
      <c r="P451" t="str">
        <f>_xll.BDP("89439PEE Muni","MUNI_TAX_PROV")</f>
        <v>#N/A Requesting Data...</v>
      </c>
      <c r="Q451" t="str">
        <f>_xll.BDP("89439PEE Muni","MUNI_FED_TAX")</f>
        <v>#N/A Requesting Data...</v>
      </c>
      <c r="R451" t="str">
        <f>_xll.BDP("89439PEE Muni","MUNI_MSRB_VOLUME")</f>
        <v>#N/A Requesting Data...</v>
      </c>
      <c r="S451" t="str">
        <f>_xll.BDP("89439PEE Muni","BB_COMPOSITE")</f>
        <v>#N/A Requesting Data...</v>
      </c>
      <c r="T451" t="str">
        <f>_xll.BDP("89439PEE Muni","LQA_LIQUIDITY_SCORE")</f>
        <v>#N/A Requesting Data...</v>
      </c>
    </row>
    <row r="452" spans="1:20" x14ac:dyDescent="0.25">
      <c r="A452" t="str">
        <f>_xll.BDP("89439PEF Muni","ID_CUSIP")</f>
        <v>#N/A Requesting Data...</v>
      </c>
      <c r="B452" t="s">
        <v>208</v>
      </c>
      <c r="C452" t="str">
        <f>_xll.BDP("89439PEF Muni","INSURANCE_STATUS")</f>
        <v>#N/A Requesting Data...</v>
      </c>
      <c r="D452" t="str">
        <f>_xll.BDP("89439PEF Muni","STATE_CODE")</f>
        <v>#N/A Requesting Data...</v>
      </c>
      <c r="E452" t="str">
        <f>_xll.BDP("89439PEF Muni","COUNTY_LOCATION_ISSUER")</f>
        <v>#N/A Requesting Data...</v>
      </c>
      <c r="F452" t="str">
        <f>_xll.BDP("89439PEF Muni","DUR_ADJ_MID")</f>
        <v>#N/A Requesting Data...</v>
      </c>
      <c r="G452" t="str">
        <f>_xll.BDP("89439PEF Muni","SPREAD_AT_ISSUANCE_TO_WORST")</f>
        <v>#N/A Requesting Data...</v>
      </c>
      <c r="H452" t="str">
        <f>_xll.BDP("89439PEF Muni","ISSUE_DT")</f>
        <v>#N/A Requesting Data...</v>
      </c>
      <c r="I452" t="str">
        <f>_xll.BDS("89439PEF Muni","MUNI_PURPOSE_SCHED", "aggregate=y")</f>
        <v>#N/A Review</v>
      </c>
      <c r="J452" t="str">
        <f>_xll.BDP("89439PEF Muni","CPN")</f>
        <v>#N/A Requesting Data...</v>
      </c>
      <c r="K452" t="str">
        <f>_xll.BDP("89439PEF Muni","MATURITY")</f>
        <v>#N/A Requesting Data...</v>
      </c>
      <c r="L452">
        <v>140000</v>
      </c>
      <c r="M452" t="str">
        <f>_xll.BDP("89439PEF Muni","YIELD_ON_ISSUE_DATE")</f>
        <v>#N/A Requesting Data...</v>
      </c>
      <c r="N452" t="str">
        <f>_xll.BDP("89439PEF Muni","YTW_SPREAD_TO_MATURITY_AT_ISSU")</f>
        <v>#N/A Requesting Data...</v>
      </c>
      <c r="O452" t="str">
        <f>_xll.BDP("89439PEF Muni","BVAL_MID_YTM")</f>
        <v>#N/A Requesting Data...</v>
      </c>
      <c r="P452" t="str">
        <f>_xll.BDP("89439PEF Muni","MUNI_TAX_PROV")</f>
        <v>#N/A Requesting Data...</v>
      </c>
      <c r="Q452" t="str">
        <f>_xll.BDP("89439PEF Muni","MUNI_FED_TAX")</f>
        <v>#N/A Requesting Data...</v>
      </c>
      <c r="R452" t="str">
        <f>_xll.BDP("89439PEF Muni","MUNI_MSRB_VOLUME")</f>
        <v>#N/A Requesting Data...</v>
      </c>
      <c r="S452" t="str">
        <f>_xll.BDP("89439PEF Muni","BB_COMPOSITE")</f>
        <v>#N/A Requesting Data...</v>
      </c>
      <c r="T452" t="str">
        <f>_xll.BDP("89439PEF Muni","LQA_LIQUIDITY_SCORE")</f>
        <v>#N/A Requesting Data...</v>
      </c>
    </row>
    <row r="453" spans="1:20" x14ac:dyDescent="0.25">
      <c r="A453" t="str">
        <f>_xll.BDP("89439TEL Muni","ID_CUSIP")</f>
        <v>#N/A Requesting Data...</v>
      </c>
      <c r="B453" t="s">
        <v>209</v>
      </c>
      <c r="C453" t="str">
        <f>_xll.BDP("89439TEL Muni","INSURANCE_STATUS")</f>
        <v>#N/A Requesting Data...</v>
      </c>
      <c r="D453" t="str">
        <f>_xll.BDP("89439TEL Muni","STATE_CODE")</f>
        <v>#N/A Requesting Data...</v>
      </c>
      <c r="E453" t="str">
        <f>_xll.BDP("89439TEL Muni","COUNTY_LOCATION_ISSUER")</f>
        <v>#N/A Requesting Data...</v>
      </c>
      <c r="F453" t="str">
        <f>_xll.BDP("89439TEL Muni","DUR_ADJ_MID")</f>
        <v>#N/A Requesting Data...</v>
      </c>
      <c r="G453" t="str">
        <f>_xll.BDP("89439TEL Muni","SPREAD_AT_ISSUANCE_TO_WORST")</f>
        <v>#N/A Requesting Data...</v>
      </c>
      <c r="H453" t="str">
        <f>_xll.BDP("89439TEL Muni","ISSUE_DT")</f>
        <v>#N/A Requesting Data...</v>
      </c>
      <c r="I453" t="str">
        <f>_xll.BDS("89439TEL Muni","MUNI_PURPOSE_SCHED", "aggregate=y")</f>
        <v>#N/A Review</v>
      </c>
      <c r="J453" t="str">
        <f>_xll.BDP("89439TEL Muni","CPN")</f>
        <v>#N/A Requesting Data...</v>
      </c>
      <c r="K453" t="str">
        <f>_xll.BDP("89439TEL Muni","MATURITY")</f>
        <v>#N/A Requesting Data...</v>
      </c>
      <c r="L453">
        <v>5000</v>
      </c>
      <c r="M453" t="str">
        <f>_xll.BDP("89439TEL Muni","YIELD_ON_ISSUE_DATE")</f>
        <v>#N/A Requesting Data...</v>
      </c>
      <c r="N453" t="str">
        <f>_xll.BDP("89439TEL Muni","YTW_SPREAD_TO_MATURITY_AT_ISSU")</f>
        <v>#N/A Requesting Data...</v>
      </c>
      <c r="O453" t="str">
        <f>_xll.BDP("89439TEL Muni","BVAL_MID_YTM")</f>
        <v>#N/A Requesting Data...</v>
      </c>
      <c r="P453" t="str">
        <f>_xll.BDP("89439TEL Muni","MUNI_TAX_PROV")</f>
        <v>#N/A Requesting Data...</v>
      </c>
      <c r="Q453" t="str">
        <f>_xll.BDP("89439TEL Muni","MUNI_FED_TAX")</f>
        <v>#N/A Requesting Data...</v>
      </c>
      <c r="R453" t="str">
        <f>_xll.BDP("89439TEL Muni","MUNI_MSRB_VOLUME")</f>
        <v>#N/A Requesting Data...</v>
      </c>
      <c r="S453" t="str">
        <f>_xll.BDP("89439TEL Muni","BB_COMPOSITE")</f>
        <v>#N/A Requesting Data...</v>
      </c>
      <c r="T453" t="str">
        <f>_xll.BDP("89439TEL Muni","LQA_LIQUIDITY_SCORE")</f>
        <v>#N/A Requesting Data...</v>
      </c>
    </row>
    <row r="454" spans="1:20" x14ac:dyDescent="0.25">
      <c r="A454" t="str">
        <f>_xll.BDP("89440EBE Muni","ID_CUSIP")</f>
        <v>#N/A Requesting Data...</v>
      </c>
      <c r="B454" t="s">
        <v>210</v>
      </c>
      <c r="C454" t="str">
        <f>_xll.BDP("89440EBE Muni","INSURANCE_STATUS")</f>
        <v>#N/A Requesting Data...</v>
      </c>
      <c r="D454" t="str">
        <f>_xll.BDP("89440EBE Muni","STATE_CODE")</f>
        <v>#N/A Requesting Data...</v>
      </c>
      <c r="E454" t="str">
        <f>_xll.BDP("89440EBE Muni","COUNTY_LOCATION_ISSUER")</f>
        <v>#N/A Requesting Data...</v>
      </c>
      <c r="F454" t="str">
        <f>_xll.BDP("89440EBE Muni","DUR_ADJ_MID")</f>
        <v>#N/A Requesting Data...</v>
      </c>
      <c r="G454" t="str">
        <f>_xll.BDP("89440EBE Muni","SPREAD_AT_ISSUANCE_TO_WORST")</f>
        <v>#N/A Requesting Data...</v>
      </c>
      <c r="H454" t="str">
        <f>_xll.BDP("89440EBE Muni","ISSUE_DT")</f>
        <v>#N/A Requesting Data...</v>
      </c>
      <c r="I454" t="str">
        <f>_xll.BDS("89440EBE Muni","MUNI_PURPOSE_SCHED", "aggregate=y")</f>
        <v>#N/A Review</v>
      </c>
      <c r="J454" t="str">
        <f>_xll.BDP("89440EBE Muni","CPN")</f>
        <v>#N/A Requesting Data...</v>
      </c>
      <c r="K454" t="str">
        <f>_xll.BDP("89440EBE Muni","MATURITY")</f>
        <v>#N/A Requesting Data...</v>
      </c>
      <c r="L454">
        <v>70000</v>
      </c>
      <c r="M454" t="str">
        <f>_xll.BDP("89440EBE Muni","YIELD_ON_ISSUE_DATE")</f>
        <v>#N/A Requesting Data...</v>
      </c>
      <c r="N454" t="str">
        <f>_xll.BDP("89440EBE Muni","YTW_SPREAD_TO_MATURITY_AT_ISSU")</f>
        <v>#N/A Requesting Data...</v>
      </c>
      <c r="O454" t="str">
        <f>_xll.BDP("89440EBE Muni","BVAL_MID_YTM")</f>
        <v>#N/A Requesting Data...</v>
      </c>
      <c r="P454" t="str">
        <f>_xll.BDP("89440EBE Muni","MUNI_TAX_PROV")</f>
        <v>#N/A Requesting Data...</v>
      </c>
      <c r="Q454" t="str">
        <f>_xll.BDP("89440EBE Muni","MUNI_FED_TAX")</f>
        <v>#N/A Requesting Data...</v>
      </c>
      <c r="R454" t="str">
        <f>_xll.BDP("89440EBE Muni","MUNI_MSRB_VOLUME")</f>
        <v>#N/A Requesting Data...</v>
      </c>
      <c r="S454" t="str">
        <f>_xll.BDP("89440EBE Muni","BB_COMPOSITE")</f>
        <v>#N/A Requesting Data...</v>
      </c>
      <c r="T454" t="str">
        <f>_xll.BDP("89440EBE Muni","LQA_LIQUIDITY_SCORE")</f>
        <v>#N/A Requesting Data...</v>
      </c>
    </row>
    <row r="455" spans="1:20" x14ac:dyDescent="0.25">
      <c r="A455" t="str">
        <f>_xll.BDP("89440FCF Muni","ID_CUSIP")</f>
        <v>#N/A Requesting Data...</v>
      </c>
      <c r="B455" t="s">
        <v>211</v>
      </c>
      <c r="C455" t="str">
        <f>_xll.BDP("89440FCF Muni","INSURANCE_STATUS")</f>
        <v>#N/A Requesting Data...</v>
      </c>
      <c r="D455" t="str">
        <f>_xll.BDP("89440FCF Muni","STATE_CODE")</f>
        <v>#N/A Requesting Data...</v>
      </c>
      <c r="E455" t="str">
        <f>_xll.BDP("89440FCF Muni","COUNTY_LOCATION_ISSUER")</f>
        <v>#N/A Requesting Data...</v>
      </c>
      <c r="F455" t="str">
        <f>_xll.BDP("89440FCF Muni","DUR_ADJ_MID")</f>
        <v>#N/A Requesting Data...</v>
      </c>
      <c r="G455" t="str">
        <f>_xll.BDP("89440FCF Muni","SPREAD_AT_ISSUANCE_TO_WORST")</f>
        <v>#N/A Requesting Data...</v>
      </c>
      <c r="H455" t="str">
        <f>_xll.BDP("89440FCF Muni","ISSUE_DT")</f>
        <v>#N/A Requesting Data...</v>
      </c>
      <c r="I455" t="str">
        <f>_xll.BDS("89440FCF Muni","MUNI_PURPOSE_SCHED", "aggregate=y")</f>
        <v>#N/A Review</v>
      </c>
      <c r="J455" t="str">
        <f>_xll.BDP("89440FCF Muni","CPN")</f>
        <v>#N/A Requesting Data...</v>
      </c>
      <c r="K455" t="str">
        <f>_xll.BDP("89440FCF Muni","MATURITY")</f>
        <v>#N/A Requesting Data...</v>
      </c>
      <c r="L455">
        <v>180000</v>
      </c>
      <c r="M455" t="str">
        <f>_xll.BDP("89440FCF Muni","YIELD_ON_ISSUE_DATE")</f>
        <v>#N/A Requesting Data...</v>
      </c>
      <c r="N455" t="str">
        <f>_xll.BDP("89440FCF Muni","YTW_SPREAD_TO_MATURITY_AT_ISSU")</f>
        <v>#N/A Requesting Data...</v>
      </c>
      <c r="O455" t="str">
        <f>_xll.BDP("89440FCF Muni","BVAL_MID_YTM")</f>
        <v>#N/A Requesting Data...</v>
      </c>
      <c r="P455" t="str">
        <f>_xll.BDP("89440FCF Muni","MUNI_TAX_PROV")</f>
        <v>#N/A Requesting Data...</v>
      </c>
      <c r="Q455" t="str">
        <f>_xll.BDP("89440FCF Muni","MUNI_FED_TAX")</f>
        <v>#N/A Requesting Data...</v>
      </c>
      <c r="R455" t="str">
        <f>_xll.BDP("89440FCF Muni","MUNI_MSRB_VOLUME")</f>
        <v>#N/A Requesting Data...</v>
      </c>
      <c r="S455" t="str">
        <f>_xll.BDP("89440FCF Muni","BB_COMPOSITE")</f>
        <v>#N/A Requesting Data...</v>
      </c>
      <c r="T455" t="str">
        <f>_xll.BDP("89440FCF Muni","LQA_LIQUIDITY_SCORE")</f>
        <v>#N/A Requesting Data...</v>
      </c>
    </row>
    <row r="456" spans="1:20" x14ac:dyDescent="0.25">
      <c r="A456" t="str">
        <f>_xll.BDP("89440KBE Muni","ID_CUSIP")</f>
        <v>#N/A Requesting Data...</v>
      </c>
      <c r="B456" t="s">
        <v>212</v>
      </c>
      <c r="C456" t="str">
        <f>_xll.BDP("89440KBE Muni","INSURANCE_STATUS")</f>
        <v>#N/A Requesting Data...</v>
      </c>
      <c r="D456" t="str">
        <f>_xll.BDP("89440KBE Muni","STATE_CODE")</f>
        <v>#N/A Requesting Data...</v>
      </c>
      <c r="E456" t="str">
        <f>_xll.BDP("89440KBE Muni","COUNTY_LOCATION_ISSUER")</f>
        <v>#N/A Requesting Data...</v>
      </c>
      <c r="F456" t="str">
        <f>_xll.BDP("89440KBE Muni","DUR_ADJ_MID")</f>
        <v>#N/A Requesting Data...</v>
      </c>
      <c r="G456" t="str">
        <f>_xll.BDP("89440KBE Muni","SPREAD_AT_ISSUANCE_TO_WORST")</f>
        <v>#N/A Requesting Data...</v>
      </c>
      <c r="H456" t="str">
        <f>_xll.BDP("89440KBE Muni","ISSUE_DT")</f>
        <v>#N/A Requesting Data...</v>
      </c>
      <c r="I456" t="str">
        <f>_xll.BDS("89440KBE Muni","MUNI_PURPOSE_SCHED", "aggregate=y")</f>
        <v>#N/A Review</v>
      </c>
      <c r="J456" t="str">
        <f>_xll.BDP("89440KBE Muni","CPN")</f>
        <v>#N/A Requesting Data...</v>
      </c>
      <c r="K456" t="str">
        <f>_xll.BDP("89440KBE Muni","MATURITY")</f>
        <v>#N/A Requesting Data...</v>
      </c>
      <c r="L456">
        <v>100000</v>
      </c>
      <c r="M456" t="str">
        <f>_xll.BDP("89440KBE Muni","YIELD_ON_ISSUE_DATE")</f>
        <v>#N/A Requesting Data...</v>
      </c>
      <c r="N456" t="str">
        <f>_xll.BDP("89440KBE Muni","YTW_SPREAD_TO_MATURITY_AT_ISSU")</f>
        <v>#N/A Requesting Data...</v>
      </c>
      <c r="O456" t="str">
        <f>_xll.BDP("89440KBE Muni","BVAL_MID_YTM")</f>
        <v>#N/A Requesting Data...</v>
      </c>
      <c r="P456" t="str">
        <f>_xll.BDP("89440KBE Muni","MUNI_TAX_PROV")</f>
        <v>#N/A Requesting Data...</v>
      </c>
      <c r="Q456" t="str">
        <f>_xll.BDP("89440KBE Muni","MUNI_FED_TAX")</f>
        <v>#N/A Requesting Data...</v>
      </c>
      <c r="R456" t="str">
        <f>_xll.BDP("89440KBE Muni","MUNI_MSRB_VOLUME")</f>
        <v>#N/A Requesting Data...</v>
      </c>
      <c r="S456" t="str">
        <f>_xll.BDP("89440KBE Muni","BB_COMPOSITE")</f>
        <v>#N/A Requesting Data...</v>
      </c>
      <c r="T456" t="str">
        <f>_xll.BDP("89440KBE Muni","LQA_LIQUIDITY_SCORE")</f>
        <v>#N/A Requesting Data...</v>
      </c>
    </row>
    <row r="457" spans="1:20" x14ac:dyDescent="0.25">
      <c r="A457" t="str">
        <f>_xll.BDP("89440LAE Muni","ID_CUSIP")</f>
        <v>#N/A Requesting Data...</v>
      </c>
      <c r="B457" t="s">
        <v>213</v>
      </c>
      <c r="C457" t="str">
        <f>_xll.BDP("89440LAE Muni","INSURANCE_STATUS")</f>
        <v>#N/A Requesting Data...</v>
      </c>
      <c r="D457" t="str">
        <f>_xll.BDP("89440LAE Muni","STATE_CODE")</f>
        <v>#N/A Requesting Data...</v>
      </c>
      <c r="E457" t="str">
        <f>_xll.BDP("89440LAE Muni","COUNTY_LOCATION_ISSUER")</f>
        <v>#N/A Requesting Data...</v>
      </c>
      <c r="F457" t="str">
        <f>_xll.BDP("89440LAE Muni","DUR_ADJ_MID")</f>
        <v>#N/A Requesting Data...</v>
      </c>
      <c r="G457" t="str">
        <f>_xll.BDP("89440LAE Muni","SPREAD_AT_ISSUANCE_TO_WORST")</f>
        <v>#N/A Requesting Data...</v>
      </c>
      <c r="H457" t="str">
        <f>_xll.BDP("89440LAE Muni","ISSUE_DT")</f>
        <v>#N/A Requesting Data...</v>
      </c>
      <c r="I457" t="str">
        <f>_xll.BDS("89440LAE Muni","MUNI_PURPOSE_SCHED", "aggregate=y")</f>
        <v>#N/A Review</v>
      </c>
      <c r="J457" t="str">
        <f>_xll.BDP("89440LAE Muni","CPN")</f>
        <v>#N/A Requesting Data...</v>
      </c>
      <c r="K457" t="str">
        <f>_xll.BDP("89440LAE Muni","MATURITY")</f>
        <v>#N/A Requesting Data...</v>
      </c>
      <c r="L457">
        <v>175000</v>
      </c>
      <c r="M457" t="str">
        <f>_xll.BDP("89440LAE Muni","YIELD_ON_ISSUE_DATE")</f>
        <v>#N/A Requesting Data...</v>
      </c>
      <c r="N457" t="str">
        <f>_xll.BDP("89440LAE Muni","YTW_SPREAD_TO_MATURITY_AT_ISSU")</f>
        <v>#N/A Requesting Data...</v>
      </c>
      <c r="O457" t="str">
        <f>_xll.BDP("89440LAE Muni","BVAL_MID_YTM")</f>
        <v>#N/A Requesting Data...</v>
      </c>
      <c r="P457" t="str">
        <f>_xll.BDP("89440LAE Muni","MUNI_TAX_PROV")</f>
        <v>#N/A Requesting Data...</v>
      </c>
      <c r="Q457" t="str">
        <f>_xll.BDP("89440LAE Muni","MUNI_FED_TAX")</f>
        <v>#N/A Requesting Data...</v>
      </c>
      <c r="R457" t="str">
        <f>_xll.BDP("89440LAE Muni","MUNI_MSRB_VOLUME")</f>
        <v>#N/A Requesting Data...</v>
      </c>
      <c r="S457" t="str">
        <f>_xll.BDP("89440LAE Muni","BB_COMPOSITE")</f>
        <v>#N/A Requesting Data...</v>
      </c>
      <c r="T457" t="str">
        <f>_xll.BDP("89440LAE Muni","LQA_LIQUIDITY_SCORE")</f>
        <v>#N/A Requesting Data...</v>
      </c>
    </row>
    <row r="458" spans="1:20" x14ac:dyDescent="0.25">
      <c r="A458" t="str">
        <f>_xll.BDP("89440LAG Muni","ID_CUSIP")</f>
        <v>#N/A Requesting Data...</v>
      </c>
      <c r="B458" t="s">
        <v>213</v>
      </c>
      <c r="C458" t="str">
        <f>_xll.BDP("89440LAG Muni","INSURANCE_STATUS")</f>
        <v>#N/A Requesting Data...</v>
      </c>
      <c r="D458" t="str">
        <f>_xll.BDP("89440LAG Muni","STATE_CODE")</f>
        <v>#N/A Requesting Data...</v>
      </c>
      <c r="E458" t="str">
        <f>_xll.BDP("89440LAG Muni","COUNTY_LOCATION_ISSUER")</f>
        <v>#N/A Requesting Data...</v>
      </c>
      <c r="F458" t="str">
        <f>_xll.BDP("89440LAG Muni","DUR_ADJ_MID")</f>
        <v>#N/A Requesting Data...</v>
      </c>
      <c r="G458" t="str">
        <f>_xll.BDP("89440LAG Muni","SPREAD_AT_ISSUANCE_TO_WORST")</f>
        <v>#N/A Requesting Data...</v>
      </c>
      <c r="H458" t="str">
        <f>_xll.BDP("89440LAG Muni","ISSUE_DT")</f>
        <v>#N/A Requesting Data...</v>
      </c>
      <c r="I458" t="str">
        <f>_xll.BDS("89440LAG Muni","MUNI_PURPOSE_SCHED", "aggregate=y")</f>
        <v>#N/A Review</v>
      </c>
      <c r="J458" t="str">
        <f>_xll.BDP("89440LAG Muni","CPN")</f>
        <v>#N/A Requesting Data...</v>
      </c>
      <c r="K458" t="str">
        <f>_xll.BDP("89440LAG Muni","MATURITY")</f>
        <v>#N/A Requesting Data...</v>
      </c>
      <c r="L458">
        <v>195000</v>
      </c>
      <c r="M458" t="str">
        <f>_xll.BDP("89440LAG Muni","YIELD_ON_ISSUE_DATE")</f>
        <v>#N/A Requesting Data...</v>
      </c>
      <c r="N458" t="str">
        <f>_xll.BDP("89440LAG Muni","YTW_SPREAD_TO_MATURITY_AT_ISSU")</f>
        <v>#N/A Requesting Data...</v>
      </c>
      <c r="O458" t="str">
        <f>_xll.BDP("89440LAG Muni","BVAL_MID_YTM")</f>
        <v>#N/A Requesting Data...</v>
      </c>
      <c r="P458" t="str">
        <f>_xll.BDP("89440LAG Muni","MUNI_TAX_PROV")</f>
        <v>#N/A Requesting Data...</v>
      </c>
      <c r="Q458" t="str">
        <f>_xll.BDP("89440LAG Muni","MUNI_FED_TAX")</f>
        <v>#N/A Requesting Data...</v>
      </c>
      <c r="R458" t="str">
        <f>_xll.BDP("89440LAG Muni","MUNI_MSRB_VOLUME")</f>
        <v>#N/A Requesting Data...</v>
      </c>
      <c r="S458" t="str">
        <f>_xll.BDP("89440LAG Muni","BB_COMPOSITE")</f>
        <v>#N/A Requesting Data...</v>
      </c>
      <c r="T458" t="str">
        <f>_xll.BDP("89440LAG Muni","LQA_LIQUIDITY_SCORE")</f>
        <v>#N/A Requesting Data...</v>
      </c>
    </row>
    <row r="459" spans="1:20" x14ac:dyDescent="0.25">
      <c r="A459" t="str">
        <f>_xll.BDP("89440LAH Muni","ID_CUSIP")</f>
        <v>#N/A Requesting Data...</v>
      </c>
      <c r="B459" t="s">
        <v>213</v>
      </c>
      <c r="C459" t="str">
        <f>_xll.BDP("89440LAH Muni","INSURANCE_STATUS")</f>
        <v>#N/A Requesting Data...</v>
      </c>
      <c r="D459" t="str">
        <f>_xll.BDP("89440LAH Muni","STATE_CODE")</f>
        <v>#N/A Requesting Data...</v>
      </c>
      <c r="E459" t="str">
        <f>_xll.BDP("89440LAH Muni","COUNTY_LOCATION_ISSUER")</f>
        <v>#N/A Requesting Data...</v>
      </c>
      <c r="F459" t="str">
        <f>_xll.BDP("89440LAH Muni","DUR_ADJ_MID")</f>
        <v>#N/A Requesting Data...</v>
      </c>
      <c r="G459" t="str">
        <f>_xll.BDP("89440LAH Muni","SPREAD_AT_ISSUANCE_TO_WORST")</f>
        <v>#N/A Requesting Data...</v>
      </c>
      <c r="H459" t="str">
        <f>_xll.BDP("89440LAH Muni","ISSUE_DT")</f>
        <v>#N/A Requesting Data...</v>
      </c>
      <c r="I459" t="str">
        <f>_xll.BDS("89440LAH Muni","MUNI_PURPOSE_SCHED", "aggregate=y")</f>
        <v>#N/A Review</v>
      </c>
      <c r="J459" t="str">
        <f>_xll.BDP("89440LAH Muni","CPN")</f>
        <v>#N/A Requesting Data...</v>
      </c>
      <c r="K459" t="str">
        <f>_xll.BDP("89440LAH Muni","MATURITY")</f>
        <v>#N/A Requesting Data...</v>
      </c>
      <c r="L459">
        <v>205000</v>
      </c>
      <c r="M459" t="str">
        <f>_xll.BDP("89440LAH Muni","YIELD_ON_ISSUE_DATE")</f>
        <v>#N/A Requesting Data...</v>
      </c>
      <c r="N459" t="str">
        <f>_xll.BDP("89440LAH Muni","YTW_SPREAD_TO_MATURITY_AT_ISSU")</f>
        <v>#N/A Requesting Data...</v>
      </c>
      <c r="O459" t="str">
        <f>_xll.BDP("89440LAH Muni","BVAL_MID_YTM")</f>
        <v>#N/A Requesting Data...</v>
      </c>
      <c r="P459" t="str">
        <f>_xll.BDP("89440LAH Muni","MUNI_TAX_PROV")</f>
        <v>#N/A Requesting Data...</v>
      </c>
      <c r="Q459" t="str">
        <f>_xll.BDP("89440LAH Muni","MUNI_FED_TAX")</f>
        <v>#N/A Requesting Data...</v>
      </c>
      <c r="R459" t="str">
        <f>_xll.BDP("89440LAH Muni","MUNI_MSRB_VOLUME")</f>
        <v>#N/A Requesting Data...</v>
      </c>
      <c r="S459" t="str">
        <f>_xll.BDP("89440LAH Muni","BB_COMPOSITE")</f>
        <v>#N/A Requesting Data...</v>
      </c>
      <c r="T459" t="str">
        <f>_xll.BDP("89440LAH Muni","LQA_LIQUIDITY_SCORE")</f>
        <v>#N/A Requesting Data...</v>
      </c>
    </row>
    <row r="460" spans="1:20" x14ac:dyDescent="0.25">
      <c r="A460" t="str">
        <f>_xll.BDP("89440LBD Muni","ID_CUSIP")</f>
        <v>#N/A Requesting Data...</v>
      </c>
      <c r="B460" t="s">
        <v>213</v>
      </c>
      <c r="C460" t="str">
        <f>_xll.BDP("89440LBD Muni","INSURANCE_STATUS")</f>
        <v>#N/A Requesting Data...</v>
      </c>
      <c r="D460" t="str">
        <f>_xll.BDP("89440LBD Muni","STATE_CODE")</f>
        <v>#N/A Requesting Data...</v>
      </c>
      <c r="E460" t="str">
        <f>_xll.BDP("89440LBD Muni","COUNTY_LOCATION_ISSUER")</f>
        <v>#N/A Requesting Data...</v>
      </c>
      <c r="F460" t="str">
        <f>_xll.BDP("89440LBD Muni","DUR_ADJ_MID")</f>
        <v>#N/A Requesting Data...</v>
      </c>
      <c r="G460" t="str">
        <f>_xll.BDP("89440LBD Muni","SPREAD_AT_ISSUANCE_TO_WORST")</f>
        <v>#N/A Requesting Data...</v>
      </c>
      <c r="H460" t="str">
        <f>_xll.BDP("89440LBD Muni","ISSUE_DT")</f>
        <v>#N/A Requesting Data...</v>
      </c>
      <c r="I460" t="str">
        <f>_xll.BDS("89440LBD Muni","MUNI_PURPOSE_SCHED", "aggregate=y")</f>
        <v>#N/A Review</v>
      </c>
      <c r="J460" t="str">
        <f>_xll.BDP("89440LBD Muni","CPN")</f>
        <v>#N/A Requesting Data...</v>
      </c>
      <c r="K460" t="str">
        <f>_xll.BDP("89440LBD Muni","MATURITY")</f>
        <v>#N/A Requesting Data...</v>
      </c>
      <c r="L460">
        <v>125000</v>
      </c>
      <c r="M460" t="str">
        <f>_xll.BDP("89440LBD Muni","YIELD_ON_ISSUE_DATE")</f>
        <v>#N/A Requesting Data...</v>
      </c>
      <c r="N460" t="str">
        <f>_xll.BDP("89440LBD Muni","YTW_SPREAD_TO_MATURITY_AT_ISSU")</f>
        <v>#N/A Requesting Data...</v>
      </c>
      <c r="O460" t="str">
        <f>_xll.BDP("89440LBD Muni","BVAL_MID_YTM")</f>
        <v>#N/A Requesting Data...</v>
      </c>
      <c r="P460" t="str">
        <f>_xll.BDP("89440LBD Muni","MUNI_TAX_PROV")</f>
        <v>#N/A Requesting Data...</v>
      </c>
      <c r="Q460" t="str">
        <f>_xll.BDP("89440LBD Muni","MUNI_FED_TAX")</f>
        <v>#N/A Requesting Data...</v>
      </c>
      <c r="R460" t="str">
        <f>_xll.BDP("89440LBD Muni","MUNI_MSRB_VOLUME")</f>
        <v>#N/A Requesting Data...</v>
      </c>
      <c r="S460" t="str">
        <f>_xll.BDP("89440LBD Muni","BB_COMPOSITE")</f>
        <v>#N/A Requesting Data...</v>
      </c>
      <c r="T460" t="str">
        <f>_xll.BDP("89440LBD Muni","LQA_LIQUIDITY_SCORE")</f>
        <v>#N/A Requesting Data...</v>
      </c>
    </row>
    <row r="461" spans="1:20" x14ac:dyDescent="0.25">
      <c r="A461" t="str">
        <f>_xll.BDP("89440LBG Muni","ID_CUSIP")</f>
        <v>#N/A Requesting Data...</v>
      </c>
      <c r="B461" t="s">
        <v>213</v>
      </c>
      <c r="C461" t="str">
        <f>_xll.BDP("89440LBG Muni","INSURANCE_STATUS")</f>
        <v>#N/A Requesting Data...</v>
      </c>
      <c r="D461" t="str">
        <f>_xll.BDP("89440LBG Muni","STATE_CODE")</f>
        <v>#N/A Requesting Data...</v>
      </c>
      <c r="E461" t="str">
        <f>_xll.BDP("89440LBG Muni","COUNTY_LOCATION_ISSUER")</f>
        <v>#N/A Requesting Data...</v>
      </c>
      <c r="F461" t="str">
        <f>_xll.BDP("89440LBG Muni","DUR_ADJ_MID")</f>
        <v>#N/A Requesting Data...</v>
      </c>
      <c r="G461" t="str">
        <f>_xll.BDP("89440LBG Muni","SPREAD_AT_ISSUANCE_TO_WORST")</f>
        <v>#N/A Requesting Data...</v>
      </c>
      <c r="H461" t="str">
        <f>_xll.BDP("89440LBG Muni","ISSUE_DT")</f>
        <v>#N/A Requesting Data...</v>
      </c>
      <c r="I461" t="str">
        <f>_xll.BDS("89440LBG Muni","MUNI_PURPOSE_SCHED", "aggregate=y")</f>
        <v>#N/A Review</v>
      </c>
      <c r="J461" t="str">
        <f>_xll.BDP("89440LBG Muni","CPN")</f>
        <v>#N/A Requesting Data...</v>
      </c>
      <c r="K461" t="str">
        <f>_xll.BDP("89440LBG Muni","MATURITY")</f>
        <v>#N/A Requesting Data...</v>
      </c>
      <c r="L461">
        <v>145000</v>
      </c>
      <c r="M461" t="str">
        <f>_xll.BDP("89440LBG Muni","YIELD_ON_ISSUE_DATE")</f>
        <v>#N/A Requesting Data...</v>
      </c>
      <c r="N461" t="str">
        <f>_xll.BDP("89440LBG Muni","YTW_SPREAD_TO_MATURITY_AT_ISSU")</f>
        <v>#N/A Requesting Data...</v>
      </c>
      <c r="O461" t="str">
        <f>_xll.BDP("89440LBG Muni","BVAL_MID_YTM")</f>
        <v>#N/A Requesting Data...</v>
      </c>
      <c r="P461" t="str">
        <f>_xll.BDP("89440LBG Muni","MUNI_TAX_PROV")</f>
        <v>#N/A Requesting Data...</v>
      </c>
      <c r="Q461" t="str">
        <f>_xll.BDP("89440LBG Muni","MUNI_FED_TAX")</f>
        <v>#N/A Requesting Data...</v>
      </c>
      <c r="R461" t="str">
        <f>_xll.BDP("89440LBG Muni","MUNI_MSRB_VOLUME")</f>
        <v>#N/A Requesting Data...</v>
      </c>
      <c r="S461" t="str">
        <f>_xll.BDP("89440LBG Muni","BB_COMPOSITE")</f>
        <v>#N/A Requesting Data...</v>
      </c>
      <c r="T461" t="str">
        <f>_xll.BDP("89440LBG Muni","LQA_LIQUIDITY_SCORE")</f>
        <v>#N/A Requesting Data...</v>
      </c>
    </row>
    <row r="462" spans="1:20" x14ac:dyDescent="0.25">
      <c r="A462" t="str">
        <f>_xll.BDP("89440LBH Muni","ID_CUSIP")</f>
        <v>#N/A Requesting Data...</v>
      </c>
      <c r="B462" t="s">
        <v>213</v>
      </c>
      <c r="C462" t="str">
        <f>_xll.BDP("89440LBH Muni","INSURANCE_STATUS")</f>
        <v>#N/A Requesting Data...</v>
      </c>
      <c r="D462" t="str">
        <f>_xll.BDP("89440LBH Muni","STATE_CODE")</f>
        <v>#N/A Requesting Data...</v>
      </c>
      <c r="E462" t="str">
        <f>_xll.BDP("89440LBH Muni","COUNTY_LOCATION_ISSUER")</f>
        <v>#N/A Requesting Data...</v>
      </c>
      <c r="F462" t="str">
        <f>_xll.BDP("89440LBH Muni","DUR_ADJ_MID")</f>
        <v>#N/A Requesting Data...</v>
      </c>
      <c r="G462" t="str">
        <f>_xll.BDP("89440LBH Muni","SPREAD_AT_ISSUANCE_TO_WORST")</f>
        <v>#N/A Requesting Data...</v>
      </c>
      <c r="H462" t="str">
        <f>_xll.BDP("89440LBH Muni","ISSUE_DT")</f>
        <v>#N/A Requesting Data...</v>
      </c>
      <c r="I462" t="str">
        <f>_xll.BDS("89440LBH Muni","MUNI_PURPOSE_SCHED", "aggregate=y")</f>
        <v>#N/A Review</v>
      </c>
      <c r="J462" t="str">
        <f>_xll.BDP("89440LBH Muni","CPN")</f>
        <v>#N/A Requesting Data...</v>
      </c>
      <c r="K462" t="str">
        <f>_xll.BDP("89440LBH Muni","MATURITY")</f>
        <v>#N/A Requesting Data...</v>
      </c>
      <c r="L462">
        <v>150000</v>
      </c>
      <c r="M462" t="str">
        <f>_xll.BDP("89440LBH Muni","YIELD_ON_ISSUE_DATE")</f>
        <v>#N/A Requesting Data...</v>
      </c>
      <c r="N462" t="str">
        <f>_xll.BDP("89440LBH Muni","YTW_SPREAD_TO_MATURITY_AT_ISSU")</f>
        <v>#N/A Requesting Data...</v>
      </c>
      <c r="O462" t="str">
        <f>_xll.BDP("89440LBH Muni","BVAL_MID_YTM")</f>
        <v>#N/A Requesting Data...</v>
      </c>
      <c r="P462" t="str">
        <f>_xll.BDP("89440LBH Muni","MUNI_TAX_PROV")</f>
        <v>#N/A Requesting Data...</v>
      </c>
      <c r="Q462" t="str">
        <f>_xll.BDP("89440LBH Muni","MUNI_FED_TAX")</f>
        <v>#N/A Requesting Data...</v>
      </c>
      <c r="R462" t="str">
        <f>_xll.BDP("89440LBH Muni","MUNI_MSRB_VOLUME")</f>
        <v>#N/A Requesting Data...</v>
      </c>
      <c r="S462" t="str">
        <f>_xll.BDP("89440LBH Muni","BB_COMPOSITE")</f>
        <v>#N/A Requesting Data...</v>
      </c>
      <c r="T462" t="str">
        <f>_xll.BDP("89440LBH Muni","LQA_LIQUIDITY_SCORE")</f>
        <v>#N/A Requesting Data...</v>
      </c>
    </row>
    <row r="463" spans="1:20" x14ac:dyDescent="0.25">
      <c r="A463" t="str">
        <f>_xll.BDP("894435DF Muni","ID_CUSIP")</f>
        <v>#N/A Requesting Data...</v>
      </c>
      <c r="B463" t="s">
        <v>214</v>
      </c>
      <c r="C463" t="str">
        <f>_xll.BDP("894435DF Muni","INSURANCE_STATUS")</f>
        <v>#N/A Requesting Data...</v>
      </c>
      <c r="D463" t="str">
        <f>_xll.BDP("894435DF Muni","STATE_CODE")</f>
        <v>#N/A Requesting Data...</v>
      </c>
      <c r="E463" t="str">
        <f>_xll.BDP("894435DF Muni","COUNTY_LOCATION_ISSUER")</f>
        <v>#N/A Requesting Data...</v>
      </c>
      <c r="F463" t="str">
        <f>_xll.BDP("894435DF Muni","DUR_ADJ_MID")</f>
        <v>#N/A Requesting Data...</v>
      </c>
      <c r="G463" t="str">
        <f>_xll.BDP("894435DF Muni","SPREAD_AT_ISSUANCE_TO_WORST")</f>
        <v>#N/A Requesting Data...</v>
      </c>
      <c r="H463" t="str">
        <f>_xll.BDP("894435DF Muni","ISSUE_DT")</f>
        <v>#N/A Requesting Data...</v>
      </c>
      <c r="I463" t="str">
        <f>_xll.BDS("894435DF Muni","MUNI_PURPOSE_SCHED", "aggregate=y")</f>
        <v>#N/A Review</v>
      </c>
      <c r="J463" t="str">
        <f>_xll.BDP("894435DF Muni","CPN")</f>
        <v>#N/A Requesting Data...</v>
      </c>
      <c r="K463" t="str">
        <f>_xll.BDP("894435DF Muni","MATURITY")</f>
        <v>#N/A Requesting Data...</v>
      </c>
      <c r="L463">
        <v>1500000</v>
      </c>
      <c r="M463" t="str">
        <f>_xll.BDP("894435DF Muni","YIELD_ON_ISSUE_DATE")</f>
        <v>#N/A Requesting Data...</v>
      </c>
      <c r="N463" t="str">
        <f>_xll.BDP("894435DF Muni","YTW_SPREAD_TO_MATURITY_AT_ISSU")</f>
        <v>#N/A Requesting Data...</v>
      </c>
      <c r="O463" t="str">
        <f>_xll.BDP("894435DF Muni","BVAL_MID_YTM")</f>
        <v>#N/A Requesting Data...</v>
      </c>
      <c r="P463" t="str">
        <f>_xll.BDP("894435DF Muni","MUNI_TAX_PROV")</f>
        <v>#N/A Requesting Data...</v>
      </c>
      <c r="Q463" t="str">
        <f>_xll.BDP("894435DF Muni","MUNI_FED_TAX")</f>
        <v>#N/A Requesting Data...</v>
      </c>
      <c r="R463" t="str">
        <f>_xll.BDP("894435DF Muni","MUNI_MSRB_VOLUME")</f>
        <v>#N/A Requesting Data...</v>
      </c>
      <c r="S463" t="str">
        <f>_xll.BDP("894435DF Muni","BB_COMPOSITE")</f>
        <v>#N/A Requesting Data...</v>
      </c>
      <c r="T463" t="str">
        <f>_xll.BDP("894435DF Muni","LQA_LIQUIDITY_SCORE")</f>
        <v>#N/A Requesting Data...</v>
      </c>
    </row>
    <row r="464" spans="1:20" x14ac:dyDescent="0.25">
      <c r="A464" t="str">
        <f>_xll.BDP("8945203F Muni","ID_CUSIP")</f>
        <v>#N/A Requesting Data...</v>
      </c>
      <c r="B464" t="s">
        <v>215</v>
      </c>
      <c r="C464" t="str">
        <f>_xll.BDP("8945203F Muni","INSURANCE_STATUS")</f>
        <v>#N/A Requesting Data...</v>
      </c>
      <c r="D464" t="str">
        <f>_xll.BDP("8945203F Muni","STATE_CODE")</f>
        <v>#N/A Requesting Data...</v>
      </c>
      <c r="E464" t="str">
        <f>_xll.BDP("8945203F Muni","COUNTY_LOCATION_ISSUER")</f>
        <v>#N/A Requesting Data...</v>
      </c>
      <c r="F464" t="str">
        <f>_xll.BDP("8945203F Muni","DUR_ADJ_MID")</f>
        <v>#N/A Requesting Data...</v>
      </c>
      <c r="G464" t="str">
        <f>_xll.BDP("8945203F Muni","SPREAD_AT_ISSUANCE_TO_WORST")</f>
        <v>#N/A Requesting Data...</v>
      </c>
      <c r="H464" t="str">
        <f>_xll.BDP("8945203F Muni","ISSUE_DT")</f>
        <v>#N/A Requesting Data...</v>
      </c>
      <c r="I464" t="str">
        <f>_xll.BDS("8945203F Muni","MUNI_PURPOSE_SCHED", "aggregate=y")</f>
        <v>#N/A Review</v>
      </c>
      <c r="J464" t="str">
        <f>_xll.BDP("8945203F Muni","CPN")</f>
        <v>#N/A Requesting Data...</v>
      </c>
      <c r="K464" t="str">
        <f>_xll.BDP("8945203F Muni","MATURITY")</f>
        <v>#N/A Requesting Data...</v>
      </c>
      <c r="L464">
        <v>115000</v>
      </c>
      <c r="M464" t="str">
        <f>_xll.BDP("8945203F Muni","YIELD_ON_ISSUE_DATE")</f>
        <v>#N/A Requesting Data...</v>
      </c>
      <c r="N464" t="str">
        <f>_xll.BDP("8945203F Muni","YTW_SPREAD_TO_MATURITY_AT_ISSU")</f>
        <v>#N/A Requesting Data...</v>
      </c>
      <c r="O464" t="str">
        <f>_xll.BDP("8945203F Muni","BVAL_MID_YTM")</f>
        <v>#N/A Requesting Data...</v>
      </c>
      <c r="P464" t="str">
        <f>_xll.BDP("8945203F Muni","MUNI_TAX_PROV")</f>
        <v>#N/A Requesting Data...</v>
      </c>
      <c r="Q464" t="str">
        <f>_xll.BDP("8945203F Muni","MUNI_FED_TAX")</f>
        <v>#N/A Requesting Data...</v>
      </c>
      <c r="R464" t="str">
        <f>_xll.BDP("8945203F Muni","MUNI_MSRB_VOLUME")</f>
        <v>#N/A Requesting Data...</v>
      </c>
      <c r="S464" t="str">
        <f>_xll.BDP("8945203F Muni","BB_COMPOSITE")</f>
        <v>#N/A Requesting Data...</v>
      </c>
      <c r="T464" t="str">
        <f>_xll.BDP("8945203F Muni","LQA_LIQUIDITY_SCORE")</f>
        <v>#N/A Requesting Data...</v>
      </c>
    </row>
    <row r="465" spans="1:20" x14ac:dyDescent="0.25">
      <c r="A465" t="str">
        <f>_xll.BDP("8945203G Muni","ID_CUSIP")</f>
        <v>#N/A Requesting Data...</v>
      </c>
      <c r="B465" t="s">
        <v>215</v>
      </c>
      <c r="C465" t="str">
        <f>_xll.BDP("8945203G Muni","INSURANCE_STATUS")</f>
        <v>#N/A Requesting Data...</v>
      </c>
      <c r="D465" t="str">
        <f>_xll.BDP("8945203G Muni","STATE_CODE")</f>
        <v>#N/A Requesting Data...</v>
      </c>
      <c r="E465" t="str">
        <f>_xll.BDP("8945203G Muni","COUNTY_LOCATION_ISSUER")</f>
        <v>#N/A Requesting Data...</v>
      </c>
      <c r="F465" t="str">
        <f>_xll.BDP("8945203G Muni","DUR_ADJ_MID")</f>
        <v>#N/A Requesting Data...</v>
      </c>
      <c r="G465" t="str">
        <f>_xll.BDP("8945203G Muni","SPREAD_AT_ISSUANCE_TO_WORST")</f>
        <v>#N/A Requesting Data...</v>
      </c>
      <c r="H465" t="str">
        <f>_xll.BDP("8945203G Muni","ISSUE_DT")</f>
        <v>#N/A Requesting Data...</v>
      </c>
      <c r="I465" t="str">
        <f>_xll.BDS("8945203G Muni","MUNI_PURPOSE_SCHED", "aggregate=y")</f>
        <v>#N/A Review</v>
      </c>
      <c r="J465" t="str">
        <f>_xll.BDP("8945203G Muni","CPN")</f>
        <v>#N/A Requesting Data...</v>
      </c>
      <c r="K465" t="str">
        <f>_xll.BDP("8945203G Muni","MATURITY")</f>
        <v>#N/A Requesting Data...</v>
      </c>
      <c r="L465">
        <v>120000</v>
      </c>
      <c r="M465" t="str">
        <f>_xll.BDP("8945203G Muni","YIELD_ON_ISSUE_DATE")</f>
        <v>#N/A Requesting Data...</v>
      </c>
      <c r="N465" t="str">
        <f>_xll.BDP("8945203G Muni","YTW_SPREAD_TO_MATURITY_AT_ISSU")</f>
        <v>#N/A Requesting Data...</v>
      </c>
      <c r="O465" t="str">
        <f>_xll.BDP("8945203G Muni","BVAL_MID_YTM")</f>
        <v>#N/A Requesting Data...</v>
      </c>
      <c r="P465" t="str">
        <f>_xll.BDP("8945203G Muni","MUNI_TAX_PROV")</f>
        <v>#N/A Requesting Data...</v>
      </c>
      <c r="Q465" t="str">
        <f>_xll.BDP("8945203G Muni","MUNI_FED_TAX")</f>
        <v>#N/A Requesting Data...</v>
      </c>
      <c r="R465" t="str">
        <f>_xll.BDP("8945203G Muni","MUNI_MSRB_VOLUME")</f>
        <v>#N/A Requesting Data...</v>
      </c>
      <c r="S465" t="str">
        <f>_xll.BDP("8945203G Muni","BB_COMPOSITE")</f>
        <v>#N/A Requesting Data...</v>
      </c>
      <c r="T465" t="str">
        <f>_xll.BDP("8945203G Muni","LQA_LIQUIDITY_SCORE")</f>
        <v>#N/A Requesting Data...</v>
      </c>
    </row>
    <row r="466" spans="1:20" x14ac:dyDescent="0.25">
      <c r="A466" t="str">
        <f>_xll.BDP("894389UZ Muni","ID_CUSIP")</f>
        <v>#N/A Requesting Data...</v>
      </c>
      <c r="B466" t="s">
        <v>216</v>
      </c>
      <c r="C466" t="str">
        <f>_xll.BDP("894389UZ Muni","INSURANCE_STATUS")</f>
        <v>#N/A Requesting Data...</v>
      </c>
      <c r="D466" t="str">
        <f>_xll.BDP("894389UZ Muni","STATE_CODE")</f>
        <v>#N/A Requesting Data...</v>
      </c>
      <c r="E466" t="str">
        <f>_xll.BDP("894389UZ Muni","COUNTY_LOCATION_ISSUER")</f>
        <v>#N/A Requesting Data...</v>
      </c>
      <c r="F466" t="str">
        <f>_xll.BDP("894389UZ Muni","DUR_ADJ_MID")</f>
        <v>#N/A Requesting Data...</v>
      </c>
      <c r="G466" t="str">
        <f>_xll.BDP("894389UZ Muni","SPREAD_AT_ISSUANCE_TO_WORST")</f>
        <v>#N/A Requesting Data...</v>
      </c>
      <c r="H466" t="str">
        <f>_xll.BDP("894389UZ Muni","ISSUE_DT")</f>
        <v>#N/A Requesting Data...</v>
      </c>
      <c r="I466" t="str">
        <f>_xll.BDS("894389UZ Muni","MUNI_PURPOSE_SCHED", "aggregate=y")</f>
        <v>#N/A Review</v>
      </c>
      <c r="J466" t="str">
        <f>_xll.BDP("894389UZ Muni","CPN")</f>
        <v>#N/A Requesting Data...</v>
      </c>
      <c r="K466" t="str">
        <f>_xll.BDP("894389UZ Muni","MATURITY")</f>
        <v>#N/A Requesting Data...</v>
      </c>
      <c r="L466">
        <v>475000</v>
      </c>
      <c r="M466" t="str">
        <f>_xll.BDP("894389UZ Muni","YIELD_ON_ISSUE_DATE")</f>
        <v>#N/A Requesting Data...</v>
      </c>
      <c r="N466" t="str">
        <f>_xll.BDP("894389UZ Muni","YTW_SPREAD_TO_MATURITY_AT_ISSU")</f>
        <v>#N/A Requesting Data...</v>
      </c>
      <c r="O466" t="str">
        <f>_xll.BDP("894389UZ Muni","BVAL_MID_YTM")</f>
        <v>#N/A Requesting Data...</v>
      </c>
      <c r="P466" t="str">
        <f>_xll.BDP("894389UZ Muni","MUNI_TAX_PROV")</f>
        <v>#N/A Requesting Data...</v>
      </c>
      <c r="Q466" t="str">
        <f>_xll.BDP("894389UZ Muni","MUNI_FED_TAX")</f>
        <v>#N/A Requesting Data...</v>
      </c>
      <c r="R466" t="str">
        <f>_xll.BDP("894389UZ Muni","MUNI_MSRB_VOLUME")</f>
        <v>#N/A Requesting Data...</v>
      </c>
      <c r="S466" t="str">
        <f>_xll.BDP("894389UZ Muni","BB_COMPOSITE")</f>
        <v>#N/A Requesting Data...</v>
      </c>
      <c r="T466" t="str">
        <f>_xll.BDP("894389UZ Muni","LQA_LIQUIDITY_SCORE")</f>
        <v>#N/A Requesting Data...</v>
      </c>
    </row>
    <row r="467" spans="1:20" x14ac:dyDescent="0.25">
      <c r="A467" t="str">
        <f>_xll.BDP("894389VA Muni","ID_CUSIP")</f>
        <v>#N/A Requesting Data...</v>
      </c>
      <c r="B467" t="s">
        <v>216</v>
      </c>
      <c r="C467" t="str">
        <f>_xll.BDP("894389VA Muni","INSURANCE_STATUS")</f>
        <v>#N/A Requesting Data...</v>
      </c>
      <c r="D467" t="str">
        <f>_xll.BDP("894389VA Muni","STATE_CODE")</f>
        <v>#N/A Requesting Data...</v>
      </c>
      <c r="E467" t="str">
        <f>_xll.BDP("894389VA Muni","COUNTY_LOCATION_ISSUER")</f>
        <v>#N/A Requesting Data...</v>
      </c>
      <c r="F467" t="str">
        <f>_xll.BDP("894389VA Muni","DUR_ADJ_MID")</f>
        <v>#N/A Requesting Data...</v>
      </c>
      <c r="G467" t="str">
        <f>_xll.BDP("894389VA Muni","SPREAD_AT_ISSUANCE_TO_WORST")</f>
        <v>#N/A Requesting Data...</v>
      </c>
      <c r="H467" t="str">
        <f>_xll.BDP("894389VA Muni","ISSUE_DT")</f>
        <v>#N/A Requesting Data...</v>
      </c>
      <c r="I467" t="str">
        <f>_xll.BDS("894389VA Muni","MUNI_PURPOSE_SCHED", "aggregate=y")</f>
        <v>#N/A Review</v>
      </c>
      <c r="J467" t="str">
        <f>_xll.BDP("894389VA Muni","CPN")</f>
        <v>#N/A Requesting Data...</v>
      </c>
      <c r="K467" t="str">
        <f>_xll.BDP("894389VA Muni","MATURITY")</f>
        <v>#N/A Requesting Data...</v>
      </c>
      <c r="L467">
        <v>500000</v>
      </c>
      <c r="M467" t="str">
        <f>_xll.BDP("894389VA Muni","YIELD_ON_ISSUE_DATE")</f>
        <v>#N/A Requesting Data...</v>
      </c>
      <c r="N467" t="str">
        <f>_xll.BDP("894389VA Muni","YTW_SPREAD_TO_MATURITY_AT_ISSU")</f>
        <v>#N/A Requesting Data...</v>
      </c>
      <c r="O467" t="str">
        <f>_xll.BDP("894389VA Muni","BVAL_MID_YTM")</f>
        <v>#N/A Requesting Data...</v>
      </c>
      <c r="P467" t="str">
        <f>_xll.BDP("894389VA Muni","MUNI_TAX_PROV")</f>
        <v>#N/A Requesting Data...</v>
      </c>
      <c r="Q467" t="str">
        <f>_xll.BDP("894389VA Muni","MUNI_FED_TAX")</f>
        <v>#N/A Requesting Data...</v>
      </c>
      <c r="R467" t="str">
        <f>_xll.BDP("894389VA Muni","MUNI_MSRB_VOLUME")</f>
        <v>#N/A Requesting Data...</v>
      </c>
      <c r="S467" t="str">
        <f>_xll.BDP("894389VA Muni","BB_COMPOSITE")</f>
        <v>#N/A Requesting Data...</v>
      </c>
      <c r="T467" t="str">
        <f>_xll.BDP("894389VA Muni","LQA_LIQUIDITY_SCORE")</f>
        <v>#N/A Requesting Data...</v>
      </c>
    </row>
    <row r="468" spans="1:20" x14ac:dyDescent="0.25">
      <c r="A468" t="str">
        <f>_xll.BDP("89439FDJ Muni","ID_CUSIP")</f>
        <v>#N/A Requesting Data...</v>
      </c>
      <c r="B468" t="s">
        <v>217</v>
      </c>
      <c r="C468" t="str">
        <f>_xll.BDP("89439FDJ Muni","INSURANCE_STATUS")</f>
        <v>#N/A Requesting Data...</v>
      </c>
      <c r="D468" t="str">
        <f>_xll.BDP("89439FDJ Muni","STATE_CODE")</f>
        <v>#N/A Requesting Data...</v>
      </c>
      <c r="E468" t="str">
        <f>_xll.BDP("89439FDJ Muni","COUNTY_LOCATION_ISSUER")</f>
        <v>#N/A Requesting Data...</v>
      </c>
      <c r="F468" t="str">
        <f>_xll.BDP("89439FDJ Muni","DUR_ADJ_MID")</f>
        <v>#N/A Requesting Data...</v>
      </c>
      <c r="G468" t="str">
        <f>_xll.BDP("89439FDJ Muni","SPREAD_AT_ISSUANCE_TO_WORST")</f>
        <v>#N/A Requesting Data...</v>
      </c>
      <c r="H468" t="str">
        <f>_xll.BDP("89439FDJ Muni","ISSUE_DT")</f>
        <v>#N/A Requesting Data...</v>
      </c>
      <c r="I468" t="str">
        <f>_xll.BDS("89439FDJ Muni","MUNI_PURPOSE_SCHED", "aggregate=y")</f>
        <v>#N/A Review</v>
      </c>
      <c r="J468" t="str">
        <f>_xll.BDP("89439FDJ Muni","CPN")</f>
        <v>#N/A Requesting Data...</v>
      </c>
      <c r="K468" t="str">
        <f>_xll.BDP("89439FDJ Muni","MATURITY")</f>
        <v>#N/A Requesting Data...</v>
      </c>
      <c r="L468">
        <v>70000</v>
      </c>
      <c r="M468" t="str">
        <f>_xll.BDP("89439FDJ Muni","YIELD_ON_ISSUE_DATE")</f>
        <v>#N/A Requesting Data...</v>
      </c>
      <c r="N468" t="str">
        <f>_xll.BDP("89439FDJ Muni","YTW_SPREAD_TO_MATURITY_AT_ISSU")</f>
        <v>#N/A Requesting Data...</v>
      </c>
      <c r="O468" t="str">
        <f>_xll.BDP("89439FDJ Muni","BVAL_MID_YTM")</f>
        <v>#N/A Requesting Data...</v>
      </c>
      <c r="P468" t="str">
        <f>_xll.BDP("89439FDJ Muni","MUNI_TAX_PROV")</f>
        <v>#N/A Requesting Data...</v>
      </c>
      <c r="Q468" t="str">
        <f>_xll.BDP("89439FDJ Muni","MUNI_FED_TAX")</f>
        <v>#N/A Requesting Data...</v>
      </c>
      <c r="R468" t="str">
        <f>_xll.BDP("89439FDJ Muni","MUNI_MSRB_VOLUME")</f>
        <v>#N/A Requesting Data...</v>
      </c>
      <c r="S468" t="str">
        <f>_xll.BDP("89439FDJ Muni","BB_COMPOSITE")</f>
        <v>#N/A Requesting Data...</v>
      </c>
      <c r="T468" t="str">
        <f>_xll.BDP("89439FDJ Muni","LQA_LIQUIDITY_SCORE")</f>
        <v>#N/A Requesting Data...</v>
      </c>
    </row>
    <row r="469" spans="1:20" x14ac:dyDescent="0.25">
      <c r="A469" t="str">
        <f>_xll.BDP("89439FDK Muni","ID_CUSIP")</f>
        <v>#N/A Requesting Data...</v>
      </c>
      <c r="B469" t="s">
        <v>217</v>
      </c>
      <c r="C469" t="str">
        <f>_xll.BDP("89439FDK Muni","INSURANCE_STATUS")</f>
        <v>#N/A Requesting Data...</v>
      </c>
      <c r="D469" t="str">
        <f>_xll.BDP("89439FDK Muni","STATE_CODE")</f>
        <v>#N/A Requesting Data...</v>
      </c>
      <c r="E469" t="str">
        <f>_xll.BDP("89439FDK Muni","COUNTY_LOCATION_ISSUER")</f>
        <v>#N/A Requesting Data...</v>
      </c>
      <c r="F469" t="str">
        <f>_xll.BDP("89439FDK Muni","DUR_ADJ_MID")</f>
        <v>#N/A Requesting Data...</v>
      </c>
      <c r="G469" t="str">
        <f>_xll.BDP("89439FDK Muni","SPREAD_AT_ISSUANCE_TO_WORST")</f>
        <v>#N/A Requesting Data...</v>
      </c>
      <c r="H469" t="str">
        <f>_xll.BDP("89439FDK Muni","ISSUE_DT")</f>
        <v>#N/A Requesting Data...</v>
      </c>
      <c r="I469" t="str">
        <f>_xll.BDS("89439FDK Muni","MUNI_PURPOSE_SCHED", "aggregate=y")</f>
        <v>#N/A Review</v>
      </c>
      <c r="J469" t="str">
        <f>_xll.BDP("89439FDK Muni","CPN")</f>
        <v>#N/A Requesting Data...</v>
      </c>
      <c r="K469" t="str">
        <f>_xll.BDP("89439FDK Muni","MATURITY")</f>
        <v>#N/A Requesting Data...</v>
      </c>
      <c r="L469">
        <v>70000</v>
      </c>
      <c r="M469" t="str">
        <f>_xll.BDP("89439FDK Muni","YIELD_ON_ISSUE_DATE")</f>
        <v>#N/A Requesting Data...</v>
      </c>
      <c r="N469" t="str">
        <f>_xll.BDP("89439FDK Muni","YTW_SPREAD_TO_MATURITY_AT_ISSU")</f>
        <v>#N/A Requesting Data...</v>
      </c>
      <c r="O469" t="str">
        <f>_xll.BDP("89439FDK Muni","BVAL_MID_YTM")</f>
        <v>#N/A Requesting Data...</v>
      </c>
      <c r="P469" t="str">
        <f>_xll.BDP("89439FDK Muni","MUNI_TAX_PROV")</f>
        <v>#N/A Requesting Data...</v>
      </c>
      <c r="Q469" t="str">
        <f>_xll.BDP("89439FDK Muni","MUNI_FED_TAX")</f>
        <v>#N/A Requesting Data...</v>
      </c>
      <c r="R469" t="str">
        <f>_xll.BDP("89439FDK Muni","MUNI_MSRB_VOLUME")</f>
        <v>#N/A Requesting Data...</v>
      </c>
      <c r="S469" t="str">
        <f>_xll.BDP("89439FDK Muni","BB_COMPOSITE")</f>
        <v>#N/A Requesting Data...</v>
      </c>
      <c r="T469" t="str">
        <f>_xll.BDP("89439FDK Muni","LQA_LIQUIDITY_SCORE")</f>
        <v>#N/A Requesting Data...</v>
      </c>
    </row>
    <row r="470" spans="1:20" x14ac:dyDescent="0.25">
      <c r="A470" t="str">
        <f>_xll.BDP("89439LHT Muni","ID_CUSIP")</f>
        <v>#N/A Requesting Data...</v>
      </c>
      <c r="B470" t="s">
        <v>218</v>
      </c>
      <c r="C470" t="str">
        <f>_xll.BDP("89439LHT Muni","INSURANCE_STATUS")</f>
        <v>#N/A Requesting Data...</v>
      </c>
      <c r="D470" t="str">
        <f>_xll.BDP("89439LHT Muni","STATE_CODE")</f>
        <v>#N/A Requesting Data...</v>
      </c>
      <c r="E470" t="str">
        <f>_xll.BDP("89439LHT Muni","COUNTY_LOCATION_ISSUER")</f>
        <v>#N/A Requesting Data...</v>
      </c>
      <c r="F470" t="str">
        <f>_xll.BDP("89439LHT Muni","DUR_ADJ_MID")</f>
        <v>#N/A Requesting Data...</v>
      </c>
      <c r="G470" t="str">
        <f>_xll.BDP("89439LHT Muni","SPREAD_AT_ISSUANCE_TO_WORST")</f>
        <v>#N/A Requesting Data...</v>
      </c>
      <c r="H470" t="str">
        <f>_xll.BDP("89439LHT Muni","ISSUE_DT")</f>
        <v>#N/A Requesting Data...</v>
      </c>
      <c r="I470" t="str">
        <f>_xll.BDS("89439LHT Muni","MUNI_PURPOSE_SCHED", "aggregate=y")</f>
        <v>#N/A Review</v>
      </c>
      <c r="J470" t="str">
        <f>_xll.BDP("89439LHT Muni","CPN")</f>
        <v>#N/A Requesting Data...</v>
      </c>
      <c r="K470" t="str">
        <f>_xll.BDP("89439LHT Muni","MATURITY")</f>
        <v>#N/A Requesting Data...</v>
      </c>
      <c r="L470">
        <v>50000</v>
      </c>
      <c r="M470" t="str">
        <f>_xll.BDP("89439LHT Muni","YIELD_ON_ISSUE_DATE")</f>
        <v>#N/A Requesting Data...</v>
      </c>
      <c r="N470" t="str">
        <f>_xll.BDP("89439LHT Muni","YTW_SPREAD_TO_MATURITY_AT_ISSU")</f>
        <v>#N/A Requesting Data...</v>
      </c>
      <c r="O470" t="str">
        <f>_xll.BDP("89439LHT Muni","BVAL_MID_YTM")</f>
        <v>#N/A Requesting Data...</v>
      </c>
      <c r="P470" t="str">
        <f>_xll.BDP("89439LHT Muni","MUNI_TAX_PROV")</f>
        <v>#N/A Requesting Data...</v>
      </c>
      <c r="Q470" t="str">
        <f>_xll.BDP("89439LHT Muni","MUNI_FED_TAX")</f>
        <v>#N/A Requesting Data...</v>
      </c>
      <c r="R470" t="str">
        <f>_xll.BDP("89439LHT Muni","MUNI_MSRB_VOLUME")</f>
        <v>#N/A Requesting Data...</v>
      </c>
      <c r="S470" t="str">
        <f>_xll.BDP("89439LHT Muni","BB_COMPOSITE")</f>
        <v>#N/A Requesting Data...</v>
      </c>
      <c r="T470" t="str">
        <f>_xll.BDP("89439LHT Muni","LQA_LIQUIDITY_SCORE")</f>
        <v>#N/A Requesting Data...</v>
      </c>
    </row>
    <row r="471" spans="1:20" x14ac:dyDescent="0.25">
      <c r="A471" t="str">
        <f>_xll.BDP("89439LHU Muni","ID_CUSIP")</f>
        <v>#N/A Requesting Data...</v>
      </c>
      <c r="B471" t="s">
        <v>218</v>
      </c>
      <c r="C471" t="str">
        <f>_xll.BDP("89439LHU Muni","INSURANCE_STATUS")</f>
        <v>#N/A Requesting Data...</v>
      </c>
      <c r="D471" t="str">
        <f>_xll.BDP("89439LHU Muni","STATE_CODE")</f>
        <v>#N/A Requesting Data...</v>
      </c>
      <c r="E471" t="str">
        <f>_xll.BDP("89439LHU Muni","COUNTY_LOCATION_ISSUER")</f>
        <v>#N/A Requesting Data...</v>
      </c>
      <c r="F471" t="str">
        <f>_xll.BDP("89439LHU Muni","DUR_ADJ_MID")</f>
        <v>#N/A Requesting Data...</v>
      </c>
      <c r="G471" t="str">
        <f>_xll.BDP("89439LHU Muni","SPREAD_AT_ISSUANCE_TO_WORST")</f>
        <v>#N/A Requesting Data...</v>
      </c>
      <c r="H471" t="str">
        <f>_xll.BDP("89439LHU Muni","ISSUE_DT")</f>
        <v>#N/A Requesting Data...</v>
      </c>
      <c r="I471" t="str">
        <f>_xll.BDS("89439LHU Muni","MUNI_PURPOSE_SCHED", "aggregate=y")</f>
        <v>#N/A Review</v>
      </c>
      <c r="J471" t="str">
        <f>_xll.BDP("89439LHU Muni","CPN")</f>
        <v>#N/A Requesting Data...</v>
      </c>
      <c r="K471" t="str">
        <f>_xll.BDP("89439LHU Muni","MATURITY")</f>
        <v>#N/A Requesting Data...</v>
      </c>
      <c r="L471">
        <v>50000</v>
      </c>
      <c r="M471" t="str">
        <f>_xll.BDP("89439LHU Muni","YIELD_ON_ISSUE_DATE")</f>
        <v>#N/A Requesting Data...</v>
      </c>
      <c r="N471" t="str">
        <f>_xll.BDP("89439LHU Muni","YTW_SPREAD_TO_MATURITY_AT_ISSU")</f>
        <v>#N/A Requesting Data...</v>
      </c>
      <c r="O471" t="str">
        <f>_xll.BDP("89439LHU Muni","BVAL_MID_YTM")</f>
        <v>#N/A Requesting Data...</v>
      </c>
      <c r="P471" t="str">
        <f>_xll.BDP("89439LHU Muni","MUNI_TAX_PROV")</f>
        <v>#N/A Requesting Data...</v>
      </c>
      <c r="Q471" t="str">
        <f>_xll.BDP("89439LHU Muni","MUNI_FED_TAX")</f>
        <v>#N/A Requesting Data...</v>
      </c>
      <c r="R471" t="str">
        <f>_xll.BDP("89439LHU Muni","MUNI_MSRB_VOLUME")</f>
        <v>#N/A Requesting Data...</v>
      </c>
      <c r="S471" t="str">
        <f>_xll.BDP("89439LHU Muni","BB_COMPOSITE")</f>
        <v>#N/A Requesting Data...</v>
      </c>
      <c r="T471" t="str">
        <f>_xll.BDP("89439LHU Muni","LQA_LIQUIDITY_SCORE")</f>
        <v>#N/A Requesting Data...</v>
      </c>
    </row>
    <row r="472" spans="1:20" x14ac:dyDescent="0.25">
      <c r="A472" t="str">
        <f>_xll.BDP("89439PED Muni","ID_CUSIP")</f>
        <v>#N/A Requesting Data...</v>
      </c>
      <c r="B472" t="s">
        <v>208</v>
      </c>
      <c r="C472" t="str">
        <f>_xll.BDP("89439PED Muni","INSURANCE_STATUS")</f>
        <v>#N/A Requesting Data...</v>
      </c>
      <c r="D472" t="str">
        <f>_xll.BDP("89439PED Muni","STATE_CODE")</f>
        <v>#N/A Requesting Data...</v>
      </c>
      <c r="E472" t="str">
        <f>_xll.BDP("89439PED Muni","COUNTY_LOCATION_ISSUER")</f>
        <v>#N/A Requesting Data...</v>
      </c>
      <c r="F472" t="str">
        <f>_xll.BDP("89439PED Muni","DUR_ADJ_MID")</f>
        <v>#N/A Requesting Data...</v>
      </c>
      <c r="G472" t="str">
        <f>_xll.BDP("89439PED Muni","SPREAD_AT_ISSUANCE_TO_WORST")</f>
        <v>#N/A Requesting Data...</v>
      </c>
      <c r="H472" t="str">
        <f>_xll.BDP("89439PED Muni","ISSUE_DT")</f>
        <v>#N/A Requesting Data...</v>
      </c>
      <c r="I472" t="str">
        <f>_xll.BDS("89439PED Muni","MUNI_PURPOSE_SCHED", "aggregate=y")</f>
        <v>#N/A Review</v>
      </c>
      <c r="J472" t="str">
        <f>_xll.BDP("89439PED Muni","CPN")</f>
        <v>#N/A Requesting Data...</v>
      </c>
      <c r="K472" t="str">
        <f>_xll.BDP("89439PED Muni","MATURITY")</f>
        <v>#N/A Requesting Data...</v>
      </c>
      <c r="L472">
        <v>130000</v>
      </c>
      <c r="M472" t="str">
        <f>_xll.BDP("89439PED Muni","YIELD_ON_ISSUE_DATE")</f>
        <v>#N/A Requesting Data...</v>
      </c>
      <c r="N472" t="str">
        <f>_xll.BDP("89439PED Muni","YTW_SPREAD_TO_MATURITY_AT_ISSU")</f>
        <v>#N/A Requesting Data...</v>
      </c>
      <c r="O472" t="str">
        <f>_xll.BDP("89439PED Muni","BVAL_MID_YTM")</f>
        <v>#N/A Requesting Data...</v>
      </c>
      <c r="P472" t="str">
        <f>_xll.BDP("89439PED Muni","MUNI_TAX_PROV")</f>
        <v>#N/A Requesting Data...</v>
      </c>
      <c r="Q472" t="str">
        <f>_xll.BDP("89439PED Muni","MUNI_FED_TAX")</f>
        <v>#N/A Requesting Data...</v>
      </c>
      <c r="R472" t="str">
        <f>_xll.BDP("89439PED Muni","MUNI_MSRB_VOLUME")</f>
        <v>#N/A Requesting Data...</v>
      </c>
      <c r="S472" t="str">
        <f>_xll.BDP("89439PED Muni","BB_COMPOSITE")</f>
        <v>#N/A Requesting Data...</v>
      </c>
      <c r="T472" t="str">
        <f>_xll.BDP("89439PED Muni","LQA_LIQUIDITY_SCORE")</f>
        <v>#N/A Requesting Data...</v>
      </c>
    </row>
    <row r="473" spans="1:20" x14ac:dyDescent="0.25">
      <c r="A473" t="str">
        <f>_xll.BDP("89439TEM Muni","ID_CUSIP")</f>
        <v>#N/A Requesting Data...</v>
      </c>
      <c r="B473" t="s">
        <v>209</v>
      </c>
      <c r="C473" t="str">
        <f>_xll.BDP("89439TEM Muni","INSURANCE_STATUS")</f>
        <v>#N/A Requesting Data...</v>
      </c>
      <c r="D473" t="str">
        <f>_xll.BDP("89439TEM Muni","STATE_CODE")</f>
        <v>#N/A Requesting Data...</v>
      </c>
      <c r="E473" t="str">
        <f>_xll.BDP("89439TEM Muni","COUNTY_LOCATION_ISSUER")</f>
        <v>#N/A Requesting Data...</v>
      </c>
      <c r="F473" t="str">
        <f>_xll.BDP("89439TEM Muni","DUR_ADJ_MID")</f>
        <v>#N/A Requesting Data...</v>
      </c>
      <c r="G473" t="str">
        <f>_xll.BDP("89439TEM Muni","SPREAD_AT_ISSUANCE_TO_WORST")</f>
        <v>#N/A Requesting Data...</v>
      </c>
      <c r="H473" t="str">
        <f>_xll.BDP("89439TEM Muni","ISSUE_DT")</f>
        <v>#N/A Requesting Data...</v>
      </c>
      <c r="I473" t="str">
        <f>_xll.BDS("89439TEM Muni","MUNI_PURPOSE_SCHED", "aggregate=y")</f>
        <v>#N/A Review</v>
      </c>
      <c r="J473" t="str">
        <f>_xll.BDP("89439TEM Muni","CPN")</f>
        <v>#N/A Requesting Data...</v>
      </c>
      <c r="K473" t="str">
        <f>_xll.BDP("89439TEM Muni","MATURITY")</f>
        <v>#N/A Requesting Data...</v>
      </c>
      <c r="L473">
        <v>5000</v>
      </c>
      <c r="M473" t="str">
        <f>_xll.BDP("89439TEM Muni","YIELD_ON_ISSUE_DATE")</f>
        <v>#N/A Requesting Data...</v>
      </c>
      <c r="N473" t="str">
        <f>_xll.BDP("89439TEM Muni","YTW_SPREAD_TO_MATURITY_AT_ISSU")</f>
        <v>#N/A Requesting Data...</v>
      </c>
      <c r="O473" t="str">
        <f>_xll.BDP("89439TEM Muni","BVAL_MID_YTM")</f>
        <v>#N/A Requesting Data...</v>
      </c>
      <c r="P473" t="str">
        <f>_xll.BDP("89439TEM Muni","MUNI_TAX_PROV")</f>
        <v>#N/A Requesting Data...</v>
      </c>
      <c r="Q473" t="str">
        <f>_xll.BDP("89439TEM Muni","MUNI_FED_TAX")</f>
        <v>#N/A Requesting Data...</v>
      </c>
      <c r="R473" t="str">
        <f>_xll.BDP("89439TEM Muni","MUNI_MSRB_VOLUME")</f>
        <v>#N/A Requesting Data...</v>
      </c>
      <c r="S473" t="str">
        <f>_xll.BDP("89439TEM Muni","BB_COMPOSITE")</f>
        <v>#N/A Requesting Data...</v>
      </c>
      <c r="T473" t="str">
        <f>_xll.BDP("89439TEM Muni","LQA_LIQUIDITY_SCORE")</f>
        <v>#N/A Requesting Data...</v>
      </c>
    </row>
    <row r="474" spans="1:20" x14ac:dyDescent="0.25">
      <c r="A474" t="str">
        <f>_xll.BDP("89440EBF Muni","ID_CUSIP")</f>
        <v>#N/A Requesting Data...</v>
      </c>
      <c r="B474" t="s">
        <v>210</v>
      </c>
      <c r="C474" t="str">
        <f>_xll.BDP("89440EBF Muni","INSURANCE_STATUS")</f>
        <v>#N/A Requesting Data...</v>
      </c>
      <c r="D474" t="str">
        <f>_xll.BDP("89440EBF Muni","STATE_CODE")</f>
        <v>#N/A Requesting Data...</v>
      </c>
      <c r="E474" t="str">
        <f>_xll.BDP("89440EBF Muni","COUNTY_LOCATION_ISSUER")</f>
        <v>#N/A Requesting Data...</v>
      </c>
      <c r="F474" t="str">
        <f>_xll.BDP("89440EBF Muni","DUR_ADJ_MID")</f>
        <v>#N/A Requesting Data...</v>
      </c>
      <c r="G474" t="str">
        <f>_xll.BDP("89440EBF Muni","SPREAD_AT_ISSUANCE_TO_WORST")</f>
        <v>#N/A Requesting Data...</v>
      </c>
      <c r="H474" t="str">
        <f>_xll.BDP("89440EBF Muni","ISSUE_DT")</f>
        <v>#N/A Requesting Data...</v>
      </c>
      <c r="I474" t="str">
        <f>_xll.BDS("89440EBF Muni","MUNI_PURPOSE_SCHED", "aggregate=y")</f>
        <v>#N/A Review</v>
      </c>
      <c r="J474" t="str">
        <f>_xll.BDP("89440EBF Muni","CPN")</f>
        <v>#N/A Requesting Data...</v>
      </c>
      <c r="K474" t="str">
        <f>_xll.BDP("89440EBF Muni","MATURITY")</f>
        <v>#N/A Requesting Data...</v>
      </c>
      <c r="L474">
        <v>75000</v>
      </c>
      <c r="M474" t="str">
        <f>_xll.BDP("89440EBF Muni","YIELD_ON_ISSUE_DATE")</f>
        <v>#N/A Requesting Data...</v>
      </c>
      <c r="N474" t="str">
        <f>_xll.BDP("89440EBF Muni","YTW_SPREAD_TO_MATURITY_AT_ISSU")</f>
        <v>#N/A Requesting Data...</v>
      </c>
      <c r="O474" t="str">
        <f>_xll.BDP("89440EBF Muni","BVAL_MID_YTM")</f>
        <v>#N/A Requesting Data...</v>
      </c>
      <c r="P474" t="str">
        <f>_xll.BDP("89440EBF Muni","MUNI_TAX_PROV")</f>
        <v>#N/A Requesting Data...</v>
      </c>
      <c r="Q474" t="str">
        <f>_xll.BDP("89440EBF Muni","MUNI_FED_TAX")</f>
        <v>#N/A Requesting Data...</v>
      </c>
      <c r="R474" t="str">
        <f>_xll.BDP("89440EBF Muni","MUNI_MSRB_VOLUME")</f>
        <v>#N/A Requesting Data...</v>
      </c>
      <c r="S474" t="str">
        <f>_xll.BDP("89440EBF Muni","BB_COMPOSITE")</f>
        <v>#N/A Requesting Data...</v>
      </c>
      <c r="T474" t="str">
        <f>_xll.BDP("89440EBF Muni","LQA_LIQUIDITY_SCORE")</f>
        <v>#N/A Requesting Data...</v>
      </c>
    </row>
    <row r="475" spans="1:20" x14ac:dyDescent="0.25">
      <c r="A475" t="str">
        <f>_xll.BDP("89440FCD Muni","ID_CUSIP")</f>
        <v>#N/A Requesting Data...</v>
      </c>
      <c r="B475" t="s">
        <v>211</v>
      </c>
      <c r="C475" t="str">
        <f>_xll.BDP("89440FCD Muni","INSURANCE_STATUS")</f>
        <v>#N/A Requesting Data...</v>
      </c>
      <c r="D475" t="str">
        <f>_xll.BDP("89440FCD Muni","STATE_CODE")</f>
        <v>#N/A Requesting Data...</v>
      </c>
      <c r="E475" t="str">
        <f>_xll.BDP("89440FCD Muni","COUNTY_LOCATION_ISSUER")</f>
        <v>#N/A Requesting Data...</v>
      </c>
      <c r="F475" t="str">
        <f>_xll.BDP("89440FCD Muni","DUR_ADJ_MID")</f>
        <v>#N/A Requesting Data...</v>
      </c>
      <c r="G475" t="str">
        <f>_xll.BDP("89440FCD Muni","SPREAD_AT_ISSUANCE_TO_WORST")</f>
        <v>#N/A Requesting Data...</v>
      </c>
      <c r="H475" t="str">
        <f>_xll.BDP("89440FCD Muni","ISSUE_DT")</f>
        <v>#N/A Requesting Data...</v>
      </c>
      <c r="I475" t="str">
        <f>_xll.BDS("89440FCD Muni","MUNI_PURPOSE_SCHED", "aggregate=y")</f>
        <v>#N/A Review</v>
      </c>
      <c r="J475" t="str">
        <f>_xll.BDP("89440FCD Muni","CPN")</f>
        <v>#N/A Requesting Data...</v>
      </c>
      <c r="K475" t="str">
        <f>_xll.BDP("89440FCD Muni","MATURITY")</f>
        <v>#N/A Requesting Data...</v>
      </c>
      <c r="L475">
        <v>175000</v>
      </c>
      <c r="M475" t="str">
        <f>_xll.BDP("89440FCD Muni","YIELD_ON_ISSUE_DATE")</f>
        <v>#N/A Requesting Data...</v>
      </c>
      <c r="N475" t="str">
        <f>_xll.BDP("89440FCD Muni","YTW_SPREAD_TO_MATURITY_AT_ISSU")</f>
        <v>#N/A Requesting Data...</v>
      </c>
      <c r="O475" t="str">
        <f>_xll.BDP("89440FCD Muni","BVAL_MID_YTM")</f>
        <v>#N/A Requesting Data...</v>
      </c>
      <c r="P475" t="str">
        <f>_xll.BDP("89440FCD Muni","MUNI_TAX_PROV")</f>
        <v>#N/A Requesting Data...</v>
      </c>
      <c r="Q475" t="str">
        <f>_xll.BDP("89440FCD Muni","MUNI_FED_TAX")</f>
        <v>#N/A Requesting Data...</v>
      </c>
      <c r="R475" t="str">
        <f>_xll.BDP("89440FCD Muni","MUNI_MSRB_VOLUME")</f>
        <v>#N/A Requesting Data...</v>
      </c>
      <c r="S475" t="str">
        <f>_xll.BDP("89440FCD Muni","BB_COMPOSITE")</f>
        <v>#N/A Requesting Data...</v>
      </c>
      <c r="T475" t="str">
        <f>_xll.BDP("89440FCD Muni","LQA_LIQUIDITY_SCORE")</f>
        <v>#N/A Requesting Data...</v>
      </c>
    </row>
    <row r="476" spans="1:20" x14ac:dyDescent="0.25">
      <c r="A476" t="str">
        <f>_xll.BDP("89440FCE Muni","ID_CUSIP")</f>
        <v>#N/A Requesting Data...</v>
      </c>
      <c r="B476" t="s">
        <v>211</v>
      </c>
      <c r="C476" t="str">
        <f>_xll.BDP("89440FCE Muni","INSURANCE_STATUS")</f>
        <v>#N/A Requesting Data...</v>
      </c>
      <c r="D476" t="str">
        <f>_xll.BDP("89440FCE Muni","STATE_CODE")</f>
        <v>#N/A Requesting Data...</v>
      </c>
      <c r="E476" t="str">
        <f>_xll.BDP("89440FCE Muni","COUNTY_LOCATION_ISSUER")</f>
        <v>#N/A Requesting Data...</v>
      </c>
      <c r="F476" t="str">
        <f>_xll.BDP("89440FCE Muni","DUR_ADJ_MID")</f>
        <v>#N/A Requesting Data...</v>
      </c>
      <c r="G476" t="str">
        <f>_xll.BDP("89440FCE Muni","SPREAD_AT_ISSUANCE_TO_WORST")</f>
        <v>#N/A Requesting Data...</v>
      </c>
      <c r="H476" t="str">
        <f>_xll.BDP("89440FCE Muni","ISSUE_DT")</f>
        <v>#N/A Requesting Data...</v>
      </c>
      <c r="I476" t="str">
        <f>_xll.BDS("89440FCE Muni","MUNI_PURPOSE_SCHED", "aggregate=y")</f>
        <v>#N/A Review</v>
      </c>
      <c r="J476" t="str">
        <f>_xll.BDP("89440FCE Muni","CPN")</f>
        <v>#N/A Requesting Data...</v>
      </c>
      <c r="K476" t="str">
        <f>_xll.BDP("89440FCE Muni","MATURITY")</f>
        <v>#N/A Requesting Data...</v>
      </c>
      <c r="L476">
        <v>180000</v>
      </c>
      <c r="M476" t="str">
        <f>_xll.BDP("89440FCE Muni","YIELD_ON_ISSUE_DATE")</f>
        <v>#N/A Requesting Data...</v>
      </c>
      <c r="N476" t="str">
        <f>_xll.BDP("89440FCE Muni","YTW_SPREAD_TO_MATURITY_AT_ISSU")</f>
        <v>#N/A Requesting Data...</v>
      </c>
      <c r="O476" t="str">
        <f>_xll.BDP("89440FCE Muni","BVAL_MID_YTM")</f>
        <v>#N/A Requesting Data...</v>
      </c>
      <c r="P476" t="str">
        <f>_xll.BDP("89440FCE Muni","MUNI_TAX_PROV")</f>
        <v>#N/A Requesting Data...</v>
      </c>
      <c r="Q476" t="str">
        <f>_xll.BDP("89440FCE Muni","MUNI_FED_TAX")</f>
        <v>#N/A Requesting Data...</v>
      </c>
      <c r="R476" t="str">
        <f>_xll.BDP("89440FCE Muni","MUNI_MSRB_VOLUME")</f>
        <v>#N/A Requesting Data...</v>
      </c>
      <c r="S476" t="str">
        <f>_xll.BDP("89440FCE Muni","BB_COMPOSITE")</f>
        <v>#N/A Requesting Data...</v>
      </c>
      <c r="T476" t="str">
        <f>_xll.BDP("89440FCE Muni","LQA_LIQUIDITY_SCORE")</f>
        <v>#N/A Requesting Data...</v>
      </c>
    </row>
    <row r="477" spans="1:20" x14ac:dyDescent="0.25">
      <c r="A477" t="str">
        <f>_xll.BDP("89440LAF Muni","ID_CUSIP")</f>
        <v>#N/A Requesting Data...</v>
      </c>
      <c r="B477" t="s">
        <v>213</v>
      </c>
      <c r="C477" t="str">
        <f>_xll.BDP("89440LAF Muni","INSURANCE_STATUS")</f>
        <v>#N/A Requesting Data...</v>
      </c>
      <c r="D477" t="str">
        <f>_xll.BDP("89440LAF Muni","STATE_CODE")</f>
        <v>#N/A Requesting Data...</v>
      </c>
      <c r="E477" t="str">
        <f>_xll.BDP("89440LAF Muni","COUNTY_LOCATION_ISSUER")</f>
        <v>#N/A Requesting Data...</v>
      </c>
      <c r="F477" t="str">
        <f>_xll.BDP("89440LAF Muni","DUR_ADJ_MID")</f>
        <v>#N/A Requesting Data...</v>
      </c>
      <c r="G477" t="str">
        <f>_xll.BDP("89440LAF Muni","SPREAD_AT_ISSUANCE_TO_WORST")</f>
        <v>#N/A Requesting Data...</v>
      </c>
      <c r="H477" t="str">
        <f>_xll.BDP("89440LAF Muni","ISSUE_DT")</f>
        <v>#N/A Requesting Data...</v>
      </c>
      <c r="I477" t="str">
        <f>_xll.BDS("89440LAF Muni","MUNI_PURPOSE_SCHED", "aggregate=y")</f>
        <v>#N/A Review</v>
      </c>
      <c r="J477" t="str">
        <f>_xll.BDP("89440LAF Muni","CPN")</f>
        <v>#N/A Requesting Data...</v>
      </c>
      <c r="K477" t="str">
        <f>_xll.BDP("89440LAF Muni","MATURITY")</f>
        <v>#N/A Requesting Data...</v>
      </c>
      <c r="L477">
        <v>185000</v>
      </c>
      <c r="M477" t="str">
        <f>_xll.BDP("89440LAF Muni","YIELD_ON_ISSUE_DATE")</f>
        <v>#N/A Requesting Data...</v>
      </c>
      <c r="N477" t="str">
        <f>_xll.BDP("89440LAF Muni","YTW_SPREAD_TO_MATURITY_AT_ISSU")</f>
        <v>#N/A Requesting Data...</v>
      </c>
      <c r="O477" t="str">
        <f>_xll.BDP("89440LAF Muni","BVAL_MID_YTM")</f>
        <v>#N/A Requesting Data...</v>
      </c>
      <c r="P477" t="str">
        <f>_xll.BDP("89440LAF Muni","MUNI_TAX_PROV")</f>
        <v>#N/A Requesting Data...</v>
      </c>
      <c r="Q477" t="str">
        <f>_xll.BDP("89440LAF Muni","MUNI_FED_TAX")</f>
        <v>#N/A Requesting Data...</v>
      </c>
      <c r="R477" t="str">
        <f>_xll.BDP("89440LAF Muni","MUNI_MSRB_VOLUME")</f>
        <v>#N/A Requesting Data...</v>
      </c>
      <c r="S477" t="str">
        <f>_xll.BDP("89440LAF Muni","BB_COMPOSITE")</f>
        <v>#N/A Requesting Data...</v>
      </c>
      <c r="T477" t="str">
        <f>_xll.BDP("89440LAF Muni","LQA_LIQUIDITY_SCORE")</f>
        <v>#N/A Requesting Data...</v>
      </c>
    </row>
    <row r="478" spans="1:20" x14ac:dyDescent="0.25">
      <c r="A478" t="str">
        <f>_xll.BDP("89440LAJ Muni","ID_CUSIP")</f>
        <v>#N/A Requesting Data...</v>
      </c>
      <c r="B478" t="s">
        <v>213</v>
      </c>
      <c r="C478" t="str">
        <f>_xll.BDP("89440LAJ Muni","INSURANCE_STATUS")</f>
        <v>#N/A Requesting Data...</v>
      </c>
      <c r="D478" t="str">
        <f>_xll.BDP("89440LAJ Muni","STATE_CODE")</f>
        <v>#N/A Requesting Data...</v>
      </c>
      <c r="E478" t="str">
        <f>_xll.BDP("89440LAJ Muni","COUNTY_LOCATION_ISSUER")</f>
        <v>#N/A Requesting Data...</v>
      </c>
      <c r="F478" t="str">
        <f>_xll.BDP("89440LAJ Muni","DUR_ADJ_MID")</f>
        <v>#N/A Requesting Data...</v>
      </c>
      <c r="G478" t="str">
        <f>_xll.BDP("89440LAJ Muni","SPREAD_AT_ISSUANCE_TO_WORST")</f>
        <v>#N/A Requesting Data...</v>
      </c>
      <c r="H478" t="str">
        <f>_xll.BDP("89440LAJ Muni","ISSUE_DT")</f>
        <v>#N/A Requesting Data...</v>
      </c>
      <c r="I478" t="str">
        <f>_xll.BDS("89440LAJ Muni","MUNI_PURPOSE_SCHED", "aggregate=y")</f>
        <v>#N/A Review</v>
      </c>
      <c r="J478" t="str">
        <f>_xll.BDP("89440LAJ Muni","CPN")</f>
        <v>#N/A Requesting Data...</v>
      </c>
      <c r="K478" t="str">
        <f>_xll.BDP("89440LAJ Muni","MATURITY")</f>
        <v>#N/A Requesting Data...</v>
      </c>
      <c r="L478">
        <v>215000</v>
      </c>
      <c r="M478" t="str">
        <f>_xll.BDP("89440LAJ Muni","YIELD_ON_ISSUE_DATE")</f>
        <v>#N/A Requesting Data...</v>
      </c>
      <c r="N478" t="str">
        <f>_xll.BDP("89440LAJ Muni","YTW_SPREAD_TO_MATURITY_AT_ISSU")</f>
        <v>#N/A Requesting Data...</v>
      </c>
      <c r="O478" t="str">
        <f>_xll.BDP("89440LAJ Muni","BVAL_MID_YTM")</f>
        <v>#N/A Requesting Data...</v>
      </c>
      <c r="P478" t="str">
        <f>_xll.BDP("89440LAJ Muni","MUNI_TAX_PROV")</f>
        <v>#N/A Requesting Data...</v>
      </c>
      <c r="Q478" t="str">
        <f>_xll.BDP("89440LAJ Muni","MUNI_FED_TAX")</f>
        <v>#N/A Requesting Data...</v>
      </c>
      <c r="R478" t="str">
        <f>_xll.BDP("89440LAJ Muni","MUNI_MSRB_VOLUME")</f>
        <v>#N/A Requesting Data...</v>
      </c>
      <c r="S478" t="str">
        <f>_xll.BDP("89440LAJ Muni","BB_COMPOSITE")</f>
        <v>#N/A Requesting Data...</v>
      </c>
      <c r="T478" t="str">
        <f>_xll.BDP("89440LAJ Muni","LQA_LIQUIDITY_SCORE")</f>
        <v>#N/A Requesting Data...</v>
      </c>
    </row>
    <row r="479" spans="1:20" x14ac:dyDescent="0.25">
      <c r="A479" t="str">
        <f>_xll.BDP("89440LBE Muni","ID_CUSIP")</f>
        <v>#N/A Requesting Data...</v>
      </c>
      <c r="B479" t="s">
        <v>213</v>
      </c>
      <c r="C479" t="str">
        <f>_xll.BDP("89440LBE Muni","INSURANCE_STATUS")</f>
        <v>#N/A Requesting Data...</v>
      </c>
      <c r="D479" t="str">
        <f>_xll.BDP("89440LBE Muni","STATE_CODE")</f>
        <v>#N/A Requesting Data...</v>
      </c>
      <c r="E479" t="str">
        <f>_xll.BDP("89440LBE Muni","COUNTY_LOCATION_ISSUER")</f>
        <v>#N/A Requesting Data...</v>
      </c>
      <c r="F479" t="str">
        <f>_xll.BDP("89440LBE Muni","DUR_ADJ_MID")</f>
        <v>#N/A Requesting Data...</v>
      </c>
      <c r="G479" t="str">
        <f>_xll.BDP("89440LBE Muni","SPREAD_AT_ISSUANCE_TO_WORST")</f>
        <v>#N/A Requesting Data...</v>
      </c>
      <c r="H479" t="str">
        <f>_xll.BDP("89440LBE Muni","ISSUE_DT")</f>
        <v>#N/A Requesting Data...</v>
      </c>
      <c r="I479" t="str">
        <f>_xll.BDS("89440LBE Muni","MUNI_PURPOSE_SCHED", "aggregate=y")</f>
        <v>#N/A Review</v>
      </c>
      <c r="J479" t="str">
        <f>_xll.BDP("89440LBE Muni","CPN")</f>
        <v>#N/A Requesting Data...</v>
      </c>
      <c r="K479" t="str">
        <f>_xll.BDP("89440LBE Muni","MATURITY")</f>
        <v>#N/A Requesting Data...</v>
      </c>
      <c r="L479">
        <v>130000</v>
      </c>
      <c r="M479" t="str">
        <f>_xll.BDP("89440LBE Muni","YIELD_ON_ISSUE_DATE")</f>
        <v>#N/A Requesting Data...</v>
      </c>
      <c r="N479" t="str">
        <f>_xll.BDP("89440LBE Muni","YTW_SPREAD_TO_MATURITY_AT_ISSU")</f>
        <v>#N/A Requesting Data...</v>
      </c>
      <c r="O479" t="str">
        <f>_xll.BDP("89440LBE Muni","BVAL_MID_YTM")</f>
        <v>#N/A Requesting Data...</v>
      </c>
      <c r="P479" t="str">
        <f>_xll.BDP("89440LBE Muni","MUNI_TAX_PROV")</f>
        <v>#N/A Requesting Data...</v>
      </c>
      <c r="Q479" t="str">
        <f>_xll.BDP("89440LBE Muni","MUNI_FED_TAX")</f>
        <v>#N/A Requesting Data...</v>
      </c>
      <c r="R479" t="str">
        <f>_xll.BDP("89440LBE Muni","MUNI_MSRB_VOLUME")</f>
        <v>#N/A Requesting Data...</v>
      </c>
      <c r="S479" t="str">
        <f>_xll.BDP("89440LBE Muni","BB_COMPOSITE")</f>
        <v>#N/A Requesting Data...</v>
      </c>
      <c r="T479" t="str">
        <f>_xll.BDP("89440LBE Muni","LQA_LIQUIDITY_SCORE")</f>
        <v>#N/A Requesting Data...</v>
      </c>
    </row>
    <row r="480" spans="1:20" x14ac:dyDescent="0.25">
      <c r="A480" t="str">
        <f>_xll.BDP("89440LBF Muni","ID_CUSIP")</f>
        <v>#N/A Requesting Data...</v>
      </c>
      <c r="B480" t="s">
        <v>213</v>
      </c>
      <c r="C480" t="str">
        <f>_xll.BDP("89440LBF Muni","INSURANCE_STATUS")</f>
        <v>#N/A Requesting Data...</v>
      </c>
      <c r="D480" t="str">
        <f>_xll.BDP("89440LBF Muni","STATE_CODE")</f>
        <v>#N/A Requesting Data...</v>
      </c>
      <c r="E480" t="str">
        <f>_xll.BDP("89440LBF Muni","COUNTY_LOCATION_ISSUER")</f>
        <v>#N/A Requesting Data...</v>
      </c>
      <c r="F480" t="str">
        <f>_xll.BDP("89440LBF Muni","DUR_ADJ_MID")</f>
        <v>#N/A Requesting Data...</v>
      </c>
      <c r="G480" t="str">
        <f>_xll.BDP("89440LBF Muni","SPREAD_AT_ISSUANCE_TO_WORST")</f>
        <v>#N/A Requesting Data...</v>
      </c>
      <c r="H480" t="str">
        <f>_xll.BDP("89440LBF Muni","ISSUE_DT")</f>
        <v>#N/A Requesting Data...</v>
      </c>
      <c r="I480" t="str">
        <f>_xll.BDS("89440LBF Muni","MUNI_PURPOSE_SCHED", "aggregate=y")</f>
        <v>#N/A Review</v>
      </c>
      <c r="J480" t="str">
        <f>_xll.BDP("89440LBF Muni","CPN")</f>
        <v>#N/A Requesting Data...</v>
      </c>
      <c r="K480" t="str">
        <f>_xll.BDP("89440LBF Muni","MATURITY")</f>
        <v>#N/A Requesting Data...</v>
      </c>
      <c r="L480">
        <v>135000</v>
      </c>
      <c r="M480" t="str">
        <f>_xll.BDP("89440LBF Muni","YIELD_ON_ISSUE_DATE")</f>
        <v>#N/A Requesting Data...</v>
      </c>
      <c r="N480" t="str">
        <f>_xll.BDP("89440LBF Muni","YTW_SPREAD_TO_MATURITY_AT_ISSU")</f>
        <v>#N/A Requesting Data...</v>
      </c>
      <c r="O480" t="str">
        <f>_xll.BDP("89440LBF Muni","BVAL_MID_YTM")</f>
        <v>#N/A Requesting Data...</v>
      </c>
      <c r="P480" t="str">
        <f>_xll.BDP("89440LBF Muni","MUNI_TAX_PROV")</f>
        <v>#N/A Requesting Data...</v>
      </c>
      <c r="Q480" t="str">
        <f>_xll.BDP("89440LBF Muni","MUNI_FED_TAX")</f>
        <v>#N/A Requesting Data...</v>
      </c>
      <c r="R480" t="str">
        <f>_xll.BDP("89440LBF Muni","MUNI_MSRB_VOLUME")</f>
        <v>#N/A Requesting Data...</v>
      </c>
      <c r="S480" t="str">
        <f>_xll.BDP("89440LBF Muni","BB_COMPOSITE")</f>
        <v>#N/A Requesting Data...</v>
      </c>
      <c r="T480" t="str">
        <f>_xll.BDP("89440LBF Muni","LQA_LIQUIDITY_SCORE")</f>
        <v>#N/A Requesting Data...</v>
      </c>
    </row>
    <row r="481" spans="1:20" x14ac:dyDescent="0.25">
      <c r="A481" t="str">
        <f>_xll.BDP("894435DG Muni","ID_CUSIP")</f>
        <v>#N/A Requesting Data...</v>
      </c>
      <c r="B481" t="s">
        <v>214</v>
      </c>
      <c r="C481" t="str">
        <f>_xll.BDP("894435DG Muni","INSURANCE_STATUS")</f>
        <v>#N/A Requesting Data...</v>
      </c>
      <c r="D481" t="str">
        <f>_xll.BDP("894435DG Muni","STATE_CODE")</f>
        <v>#N/A Requesting Data...</v>
      </c>
      <c r="E481" t="str">
        <f>_xll.BDP("894435DG Muni","COUNTY_LOCATION_ISSUER")</f>
        <v>#N/A Requesting Data...</v>
      </c>
      <c r="F481" t="str">
        <f>_xll.BDP("894435DG Muni","DUR_ADJ_MID")</f>
        <v>#N/A Requesting Data...</v>
      </c>
      <c r="G481" t="str">
        <f>_xll.BDP("894435DG Muni","SPREAD_AT_ISSUANCE_TO_WORST")</f>
        <v>#N/A Requesting Data...</v>
      </c>
      <c r="H481" t="str">
        <f>_xll.BDP("894435DG Muni","ISSUE_DT")</f>
        <v>#N/A Requesting Data...</v>
      </c>
      <c r="I481" t="str">
        <f>_xll.BDS("894435DG Muni","MUNI_PURPOSE_SCHED", "aggregate=y")</f>
        <v>#N/A Review</v>
      </c>
      <c r="J481" t="str">
        <f>_xll.BDP("894435DG Muni","CPN")</f>
        <v>#N/A Requesting Data...</v>
      </c>
      <c r="K481" t="str">
        <f>_xll.BDP("894435DG Muni","MATURITY")</f>
        <v>#N/A Requesting Data...</v>
      </c>
      <c r="L481">
        <v>1530000</v>
      </c>
      <c r="M481" t="str">
        <f>_xll.BDP("894435DG Muni","YIELD_ON_ISSUE_DATE")</f>
        <v>#N/A Requesting Data...</v>
      </c>
      <c r="N481" t="str">
        <f>_xll.BDP("894435DG Muni","YTW_SPREAD_TO_MATURITY_AT_ISSU")</f>
        <v>#N/A Requesting Data...</v>
      </c>
      <c r="O481" t="str">
        <f>_xll.BDP("894435DG Muni","BVAL_MID_YTM")</f>
        <v>#N/A Requesting Data...</v>
      </c>
      <c r="P481" t="str">
        <f>_xll.BDP("894435DG Muni","MUNI_TAX_PROV")</f>
        <v>#N/A Requesting Data...</v>
      </c>
      <c r="Q481" t="str">
        <f>_xll.BDP("894435DG Muni","MUNI_FED_TAX")</f>
        <v>#N/A Requesting Data...</v>
      </c>
      <c r="R481" t="str">
        <f>_xll.BDP("894435DG Muni","MUNI_MSRB_VOLUME")</f>
        <v>#N/A Requesting Data...</v>
      </c>
      <c r="S481" t="str">
        <f>_xll.BDP("894435DG Muni","BB_COMPOSITE")</f>
        <v>#N/A Requesting Data...</v>
      </c>
      <c r="T481" t="str">
        <f>_xll.BDP("894435DG Muni","LQA_LIQUIDITY_SCORE")</f>
        <v>#N/A Requesting Data...</v>
      </c>
    </row>
    <row r="482" spans="1:20" x14ac:dyDescent="0.25">
      <c r="A482" t="str">
        <f>_xll.BDP("8945203H Muni","ID_CUSIP")</f>
        <v>#N/A Requesting Data...</v>
      </c>
      <c r="B482" t="s">
        <v>215</v>
      </c>
      <c r="C482" t="str">
        <f>_xll.BDP("8945203H Muni","INSURANCE_STATUS")</f>
        <v>#N/A Requesting Data...</v>
      </c>
      <c r="D482" t="str">
        <f>_xll.BDP("8945203H Muni","STATE_CODE")</f>
        <v>#N/A Requesting Data...</v>
      </c>
      <c r="E482" t="str">
        <f>_xll.BDP("8945203H Muni","COUNTY_LOCATION_ISSUER")</f>
        <v>#N/A Requesting Data...</v>
      </c>
      <c r="F482" t="str">
        <f>_xll.BDP("8945203H Muni","DUR_ADJ_MID")</f>
        <v>#N/A Requesting Data...</v>
      </c>
      <c r="G482" t="str">
        <f>_xll.BDP("8945203H Muni","SPREAD_AT_ISSUANCE_TO_WORST")</f>
        <v>#N/A Requesting Data...</v>
      </c>
      <c r="H482" t="str">
        <f>_xll.BDP("8945203H Muni","ISSUE_DT")</f>
        <v>#N/A Requesting Data...</v>
      </c>
      <c r="I482" t="str">
        <f>_xll.BDS("8945203H Muni","MUNI_PURPOSE_SCHED", "aggregate=y")</f>
        <v>#N/A Review</v>
      </c>
      <c r="J482" t="str">
        <f>_xll.BDP("8945203H Muni","CPN")</f>
        <v>#N/A Requesting Data...</v>
      </c>
      <c r="K482" t="str">
        <f>_xll.BDP("8945203H Muni","MATURITY")</f>
        <v>#N/A Requesting Data...</v>
      </c>
      <c r="L482">
        <v>125000</v>
      </c>
      <c r="M482" t="str">
        <f>_xll.BDP("8945203H Muni","YIELD_ON_ISSUE_DATE")</f>
        <v>#N/A Requesting Data...</v>
      </c>
      <c r="N482" t="str">
        <f>_xll.BDP("8945203H Muni","YTW_SPREAD_TO_MATURITY_AT_ISSU")</f>
        <v>#N/A Requesting Data...</v>
      </c>
      <c r="O482" t="str">
        <f>_xll.BDP("8945203H Muni","BVAL_MID_YTM")</f>
        <v>#N/A Requesting Data...</v>
      </c>
      <c r="P482" t="str">
        <f>_xll.BDP("8945203H Muni","MUNI_TAX_PROV")</f>
        <v>#N/A Requesting Data...</v>
      </c>
      <c r="Q482" t="str">
        <f>_xll.BDP("8945203H Muni","MUNI_FED_TAX")</f>
        <v>#N/A Requesting Data...</v>
      </c>
      <c r="R482" t="str">
        <f>_xll.BDP("8945203H Muni","MUNI_MSRB_VOLUME")</f>
        <v>#N/A Requesting Data...</v>
      </c>
      <c r="S482" t="str">
        <f>_xll.BDP("8945203H Muni","BB_COMPOSITE")</f>
        <v>#N/A Requesting Data...</v>
      </c>
      <c r="T482" t="str">
        <f>_xll.BDP("8945203H Muni","LQA_LIQUIDITY_SCORE")</f>
        <v>#N/A Requesting Data...</v>
      </c>
    </row>
    <row r="483" spans="1:20" x14ac:dyDescent="0.25">
      <c r="A483" t="str">
        <f>_xll.BDP("887127VN Muni","ID_CUSIP")</f>
        <v>#N/A Requesting Data...</v>
      </c>
      <c r="B483" t="s">
        <v>206</v>
      </c>
      <c r="C483" t="str">
        <f>_xll.BDP("887127VN Muni","INSURANCE_STATUS")</f>
        <v>#N/A Requesting Data...</v>
      </c>
      <c r="D483" t="str">
        <f>_xll.BDP("887127VN Muni","STATE_CODE")</f>
        <v>#N/A Requesting Data...</v>
      </c>
      <c r="E483" t="str">
        <f>_xll.BDP("887127VN Muni","COUNTY_LOCATION_ISSUER")</f>
        <v>#N/A Requesting Data...</v>
      </c>
      <c r="F483" t="str">
        <f>_xll.BDP("887127VN Muni","DUR_ADJ_MID")</f>
        <v>#N/A Requesting Data...</v>
      </c>
      <c r="G483" t="str">
        <f>_xll.BDP("887127VN Muni","SPREAD_AT_ISSUANCE_TO_WORST")</f>
        <v>#N/A Requesting Data...</v>
      </c>
      <c r="H483" t="str">
        <f>_xll.BDP("887127VN Muni","ISSUE_DT")</f>
        <v>#N/A Requesting Data...</v>
      </c>
      <c r="I483" t="str">
        <f>_xll.BDS("887127VN Muni","MUNI_PURPOSE_SCHED", "aggregate=y")</f>
        <v>#N/A Review</v>
      </c>
      <c r="J483" t="str">
        <f>_xll.BDP("887127VN Muni","CPN")</f>
        <v>#N/A Requesting Data...</v>
      </c>
      <c r="K483" t="str">
        <f>_xll.BDP("887127VN Muni","MATURITY")</f>
        <v>#N/A Requesting Data...</v>
      </c>
      <c r="L483">
        <v>250000</v>
      </c>
      <c r="M483" t="str">
        <f>_xll.BDP("887127VN Muni","YIELD_ON_ISSUE_DATE")</f>
        <v>#N/A Requesting Data...</v>
      </c>
      <c r="N483" t="str">
        <f>_xll.BDP("887127VN Muni","YTW_SPREAD_TO_MATURITY_AT_ISSU")</f>
        <v>#N/A Requesting Data...</v>
      </c>
      <c r="O483" t="str">
        <f>_xll.BDP("887127VN Muni","BVAL_MID_YTM")</f>
        <v>#N/A Requesting Data...</v>
      </c>
      <c r="P483" t="str">
        <f>_xll.BDP("887127VN Muni","MUNI_TAX_PROV")</f>
        <v>#N/A Requesting Data...</v>
      </c>
      <c r="Q483" t="str">
        <f>_xll.BDP("887127VN Muni","MUNI_FED_TAX")</f>
        <v>#N/A Requesting Data...</v>
      </c>
      <c r="R483" t="str">
        <f>_xll.BDP("887127VN Muni","MUNI_MSRB_VOLUME")</f>
        <v>#N/A Requesting Data...</v>
      </c>
      <c r="S483" t="str">
        <f>_xll.BDP("887127VN Muni","BB_COMPOSITE")</f>
        <v>#N/A Requesting Data...</v>
      </c>
      <c r="T483" t="str">
        <f>_xll.BDP("887127VN Muni","LQA_LIQUIDITY_SCORE")</f>
        <v>#N/A Requesting Data...</v>
      </c>
    </row>
    <row r="484" spans="1:20" x14ac:dyDescent="0.25">
      <c r="A484" t="str">
        <f>_xll.BDP("861879CG Muni","ID_CUSIP")</f>
        <v>#N/A Requesting Data...</v>
      </c>
      <c r="B484" t="s">
        <v>219</v>
      </c>
      <c r="C484" t="str">
        <f>_xll.BDP("861879CG Muni","INSURANCE_STATUS")</f>
        <v>#N/A Requesting Data...</v>
      </c>
      <c r="D484" t="str">
        <f>_xll.BDP("861879CG Muni","STATE_CODE")</f>
        <v>#N/A Requesting Data...</v>
      </c>
      <c r="E484" t="str">
        <f>_xll.BDP("861879CG Muni","COUNTY_LOCATION_ISSUER")</f>
        <v>#N/A Requesting Data...</v>
      </c>
      <c r="F484" t="str">
        <f>_xll.BDP("861879CG Muni","DUR_ADJ_MID")</f>
        <v>#N/A Requesting Data...</v>
      </c>
      <c r="G484" t="str">
        <f>_xll.BDP("861879CG Muni","SPREAD_AT_ISSUANCE_TO_WORST")</f>
        <v>#N/A Requesting Data...</v>
      </c>
      <c r="H484" t="str">
        <f>_xll.BDP("861879CG Muni","ISSUE_DT")</f>
        <v>#N/A Requesting Data...</v>
      </c>
      <c r="I484" t="str">
        <f>_xll.BDS("861879CG Muni","MUNI_PURPOSE_SCHED", "aggregate=y")</f>
        <v>#N/A Review</v>
      </c>
      <c r="J484" t="str">
        <f>_xll.BDP("861879CG Muni","CPN")</f>
        <v>#N/A Requesting Data...</v>
      </c>
      <c r="K484" t="str">
        <f>_xll.BDP("861879CG Muni","MATURITY")</f>
        <v>#N/A Requesting Data...</v>
      </c>
      <c r="L484">
        <v>5000</v>
      </c>
      <c r="M484" t="str">
        <f>_xll.BDP("861879CG Muni","YIELD_ON_ISSUE_DATE")</f>
        <v>#N/A Requesting Data...</v>
      </c>
      <c r="N484" t="str">
        <f>_xll.BDP("861879CG Muni","YTW_SPREAD_TO_MATURITY_AT_ISSU")</f>
        <v>#N/A Requesting Data...</v>
      </c>
      <c r="O484" t="str">
        <f>_xll.BDP("861879CG Muni","BVAL_MID_YTM")</f>
        <v>#N/A Requesting Data...</v>
      </c>
      <c r="P484" t="str">
        <f>_xll.BDP("861879CG Muni","MUNI_TAX_PROV")</f>
        <v>#N/A Requesting Data...</v>
      </c>
      <c r="Q484" t="str">
        <f>_xll.BDP("861879CG Muni","MUNI_FED_TAX")</f>
        <v>#N/A Requesting Data...</v>
      </c>
      <c r="R484" t="str">
        <f>_xll.BDP("861879CG Muni","MUNI_MSRB_VOLUME")</f>
        <v>#N/A Requesting Data...</v>
      </c>
      <c r="S484" t="str">
        <f>_xll.BDP("861879CG Muni","BB_COMPOSITE")</f>
        <v>#N/A Requesting Data...</v>
      </c>
      <c r="T484" t="str">
        <f>_xll.BDP("861879CG Muni","LQA_LIQUIDITY_SCORE")</f>
        <v>#N/A Requesting Data...</v>
      </c>
    </row>
    <row r="485" spans="1:20" x14ac:dyDescent="0.25">
      <c r="A485" t="str">
        <f>_xll.BDP("861879CH Muni","ID_CUSIP")</f>
        <v>#N/A Requesting Data...</v>
      </c>
      <c r="B485" t="s">
        <v>219</v>
      </c>
      <c r="C485" t="str">
        <f>_xll.BDP("861879CH Muni","INSURANCE_STATUS")</f>
        <v>#N/A Requesting Data...</v>
      </c>
      <c r="D485" t="str">
        <f>_xll.BDP("861879CH Muni","STATE_CODE")</f>
        <v>#N/A Requesting Data...</v>
      </c>
      <c r="E485" t="str">
        <f>_xll.BDP("861879CH Muni","COUNTY_LOCATION_ISSUER")</f>
        <v>#N/A Requesting Data...</v>
      </c>
      <c r="F485" t="str">
        <f>_xll.BDP("861879CH Muni","DUR_ADJ_MID")</f>
        <v>#N/A Requesting Data...</v>
      </c>
      <c r="G485" t="str">
        <f>_xll.BDP("861879CH Muni","SPREAD_AT_ISSUANCE_TO_WORST")</f>
        <v>#N/A Requesting Data...</v>
      </c>
      <c r="H485" t="str">
        <f>_xll.BDP("861879CH Muni","ISSUE_DT")</f>
        <v>#N/A Requesting Data...</v>
      </c>
      <c r="I485" t="str">
        <f>_xll.BDS("861879CH Muni","MUNI_PURPOSE_SCHED", "aggregate=y")</f>
        <v>#N/A Review</v>
      </c>
      <c r="J485" t="str">
        <f>_xll.BDP("861879CH Muni","CPN")</f>
        <v>#N/A Requesting Data...</v>
      </c>
      <c r="K485" t="str">
        <f>_xll.BDP("861879CH Muni","MATURITY")</f>
        <v>#N/A Requesting Data...</v>
      </c>
      <c r="L485">
        <v>5000</v>
      </c>
      <c r="M485" t="str">
        <f>_xll.BDP("861879CH Muni","YIELD_ON_ISSUE_DATE")</f>
        <v>#N/A Requesting Data...</v>
      </c>
      <c r="N485" t="str">
        <f>_xll.BDP("861879CH Muni","YTW_SPREAD_TO_MATURITY_AT_ISSU")</f>
        <v>#N/A Requesting Data...</v>
      </c>
      <c r="O485" t="str">
        <f>_xll.BDP("861879CH Muni","BVAL_MID_YTM")</f>
        <v>#N/A Requesting Data...</v>
      </c>
      <c r="P485" t="str">
        <f>_xll.BDP("861879CH Muni","MUNI_TAX_PROV")</f>
        <v>#N/A Requesting Data...</v>
      </c>
      <c r="Q485" t="str">
        <f>_xll.BDP("861879CH Muni","MUNI_FED_TAX")</f>
        <v>#N/A Requesting Data...</v>
      </c>
      <c r="R485" t="str">
        <f>_xll.BDP("861879CH Muni","MUNI_MSRB_VOLUME")</f>
        <v>#N/A Requesting Data...</v>
      </c>
      <c r="S485" t="str">
        <f>_xll.BDP("861879CH Muni","BB_COMPOSITE")</f>
        <v>#N/A Requesting Data...</v>
      </c>
      <c r="T485" t="str">
        <f>_xll.BDP("861879CH Muni","LQA_LIQUIDITY_SCORE")</f>
        <v>#N/A Requesting Data...</v>
      </c>
    </row>
    <row r="486" spans="1:20" x14ac:dyDescent="0.25">
      <c r="A486" t="str">
        <f>_xll.BDP("854540GM Muni","ID_CUSIP")</f>
        <v>#N/A Requesting Data...</v>
      </c>
      <c r="B486" t="s">
        <v>220</v>
      </c>
      <c r="C486" t="str">
        <f>_xll.BDP("854540GM Muni","INSURANCE_STATUS")</f>
        <v>#N/A Requesting Data...</v>
      </c>
      <c r="D486" t="str">
        <f>_xll.BDP("854540GM Muni","STATE_CODE")</f>
        <v>#N/A Requesting Data...</v>
      </c>
      <c r="E486" t="str">
        <f>_xll.BDP("854540GM Muni","COUNTY_LOCATION_ISSUER")</f>
        <v>#N/A Requesting Data...</v>
      </c>
      <c r="F486" t="str">
        <f>_xll.BDP("854540GM Muni","DUR_ADJ_MID")</f>
        <v>#N/A Requesting Data...</v>
      </c>
      <c r="G486" t="str">
        <f>_xll.BDP("854540GM Muni","SPREAD_AT_ISSUANCE_TO_WORST")</f>
        <v>#N/A Requesting Data...</v>
      </c>
      <c r="H486" t="str">
        <f>_xll.BDP("854540GM Muni","ISSUE_DT")</f>
        <v>#N/A Requesting Data...</v>
      </c>
      <c r="I486" t="str">
        <f>_xll.BDS("854540GM Muni","MUNI_PURPOSE_SCHED", "aggregate=y")</f>
        <v>#N/A Review</v>
      </c>
      <c r="J486" t="str">
        <f>_xll.BDP("854540GM Muni","CPN")</f>
        <v>#N/A Requesting Data...</v>
      </c>
      <c r="K486" t="str">
        <f>_xll.BDP("854540GM Muni","MATURITY")</f>
        <v>#N/A Requesting Data...</v>
      </c>
      <c r="L486">
        <v>70000</v>
      </c>
      <c r="M486" t="str">
        <f>_xll.BDP("854540GM Muni","YIELD_ON_ISSUE_DATE")</f>
        <v>#N/A Requesting Data...</v>
      </c>
      <c r="N486" t="str">
        <f>_xll.BDP("854540GM Muni","YTW_SPREAD_TO_MATURITY_AT_ISSU")</f>
        <v>#N/A Requesting Data...</v>
      </c>
      <c r="O486" t="str">
        <f>_xll.BDP("854540GM Muni","BVAL_MID_YTM")</f>
        <v>#N/A Requesting Data...</v>
      </c>
      <c r="P486" t="str">
        <f>_xll.BDP("854540GM Muni","MUNI_TAX_PROV")</f>
        <v>#N/A Requesting Data...</v>
      </c>
      <c r="Q486" t="str">
        <f>_xll.BDP("854540GM Muni","MUNI_FED_TAX")</f>
        <v>#N/A Requesting Data...</v>
      </c>
      <c r="R486" t="str">
        <f>_xll.BDP("854540GM Muni","MUNI_MSRB_VOLUME")</f>
        <v>#N/A Requesting Data...</v>
      </c>
      <c r="S486" t="str">
        <f>_xll.BDP("854540GM Muni","BB_COMPOSITE")</f>
        <v>#N/A Requesting Data...</v>
      </c>
      <c r="T486" t="str">
        <f>_xll.BDP("854540GM Muni","LQA_LIQUIDITY_SCORE")</f>
        <v>#N/A Requesting Data...</v>
      </c>
    </row>
    <row r="487" spans="1:20" x14ac:dyDescent="0.25">
      <c r="A487" t="str">
        <f>_xll.BDP("854540GN Muni","ID_CUSIP")</f>
        <v>#N/A Requesting Data...</v>
      </c>
      <c r="B487" t="s">
        <v>220</v>
      </c>
      <c r="C487" t="str">
        <f>_xll.BDP("854540GN Muni","INSURANCE_STATUS")</f>
        <v>#N/A Requesting Data...</v>
      </c>
      <c r="D487" t="str">
        <f>_xll.BDP("854540GN Muni","STATE_CODE")</f>
        <v>#N/A Requesting Data...</v>
      </c>
      <c r="E487" t="str">
        <f>_xll.BDP("854540GN Muni","COUNTY_LOCATION_ISSUER")</f>
        <v>#N/A Requesting Data...</v>
      </c>
      <c r="F487" t="str">
        <f>_xll.BDP("854540GN Muni","DUR_ADJ_MID")</f>
        <v>#N/A Requesting Data...</v>
      </c>
      <c r="G487" t="str">
        <f>_xll.BDP("854540GN Muni","SPREAD_AT_ISSUANCE_TO_WORST")</f>
        <v>#N/A Requesting Data...</v>
      </c>
      <c r="H487" t="str">
        <f>_xll.BDP("854540GN Muni","ISSUE_DT")</f>
        <v>#N/A Requesting Data...</v>
      </c>
      <c r="I487" t="str">
        <f>_xll.BDS("854540GN Muni","MUNI_PURPOSE_SCHED", "aggregate=y")</f>
        <v>#N/A Review</v>
      </c>
      <c r="J487" t="str">
        <f>_xll.BDP("854540GN Muni","CPN")</f>
        <v>#N/A Requesting Data...</v>
      </c>
      <c r="K487" t="str">
        <f>_xll.BDP("854540GN Muni","MATURITY")</f>
        <v>#N/A Requesting Data...</v>
      </c>
      <c r="L487">
        <v>70000</v>
      </c>
      <c r="M487" t="str">
        <f>_xll.BDP("854540GN Muni","YIELD_ON_ISSUE_DATE")</f>
        <v>#N/A Requesting Data...</v>
      </c>
      <c r="N487" t="str">
        <f>_xll.BDP("854540GN Muni","YTW_SPREAD_TO_MATURITY_AT_ISSU")</f>
        <v>#N/A Requesting Data...</v>
      </c>
      <c r="O487" t="str">
        <f>_xll.BDP("854540GN Muni","BVAL_MID_YTM")</f>
        <v>#N/A Requesting Data...</v>
      </c>
      <c r="P487" t="str">
        <f>_xll.BDP("854540GN Muni","MUNI_TAX_PROV")</f>
        <v>#N/A Requesting Data...</v>
      </c>
      <c r="Q487" t="str">
        <f>_xll.BDP("854540GN Muni","MUNI_FED_TAX")</f>
        <v>#N/A Requesting Data...</v>
      </c>
      <c r="R487" t="str">
        <f>_xll.BDP("854540GN Muni","MUNI_MSRB_VOLUME")</f>
        <v>#N/A Requesting Data...</v>
      </c>
      <c r="S487" t="str">
        <f>_xll.BDP("854540GN Muni","BB_COMPOSITE")</f>
        <v>#N/A Requesting Data...</v>
      </c>
      <c r="T487" t="str">
        <f>_xll.BDP("854540GN Muni","LQA_LIQUIDITY_SCORE")</f>
        <v>#N/A Requesting Data...</v>
      </c>
    </row>
    <row r="488" spans="1:20" x14ac:dyDescent="0.25">
      <c r="A488" t="str">
        <f>_xll.BDP("857896NG Muni","ID_CUSIP")</f>
        <v>#N/A Requesting Data...</v>
      </c>
      <c r="B488" t="s">
        <v>221</v>
      </c>
      <c r="C488" t="str">
        <f>_xll.BDP("857896NG Muni","INSURANCE_STATUS")</f>
        <v>#N/A Requesting Data...</v>
      </c>
      <c r="D488" t="str">
        <f>_xll.BDP("857896NG Muni","STATE_CODE")</f>
        <v>#N/A Requesting Data...</v>
      </c>
      <c r="E488" t="str">
        <f>_xll.BDP("857896NG Muni","COUNTY_LOCATION_ISSUER")</f>
        <v>#N/A Requesting Data...</v>
      </c>
      <c r="F488" t="str">
        <f>_xll.BDP("857896NG Muni","DUR_ADJ_MID")</f>
        <v>#N/A Requesting Data...</v>
      </c>
      <c r="G488" t="str">
        <f>_xll.BDP("857896NG Muni","SPREAD_AT_ISSUANCE_TO_WORST")</f>
        <v>#N/A Requesting Data...</v>
      </c>
      <c r="H488" t="str">
        <f>_xll.BDP("857896NG Muni","ISSUE_DT")</f>
        <v>#N/A Requesting Data...</v>
      </c>
      <c r="I488" t="str">
        <f>_xll.BDS("857896NG Muni","MUNI_PURPOSE_SCHED", "aggregate=y")</f>
        <v>#N/A Review</v>
      </c>
      <c r="J488" t="str">
        <f>_xll.BDP("857896NG Muni","CPN")</f>
        <v>#N/A Requesting Data...</v>
      </c>
      <c r="K488" t="str">
        <f>_xll.BDP("857896NG Muni","MATURITY")</f>
        <v>#N/A Requesting Data...</v>
      </c>
      <c r="L488">
        <v>95000</v>
      </c>
      <c r="M488" t="str">
        <f>_xll.BDP("857896NG Muni","YIELD_ON_ISSUE_DATE")</f>
        <v>#N/A Requesting Data...</v>
      </c>
      <c r="N488" t="str">
        <f>_xll.BDP("857896NG Muni","YTW_SPREAD_TO_MATURITY_AT_ISSU")</f>
        <v>#N/A Requesting Data...</v>
      </c>
      <c r="O488" t="str">
        <f>_xll.BDP("857896NG Muni","BVAL_MID_YTM")</f>
        <v>#N/A Requesting Data...</v>
      </c>
      <c r="P488" t="str">
        <f>_xll.BDP("857896NG Muni","MUNI_TAX_PROV")</f>
        <v>#N/A Requesting Data...</v>
      </c>
      <c r="Q488" t="str">
        <f>_xll.BDP("857896NG Muni","MUNI_FED_TAX")</f>
        <v>#N/A Requesting Data...</v>
      </c>
      <c r="R488" t="str">
        <f>_xll.BDP("857896NG Muni","MUNI_MSRB_VOLUME")</f>
        <v>#N/A Requesting Data...</v>
      </c>
      <c r="S488" t="str">
        <f>_xll.BDP("857896NG Muni","BB_COMPOSITE")</f>
        <v>#N/A Requesting Data...</v>
      </c>
      <c r="T488" t="str">
        <f>_xll.BDP("857896NG Muni","LQA_LIQUIDITY_SCORE")</f>
        <v>#N/A Requesting Data...</v>
      </c>
    </row>
    <row r="489" spans="1:20" x14ac:dyDescent="0.25">
      <c r="A489" t="str">
        <f>_xll.BDP("860537VM Muni","ID_CUSIP")</f>
        <v>#N/A Requesting Data...</v>
      </c>
      <c r="B489" t="s">
        <v>222</v>
      </c>
      <c r="C489" t="str">
        <f>_xll.BDP("860537VM Muni","INSURANCE_STATUS")</f>
        <v>#N/A Requesting Data...</v>
      </c>
      <c r="D489" t="str">
        <f>_xll.BDP("860537VM Muni","STATE_CODE")</f>
        <v>#N/A Requesting Data...</v>
      </c>
      <c r="E489" t="str">
        <f>_xll.BDP("860537VM Muni","COUNTY_LOCATION_ISSUER")</f>
        <v>#N/A Requesting Data...</v>
      </c>
      <c r="F489" t="str">
        <f>_xll.BDP("860537VM Muni","DUR_ADJ_MID")</f>
        <v>#N/A Requesting Data...</v>
      </c>
      <c r="G489" t="str">
        <f>_xll.BDP("860537VM Muni","SPREAD_AT_ISSUANCE_TO_WORST")</f>
        <v>#N/A Requesting Data...</v>
      </c>
      <c r="H489" t="str">
        <f>_xll.BDP("860537VM Muni","ISSUE_DT")</f>
        <v>#N/A Requesting Data...</v>
      </c>
      <c r="I489" t="str">
        <f>_xll.BDS("860537VM Muni","MUNI_PURPOSE_SCHED", "aggregate=y")</f>
        <v>#N/A Review</v>
      </c>
      <c r="J489" t="str">
        <f>_xll.BDP("860537VM Muni","CPN")</f>
        <v>#N/A Requesting Data...</v>
      </c>
      <c r="K489" t="str">
        <f>_xll.BDP("860537VM Muni","MATURITY")</f>
        <v>#N/A Requesting Data...</v>
      </c>
      <c r="L489">
        <v>425000</v>
      </c>
      <c r="M489" t="str">
        <f>_xll.BDP("860537VM Muni","YIELD_ON_ISSUE_DATE")</f>
        <v>#N/A Requesting Data...</v>
      </c>
      <c r="N489" t="str">
        <f>_xll.BDP("860537VM Muni","YTW_SPREAD_TO_MATURITY_AT_ISSU")</f>
        <v>#N/A Requesting Data...</v>
      </c>
      <c r="O489" t="str">
        <f>_xll.BDP("860537VM Muni","BVAL_MID_YTM")</f>
        <v>#N/A Requesting Data...</v>
      </c>
      <c r="P489" t="str">
        <f>_xll.BDP("860537VM Muni","MUNI_TAX_PROV")</f>
        <v>#N/A Requesting Data...</v>
      </c>
      <c r="Q489" t="str">
        <f>_xll.BDP("860537VM Muni","MUNI_FED_TAX")</f>
        <v>#N/A Requesting Data...</v>
      </c>
      <c r="R489" t="str">
        <f>_xll.BDP("860537VM Muni","MUNI_MSRB_VOLUME")</f>
        <v>#N/A Requesting Data...</v>
      </c>
      <c r="S489" t="str">
        <f>_xll.BDP("860537VM Muni","BB_COMPOSITE")</f>
        <v>#N/A Requesting Data...</v>
      </c>
      <c r="T489" t="str">
        <f>_xll.BDP("860537VM Muni","LQA_LIQUIDITY_SCORE")</f>
        <v>#N/A Requesting Data...</v>
      </c>
    </row>
    <row r="490" spans="1:20" x14ac:dyDescent="0.25">
      <c r="A490" t="str">
        <f>_xll.BDP("854540GL Muni","ID_CUSIP")</f>
        <v>#N/A Requesting Data...</v>
      </c>
      <c r="B490" t="s">
        <v>220</v>
      </c>
      <c r="C490" t="str">
        <f>_xll.BDP("854540GL Muni","INSURANCE_STATUS")</f>
        <v>#N/A Requesting Data...</v>
      </c>
      <c r="D490" t="str">
        <f>_xll.BDP("854540GL Muni","STATE_CODE")</f>
        <v>#N/A Requesting Data...</v>
      </c>
      <c r="E490" t="str">
        <f>_xll.BDP("854540GL Muni","COUNTY_LOCATION_ISSUER")</f>
        <v>#N/A Requesting Data...</v>
      </c>
      <c r="F490" t="str">
        <f>_xll.BDP("854540GL Muni","DUR_ADJ_MID")</f>
        <v>#N/A Requesting Data...</v>
      </c>
      <c r="G490" t="str">
        <f>_xll.BDP("854540GL Muni","SPREAD_AT_ISSUANCE_TO_WORST")</f>
        <v>#N/A Requesting Data...</v>
      </c>
      <c r="H490" t="str">
        <f>_xll.BDP("854540GL Muni","ISSUE_DT")</f>
        <v>#N/A Requesting Data...</v>
      </c>
      <c r="I490" t="str">
        <f>_xll.BDS("854540GL Muni","MUNI_PURPOSE_SCHED", "aggregate=y")</f>
        <v>#N/A Review</v>
      </c>
      <c r="J490" t="str">
        <f>_xll.BDP("854540GL Muni","CPN")</f>
        <v>#N/A Requesting Data...</v>
      </c>
      <c r="K490" t="str">
        <f>_xll.BDP("854540GL Muni","MATURITY")</f>
        <v>#N/A Requesting Data...</v>
      </c>
      <c r="L490">
        <v>75000</v>
      </c>
      <c r="M490" t="str">
        <f>_xll.BDP("854540GL Muni","YIELD_ON_ISSUE_DATE")</f>
        <v>#N/A Requesting Data...</v>
      </c>
      <c r="N490" t="str">
        <f>_xll.BDP("854540GL Muni","YTW_SPREAD_TO_MATURITY_AT_ISSU")</f>
        <v>#N/A Requesting Data...</v>
      </c>
      <c r="O490" t="str">
        <f>_xll.BDP("854540GL Muni","BVAL_MID_YTM")</f>
        <v>#N/A Requesting Data...</v>
      </c>
      <c r="P490" t="str">
        <f>_xll.BDP("854540GL Muni","MUNI_TAX_PROV")</f>
        <v>#N/A Requesting Data...</v>
      </c>
      <c r="Q490" t="str">
        <f>_xll.BDP("854540GL Muni","MUNI_FED_TAX")</f>
        <v>#N/A Requesting Data...</v>
      </c>
      <c r="R490" t="str">
        <f>_xll.BDP("854540GL Muni","MUNI_MSRB_VOLUME")</f>
        <v>#N/A Requesting Data...</v>
      </c>
      <c r="S490" t="str">
        <f>_xll.BDP("854540GL Muni","BB_COMPOSITE")</f>
        <v>#N/A Requesting Data...</v>
      </c>
      <c r="T490" t="str">
        <f>_xll.BDP("854540GL Muni","LQA_LIQUIDITY_SCORE")</f>
        <v>#N/A Requesting Data...</v>
      </c>
    </row>
    <row r="491" spans="1:20" x14ac:dyDescent="0.25">
      <c r="A491" t="str">
        <f>_xll.BDP("834610AG Muni","ID_CUSIP")</f>
        <v>#N/A Requesting Data...</v>
      </c>
      <c r="B491" t="s">
        <v>223</v>
      </c>
      <c r="C491" t="str">
        <f>_xll.BDP("834610AG Muni","INSURANCE_STATUS")</f>
        <v>#N/A Requesting Data...</v>
      </c>
      <c r="D491" t="str">
        <f>_xll.BDP("834610AG Muni","STATE_CODE")</f>
        <v>#N/A Requesting Data...</v>
      </c>
      <c r="E491" t="str">
        <f>_xll.BDP("834610AG Muni","COUNTY_LOCATION_ISSUER")</f>
        <v>#N/A Requesting Data...</v>
      </c>
      <c r="F491" t="str">
        <f>_xll.BDP("834610AG Muni","DUR_ADJ_MID")</f>
        <v>#N/A Requesting Data...</v>
      </c>
      <c r="G491" t="str">
        <f>_xll.BDP("834610AG Muni","SPREAD_AT_ISSUANCE_TO_WORST")</f>
        <v>#N/A Requesting Data...</v>
      </c>
      <c r="H491" t="str">
        <f>_xll.BDP("834610AG Muni","ISSUE_DT")</f>
        <v>#N/A Requesting Data...</v>
      </c>
      <c r="I491" t="str">
        <f>_xll.BDS("834610AG Muni","MUNI_PURPOSE_SCHED", "aggregate=y")</f>
        <v>#N/A Review</v>
      </c>
      <c r="J491" t="str">
        <f>_xll.BDP("834610AG Muni","CPN")</f>
        <v>#N/A Requesting Data...</v>
      </c>
      <c r="K491" t="str">
        <f>_xll.BDP("834610AG Muni","MATURITY")</f>
        <v>#N/A Requesting Data...</v>
      </c>
      <c r="L491">
        <v>95000</v>
      </c>
      <c r="M491" t="str">
        <f>_xll.BDP("834610AG Muni","YIELD_ON_ISSUE_DATE")</f>
        <v>#N/A Requesting Data...</v>
      </c>
      <c r="N491" t="str">
        <f>_xll.BDP("834610AG Muni","YTW_SPREAD_TO_MATURITY_AT_ISSU")</f>
        <v>#N/A Requesting Data...</v>
      </c>
      <c r="O491" t="str">
        <f>_xll.BDP("834610AG Muni","BVAL_MID_YTM")</f>
        <v>#N/A Requesting Data...</v>
      </c>
      <c r="P491" t="str">
        <f>_xll.BDP("834610AG Muni","MUNI_TAX_PROV")</f>
        <v>#N/A Requesting Data...</v>
      </c>
      <c r="Q491" t="str">
        <f>_xll.BDP("834610AG Muni","MUNI_FED_TAX")</f>
        <v>#N/A Requesting Data...</v>
      </c>
      <c r="R491" t="str">
        <f>_xll.BDP("834610AG Muni","MUNI_MSRB_VOLUME")</f>
        <v>#N/A Requesting Data...</v>
      </c>
      <c r="S491" t="str">
        <f>_xll.BDP("834610AG Muni","BB_COMPOSITE")</f>
        <v>#N/A Requesting Data...</v>
      </c>
      <c r="T491" t="str">
        <f>_xll.BDP("834610AG Muni","LQA_LIQUIDITY_SCORE")</f>
        <v>#N/A Requesting Data...</v>
      </c>
    </row>
    <row r="492" spans="1:20" x14ac:dyDescent="0.25">
      <c r="A492" t="str">
        <f>_xll.BDP("834610AH Muni","ID_CUSIP")</f>
        <v>#N/A Requesting Data...</v>
      </c>
      <c r="B492" t="s">
        <v>223</v>
      </c>
      <c r="C492" t="str">
        <f>_xll.BDP("834610AH Muni","INSURANCE_STATUS")</f>
        <v>#N/A Requesting Data...</v>
      </c>
      <c r="D492" t="str">
        <f>_xll.BDP("834610AH Muni","STATE_CODE")</f>
        <v>#N/A Requesting Data...</v>
      </c>
      <c r="E492" t="str">
        <f>_xll.BDP("834610AH Muni","COUNTY_LOCATION_ISSUER")</f>
        <v>#N/A Requesting Data...</v>
      </c>
      <c r="F492" t="str">
        <f>_xll.BDP("834610AH Muni","DUR_ADJ_MID")</f>
        <v>#N/A Requesting Data...</v>
      </c>
      <c r="G492" t="str">
        <f>_xll.BDP("834610AH Muni","SPREAD_AT_ISSUANCE_TO_WORST")</f>
        <v>#N/A Requesting Data...</v>
      </c>
      <c r="H492" t="str">
        <f>_xll.BDP("834610AH Muni","ISSUE_DT")</f>
        <v>#N/A Requesting Data...</v>
      </c>
      <c r="I492" t="str">
        <f>_xll.BDS("834610AH Muni","MUNI_PURPOSE_SCHED", "aggregate=y")</f>
        <v>#N/A Review</v>
      </c>
      <c r="J492" t="str">
        <f>_xll.BDP("834610AH Muni","CPN")</f>
        <v>#N/A Requesting Data...</v>
      </c>
      <c r="K492" t="str">
        <f>_xll.BDP("834610AH Muni","MATURITY")</f>
        <v>#N/A Requesting Data...</v>
      </c>
      <c r="L492">
        <v>95000</v>
      </c>
      <c r="M492" t="str">
        <f>_xll.BDP("834610AH Muni","YIELD_ON_ISSUE_DATE")</f>
        <v>#N/A Requesting Data...</v>
      </c>
      <c r="N492" t="str">
        <f>_xll.BDP("834610AH Muni","YTW_SPREAD_TO_MATURITY_AT_ISSU")</f>
        <v>#N/A Requesting Data...</v>
      </c>
      <c r="O492" t="str">
        <f>_xll.BDP("834610AH Muni","BVAL_MID_YTM")</f>
        <v>#N/A Requesting Data...</v>
      </c>
      <c r="P492" t="str">
        <f>_xll.BDP("834610AH Muni","MUNI_TAX_PROV")</f>
        <v>#N/A Requesting Data...</v>
      </c>
      <c r="Q492" t="str">
        <f>_xll.BDP("834610AH Muni","MUNI_FED_TAX")</f>
        <v>#N/A Requesting Data...</v>
      </c>
      <c r="R492" t="str">
        <f>_xll.BDP("834610AH Muni","MUNI_MSRB_VOLUME")</f>
        <v>#N/A Requesting Data...</v>
      </c>
      <c r="S492" t="str">
        <f>_xll.BDP("834610AH Muni","BB_COMPOSITE")</f>
        <v>#N/A Requesting Data...</v>
      </c>
      <c r="T492" t="str">
        <f>_xll.BDP("834610AH Muni","LQA_LIQUIDITY_SCORE")</f>
        <v>#N/A Requesting Data...</v>
      </c>
    </row>
    <row r="493" spans="1:20" x14ac:dyDescent="0.25">
      <c r="A493" t="str">
        <f>_xll.BDP("836809FK Muni","ID_CUSIP")</f>
        <v>#N/A Requesting Data...</v>
      </c>
      <c r="B493" t="s">
        <v>199</v>
      </c>
      <c r="C493" t="str">
        <f>_xll.BDP("836809FK Muni","INSURANCE_STATUS")</f>
        <v>#N/A Requesting Data...</v>
      </c>
      <c r="D493" t="str">
        <f>_xll.BDP("836809FK Muni","STATE_CODE")</f>
        <v>#N/A Requesting Data...</v>
      </c>
      <c r="E493" t="str">
        <f>_xll.BDP("836809FK Muni","COUNTY_LOCATION_ISSUER")</f>
        <v>#N/A Requesting Data...</v>
      </c>
      <c r="F493" t="str">
        <f>_xll.BDP("836809FK Muni","DUR_ADJ_MID")</f>
        <v>#N/A Requesting Data...</v>
      </c>
      <c r="G493" t="str">
        <f>_xll.BDP("836809FK Muni","SPREAD_AT_ISSUANCE_TO_WORST")</f>
        <v>#N/A Requesting Data...</v>
      </c>
      <c r="H493" t="str">
        <f>_xll.BDP("836809FK Muni","ISSUE_DT")</f>
        <v>#N/A Requesting Data...</v>
      </c>
      <c r="I493" t="str">
        <f>_xll.BDS("836809FK Muni","MUNI_PURPOSE_SCHED", "aggregate=y")</f>
        <v>#N/A Review</v>
      </c>
      <c r="J493" t="str">
        <f>_xll.BDP("836809FK Muni","CPN")</f>
        <v>#N/A Requesting Data...</v>
      </c>
      <c r="K493" t="str">
        <f>_xll.BDP("836809FK Muni","MATURITY")</f>
        <v>#N/A Requesting Data...</v>
      </c>
      <c r="L493">
        <v>90000</v>
      </c>
      <c r="M493" t="str">
        <f>_xll.BDP("836809FK Muni","YIELD_ON_ISSUE_DATE")</f>
        <v>#N/A Requesting Data...</v>
      </c>
      <c r="N493" t="str">
        <f>_xll.BDP("836809FK Muni","YTW_SPREAD_TO_MATURITY_AT_ISSU")</f>
        <v>#N/A Requesting Data...</v>
      </c>
      <c r="O493" t="str">
        <f>_xll.BDP("836809FK Muni","BVAL_MID_YTM")</f>
        <v>#N/A Requesting Data...</v>
      </c>
      <c r="P493" t="str">
        <f>_xll.BDP("836809FK Muni","MUNI_TAX_PROV")</f>
        <v>#N/A Requesting Data...</v>
      </c>
      <c r="Q493" t="str">
        <f>_xll.BDP("836809FK Muni","MUNI_FED_TAX")</f>
        <v>#N/A Requesting Data...</v>
      </c>
      <c r="R493" t="str">
        <f>_xll.BDP("836809FK Muni","MUNI_MSRB_VOLUME")</f>
        <v>#N/A Requesting Data...</v>
      </c>
      <c r="S493" t="str">
        <f>_xll.BDP("836809FK Muni","BB_COMPOSITE")</f>
        <v>#N/A Requesting Data...</v>
      </c>
      <c r="T493" t="str">
        <f>_xll.BDP("836809FK Muni","LQA_LIQUIDITY_SCORE")</f>
        <v>#N/A Requesting Data...</v>
      </c>
    </row>
    <row r="494" spans="1:20" x14ac:dyDescent="0.25">
      <c r="A494" t="str">
        <f>_xll.BDP("753279FW Muni","ID_CUSIP")</f>
        <v>#N/A Requesting Data...</v>
      </c>
      <c r="B494" t="s">
        <v>224</v>
      </c>
      <c r="C494" t="str">
        <f>_xll.BDP("753279FW Muni","INSURANCE_STATUS")</f>
        <v>#N/A Requesting Data...</v>
      </c>
      <c r="D494" t="str">
        <f>_xll.BDP("753279FW Muni","STATE_CODE")</f>
        <v>#N/A Requesting Data...</v>
      </c>
      <c r="E494" t="str">
        <f>_xll.BDP("753279FW Muni","COUNTY_LOCATION_ISSUER")</f>
        <v>#N/A Requesting Data...</v>
      </c>
      <c r="F494" t="str">
        <f>_xll.BDP("753279FW Muni","DUR_ADJ_MID")</f>
        <v>#N/A Requesting Data...</v>
      </c>
      <c r="G494" t="str">
        <f>_xll.BDP("753279FW Muni","SPREAD_AT_ISSUANCE_TO_WORST")</f>
        <v>#N/A Requesting Data...</v>
      </c>
      <c r="H494" t="str">
        <f>_xll.BDP("753279FW Muni","ISSUE_DT")</f>
        <v>#N/A Requesting Data...</v>
      </c>
      <c r="I494" t="str">
        <f>_xll.BDS("753279FW Muni","MUNI_PURPOSE_SCHED", "aggregate=y")</f>
        <v>#N/A Review</v>
      </c>
      <c r="J494" t="str">
        <f>_xll.BDP("753279FW Muni","CPN")</f>
        <v>#N/A Requesting Data...</v>
      </c>
      <c r="K494" t="str">
        <f>_xll.BDP("753279FW Muni","MATURITY")</f>
        <v>#N/A Requesting Data...</v>
      </c>
      <c r="L494">
        <v>350000</v>
      </c>
      <c r="M494" t="str">
        <f>_xll.BDP("753279FW Muni","YIELD_ON_ISSUE_DATE")</f>
        <v>#N/A Requesting Data...</v>
      </c>
      <c r="N494" t="str">
        <f>_xll.BDP("753279FW Muni","YTW_SPREAD_TO_MATURITY_AT_ISSU")</f>
        <v>#N/A Requesting Data...</v>
      </c>
      <c r="O494" t="str">
        <f>_xll.BDP("753279FW Muni","BVAL_MID_YTM")</f>
        <v>#N/A Requesting Data...</v>
      </c>
      <c r="P494" t="str">
        <f>_xll.BDP("753279FW Muni","MUNI_TAX_PROV")</f>
        <v>#N/A Requesting Data...</v>
      </c>
      <c r="Q494" t="str">
        <f>_xll.BDP("753279FW Muni","MUNI_FED_TAX")</f>
        <v>#N/A Requesting Data...</v>
      </c>
      <c r="R494" t="str">
        <f>_xll.BDP("753279FW Muni","MUNI_MSRB_VOLUME")</f>
        <v>#N/A Requesting Data...</v>
      </c>
      <c r="S494" t="str">
        <f>_xll.BDP("753279FW Muni","BB_COMPOSITE")</f>
        <v>#N/A Requesting Data...</v>
      </c>
      <c r="T494" t="str">
        <f>_xll.BDP("753279FW Muni","LQA_LIQUIDITY_SCORE")</f>
        <v>#N/A Requesting Data...</v>
      </c>
    </row>
    <row r="495" spans="1:20" x14ac:dyDescent="0.25">
      <c r="A495" t="str">
        <f>_xll.BDP("757419FN Muni","ID_CUSIP")</f>
        <v>#N/A Requesting Data...</v>
      </c>
      <c r="B495" t="s">
        <v>129</v>
      </c>
      <c r="C495" t="str">
        <f>_xll.BDP("757419FN Muni","INSURANCE_STATUS")</f>
        <v>#N/A Requesting Data...</v>
      </c>
      <c r="D495" t="str">
        <f>_xll.BDP("757419FN Muni","STATE_CODE")</f>
        <v>#N/A Requesting Data...</v>
      </c>
      <c r="E495" t="str">
        <f>_xll.BDP("757419FN Muni","COUNTY_LOCATION_ISSUER")</f>
        <v>#N/A Requesting Data...</v>
      </c>
      <c r="F495" t="str">
        <f>_xll.BDP("757419FN Muni","DUR_ADJ_MID")</f>
        <v>#N/A Requesting Data...</v>
      </c>
      <c r="G495" t="str">
        <f>_xll.BDP("757419FN Muni","SPREAD_AT_ISSUANCE_TO_WORST")</f>
        <v>#N/A Requesting Data...</v>
      </c>
      <c r="H495" t="str">
        <f>_xll.BDP("757419FN Muni","ISSUE_DT")</f>
        <v>#N/A Requesting Data...</v>
      </c>
      <c r="I495" t="str">
        <f>_xll.BDS("757419FN Muni","MUNI_PURPOSE_SCHED", "aggregate=y")</f>
        <v>#N/A Review</v>
      </c>
      <c r="J495" t="str">
        <f>_xll.BDP("757419FN Muni","CPN")</f>
        <v>#N/A Requesting Data...</v>
      </c>
      <c r="K495" t="str">
        <f>_xll.BDP("757419FN Muni","MATURITY")</f>
        <v>#N/A Requesting Data...</v>
      </c>
      <c r="L495">
        <v>400000</v>
      </c>
      <c r="M495" t="str">
        <f>_xll.BDP("757419FN Muni","YIELD_ON_ISSUE_DATE")</f>
        <v>#N/A Requesting Data...</v>
      </c>
      <c r="N495" t="str">
        <f>_xll.BDP("757419FN Muni","YTW_SPREAD_TO_MATURITY_AT_ISSU")</f>
        <v>#N/A Requesting Data...</v>
      </c>
      <c r="O495" t="str">
        <f>_xll.BDP("757419FN Muni","BVAL_MID_YTM")</f>
        <v>#N/A Requesting Data...</v>
      </c>
      <c r="P495" t="str">
        <f>_xll.BDP("757419FN Muni","MUNI_TAX_PROV")</f>
        <v>#N/A Requesting Data...</v>
      </c>
      <c r="Q495" t="str">
        <f>_xll.BDP("757419FN Muni","MUNI_FED_TAX")</f>
        <v>#N/A Requesting Data...</v>
      </c>
      <c r="R495" t="str">
        <f>_xll.BDP("757419FN Muni","MUNI_MSRB_VOLUME")</f>
        <v>#N/A Requesting Data...</v>
      </c>
      <c r="S495" t="str">
        <f>_xll.BDP("757419FN Muni","BB_COMPOSITE")</f>
        <v>#N/A Requesting Data...</v>
      </c>
      <c r="T495" t="str">
        <f>_xll.BDP("757419FN Muni","LQA_LIQUIDITY_SCORE")</f>
        <v>#N/A Requesting Data...</v>
      </c>
    </row>
    <row r="496" spans="1:20" x14ac:dyDescent="0.25">
      <c r="A496" t="str">
        <f>_xll.BDP("751100KS Muni","ID_CUSIP")</f>
        <v>#N/A Requesting Data...</v>
      </c>
      <c r="B496" t="s">
        <v>130</v>
      </c>
      <c r="C496" t="str">
        <f>_xll.BDP("751100KS Muni","INSURANCE_STATUS")</f>
        <v>#N/A Requesting Data...</v>
      </c>
      <c r="D496" t="str">
        <f>_xll.BDP("751100KS Muni","STATE_CODE")</f>
        <v>#N/A Requesting Data...</v>
      </c>
      <c r="E496" t="str">
        <f>_xll.BDP("751100KS Muni","COUNTY_LOCATION_ISSUER")</f>
        <v>#N/A Requesting Data...</v>
      </c>
      <c r="F496" t="str">
        <f>_xll.BDP("751100KS Muni","DUR_ADJ_MID")</f>
        <v>#N/A Requesting Data...</v>
      </c>
      <c r="G496" t="str">
        <f>_xll.BDP("751100KS Muni","SPREAD_AT_ISSUANCE_TO_WORST")</f>
        <v>#N/A Requesting Data...</v>
      </c>
      <c r="H496" t="str">
        <f>_xll.BDP("751100KS Muni","ISSUE_DT")</f>
        <v>#N/A Requesting Data...</v>
      </c>
      <c r="I496" t="str">
        <f>_xll.BDS("751100KS Muni","MUNI_PURPOSE_SCHED", "aggregate=y")</f>
        <v>#N/A Review</v>
      </c>
      <c r="J496" t="str">
        <f>_xll.BDP("751100KS Muni","CPN")</f>
        <v>#N/A Requesting Data...</v>
      </c>
      <c r="K496" t="str">
        <f>_xll.BDP("751100KS Muni","MATURITY")</f>
        <v>#N/A Requesting Data...</v>
      </c>
      <c r="L496">
        <v>2275000</v>
      </c>
      <c r="M496" t="str">
        <f>_xll.BDP("751100KS Muni","YIELD_ON_ISSUE_DATE")</f>
        <v>#N/A Requesting Data...</v>
      </c>
      <c r="N496" t="str">
        <f>_xll.BDP("751100KS Muni","YTW_SPREAD_TO_MATURITY_AT_ISSU")</f>
        <v>#N/A Requesting Data...</v>
      </c>
      <c r="O496" t="str">
        <f>_xll.BDP("751100KS Muni","BVAL_MID_YTM")</f>
        <v>#N/A Requesting Data...</v>
      </c>
      <c r="P496" t="str">
        <f>_xll.BDP("751100KS Muni","MUNI_TAX_PROV")</f>
        <v>#N/A Requesting Data...</v>
      </c>
      <c r="Q496" t="str">
        <f>_xll.BDP("751100KS Muni","MUNI_FED_TAX")</f>
        <v>#N/A Requesting Data...</v>
      </c>
      <c r="R496" t="str">
        <f>_xll.BDP("751100KS Muni","MUNI_MSRB_VOLUME")</f>
        <v>#N/A Requesting Data...</v>
      </c>
      <c r="S496" t="str">
        <f>_xll.BDP("751100KS Muni","BB_COMPOSITE")</f>
        <v>#N/A Requesting Data...</v>
      </c>
      <c r="T496" t="str">
        <f>_xll.BDP("751100KS Muni","LQA_LIQUIDITY_SCORE")</f>
        <v>#N/A Requesting Data...</v>
      </c>
    </row>
    <row r="497" spans="1:20" x14ac:dyDescent="0.25">
      <c r="A497" t="str">
        <f>_xll.BDP("751100KU Muni","ID_CUSIP")</f>
        <v>#N/A Requesting Data...</v>
      </c>
      <c r="B497" t="s">
        <v>130</v>
      </c>
      <c r="C497" t="str">
        <f>_xll.BDP("751100KU Muni","INSURANCE_STATUS")</f>
        <v>#N/A Requesting Data...</v>
      </c>
      <c r="D497" t="str">
        <f>_xll.BDP("751100KU Muni","STATE_CODE")</f>
        <v>#N/A Requesting Data...</v>
      </c>
      <c r="E497" t="str">
        <f>_xll.BDP("751100KU Muni","COUNTY_LOCATION_ISSUER")</f>
        <v>#N/A Requesting Data...</v>
      </c>
      <c r="F497" t="str">
        <f>_xll.BDP("751100KU Muni","DUR_ADJ_MID")</f>
        <v>#N/A Requesting Data...</v>
      </c>
      <c r="G497" t="str">
        <f>_xll.BDP("751100KU Muni","SPREAD_AT_ISSUANCE_TO_WORST")</f>
        <v>#N/A Requesting Data...</v>
      </c>
      <c r="H497" t="str">
        <f>_xll.BDP("751100KU Muni","ISSUE_DT")</f>
        <v>#N/A Requesting Data...</v>
      </c>
      <c r="I497" t="str">
        <f>_xll.BDS("751100KU Muni","MUNI_PURPOSE_SCHED", "aggregate=y")</f>
        <v>#N/A Review</v>
      </c>
      <c r="J497" t="str">
        <f>_xll.BDP("751100KU Muni","CPN")</f>
        <v>#N/A Requesting Data...</v>
      </c>
      <c r="K497" t="str">
        <f>_xll.BDP("751100KU Muni","MATURITY")</f>
        <v>#N/A Requesting Data...</v>
      </c>
      <c r="L497">
        <v>2510000</v>
      </c>
      <c r="M497" t="str">
        <f>_xll.BDP("751100KU Muni","YIELD_ON_ISSUE_DATE")</f>
        <v>#N/A Requesting Data...</v>
      </c>
      <c r="N497" t="str">
        <f>_xll.BDP("751100KU Muni","YTW_SPREAD_TO_MATURITY_AT_ISSU")</f>
        <v>#N/A Requesting Data...</v>
      </c>
      <c r="O497" t="str">
        <f>_xll.BDP("751100KU Muni","BVAL_MID_YTM")</f>
        <v>#N/A Requesting Data...</v>
      </c>
      <c r="P497" t="str">
        <f>_xll.BDP("751100KU Muni","MUNI_TAX_PROV")</f>
        <v>#N/A Requesting Data...</v>
      </c>
      <c r="Q497" t="str">
        <f>_xll.BDP("751100KU Muni","MUNI_FED_TAX")</f>
        <v>#N/A Requesting Data...</v>
      </c>
      <c r="R497" t="str">
        <f>_xll.BDP("751100KU Muni","MUNI_MSRB_VOLUME")</f>
        <v>#N/A Requesting Data...</v>
      </c>
      <c r="S497" t="str">
        <f>_xll.BDP("751100KU Muni","BB_COMPOSITE")</f>
        <v>#N/A Requesting Data...</v>
      </c>
      <c r="T497" t="str">
        <f>_xll.BDP("751100KU Muni","LQA_LIQUIDITY_SCORE")</f>
        <v>#N/A Requesting Data...</v>
      </c>
    </row>
    <row r="498" spans="1:20" x14ac:dyDescent="0.25">
      <c r="A498" t="str">
        <f>_xll.BDP("752111HL Muni","ID_CUSIP")</f>
        <v>#N/A Requesting Data...</v>
      </c>
      <c r="B498" t="s">
        <v>131</v>
      </c>
      <c r="C498" t="str">
        <f>_xll.BDP("752111HL Muni","INSURANCE_STATUS")</f>
        <v>#N/A Requesting Data...</v>
      </c>
      <c r="D498" t="str">
        <f>_xll.BDP("752111HL Muni","STATE_CODE")</f>
        <v>#N/A Requesting Data...</v>
      </c>
      <c r="E498" t="str">
        <f>_xll.BDP("752111HL Muni","COUNTY_LOCATION_ISSUER")</f>
        <v>#N/A Requesting Data...</v>
      </c>
      <c r="F498" t="str">
        <f>_xll.BDP("752111HL Muni","DUR_ADJ_MID")</f>
        <v>#N/A Requesting Data...</v>
      </c>
      <c r="G498" t="str">
        <f>_xll.BDP("752111HL Muni","SPREAD_AT_ISSUANCE_TO_WORST")</f>
        <v>#N/A Requesting Data...</v>
      </c>
      <c r="H498" t="str">
        <f>_xll.BDP("752111HL Muni","ISSUE_DT")</f>
        <v>#N/A Requesting Data...</v>
      </c>
      <c r="I498" t="str">
        <f>_xll.BDS("752111HL Muni","MUNI_PURPOSE_SCHED", "aggregate=y")</f>
        <v>#N/A Review</v>
      </c>
      <c r="J498" t="str">
        <f>_xll.BDP("752111HL Muni","CPN")</f>
        <v>#N/A Requesting Data...</v>
      </c>
      <c r="K498" t="str">
        <f>_xll.BDP("752111HL Muni","MATURITY")</f>
        <v>#N/A Requesting Data...</v>
      </c>
      <c r="L498">
        <v>610000</v>
      </c>
      <c r="M498" t="str">
        <f>_xll.BDP("752111HL Muni","YIELD_ON_ISSUE_DATE")</f>
        <v>#N/A Requesting Data...</v>
      </c>
      <c r="N498" t="str">
        <f>_xll.BDP("752111HL Muni","YTW_SPREAD_TO_MATURITY_AT_ISSU")</f>
        <v>#N/A Requesting Data...</v>
      </c>
      <c r="O498" t="str">
        <f>_xll.BDP("752111HL Muni","BVAL_MID_YTM")</f>
        <v>#N/A Requesting Data...</v>
      </c>
      <c r="P498" t="str">
        <f>_xll.BDP("752111HL Muni","MUNI_TAX_PROV")</f>
        <v>#N/A Requesting Data...</v>
      </c>
      <c r="Q498" t="str">
        <f>_xll.BDP("752111HL Muni","MUNI_FED_TAX")</f>
        <v>#N/A Requesting Data...</v>
      </c>
      <c r="R498" t="str">
        <f>_xll.BDP("752111HL Muni","MUNI_MSRB_VOLUME")</f>
        <v>#N/A Requesting Data...</v>
      </c>
      <c r="S498" t="str">
        <f>_xll.BDP("752111HL Muni","BB_COMPOSITE")</f>
        <v>#N/A Requesting Data...</v>
      </c>
      <c r="T498" t="str">
        <f>_xll.BDP("752111HL Muni","LQA_LIQUIDITY_SCORE")</f>
        <v>#N/A Requesting Data...</v>
      </c>
    </row>
    <row r="499" spans="1:20" x14ac:dyDescent="0.25">
      <c r="A499" t="str">
        <f>_xll.BDP("752111HM Muni","ID_CUSIP")</f>
        <v>#N/A Requesting Data...</v>
      </c>
      <c r="B499" t="s">
        <v>131</v>
      </c>
      <c r="C499" t="str">
        <f>_xll.BDP("752111HM Muni","INSURANCE_STATUS")</f>
        <v>#N/A Requesting Data...</v>
      </c>
      <c r="D499" t="str">
        <f>_xll.BDP("752111HM Muni","STATE_CODE")</f>
        <v>#N/A Requesting Data...</v>
      </c>
      <c r="E499" t="str">
        <f>_xll.BDP("752111HM Muni","COUNTY_LOCATION_ISSUER")</f>
        <v>#N/A Requesting Data...</v>
      </c>
      <c r="F499" t="str">
        <f>_xll.BDP("752111HM Muni","DUR_ADJ_MID")</f>
        <v>#N/A Requesting Data...</v>
      </c>
      <c r="G499" t="str">
        <f>_xll.BDP("752111HM Muni","SPREAD_AT_ISSUANCE_TO_WORST")</f>
        <v>#N/A Requesting Data...</v>
      </c>
      <c r="H499" t="str">
        <f>_xll.BDP("752111HM Muni","ISSUE_DT")</f>
        <v>#N/A Requesting Data...</v>
      </c>
      <c r="I499" t="str">
        <f>_xll.BDS("752111HM Muni","MUNI_PURPOSE_SCHED", "aggregate=y")</f>
        <v>#N/A Review</v>
      </c>
      <c r="J499" t="str">
        <f>_xll.BDP("752111HM Muni","CPN")</f>
        <v>#N/A Requesting Data...</v>
      </c>
      <c r="K499" t="str">
        <f>_xll.BDP("752111HM Muni","MATURITY")</f>
        <v>#N/A Requesting Data...</v>
      </c>
      <c r="L499">
        <v>635000</v>
      </c>
      <c r="M499" t="str">
        <f>_xll.BDP("752111HM Muni","YIELD_ON_ISSUE_DATE")</f>
        <v>#N/A Requesting Data...</v>
      </c>
      <c r="N499" t="str">
        <f>_xll.BDP("752111HM Muni","YTW_SPREAD_TO_MATURITY_AT_ISSU")</f>
        <v>#N/A Requesting Data...</v>
      </c>
      <c r="O499" t="str">
        <f>_xll.BDP("752111HM Muni","BVAL_MID_YTM")</f>
        <v>#N/A Requesting Data...</v>
      </c>
      <c r="P499" t="str">
        <f>_xll.BDP("752111HM Muni","MUNI_TAX_PROV")</f>
        <v>#N/A Requesting Data...</v>
      </c>
      <c r="Q499" t="str">
        <f>_xll.BDP("752111HM Muni","MUNI_FED_TAX")</f>
        <v>#N/A Requesting Data...</v>
      </c>
      <c r="R499" t="str">
        <f>_xll.BDP("752111HM Muni","MUNI_MSRB_VOLUME")</f>
        <v>#N/A Requesting Data...</v>
      </c>
      <c r="S499" t="str">
        <f>_xll.BDP("752111HM Muni","BB_COMPOSITE")</f>
        <v>#N/A Requesting Data...</v>
      </c>
      <c r="T499" t="str">
        <f>_xll.BDP("752111HM Muni","LQA_LIQUIDITY_SCORE")</f>
        <v>#N/A Requesting Data...</v>
      </c>
    </row>
    <row r="500" spans="1:20" x14ac:dyDescent="0.25">
      <c r="A500" t="str">
        <f>_xll.BDP("752111HN Muni","ID_CUSIP")</f>
        <v>#N/A Requesting Data...</v>
      </c>
      <c r="B500" t="s">
        <v>131</v>
      </c>
      <c r="C500" t="str">
        <f>_xll.BDP("752111HN Muni","INSURANCE_STATUS")</f>
        <v>#N/A Requesting Data...</v>
      </c>
      <c r="D500" t="str">
        <f>_xll.BDP("752111HN Muni","STATE_CODE")</f>
        <v>#N/A Requesting Data...</v>
      </c>
      <c r="E500" t="str">
        <f>_xll.BDP("752111HN Muni","COUNTY_LOCATION_ISSUER")</f>
        <v>#N/A Requesting Data...</v>
      </c>
      <c r="F500" t="str">
        <f>_xll.BDP("752111HN Muni","DUR_ADJ_MID")</f>
        <v>#N/A Requesting Data...</v>
      </c>
      <c r="G500" t="str">
        <f>_xll.BDP("752111HN Muni","SPREAD_AT_ISSUANCE_TO_WORST")</f>
        <v>#N/A Requesting Data...</v>
      </c>
      <c r="H500" t="str">
        <f>_xll.BDP("752111HN Muni","ISSUE_DT")</f>
        <v>#N/A Requesting Data...</v>
      </c>
      <c r="I500" t="str">
        <f>_xll.BDS("752111HN Muni","MUNI_PURPOSE_SCHED", "aggregate=y")</f>
        <v>#N/A Review</v>
      </c>
      <c r="J500" t="str">
        <f>_xll.BDP("752111HN Muni","CPN")</f>
        <v>#N/A Requesting Data...</v>
      </c>
      <c r="K500" t="str">
        <f>_xll.BDP("752111HN Muni","MATURITY")</f>
        <v>#N/A Requesting Data...</v>
      </c>
      <c r="L500">
        <v>660000</v>
      </c>
      <c r="M500" t="str">
        <f>_xll.BDP("752111HN Muni","YIELD_ON_ISSUE_DATE")</f>
        <v>#N/A Requesting Data...</v>
      </c>
      <c r="N500" t="str">
        <f>_xll.BDP("752111HN Muni","YTW_SPREAD_TO_MATURITY_AT_ISSU")</f>
        <v>#N/A Requesting Data...</v>
      </c>
      <c r="O500" t="str">
        <f>_xll.BDP("752111HN Muni","BVAL_MID_YTM")</f>
        <v>#N/A Requesting Data...</v>
      </c>
      <c r="P500" t="str">
        <f>_xll.BDP("752111HN Muni","MUNI_TAX_PROV")</f>
        <v>#N/A Requesting Data...</v>
      </c>
      <c r="Q500" t="str">
        <f>_xll.BDP("752111HN Muni","MUNI_FED_TAX")</f>
        <v>#N/A Requesting Data...</v>
      </c>
      <c r="R500" t="str">
        <f>_xll.BDP("752111HN Muni","MUNI_MSRB_VOLUME")</f>
        <v>#N/A Requesting Data...</v>
      </c>
      <c r="S500" t="str">
        <f>_xll.BDP("752111HN Muni","BB_COMPOSITE")</f>
        <v>#N/A Requesting Data...</v>
      </c>
      <c r="T500" t="str">
        <f>_xll.BDP("752111HN Muni","LQA_LIQUIDITY_SCORE")</f>
        <v>#N/A Requesting Data...</v>
      </c>
    </row>
    <row r="501" spans="1:20" x14ac:dyDescent="0.25">
      <c r="A501" t="str">
        <f>_xll.BDP("753279FV Muni","ID_CUSIP")</f>
        <v>#N/A Requesting Data...</v>
      </c>
      <c r="B501" t="s">
        <v>224</v>
      </c>
      <c r="C501" t="str">
        <f>_xll.BDP("753279FV Muni","INSURANCE_STATUS")</f>
        <v>#N/A Requesting Data...</v>
      </c>
      <c r="D501" t="str">
        <f>_xll.BDP("753279FV Muni","STATE_CODE")</f>
        <v>#N/A Requesting Data...</v>
      </c>
      <c r="E501" t="str">
        <f>_xll.BDP("753279FV Muni","COUNTY_LOCATION_ISSUER")</f>
        <v>#N/A Requesting Data...</v>
      </c>
      <c r="F501" t="str">
        <f>_xll.BDP("753279FV Muni","DUR_ADJ_MID")</f>
        <v>#N/A Requesting Data...</v>
      </c>
      <c r="G501" t="str">
        <f>_xll.BDP("753279FV Muni","SPREAD_AT_ISSUANCE_TO_WORST")</f>
        <v>#N/A Requesting Data...</v>
      </c>
      <c r="H501" t="str">
        <f>_xll.BDP("753279FV Muni","ISSUE_DT")</f>
        <v>#N/A Requesting Data...</v>
      </c>
      <c r="I501" t="str">
        <f>_xll.BDS("753279FV Muni","MUNI_PURPOSE_SCHED", "aggregate=y")</f>
        <v>#N/A Review</v>
      </c>
      <c r="J501" t="str">
        <f>_xll.BDP("753279FV Muni","CPN")</f>
        <v>#N/A Requesting Data...</v>
      </c>
      <c r="K501" t="str">
        <f>_xll.BDP("753279FV Muni","MATURITY")</f>
        <v>#N/A Requesting Data...</v>
      </c>
      <c r="L501">
        <v>335000</v>
      </c>
      <c r="M501" t="str">
        <f>_xll.BDP("753279FV Muni","YIELD_ON_ISSUE_DATE")</f>
        <v>#N/A Requesting Data...</v>
      </c>
      <c r="N501" t="str">
        <f>_xll.BDP("753279FV Muni","YTW_SPREAD_TO_MATURITY_AT_ISSU")</f>
        <v>#N/A Requesting Data...</v>
      </c>
      <c r="O501" t="str">
        <f>_xll.BDP("753279FV Muni","BVAL_MID_YTM")</f>
        <v>#N/A Requesting Data...</v>
      </c>
      <c r="P501" t="str">
        <f>_xll.BDP("753279FV Muni","MUNI_TAX_PROV")</f>
        <v>#N/A Requesting Data...</v>
      </c>
      <c r="Q501" t="str">
        <f>_xll.BDP("753279FV Muni","MUNI_FED_TAX")</f>
        <v>#N/A Requesting Data...</v>
      </c>
      <c r="R501" t="str">
        <f>_xll.BDP("753279FV Muni","MUNI_MSRB_VOLUME")</f>
        <v>#N/A Requesting Data...</v>
      </c>
      <c r="S501" t="str">
        <f>_xll.BDP("753279FV Muni","BB_COMPOSITE")</f>
        <v>#N/A Requesting Data...</v>
      </c>
      <c r="T501" t="str">
        <f>_xll.BDP("753279FV Muni","LQA_LIQUIDITY_SCORE")</f>
        <v>#N/A Requesting Data...</v>
      </c>
    </row>
    <row r="502" spans="1:20" x14ac:dyDescent="0.25">
      <c r="A502" t="str">
        <f>_xll.BDP("753279FX Muni","ID_CUSIP")</f>
        <v>#N/A Requesting Data...</v>
      </c>
      <c r="B502" t="s">
        <v>224</v>
      </c>
      <c r="C502" t="str">
        <f>_xll.BDP("753279FX Muni","INSURANCE_STATUS")</f>
        <v>#N/A Requesting Data...</v>
      </c>
      <c r="D502" t="str">
        <f>_xll.BDP("753279FX Muni","STATE_CODE")</f>
        <v>#N/A Requesting Data...</v>
      </c>
      <c r="E502" t="str">
        <f>_xll.BDP("753279FX Muni","COUNTY_LOCATION_ISSUER")</f>
        <v>#N/A Requesting Data...</v>
      </c>
      <c r="F502" t="str">
        <f>_xll.BDP("753279FX Muni","DUR_ADJ_MID")</f>
        <v>#N/A Requesting Data...</v>
      </c>
      <c r="G502" t="str">
        <f>_xll.BDP("753279FX Muni","SPREAD_AT_ISSUANCE_TO_WORST")</f>
        <v>#N/A Requesting Data...</v>
      </c>
      <c r="H502" t="str">
        <f>_xll.BDP("753279FX Muni","ISSUE_DT")</f>
        <v>#N/A Requesting Data...</v>
      </c>
      <c r="I502" t="str">
        <f>_xll.BDS("753279FX Muni","MUNI_PURPOSE_SCHED", "aggregate=y")</f>
        <v>#N/A Review</v>
      </c>
      <c r="J502" t="str">
        <f>_xll.BDP("753279FX Muni","CPN")</f>
        <v>#N/A Requesting Data...</v>
      </c>
      <c r="K502" t="str">
        <f>_xll.BDP("753279FX Muni","MATURITY")</f>
        <v>#N/A Requesting Data...</v>
      </c>
      <c r="L502">
        <v>355000</v>
      </c>
      <c r="M502" t="str">
        <f>_xll.BDP("753279FX Muni","YIELD_ON_ISSUE_DATE")</f>
        <v>#N/A Requesting Data...</v>
      </c>
      <c r="N502" t="str">
        <f>_xll.BDP("753279FX Muni","YTW_SPREAD_TO_MATURITY_AT_ISSU")</f>
        <v>#N/A Requesting Data...</v>
      </c>
      <c r="O502" t="str">
        <f>_xll.BDP("753279FX Muni","BVAL_MID_YTM")</f>
        <v>#N/A Requesting Data...</v>
      </c>
      <c r="P502" t="str">
        <f>_xll.BDP("753279FX Muni","MUNI_TAX_PROV")</f>
        <v>#N/A Requesting Data...</v>
      </c>
      <c r="Q502" t="str">
        <f>_xll.BDP("753279FX Muni","MUNI_FED_TAX")</f>
        <v>#N/A Requesting Data...</v>
      </c>
      <c r="R502" t="str">
        <f>_xll.BDP("753279FX Muni","MUNI_MSRB_VOLUME")</f>
        <v>#N/A Requesting Data...</v>
      </c>
      <c r="S502" t="str">
        <f>_xll.BDP("753279FX Muni","BB_COMPOSITE")</f>
        <v>#N/A Requesting Data...</v>
      </c>
      <c r="T502" t="str">
        <f>_xll.BDP("753279FX Muni","LQA_LIQUIDITY_SCORE")</f>
        <v>#N/A Requesting Data...</v>
      </c>
    </row>
    <row r="503" spans="1:20" x14ac:dyDescent="0.25">
      <c r="A503" t="str">
        <f>_xll.BDP("724649H3 Muni","ID_CUSIP")</f>
        <v>#N/A Requesting Data...</v>
      </c>
      <c r="B503" t="s">
        <v>225</v>
      </c>
      <c r="C503" t="str">
        <f>_xll.BDP("724649H3 Muni","INSURANCE_STATUS")</f>
        <v>#N/A Requesting Data...</v>
      </c>
      <c r="D503" t="str">
        <f>_xll.BDP("724649H3 Muni","STATE_CODE")</f>
        <v>#N/A Requesting Data...</v>
      </c>
      <c r="E503" t="str">
        <f>_xll.BDP("724649H3 Muni","COUNTY_LOCATION_ISSUER")</f>
        <v>#N/A Requesting Data...</v>
      </c>
      <c r="F503" t="str">
        <f>_xll.BDP("724649H3 Muni","DUR_ADJ_MID")</f>
        <v>#N/A Requesting Data...</v>
      </c>
      <c r="G503" t="str">
        <f>_xll.BDP("724649H3 Muni","SPREAD_AT_ISSUANCE_TO_WORST")</f>
        <v>#N/A Requesting Data...</v>
      </c>
      <c r="H503" t="str">
        <f>_xll.BDP("724649H3 Muni","ISSUE_DT")</f>
        <v>#N/A Requesting Data...</v>
      </c>
      <c r="I503" t="str">
        <f>_xll.BDS("724649H3 Muni","MUNI_PURPOSE_SCHED", "aggregate=y")</f>
        <v>#N/A Review</v>
      </c>
      <c r="J503" t="str">
        <f>_xll.BDP("724649H3 Muni","CPN")</f>
        <v>#N/A Requesting Data...</v>
      </c>
      <c r="K503" t="str">
        <f>_xll.BDP("724649H3 Muni","MATURITY")</f>
        <v>#N/A Requesting Data...</v>
      </c>
      <c r="L503">
        <v>305000</v>
      </c>
      <c r="M503" t="str">
        <f>_xll.BDP("724649H3 Muni","YIELD_ON_ISSUE_DATE")</f>
        <v>#N/A Requesting Data...</v>
      </c>
      <c r="N503" t="str">
        <f>_xll.BDP("724649H3 Muni","YTW_SPREAD_TO_MATURITY_AT_ISSU")</f>
        <v>#N/A Requesting Data...</v>
      </c>
      <c r="O503" t="str">
        <f>_xll.BDP("724649H3 Muni","BVAL_MID_YTM")</f>
        <v>#N/A Requesting Data...</v>
      </c>
      <c r="P503" t="str">
        <f>_xll.BDP("724649H3 Muni","MUNI_TAX_PROV")</f>
        <v>#N/A Requesting Data...</v>
      </c>
      <c r="Q503" t="str">
        <f>_xll.BDP("724649H3 Muni","MUNI_FED_TAX")</f>
        <v>#N/A Requesting Data...</v>
      </c>
      <c r="R503" t="str">
        <f>_xll.BDP("724649H3 Muni","MUNI_MSRB_VOLUME")</f>
        <v>#N/A Requesting Data...</v>
      </c>
      <c r="S503" t="str">
        <f>_xll.BDP("724649H3 Muni","BB_COMPOSITE")</f>
        <v>#N/A Requesting Data...</v>
      </c>
      <c r="T503" t="str">
        <f>_xll.BDP("724649H3 Muni","LQA_LIQUIDITY_SCORE")</f>
        <v>#N/A Requesting Data...</v>
      </c>
    </row>
    <row r="504" spans="1:20" x14ac:dyDescent="0.25">
      <c r="A504" t="str">
        <f>_xll.BDP("727227D5 Muni","ID_CUSIP")</f>
        <v>#N/A Requesting Data...</v>
      </c>
      <c r="B504" t="s">
        <v>132</v>
      </c>
      <c r="C504" t="str">
        <f>_xll.BDP("727227D5 Muni","INSURANCE_STATUS")</f>
        <v>#N/A Requesting Data...</v>
      </c>
      <c r="D504" t="str">
        <f>_xll.BDP("727227D5 Muni","STATE_CODE")</f>
        <v>#N/A Requesting Data...</v>
      </c>
      <c r="E504" t="str">
        <f>_xll.BDP("727227D5 Muni","COUNTY_LOCATION_ISSUER")</f>
        <v>#N/A Requesting Data...</v>
      </c>
      <c r="F504" t="str">
        <f>_xll.BDP("727227D5 Muni","DUR_ADJ_MID")</f>
        <v>#N/A Requesting Data...</v>
      </c>
      <c r="G504" t="str">
        <f>_xll.BDP("727227D5 Muni","SPREAD_AT_ISSUANCE_TO_WORST")</f>
        <v>#N/A Requesting Data...</v>
      </c>
      <c r="H504" t="str">
        <f>_xll.BDP("727227D5 Muni","ISSUE_DT")</f>
        <v>#N/A Requesting Data...</v>
      </c>
      <c r="I504" t="str">
        <f>_xll.BDS("727227D5 Muni","MUNI_PURPOSE_SCHED", "aggregate=y")</f>
        <v>#N/A Review</v>
      </c>
      <c r="J504" t="str">
        <f>_xll.BDP("727227D5 Muni","CPN")</f>
        <v>#N/A Requesting Data...</v>
      </c>
      <c r="K504" t="str">
        <f>_xll.BDP("727227D5 Muni","MATURITY")</f>
        <v>#N/A Requesting Data...</v>
      </c>
      <c r="L504">
        <v>1070000</v>
      </c>
      <c r="M504" t="str">
        <f>_xll.BDP("727227D5 Muni","YIELD_ON_ISSUE_DATE")</f>
        <v>#N/A Requesting Data...</v>
      </c>
      <c r="N504" t="str">
        <f>_xll.BDP("727227D5 Muni","YTW_SPREAD_TO_MATURITY_AT_ISSU")</f>
        <v>#N/A Requesting Data...</v>
      </c>
      <c r="O504" t="str">
        <f>_xll.BDP("727227D5 Muni","BVAL_MID_YTM")</f>
        <v>#N/A Requesting Data...</v>
      </c>
      <c r="P504" t="str">
        <f>_xll.BDP("727227D5 Muni","MUNI_TAX_PROV")</f>
        <v>#N/A Requesting Data...</v>
      </c>
      <c r="Q504" t="str">
        <f>_xll.BDP("727227D5 Muni","MUNI_FED_TAX")</f>
        <v>#N/A Requesting Data...</v>
      </c>
      <c r="R504" t="str">
        <f>_xll.BDP("727227D5 Muni","MUNI_MSRB_VOLUME")</f>
        <v>#N/A Requesting Data...</v>
      </c>
      <c r="S504" t="str">
        <f>_xll.BDP("727227D5 Muni","BB_COMPOSITE")</f>
        <v>#N/A Requesting Data...</v>
      </c>
      <c r="T504" t="str">
        <f>_xll.BDP("727227D5 Muni","LQA_LIQUIDITY_SCORE")</f>
        <v>#N/A Requesting Data...</v>
      </c>
    </row>
    <row r="505" spans="1:20" x14ac:dyDescent="0.25">
      <c r="A505" t="str">
        <f>_xll.BDP("727227D6 Muni","ID_CUSIP")</f>
        <v>#N/A Requesting Data...</v>
      </c>
      <c r="B505" t="s">
        <v>132</v>
      </c>
      <c r="C505" t="str">
        <f>_xll.BDP("727227D6 Muni","INSURANCE_STATUS")</f>
        <v>#N/A Requesting Data...</v>
      </c>
      <c r="D505" t="str">
        <f>_xll.BDP("727227D6 Muni","STATE_CODE")</f>
        <v>#N/A Requesting Data...</v>
      </c>
      <c r="E505" t="str">
        <f>_xll.BDP("727227D6 Muni","COUNTY_LOCATION_ISSUER")</f>
        <v>#N/A Requesting Data...</v>
      </c>
      <c r="F505" t="str">
        <f>_xll.BDP("727227D6 Muni","DUR_ADJ_MID")</f>
        <v>#N/A Requesting Data...</v>
      </c>
      <c r="G505" t="str">
        <f>_xll.BDP("727227D6 Muni","SPREAD_AT_ISSUANCE_TO_WORST")</f>
        <v>#N/A Requesting Data...</v>
      </c>
      <c r="H505" t="str">
        <f>_xll.BDP("727227D6 Muni","ISSUE_DT")</f>
        <v>#N/A Requesting Data...</v>
      </c>
      <c r="I505" t="str">
        <f>_xll.BDS("727227D6 Muni","MUNI_PURPOSE_SCHED", "aggregate=y")</f>
        <v>#N/A Review</v>
      </c>
      <c r="J505" t="str">
        <f>_xll.BDP("727227D6 Muni","CPN")</f>
        <v>#N/A Requesting Data...</v>
      </c>
      <c r="K505" t="str">
        <f>_xll.BDP("727227D6 Muni","MATURITY")</f>
        <v>#N/A Requesting Data...</v>
      </c>
      <c r="L505">
        <v>1125000</v>
      </c>
      <c r="M505" t="str">
        <f>_xll.BDP("727227D6 Muni","YIELD_ON_ISSUE_DATE")</f>
        <v>#N/A Requesting Data...</v>
      </c>
      <c r="N505" t="str">
        <f>_xll.BDP("727227D6 Muni","YTW_SPREAD_TO_MATURITY_AT_ISSU")</f>
        <v>#N/A Requesting Data...</v>
      </c>
      <c r="O505" t="str">
        <f>_xll.BDP("727227D6 Muni","BVAL_MID_YTM")</f>
        <v>#N/A Requesting Data...</v>
      </c>
      <c r="P505" t="str">
        <f>_xll.BDP("727227D6 Muni","MUNI_TAX_PROV")</f>
        <v>#N/A Requesting Data...</v>
      </c>
      <c r="Q505" t="str">
        <f>_xll.BDP("727227D6 Muni","MUNI_FED_TAX")</f>
        <v>#N/A Requesting Data...</v>
      </c>
      <c r="R505" t="str">
        <f>_xll.BDP("727227D6 Muni","MUNI_MSRB_VOLUME")</f>
        <v>#N/A Requesting Data...</v>
      </c>
      <c r="S505" t="str">
        <f>_xll.BDP("727227D6 Muni","BB_COMPOSITE")</f>
        <v>#N/A Requesting Data...</v>
      </c>
      <c r="T505" t="str">
        <f>_xll.BDP("727227D6 Muni","LQA_LIQUIDITY_SCORE")</f>
        <v>#N/A Requesting Data...</v>
      </c>
    </row>
    <row r="506" spans="1:20" x14ac:dyDescent="0.25">
      <c r="A506" t="str">
        <f>_xll.BDP("727227D7 Muni","ID_CUSIP")</f>
        <v>#N/A Requesting Data...</v>
      </c>
      <c r="B506" t="s">
        <v>132</v>
      </c>
      <c r="C506" t="str">
        <f>_xll.BDP("727227D7 Muni","INSURANCE_STATUS")</f>
        <v>#N/A Requesting Data...</v>
      </c>
      <c r="D506" t="str">
        <f>_xll.BDP("727227D7 Muni","STATE_CODE")</f>
        <v>#N/A Requesting Data...</v>
      </c>
      <c r="E506" t="str">
        <f>_xll.BDP("727227D7 Muni","COUNTY_LOCATION_ISSUER")</f>
        <v>#N/A Requesting Data...</v>
      </c>
      <c r="F506" t="str">
        <f>_xll.BDP("727227D7 Muni","DUR_ADJ_MID")</f>
        <v>#N/A Requesting Data...</v>
      </c>
      <c r="G506" t="str">
        <f>_xll.BDP("727227D7 Muni","SPREAD_AT_ISSUANCE_TO_WORST")</f>
        <v>#N/A Requesting Data...</v>
      </c>
      <c r="H506" t="str">
        <f>_xll.BDP("727227D7 Muni","ISSUE_DT")</f>
        <v>#N/A Requesting Data...</v>
      </c>
      <c r="I506" t="str">
        <f>_xll.BDS("727227D7 Muni","MUNI_PURPOSE_SCHED", "aggregate=y")</f>
        <v>#N/A Review</v>
      </c>
      <c r="J506" t="str">
        <f>_xll.BDP("727227D7 Muni","CPN")</f>
        <v>#N/A Requesting Data...</v>
      </c>
      <c r="K506" t="str">
        <f>_xll.BDP("727227D7 Muni","MATURITY")</f>
        <v>#N/A Requesting Data...</v>
      </c>
      <c r="L506">
        <v>1180000</v>
      </c>
      <c r="M506" t="str">
        <f>_xll.BDP("727227D7 Muni","YIELD_ON_ISSUE_DATE")</f>
        <v>#N/A Requesting Data...</v>
      </c>
      <c r="N506" t="str">
        <f>_xll.BDP("727227D7 Muni","YTW_SPREAD_TO_MATURITY_AT_ISSU")</f>
        <v>#N/A Requesting Data...</v>
      </c>
      <c r="O506" t="str">
        <f>_xll.BDP("727227D7 Muni","BVAL_MID_YTM")</f>
        <v>#N/A Requesting Data...</v>
      </c>
      <c r="P506" t="str">
        <f>_xll.BDP("727227D7 Muni","MUNI_TAX_PROV")</f>
        <v>#N/A Requesting Data...</v>
      </c>
      <c r="Q506" t="str">
        <f>_xll.BDP("727227D7 Muni","MUNI_FED_TAX")</f>
        <v>#N/A Requesting Data...</v>
      </c>
      <c r="R506" t="str">
        <f>_xll.BDP("727227D7 Muni","MUNI_MSRB_VOLUME")</f>
        <v>#N/A Requesting Data...</v>
      </c>
      <c r="S506" t="str">
        <f>_xll.BDP("727227D7 Muni","BB_COMPOSITE")</f>
        <v>#N/A Requesting Data...</v>
      </c>
      <c r="T506" t="str">
        <f>_xll.BDP("727227D7 Muni","LQA_LIQUIDITY_SCORE")</f>
        <v>#N/A Requesting Data...</v>
      </c>
    </row>
    <row r="507" spans="1:20" x14ac:dyDescent="0.25">
      <c r="A507" t="str">
        <f>_xll.BDP("69263RCP Muni","ID_CUSIP")</f>
        <v>#N/A Requesting Data...</v>
      </c>
      <c r="B507" t="s">
        <v>226</v>
      </c>
      <c r="C507" t="str">
        <f>_xll.BDP("69263RCP Muni","INSURANCE_STATUS")</f>
        <v>#N/A Requesting Data...</v>
      </c>
      <c r="D507" t="str">
        <f>_xll.BDP("69263RCP Muni","STATE_CODE")</f>
        <v>#N/A Requesting Data...</v>
      </c>
      <c r="E507" t="str">
        <f>_xll.BDP("69263RCP Muni","COUNTY_LOCATION_ISSUER")</f>
        <v>#N/A Requesting Data...</v>
      </c>
      <c r="F507" t="str">
        <f>_xll.BDP("69263RCP Muni","DUR_ADJ_MID")</f>
        <v>#N/A Requesting Data...</v>
      </c>
      <c r="G507" t="str">
        <f>_xll.BDP("69263RCP Muni","SPREAD_AT_ISSUANCE_TO_WORST")</f>
        <v>#N/A Requesting Data...</v>
      </c>
      <c r="H507" t="str">
        <f>_xll.BDP("69263RCP Muni","ISSUE_DT")</f>
        <v>#N/A Requesting Data...</v>
      </c>
      <c r="I507" t="str">
        <f>_xll.BDS("69263RCP Muni","MUNI_PURPOSE_SCHED", "aggregate=y")</f>
        <v>#N/A Review</v>
      </c>
      <c r="J507" t="str">
        <f>_xll.BDP("69263RCP Muni","CPN")</f>
        <v>#N/A Requesting Data...</v>
      </c>
      <c r="K507" t="str">
        <f>_xll.BDP("69263RCP Muni","MATURITY")</f>
        <v>#N/A Requesting Data...</v>
      </c>
      <c r="L507">
        <v>45000</v>
      </c>
      <c r="M507" t="str">
        <f>_xll.BDP("69263RCP Muni","YIELD_ON_ISSUE_DATE")</f>
        <v>#N/A Requesting Data...</v>
      </c>
      <c r="N507" t="str">
        <f>_xll.BDP("69263RCP Muni","YTW_SPREAD_TO_MATURITY_AT_ISSU")</f>
        <v>#N/A Requesting Data...</v>
      </c>
      <c r="O507" t="str">
        <f>_xll.BDP("69263RCP Muni","BVAL_MID_YTM")</f>
        <v>#N/A Requesting Data...</v>
      </c>
      <c r="P507" t="str">
        <f>_xll.BDP("69263RCP Muni","MUNI_TAX_PROV")</f>
        <v>#N/A Requesting Data...</v>
      </c>
      <c r="Q507" t="str">
        <f>_xll.BDP("69263RCP Muni","MUNI_FED_TAX")</f>
        <v>#N/A Requesting Data...</v>
      </c>
      <c r="R507" t="str">
        <f>_xll.BDP("69263RCP Muni","MUNI_MSRB_VOLUME")</f>
        <v>#N/A Requesting Data...</v>
      </c>
      <c r="S507" t="str">
        <f>_xll.BDP("69263RCP Muni","BB_COMPOSITE")</f>
        <v>#N/A Requesting Data...</v>
      </c>
      <c r="T507" t="str">
        <f>_xll.BDP("69263RCP Muni","LQA_LIQUIDITY_SCORE")</f>
        <v>#N/A Requesting Data...</v>
      </c>
    </row>
    <row r="508" spans="1:20" x14ac:dyDescent="0.25">
      <c r="A508" t="str">
        <f>_xll.BDP("69263RCQ Muni","ID_CUSIP")</f>
        <v>#N/A Requesting Data...</v>
      </c>
      <c r="B508" t="s">
        <v>226</v>
      </c>
      <c r="C508" t="str">
        <f>_xll.BDP("69263RCQ Muni","INSURANCE_STATUS")</f>
        <v>#N/A Requesting Data...</v>
      </c>
      <c r="D508" t="str">
        <f>_xll.BDP("69263RCQ Muni","STATE_CODE")</f>
        <v>#N/A Requesting Data...</v>
      </c>
      <c r="E508" t="str">
        <f>_xll.BDP("69263RCQ Muni","COUNTY_LOCATION_ISSUER")</f>
        <v>#N/A Requesting Data...</v>
      </c>
      <c r="F508" t="str">
        <f>_xll.BDP("69263RCQ Muni","DUR_ADJ_MID")</f>
        <v>#N/A Requesting Data...</v>
      </c>
      <c r="G508" t="str">
        <f>_xll.BDP("69263RCQ Muni","SPREAD_AT_ISSUANCE_TO_WORST")</f>
        <v>#N/A Requesting Data...</v>
      </c>
      <c r="H508" t="str">
        <f>_xll.BDP("69263RCQ Muni","ISSUE_DT")</f>
        <v>#N/A Requesting Data...</v>
      </c>
      <c r="I508" t="str">
        <f>_xll.BDS("69263RCQ Muni","MUNI_PURPOSE_SCHED", "aggregate=y")</f>
        <v>#N/A Review</v>
      </c>
      <c r="J508" t="str">
        <f>_xll.BDP("69263RCQ Muni","CPN")</f>
        <v>#N/A Requesting Data...</v>
      </c>
      <c r="K508" t="str">
        <f>_xll.BDP("69263RCQ Muni","MATURITY")</f>
        <v>#N/A Requesting Data...</v>
      </c>
      <c r="L508">
        <v>50000</v>
      </c>
      <c r="M508" t="str">
        <f>_xll.BDP("69263RCQ Muni","YIELD_ON_ISSUE_DATE")</f>
        <v>#N/A Requesting Data...</v>
      </c>
      <c r="N508" t="str">
        <f>_xll.BDP("69263RCQ Muni","YTW_SPREAD_TO_MATURITY_AT_ISSU")</f>
        <v>#N/A Requesting Data...</v>
      </c>
      <c r="O508" t="str">
        <f>_xll.BDP("69263RCQ Muni","BVAL_MID_YTM")</f>
        <v>#N/A Requesting Data...</v>
      </c>
      <c r="P508" t="str">
        <f>_xll.BDP("69263RCQ Muni","MUNI_TAX_PROV")</f>
        <v>#N/A Requesting Data...</v>
      </c>
      <c r="Q508" t="str">
        <f>_xll.BDP("69263RCQ Muni","MUNI_FED_TAX")</f>
        <v>#N/A Requesting Data...</v>
      </c>
      <c r="R508" t="str">
        <f>_xll.BDP("69263RCQ Muni","MUNI_MSRB_VOLUME")</f>
        <v>#N/A Requesting Data...</v>
      </c>
      <c r="S508" t="str">
        <f>_xll.BDP("69263RCQ Muni","BB_COMPOSITE")</f>
        <v>#N/A Requesting Data...</v>
      </c>
      <c r="T508" t="str">
        <f>_xll.BDP("69263RCQ Muni","LQA_LIQUIDITY_SCORE")</f>
        <v>#N/A Requesting Data...</v>
      </c>
    </row>
    <row r="509" spans="1:20" x14ac:dyDescent="0.25">
      <c r="A509" t="str">
        <f>_xll.BDP("804243YC Muni","ID_CUSIP")</f>
        <v>#N/A Requesting Data...</v>
      </c>
      <c r="B509" t="s">
        <v>227</v>
      </c>
      <c r="C509" t="str">
        <f>_xll.BDP("804243YC Muni","INSURANCE_STATUS")</f>
        <v>#N/A Requesting Data...</v>
      </c>
      <c r="D509" t="str">
        <f>_xll.BDP("804243YC Muni","STATE_CODE")</f>
        <v>#N/A Requesting Data...</v>
      </c>
      <c r="E509" t="str">
        <f>_xll.BDP("804243YC Muni","COUNTY_LOCATION_ISSUER")</f>
        <v>#N/A Requesting Data...</v>
      </c>
      <c r="F509" t="str">
        <f>_xll.BDP("804243YC Muni","DUR_ADJ_MID")</f>
        <v>#N/A Requesting Data...</v>
      </c>
      <c r="G509" t="str">
        <f>_xll.BDP("804243YC Muni","SPREAD_AT_ISSUANCE_TO_WORST")</f>
        <v>#N/A Requesting Data...</v>
      </c>
      <c r="H509" t="str">
        <f>_xll.BDP("804243YC Muni","ISSUE_DT")</f>
        <v>#N/A Requesting Data...</v>
      </c>
      <c r="I509" t="str">
        <f>_xll.BDS("804243YC Muni","MUNI_PURPOSE_SCHED", "aggregate=y")</f>
        <v>#N/A Review</v>
      </c>
      <c r="J509" t="str">
        <f>_xll.BDP("804243YC Muni","CPN")</f>
        <v>#N/A Requesting Data...</v>
      </c>
      <c r="K509" t="str">
        <f>_xll.BDP("804243YC Muni","MATURITY")</f>
        <v>#N/A Requesting Data...</v>
      </c>
      <c r="L509">
        <v>380000</v>
      </c>
      <c r="M509" t="str">
        <f>_xll.BDP("804243YC Muni","YIELD_ON_ISSUE_DATE")</f>
        <v>#N/A Requesting Data...</v>
      </c>
      <c r="N509" t="str">
        <f>_xll.BDP("804243YC Muni","YTW_SPREAD_TO_MATURITY_AT_ISSU")</f>
        <v>#N/A Requesting Data...</v>
      </c>
      <c r="O509" t="str">
        <f>_xll.BDP("804243YC Muni","BVAL_MID_YTM")</f>
        <v>#N/A Requesting Data...</v>
      </c>
      <c r="P509" t="str">
        <f>_xll.BDP("804243YC Muni","MUNI_TAX_PROV")</f>
        <v>#N/A Requesting Data...</v>
      </c>
      <c r="Q509" t="str">
        <f>_xll.BDP("804243YC Muni","MUNI_FED_TAX")</f>
        <v>#N/A Requesting Data...</v>
      </c>
      <c r="R509" t="str">
        <f>_xll.BDP("804243YC Muni","MUNI_MSRB_VOLUME")</f>
        <v>#N/A Requesting Data...</v>
      </c>
      <c r="S509" t="str">
        <f>_xll.BDP("804243YC Muni","BB_COMPOSITE")</f>
        <v>#N/A Requesting Data...</v>
      </c>
      <c r="T509" t="str">
        <f>_xll.BDP("804243YC Muni","LQA_LIQUIDITY_SCORE")</f>
        <v>#N/A Requesting Data...</v>
      </c>
    </row>
    <row r="510" spans="1:20" x14ac:dyDescent="0.25">
      <c r="A510" t="str">
        <f>_xll.BDP("69750RGC Muni","ID_CUSIP")</f>
        <v>#N/A Requesting Data...</v>
      </c>
      <c r="B510" t="s">
        <v>228</v>
      </c>
      <c r="C510" t="str">
        <f>_xll.BDP("69750RGC Muni","INSURANCE_STATUS")</f>
        <v>#N/A Requesting Data...</v>
      </c>
      <c r="D510" t="str">
        <f>_xll.BDP("69750RGC Muni","STATE_CODE")</f>
        <v>#N/A Requesting Data...</v>
      </c>
      <c r="E510" t="str">
        <f>_xll.BDP("69750RGC Muni","COUNTY_LOCATION_ISSUER")</f>
        <v>#N/A Requesting Data...</v>
      </c>
      <c r="F510" t="str">
        <f>_xll.BDP("69750RGC Muni","DUR_ADJ_MID")</f>
        <v>#N/A Requesting Data...</v>
      </c>
      <c r="G510" t="str">
        <f>_xll.BDP("69750RGC Muni","SPREAD_AT_ISSUANCE_TO_WORST")</f>
        <v>#N/A Requesting Data...</v>
      </c>
      <c r="H510" t="str">
        <f>_xll.BDP("69750RGC Muni","ISSUE_DT")</f>
        <v>#N/A Requesting Data...</v>
      </c>
      <c r="I510" t="str">
        <f>_xll.BDS("69750RGC Muni","MUNI_PURPOSE_SCHED", "aggregate=y")</f>
        <v>#N/A Review</v>
      </c>
      <c r="J510" t="str">
        <f>_xll.BDP("69750RGC Muni","CPN")</f>
        <v>#N/A Requesting Data...</v>
      </c>
      <c r="K510" t="str">
        <f>_xll.BDP("69750RGC Muni","MATURITY")</f>
        <v>#N/A Requesting Data...</v>
      </c>
      <c r="L510">
        <v>190000</v>
      </c>
      <c r="M510" t="str">
        <f>_xll.BDP("69750RGC Muni","YIELD_ON_ISSUE_DATE")</f>
        <v>#N/A Requesting Data...</v>
      </c>
      <c r="N510" t="str">
        <f>_xll.BDP("69750RGC Muni","YTW_SPREAD_TO_MATURITY_AT_ISSU")</f>
        <v>#N/A Requesting Data...</v>
      </c>
      <c r="O510" t="str">
        <f>_xll.BDP("69750RGC Muni","BVAL_MID_YTM")</f>
        <v>#N/A Requesting Data...</v>
      </c>
      <c r="P510" t="str">
        <f>_xll.BDP("69750RGC Muni","MUNI_TAX_PROV")</f>
        <v>#N/A Requesting Data...</v>
      </c>
      <c r="Q510" t="str">
        <f>_xll.BDP("69750RGC Muni","MUNI_FED_TAX")</f>
        <v>#N/A Requesting Data...</v>
      </c>
      <c r="R510" t="str">
        <f>_xll.BDP("69750RGC Muni","MUNI_MSRB_VOLUME")</f>
        <v>#N/A Requesting Data...</v>
      </c>
      <c r="S510" t="str">
        <f>_xll.BDP("69750RGC Muni","BB_COMPOSITE")</f>
        <v>#N/A Requesting Data...</v>
      </c>
      <c r="T510" t="str">
        <f>_xll.BDP("69750RGC Muni","LQA_LIQUIDITY_SCORE")</f>
        <v>#N/A Requesting Data...</v>
      </c>
    </row>
    <row r="511" spans="1:20" x14ac:dyDescent="0.25">
      <c r="A511" t="str">
        <f>_xll.BDP("804387NS Muni","ID_CUSIP")</f>
        <v>#N/A Requesting Data...</v>
      </c>
      <c r="B511" t="s">
        <v>229</v>
      </c>
      <c r="C511" t="str">
        <f>_xll.BDP("804387NS Muni","INSURANCE_STATUS")</f>
        <v>#N/A Requesting Data...</v>
      </c>
      <c r="D511" t="str">
        <f>_xll.BDP("804387NS Muni","STATE_CODE")</f>
        <v>#N/A Requesting Data...</v>
      </c>
      <c r="E511" t="str">
        <f>_xll.BDP("804387NS Muni","COUNTY_LOCATION_ISSUER")</f>
        <v>#N/A Requesting Data...</v>
      </c>
      <c r="F511" t="str">
        <f>_xll.BDP("804387NS Muni","DUR_ADJ_MID")</f>
        <v>#N/A Requesting Data...</v>
      </c>
      <c r="G511" t="str">
        <f>_xll.BDP("804387NS Muni","SPREAD_AT_ISSUANCE_TO_WORST")</f>
        <v>#N/A Requesting Data...</v>
      </c>
      <c r="H511" t="str">
        <f>_xll.BDP("804387NS Muni","ISSUE_DT")</f>
        <v>#N/A Requesting Data...</v>
      </c>
      <c r="I511" t="str">
        <f>_xll.BDS("804387NS Muni","MUNI_PURPOSE_SCHED", "aggregate=y")</f>
        <v>#N/A Review</v>
      </c>
      <c r="J511" t="str">
        <f>_xll.BDP("804387NS Muni","CPN")</f>
        <v>#N/A Requesting Data...</v>
      </c>
      <c r="K511" t="str">
        <f>_xll.BDP("804387NS Muni","MATURITY")</f>
        <v>#N/A Requesting Data...</v>
      </c>
      <c r="L511">
        <v>455000</v>
      </c>
      <c r="M511" t="str">
        <f>_xll.BDP("804387NS Muni","YIELD_ON_ISSUE_DATE")</f>
        <v>#N/A Requesting Data...</v>
      </c>
      <c r="N511" t="str">
        <f>_xll.BDP("804387NS Muni","YTW_SPREAD_TO_MATURITY_AT_ISSU")</f>
        <v>#N/A Requesting Data...</v>
      </c>
      <c r="O511" t="str">
        <f>_xll.BDP("804387NS Muni","BVAL_MID_YTM")</f>
        <v>#N/A Requesting Data...</v>
      </c>
      <c r="P511" t="str">
        <f>_xll.BDP("804387NS Muni","MUNI_TAX_PROV")</f>
        <v>#N/A Requesting Data...</v>
      </c>
      <c r="Q511" t="str">
        <f>_xll.BDP("804387NS Muni","MUNI_FED_TAX")</f>
        <v>#N/A Requesting Data...</v>
      </c>
      <c r="R511" t="str">
        <f>_xll.BDP("804387NS Muni","MUNI_MSRB_VOLUME")</f>
        <v>#N/A Requesting Data...</v>
      </c>
      <c r="S511" t="str">
        <f>_xll.BDP("804387NS Muni","BB_COMPOSITE")</f>
        <v>#N/A Requesting Data...</v>
      </c>
      <c r="T511" t="str">
        <f>_xll.BDP("804387NS Muni","LQA_LIQUIDITY_SCORE")</f>
        <v>#N/A Requesting Data...</v>
      </c>
    </row>
    <row r="512" spans="1:20" x14ac:dyDescent="0.25">
      <c r="A512" t="str">
        <f>_xll.BDP("805788UY Muni","ID_CUSIP")</f>
        <v>#N/A Requesting Data...</v>
      </c>
      <c r="B512" t="s">
        <v>230</v>
      </c>
      <c r="C512" t="str">
        <f>_xll.BDP("805788UY Muni","INSURANCE_STATUS")</f>
        <v>#N/A Requesting Data...</v>
      </c>
      <c r="D512" t="str">
        <f>_xll.BDP("805788UY Muni","STATE_CODE")</f>
        <v>#N/A Requesting Data...</v>
      </c>
      <c r="E512" t="str">
        <f>_xll.BDP("805788UY Muni","COUNTY_LOCATION_ISSUER")</f>
        <v>#N/A Requesting Data...</v>
      </c>
      <c r="F512" t="str">
        <f>_xll.BDP("805788UY Muni","DUR_ADJ_MID")</f>
        <v>#N/A Requesting Data...</v>
      </c>
      <c r="G512" t="str">
        <f>_xll.BDP("805788UY Muni","SPREAD_AT_ISSUANCE_TO_WORST")</f>
        <v>#N/A Requesting Data...</v>
      </c>
      <c r="H512" t="str">
        <f>_xll.BDP("805788UY Muni","ISSUE_DT")</f>
        <v>#N/A Requesting Data...</v>
      </c>
      <c r="I512" t="str">
        <f>_xll.BDS("805788UY Muni","MUNI_PURPOSE_SCHED", "aggregate=y")</f>
        <v>#N/A Review</v>
      </c>
      <c r="J512" t="str">
        <f>_xll.BDP("805788UY Muni","CPN")</f>
        <v>#N/A Requesting Data...</v>
      </c>
      <c r="K512" t="str">
        <f>_xll.BDP("805788UY Muni","MATURITY")</f>
        <v>#N/A Requesting Data...</v>
      </c>
      <c r="L512">
        <v>750000</v>
      </c>
      <c r="M512" t="str">
        <f>_xll.BDP("805788UY Muni","YIELD_ON_ISSUE_DATE")</f>
        <v>#N/A Requesting Data...</v>
      </c>
      <c r="N512" t="str">
        <f>_xll.BDP("805788UY Muni","YTW_SPREAD_TO_MATURITY_AT_ISSU")</f>
        <v>#N/A Requesting Data...</v>
      </c>
      <c r="O512" t="str">
        <f>_xll.BDP("805788UY Muni","BVAL_MID_YTM")</f>
        <v>#N/A Requesting Data...</v>
      </c>
      <c r="P512" t="str">
        <f>_xll.BDP("805788UY Muni","MUNI_TAX_PROV")</f>
        <v>#N/A Requesting Data...</v>
      </c>
      <c r="Q512" t="str">
        <f>_xll.BDP("805788UY Muni","MUNI_FED_TAX")</f>
        <v>#N/A Requesting Data...</v>
      </c>
      <c r="R512" t="str">
        <f>_xll.BDP("805788UY Muni","MUNI_MSRB_VOLUME")</f>
        <v>#N/A Requesting Data...</v>
      </c>
      <c r="S512" t="str">
        <f>_xll.BDP("805788UY Muni","BB_COMPOSITE")</f>
        <v>#N/A Requesting Data...</v>
      </c>
      <c r="T512" t="str">
        <f>_xll.BDP("805788UY Muni","LQA_LIQUIDITY_SCORE")</f>
        <v>#N/A Requesting Data...</v>
      </c>
    </row>
    <row r="513" spans="1:20" x14ac:dyDescent="0.25">
      <c r="A513" t="str">
        <f>_xll.BDP("805788VA Muni","ID_CUSIP")</f>
        <v>#N/A Requesting Data...</v>
      </c>
      <c r="B513" t="s">
        <v>230</v>
      </c>
      <c r="C513" t="str">
        <f>_xll.BDP("805788VA Muni","INSURANCE_STATUS")</f>
        <v>#N/A Requesting Data...</v>
      </c>
      <c r="D513" t="str">
        <f>_xll.BDP("805788VA Muni","STATE_CODE")</f>
        <v>#N/A Requesting Data...</v>
      </c>
      <c r="E513" t="str">
        <f>_xll.BDP("805788VA Muni","COUNTY_LOCATION_ISSUER")</f>
        <v>#N/A Requesting Data...</v>
      </c>
      <c r="F513" t="str">
        <f>_xll.BDP("805788VA Muni","DUR_ADJ_MID")</f>
        <v>#N/A Requesting Data...</v>
      </c>
      <c r="G513" t="str">
        <f>_xll.BDP("805788VA Muni","SPREAD_AT_ISSUANCE_TO_WORST")</f>
        <v>#N/A Requesting Data...</v>
      </c>
      <c r="H513" t="str">
        <f>_xll.BDP("805788VA Muni","ISSUE_DT")</f>
        <v>#N/A Requesting Data...</v>
      </c>
      <c r="I513" t="str">
        <f>_xll.BDS("805788VA Muni","MUNI_PURPOSE_SCHED", "aggregate=y")</f>
        <v>#N/A Review</v>
      </c>
      <c r="J513" t="str">
        <f>_xll.BDP("805788VA Muni","CPN")</f>
        <v>#N/A Requesting Data...</v>
      </c>
      <c r="K513" t="str">
        <f>_xll.BDP("805788VA Muni","MATURITY")</f>
        <v>#N/A Requesting Data...</v>
      </c>
      <c r="L513">
        <v>750000</v>
      </c>
      <c r="M513" t="str">
        <f>_xll.BDP("805788VA Muni","YIELD_ON_ISSUE_DATE")</f>
        <v>#N/A Requesting Data...</v>
      </c>
      <c r="N513" t="str">
        <f>_xll.BDP("805788VA Muni","YTW_SPREAD_TO_MATURITY_AT_ISSU")</f>
        <v>#N/A Requesting Data...</v>
      </c>
      <c r="O513" t="str">
        <f>_xll.BDP("805788VA Muni","BVAL_MID_YTM")</f>
        <v>#N/A Requesting Data...</v>
      </c>
      <c r="P513" t="str">
        <f>_xll.BDP("805788VA Muni","MUNI_TAX_PROV")</f>
        <v>#N/A Requesting Data...</v>
      </c>
      <c r="Q513" t="str">
        <f>_xll.BDP("805788VA Muni","MUNI_FED_TAX")</f>
        <v>#N/A Requesting Data...</v>
      </c>
      <c r="R513" t="str">
        <f>_xll.BDP("805788VA Muni","MUNI_MSRB_VOLUME")</f>
        <v>#N/A Requesting Data...</v>
      </c>
      <c r="S513" t="str">
        <f>_xll.BDP("805788VA Muni","BB_COMPOSITE")</f>
        <v>#N/A Requesting Data...</v>
      </c>
      <c r="T513" t="str">
        <f>_xll.BDP("805788VA Muni","LQA_LIQUIDITY_SCORE")</f>
        <v>#N/A Requesting Data...</v>
      </c>
    </row>
    <row r="514" spans="1:20" x14ac:dyDescent="0.25">
      <c r="A514" t="str">
        <f>_xll.BDP("805788VC Muni","ID_CUSIP")</f>
        <v>#N/A Requesting Data...</v>
      </c>
      <c r="B514" t="s">
        <v>230</v>
      </c>
      <c r="C514" t="str">
        <f>_xll.BDP("805788VC Muni","INSURANCE_STATUS")</f>
        <v>#N/A Requesting Data...</v>
      </c>
      <c r="D514" t="str">
        <f>_xll.BDP("805788VC Muni","STATE_CODE")</f>
        <v>#N/A Requesting Data...</v>
      </c>
      <c r="E514" t="str">
        <f>_xll.BDP("805788VC Muni","COUNTY_LOCATION_ISSUER")</f>
        <v>#N/A Requesting Data...</v>
      </c>
      <c r="F514" t="str">
        <f>_xll.BDP("805788VC Muni","DUR_ADJ_MID")</f>
        <v>#N/A Requesting Data...</v>
      </c>
      <c r="G514" t="str">
        <f>_xll.BDP("805788VC Muni","SPREAD_AT_ISSUANCE_TO_WORST")</f>
        <v>#N/A Requesting Data...</v>
      </c>
      <c r="H514" t="str">
        <f>_xll.BDP("805788VC Muni","ISSUE_DT")</f>
        <v>#N/A Requesting Data...</v>
      </c>
      <c r="I514" t="str">
        <f>_xll.BDS("805788VC Muni","MUNI_PURPOSE_SCHED", "aggregate=y")</f>
        <v>#N/A Review</v>
      </c>
      <c r="J514" t="str">
        <f>_xll.BDP("805788VC Muni","CPN")</f>
        <v>#N/A Requesting Data...</v>
      </c>
      <c r="K514" t="str">
        <f>_xll.BDP("805788VC Muni","MATURITY")</f>
        <v>#N/A Requesting Data...</v>
      </c>
      <c r="L514">
        <v>725000</v>
      </c>
      <c r="M514" t="str">
        <f>_xll.BDP("805788VC Muni","YIELD_ON_ISSUE_DATE")</f>
        <v>#N/A Requesting Data...</v>
      </c>
      <c r="N514" t="str">
        <f>_xll.BDP("805788VC Muni","YTW_SPREAD_TO_MATURITY_AT_ISSU")</f>
        <v>#N/A Requesting Data...</v>
      </c>
      <c r="O514" t="str">
        <f>_xll.BDP("805788VC Muni","BVAL_MID_YTM")</f>
        <v>#N/A Requesting Data...</v>
      </c>
      <c r="P514" t="str">
        <f>_xll.BDP("805788VC Muni","MUNI_TAX_PROV")</f>
        <v>#N/A Requesting Data...</v>
      </c>
      <c r="Q514" t="str">
        <f>_xll.BDP("805788VC Muni","MUNI_FED_TAX")</f>
        <v>#N/A Requesting Data...</v>
      </c>
      <c r="R514" t="str">
        <f>_xll.BDP("805788VC Muni","MUNI_MSRB_VOLUME")</f>
        <v>#N/A Requesting Data...</v>
      </c>
      <c r="S514" t="str">
        <f>_xll.BDP("805788VC Muni","BB_COMPOSITE")</f>
        <v>#N/A Requesting Data...</v>
      </c>
      <c r="T514" t="str">
        <f>_xll.BDP("805788VC Muni","LQA_LIQUIDITY_SCORE")</f>
        <v>#N/A Requesting Data...</v>
      </c>
    </row>
    <row r="515" spans="1:20" x14ac:dyDescent="0.25">
      <c r="A515" t="str">
        <f>_xll.BDP("699891NJ Muni","ID_CUSIP")</f>
        <v>#N/A Requesting Data...</v>
      </c>
      <c r="B515" t="s">
        <v>231</v>
      </c>
      <c r="C515" t="str">
        <f>_xll.BDP("699891NJ Muni","INSURANCE_STATUS")</f>
        <v>#N/A Requesting Data...</v>
      </c>
      <c r="D515" t="str">
        <f>_xll.BDP("699891NJ Muni","STATE_CODE")</f>
        <v>#N/A Requesting Data...</v>
      </c>
      <c r="E515" t="str">
        <f>_xll.BDP("699891NJ Muni","COUNTY_LOCATION_ISSUER")</f>
        <v>#N/A Requesting Data...</v>
      </c>
      <c r="F515" t="str">
        <f>_xll.BDP("699891NJ Muni","DUR_ADJ_MID")</f>
        <v>#N/A Requesting Data...</v>
      </c>
      <c r="G515" t="str">
        <f>_xll.BDP("699891NJ Muni","SPREAD_AT_ISSUANCE_TO_WORST")</f>
        <v>#N/A Requesting Data...</v>
      </c>
      <c r="H515" t="str">
        <f>_xll.BDP("699891NJ Muni","ISSUE_DT")</f>
        <v>#N/A Requesting Data...</v>
      </c>
      <c r="I515" t="str">
        <f>_xll.BDS("699891NJ Muni","MUNI_PURPOSE_SCHED", "aggregate=y")</f>
        <v>#N/A Review</v>
      </c>
      <c r="J515" t="str">
        <f>_xll.BDP("699891NJ Muni","CPN")</f>
        <v>#N/A Requesting Data...</v>
      </c>
      <c r="K515" t="str">
        <f>_xll.BDP("699891NJ Muni","MATURITY")</f>
        <v>#N/A Requesting Data...</v>
      </c>
      <c r="L515">
        <v>365000</v>
      </c>
      <c r="M515" t="str">
        <f>_xll.BDP("699891NJ Muni","YIELD_ON_ISSUE_DATE")</f>
        <v>#N/A Requesting Data...</v>
      </c>
      <c r="N515" t="str">
        <f>_xll.BDP("699891NJ Muni","YTW_SPREAD_TO_MATURITY_AT_ISSU")</f>
        <v>#N/A Requesting Data...</v>
      </c>
      <c r="O515" t="str">
        <f>_xll.BDP("699891NJ Muni","BVAL_MID_YTM")</f>
        <v>#N/A Requesting Data...</v>
      </c>
      <c r="P515" t="str">
        <f>_xll.BDP("699891NJ Muni","MUNI_TAX_PROV")</f>
        <v>#N/A Requesting Data...</v>
      </c>
      <c r="Q515" t="str">
        <f>_xll.BDP("699891NJ Muni","MUNI_FED_TAX")</f>
        <v>#N/A Requesting Data...</v>
      </c>
      <c r="R515" t="str">
        <f>_xll.BDP("699891NJ Muni","MUNI_MSRB_VOLUME")</f>
        <v>#N/A Requesting Data...</v>
      </c>
      <c r="S515" t="str">
        <f>_xll.BDP("699891NJ Muni","BB_COMPOSITE")</f>
        <v>#N/A Requesting Data...</v>
      </c>
      <c r="T515" t="str">
        <f>_xll.BDP("699891NJ Muni","LQA_LIQUIDITY_SCORE")</f>
        <v>#N/A Requesting Data...</v>
      </c>
    </row>
    <row r="516" spans="1:20" x14ac:dyDescent="0.25">
      <c r="A516" t="str">
        <f>_xll.BDP("699891NL Muni","ID_CUSIP")</f>
        <v>#N/A Requesting Data...</v>
      </c>
      <c r="B516" t="s">
        <v>231</v>
      </c>
      <c r="C516" t="str">
        <f>_xll.BDP("699891NL Muni","INSURANCE_STATUS")</f>
        <v>#N/A Requesting Data...</v>
      </c>
      <c r="D516" t="str">
        <f>_xll.BDP("699891NL Muni","STATE_CODE")</f>
        <v>#N/A Requesting Data...</v>
      </c>
      <c r="E516" t="str">
        <f>_xll.BDP("699891NL Muni","COUNTY_LOCATION_ISSUER")</f>
        <v>#N/A Requesting Data...</v>
      </c>
      <c r="F516" t="str">
        <f>_xll.BDP("699891NL Muni","DUR_ADJ_MID")</f>
        <v>#N/A Requesting Data...</v>
      </c>
      <c r="G516" t="str">
        <f>_xll.BDP("699891NL Muni","SPREAD_AT_ISSUANCE_TO_WORST")</f>
        <v>#N/A Requesting Data...</v>
      </c>
      <c r="H516" t="str">
        <f>_xll.BDP("699891NL Muni","ISSUE_DT")</f>
        <v>#N/A Requesting Data...</v>
      </c>
      <c r="I516" t="str">
        <f>_xll.BDS("699891NL Muni","MUNI_PURPOSE_SCHED", "aggregate=y")</f>
        <v>#N/A Review</v>
      </c>
      <c r="J516" t="str">
        <f>_xll.BDP("699891NL Muni","CPN")</f>
        <v>#N/A Requesting Data...</v>
      </c>
      <c r="K516" t="str">
        <f>_xll.BDP("699891NL Muni","MATURITY")</f>
        <v>#N/A Requesting Data...</v>
      </c>
      <c r="L516">
        <v>385000</v>
      </c>
      <c r="M516" t="str">
        <f>_xll.BDP("699891NL Muni","YIELD_ON_ISSUE_DATE")</f>
        <v>#N/A Requesting Data...</v>
      </c>
      <c r="N516" t="str">
        <f>_xll.BDP("699891NL Muni","YTW_SPREAD_TO_MATURITY_AT_ISSU")</f>
        <v>#N/A Requesting Data...</v>
      </c>
      <c r="O516" t="str">
        <f>_xll.BDP("699891NL Muni","BVAL_MID_YTM")</f>
        <v>#N/A Requesting Data...</v>
      </c>
      <c r="P516" t="str">
        <f>_xll.BDP("699891NL Muni","MUNI_TAX_PROV")</f>
        <v>#N/A Requesting Data...</v>
      </c>
      <c r="Q516" t="str">
        <f>_xll.BDP("699891NL Muni","MUNI_FED_TAX")</f>
        <v>#N/A Requesting Data...</v>
      </c>
      <c r="R516" t="str">
        <f>_xll.BDP("699891NL Muni","MUNI_MSRB_VOLUME")</f>
        <v>#N/A Requesting Data...</v>
      </c>
      <c r="S516" t="str">
        <f>_xll.BDP("699891NL Muni","BB_COMPOSITE")</f>
        <v>#N/A Requesting Data...</v>
      </c>
      <c r="T516" t="str">
        <f>_xll.BDP("699891NL Muni","LQA_LIQUIDITY_SCORE")</f>
        <v>#N/A Requesting Data...</v>
      </c>
    </row>
    <row r="517" spans="1:20" x14ac:dyDescent="0.25">
      <c r="A517" t="str">
        <f>_xll.BDP("806075B6 Muni","ID_CUSIP")</f>
        <v>#N/A Requesting Data...</v>
      </c>
      <c r="B517" t="s">
        <v>232</v>
      </c>
      <c r="C517" t="str">
        <f>_xll.BDP("806075B6 Muni","INSURANCE_STATUS")</f>
        <v>#N/A Requesting Data...</v>
      </c>
      <c r="D517" t="str">
        <f>_xll.BDP("806075B6 Muni","STATE_CODE")</f>
        <v>#N/A Requesting Data...</v>
      </c>
      <c r="E517" t="str">
        <f>_xll.BDP("806075B6 Muni","COUNTY_LOCATION_ISSUER")</f>
        <v>#N/A Requesting Data...</v>
      </c>
      <c r="F517" t="str">
        <f>_xll.BDP("806075B6 Muni","DUR_ADJ_MID")</f>
        <v>#N/A Requesting Data...</v>
      </c>
      <c r="G517" t="str">
        <f>_xll.BDP("806075B6 Muni","SPREAD_AT_ISSUANCE_TO_WORST")</f>
        <v>#N/A Requesting Data...</v>
      </c>
      <c r="H517" t="str">
        <f>_xll.BDP("806075B6 Muni","ISSUE_DT")</f>
        <v>#N/A Requesting Data...</v>
      </c>
      <c r="I517" t="str">
        <f>_xll.BDS("806075B6 Muni","MUNI_PURPOSE_SCHED", "aggregate=y")</f>
        <v>#N/A Review</v>
      </c>
      <c r="J517" t="str">
        <f>_xll.BDP("806075B6 Muni","CPN")</f>
        <v>#N/A Requesting Data...</v>
      </c>
      <c r="K517" t="str">
        <f>_xll.BDP("806075B6 Muni","MATURITY")</f>
        <v>#N/A Requesting Data...</v>
      </c>
      <c r="L517">
        <v>430000</v>
      </c>
      <c r="M517" t="str">
        <f>_xll.BDP("806075B6 Muni","YIELD_ON_ISSUE_DATE")</f>
        <v>#N/A Requesting Data...</v>
      </c>
      <c r="N517" t="str">
        <f>_xll.BDP("806075B6 Muni","YTW_SPREAD_TO_MATURITY_AT_ISSU")</f>
        <v>#N/A Requesting Data...</v>
      </c>
      <c r="O517" t="str">
        <f>_xll.BDP("806075B6 Muni","BVAL_MID_YTM")</f>
        <v>#N/A Requesting Data...</v>
      </c>
      <c r="P517" t="str">
        <f>_xll.BDP("806075B6 Muni","MUNI_TAX_PROV")</f>
        <v>#N/A Requesting Data...</v>
      </c>
      <c r="Q517" t="str">
        <f>_xll.BDP("806075B6 Muni","MUNI_FED_TAX")</f>
        <v>#N/A Requesting Data...</v>
      </c>
      <c r="R517" t="str">
        <f>_xll.BDP("806075B6 Muni","MUNI_MSRB_VOLUME")</f>
        <v>#N/A Requesting Data...</v>
      </c>
      <c r="S517" t="str">
        <f>_xll.BDP("806075B6 Muni","BB_COMPOSITE")</f>
        <v>#N/A Requesting Data...</v>
      </c>
      <c r="T517" t="str">
        <f>_xll.BDP("806075B6 Muni","LQA_LIQUIDITY_SCORE")</f>
        <v>#N/A Requesting Data...</v>
      </c>
    </row>
    <row r="518" spans="1:20" x14ac:dyDescent="0.25">
      <c r="A518" t="str">
        <f>_xll.BDP("806075B8 Muni","ID_CUSIP")</f>
        <v>#N/A Requesting Data...</v>
      </c>
      <c r="B518" t="s">
        <v>232</v>
      </c>
      <c r="C518" t="str">
        <f>_xll.BDP("806075B8 Muni","INSURANCE_STATUS")</f>
        <v>#N/A Requesting Data...</v>
      </c>
      <c r="D518" t="str">
        <f>_xll.BDP("806075B8 Muni","STATE_CODE")</f>
        <v>#N/A Requesting Data...</v>
      </c>
      <c r="E518" t="str">
        <f>_xll.BDP("806075B8 Muni","COUNTY_LOCATION_ISSUER")</f>
        <v>#N/A Requesting Data...</v>
      </c>
      <c r="F518" t="str">
        <f>_xll.BDP("806075B8 Muni","DUR_ADJ_MID")</f>
        <v>#N/A Requesting Data...</v>
      </c>
      <c r="G518" t="str">
        <f>_xll.BDP("806075B8 Muni","SPREAD_AT_ISSUANCE_TO_WORST")</f>
        <v>#N/A Requesting Data...</v>
      </c>
      <c r="H518" t="str">
        <f>_xll.BDP("806075B8 Muni","ISSUE_DT")</f>
        <v>#N/A Requesting Data...</v>
      </c>
      <c r="I518" t="str">
        <f>_xll.BDS("806075B8 Muni","MUNI_PURPOSE_SCHED", "aggregate=y")</f>
        <v>#N/A Review</v>
      </c>
      <c r="J518" t="str">
        <f>_xll.BDP("806075B8 Muni","CPN")</f>
        <v>#N/A Requesting Data...</v>
      </c>
      <c r="K518" t="str">
        <f>_xll.BDP("806075B8 Muni","MATURITY")</f>
        <v>#N/A Requesting Data...</v>
      </c>
      <c r="L518">
        <v>395000</v>
      </c>
      <c r="M518" t="str">
        <f>_xll.BDP("806075B8 Muni","YIELD_ON_ISSUE_DATE")</f>
        <v>#N/A Requesting Data...</v>
      </c>
      <c r="N518" t="str">
        <f>_xll.BDP("806075B8 Muni","YTW_SPREAD_TO_MATURITY_AT_ISSU")</f>
        <v>#N/A Requesting Data...</v>
      </c>
      <c r="O518" t="str">
        <f>_xll.BDP("806075B8 Muni","BVAL_MID_YTM")</f>
        <v>#N/A Requesting Data...</v>
      </c>
      <c r="P518" t="str">
        <f>_xll.BDP("806075B8 Muni","MUNI_TAX_PROV")</f>
        <v>#N/A Requesting Data...</v>
      </c>
      <c r="Q518" t="str">
        <f>_xll.BDP("806075B8 Muni","MUNI_FED_TAX")</f>
        <v>#N/A Requesting Data...</v>
      </c>
      <c r="R518" t="str">
        <f>_xll.BDP("806075B8 Muni","MUNI_MSRB_VOLUME")</f>
        <v>#N/A Requesting Data...</v>
      </c>
      <c r="S518" t="str">
        <f>_xll.BDP("806075B8 Muni","BB_COMPOSITE")</f>
        <v>#N/A Requesting Data...</v>
      </c>
      <c r="T518" t="str">
        <f>_xll.BDP("806075B8 Muni","LQA_LIQUIDITY_SCORE")</f>
        <v>#N/A Requesting Data...</v>
      </c>
    </row>
    <row r="519" spans="1:20" x14ac:dyDescent="0.25">
      <c r="A519" t="str">
        <f>_xll.BDP("806347MK Muni","ID_CUSIP")</f>
        <v>#N/A Requesting Data...</v>
      </c>
      <c r="B519" t="s">
        <v>233</v>
      </c>
      <c r="C519" t="str">
        <f>_xll.BDP("806347MK Muni","INSURANCE_STATUS")</f>
        <v>#N/A Requesting Data...</v>
      </c>
      <c r="D519" t="str">
        <f>_xll.BDP("806347MK Muni","STATE_CODE")</f>
        <v>#N/A Requesting Data...</v>
      </c>
      <c r="E519" t="str">
        <f>_xll.BDP("806347MK Muni","COUNTY_LOCATION_ISSUER")</f>
        <v>#N/A Requesting Data...</v>
      </c>
      <c r="F519" t="str">
        <f>_xll.BDP("806347MK Muni","DUR_ADJ_MID")</f>
        <v>#N/A Requesting Data...</v>
      </c>
      <c r="G519" t="str">
        <f>_xll.BDP("806347MK Muni","SPREAD_AT_ISSUANCE_TO_WORST")</f>
        <v>#N/A Requesting Data...</v>
      </c>
      <c r="H519" t="str">
        <f>_xll.BDP("806347MK Muni","ISSUE_DT")</f>
        <v>#N/A Requesting Data...</v>
      </c>
      <c r="I519" t="str">
        <f>_xll.BDS("806347MK Muni","MUNI_PURPOSE_SCHED", "aggregate=y")</f>
        <v>#N/A Review</v>
      </c>
      <c r="J519" t="str">
        <f>_xll.BDP("806347MK Muni","CPN")</f>
        <v>#N/A Requesting Data...</v>
      </c>
      <c r="K519" t="str">
        <f>_xll.BDP("806347MK Muni","MATURITY")</f>
        <v>#N/A Requesting Data...</v>
      </c>
      <c r="L519">
        <v>2400000</v>
      </c>
      <c r="M519" t="str">
        <f>_xll.BDP("806347MK Muni","YIELD_ON_ISSUE_DATE")</f>
        <v>#N/A Requesting Data...</v>
      </c>
      <c r="N519" t="str">
        <f>_xll.BDP("806347MK Muni","YTW_SPREAD_TO_MATURITY_AT_ISSU")</f>
        <v>#N/A Requesting Data...</v>
      </c>
      <c r="O519" t="str">
        <f>_xll.BDP("806347MK Muni","BVAL_MID_YTM")</f>
        <v>#N/A Requesting Data...</v>
      </c>
      <c r="P519" t="str">
        <f>_xll.BDP("806347MK Muni","MUNI_TAX_PROV")</f>
        <v>#N/A Requesting Data...</v>
      </c>
      <c r="Q519" t="str">
        <f>_xll.BDP("806347MK Muni","MUNI_FED_TAX")</f>
        <v>#N/A Requesting Data...</v>
      </c>
      <c r="R519" t="str">
        <f>_xll.BDP("806347MK Muni","MUNI_MSRB_VOLUME")</f>
        <v>#N/A Requesting Data...</v>
      </c>
      <c r="S519" t="str">
        <f>_xll.BDP("806347MK Muni","BB_COMPOSITE")</f>
        <v>#N/A Requesting Data...</v>
      </c>
      <c r="T519" t="str">
        <f>_xll.BDP("806347MK Muni","LQA_LIQUIDITY_SCORE")</f>
        <v>#N/A Requesting Data...</v>
      </c>
    </row>
    <row r="520" spans="1:20" x14ac:dyDescent="0.25">
      <c r="A520" t="str">
        <f>_xll.BDP("806347MM Muni","ID_CUSIP")</f>
        <v>#N/A Requesting Data...</v>
      </c>
      <c r="B520" t="s">
        <v>233</v>
      </c>
      <c r="C520" t="str">
        <f>_xll.BDP("806347MM Muni","INSURANCE_STATUS")</f>
        <v>#N/A Requesting Data...</v>
      </c>
      <c r="D520" t="str">
        <f>_xll.BDP("806347MM Muni","STATE_CODE")</f>
        <v>#N/A Requesting Data...</v>
      </c>
      <c r="E520" t="str">
        <f>_xll.BDP("806347MM Muni","COUNTY_LOCATION_ISSUER")</f>
        <v>#N/A Requesting Data...</v>
      </c>
      <c r="F520" t="str">
        <f>_xll.BDP("806347MM Muni","DUR_ADJ_MID")</f>
        <v>#N/A Requesting Data...</v>
      </c>
      <c r="G520" t="str">
        <f>_xll.BDP("806347MM Muni","SPREAD_AT_ISSUANCE_TO_WORST")</f>
        <v>#N/A Requesting Data...</v>
      </c>
      <c r="H520" t="str">
        <f>_xll.BDP("806347MM Muni","ISSUE_DT")</f>
        <v>#N/A Requesting Data...</v>
      </c>
      <c r="I520" t="str">
        <f>_xll.BDS("806347MM Muni","MUNI_PURPOSE_SCHED", "aggregate=y")</f>
        <v>#N/A Review</v>
      </c>
      <c r="J520" t="str">
        <f>_xll.BDP("806347MM Muni","CPN")</f>
        <v>#N/A Requesting Data...</v>
      </c>
      <c r="K520" t="str">
        <f>_xll.BDP("806347MM Muni","MATURITY")</f>
        <v>#N/A Requesting Data...</v>
      </c>
      <c r="L520">
        <v>2625000</v>
      </c>
      <c r="M520" t="str">
        <f>_xll.BDP("806347MM Muni","YIELD_ON_ISSUE_DATE")</f>
        <v>#N/A Requesting Data...</v>
      </c>
      <c r="N520" t="str">
        <f>_xll.BDP("806347MM Muni","YTW_SPREAD_TO_MATURITY_AT_ISSU")</f>
        <v>#N/A Requesting Data...</v>
      </c>
      <c r="O520" t="str">
        <f>_xll.BDP("806347MM Muni","BVAL_MID_YTM")</f>
        <v>#N/A Requesting Data...</v>
      </c>
      <c r="P520" t="str">
        <f>_xll.BDP("806347MM Muni","MUNI_TAX_PROV")</f>
        <v>#N/A Requesting Data...</v>
      </c>
      <c r="Q520" t="str">
        <f>_xll.BDP("806347MM Muni","MUNI_FED_TAX")</f>
        <v>#N/A Requesting Data...</v>
      </c>
      <c r="R520" t="str">
        <f>_xll.BDP("806347MM Muni","MUNI_MSRB_VOLUME")</f>
        <v>#N/A Requesting Data...</v>
      </c>
      <c r="S520" t="str">
        <f>_xll.BDP("806347MM Muni","BB_COMPOSITE")</f>
        <v>#N/A Requesting Data...</v>
      </c>
      <c r="T520" t="str">
        <f>_xll.BDP("806347MM Muni","LQA_LIQUIDITY_SCORE")</f>
        <v>#N/A Requesting Data...</v>
      </c>
    </row>
    <row r="521" spans="1:20" x14ac:dyDescent="0.25">
      <c r="A521" t="str">
        <f>_xll.BDP("811403UC Muni","ID_CUSIP")</f>
        <v>#N/A Requesting Data...</v>
      </c>
      <c r="B521" t="s">
        <v>234</v>
      </c>
      <c r="C521" t="str">
        <f>_xll.BDP("811403UC Muni","INSURANCE_STATUS")</f>
        <v>#N/A Requesting Data...</v>
      </c>
      <c r="D521" t="str">
        <f>_xll.BDP("811403UC Muni","STATE_CODE")</f>
        <v>#N/A Requesting Data...</v>
      </c>
      <c r="E521" t="str">
        <f>_xll.BDP("811403UC Muni","COUNTY_LOCATION_ISSUER")</f>
        <v>#N/A Requesting Data...</v>
      </c>
      <c r="F521" t="str">
        <f>_xll.BDP("811403UC Muni","DUR_ADJ_MID")</f>
        <v>#N/A Requesting Data...</v>
      </c>
      <c r="G521" t="str">
        <f>_xll.BDP("811403UC Muni","SPREAD_AT_ISSUANCE_TO_WORST")</f>
        <v>#N/A Requesting Data...</v>
      </c>
      <c r="H521" t="str">
        <f>_xll.BDP("811403UC Muni","ISSUE_DT")</f>
        <v>#N/A Requesting Data...</v>
      </c>
      <c r="I521" t="str">
        <f>_xll.BDS("811403UC Muni","MUNI_PURPOSE_SCHED", "aggregate=y")</f>
        <v>#N/A Review</v>
      </c>
      <c r="J521" t="str">
        <f>_xll.BDP("811403UC Muni","CPN")</f>
        <v>#N/A Requesting Data...</v>
      </c>
      <c r="K521" t="str">
        <f>_xll.BDP("811403UC Muni","MATURITY")</f>
        <v>#N/A Requesting Data...</v>
      </c>
      <c r="L521">
        <v>1120000</v>
      </c>
      <c r="M521" t="str">
        <f>_xll.BDP("811403UC Muni","YIELD_ON_ISSUE_DATE")</f>
        <v>#N/A Requesting Data...</v>
      </c>
      <c r="N521" t="str">
        <f>_xll.BDP("811403UC Muni","YTW_SPREAD_TO_MATURITY_AT_ISSU")</f>
        <v>#N/A Requesting Data...</v>
      </c>
      <c r="O521" t="str">
        <f>_xll.BDP("811403UC Muni","BVAL_MID_YTM")</f>
        <v>#N/A Requesting Data...</v>
      </c>
      <c r="P521" t="str">
        <f>_xll.BDP("811403UC Muni","MUNI_TAX_PROV")</f>
        <v>#N/A Requesting Data...</v>
      </c>
      <c r="Q521" t="str">
        <f>_xll.BDP("811403UC Muni","MUNI_FED_TAX")</f>
        <v>#N/A Requesting Data...</v>
      </c>
      <c r="R521" t="str">
        <f>_xll.BDP("811403UC Muni","MUNI_MSRB_VOLUME")</f>
        <v>#N/A Requesting Data...</v>
      </c>
      <c r="S521" t="str">
        <f>_xll.BDP("811403UC Muni","BB_COMPOSITE")</f>
        <v>#N/A Requesting Data...</v>
      </c>
      <c r="T521" t="str">
        <f>_xll.BDP("811403UC Muni","LQA_LIQUIDITY_SCORE")</f>
        <v>#N/A Requesting Data...</v>
      </c>
    </row>
    <row r="522" spans="1:20" x14ac:dyDescent="0.25">
      <c r="A522" t="str">
        <f>_xll.BDP("811403UD Muni","ID_CUSIP")</f>
        <v>#N/A Requesting Data...</v>
      </c>
      <c r="B522" t="s">
        <v>234</v>
      </c>
      <c r="C522" t="str">
        <f>_xll.BDP("811403UD Muni","INSURANCE_STATUS")</f>
        <v>#N/A Requesting Data...</v>
      </c>
      <c r="D522" t="str">
        <f>_xll.BDP("811403UD Muni","STATE_CODE")</f>
        <v>#N/A Requesting Data...</v>
      </c>
      <c r="E522" t="str">
        <f>_xll.BDP("811403UD Muni","COUNTY_LOCATION_ISSUER")</f>
        <v>#N/A Requesting Data...</v>
      </c>
      <c r="F522" t="str">
        <f>_xll.BDP("811403UD Muni","DUR_ADJ_MID")</f>
        <v>#N/A Requesting Data...</v>
      </c>
      <c r="G522" t="str">
        <f>_xll.BDP("811403UD Muni","SPREAD_AT_ISSUANCE_TO_WORST")</f>
        <v>#N/A Requesting Data...</v>
      </c>
      <c r="H522" t="str">
        <f>_xll.BDP("811403UD Muni","ISSUE_DT")</f>
        <v>#N/A Requesting Data...</v>
      </c>
      <c r="I522" t="str">
        <f>_xll.BDS("811403UD Muni","MUNI_PURPOSE_SCHED", "aggregate=y")</f>
        <v>#N/A Review</v>
      </c>
      <c r="J522" t="str">
        <f>_xll.BDP("811403UD Muni","CPN")</f>
        <v>#N/A Requesting Data...</v>
      </c>
      <c r="K522" t="str">
        <f>_xll.BDP("811403UD Muni","MATURITY")</f>
        <v>#N/A Requesting Data...</v>
      </c>
      <c r="L522">
        <v>1190000</v>
      </c>
      <c r="M522" t="str">
        <f>_xll.BDP("811403UD Muni","YIELD_ON_ISSUE_DATE")</f>
        <v>#N/A Requesting Data...</v>
      </c>
      <c r="N522" t="str">
        <f>_xll.BDP("811403UD Muni","YTW_SPREAD_TO_MATURITY_AT_ISSU")</f>
        <v>#N/A Requesting Data...</v>
      </c>
      <c r="O522" t="str">
        <f>_xll.BDP("811403UD Muni","BVAL_MID_YTM")</f>
        <v>#N/A Requesting Data...</v>
      </c>
      <c r="P522" t="str">
        <f>_xll.BDP("811403UD Muni","MUNI_TAX_PROV")</f>
        <v>#N/A Requesting Data...</v>
      </c>
      <c r="Q522" t="str">
        <f>_xll.BDP("811403UD Muni","MUNI_FED_TAX")</f>
        <v>#N/A Requesting Data...</v>
      </c>
      <c r="R522" t="str">
        <f>_xll.BDP("811403UD Muni","MUNI_MSRB_VOLUME")</f>
        <v>#N/A Requesting Data...</v>
      </c>
      <c r="S522" t="str">
        <f>_xll.BDP("811403UD Muni","BB_COMPOSITE")</f>
        <v>#N/A Requesting Data...</v>
      </c>
      <c r="T522" t="str">
        <f>_xll.BDP("811403UD Muni","LQA_LIQUIDITY_SCORE")</f>
        <v>#N/A Requesting Data...</v>
      </c>
    </row>
    <row r="523" spans="1:20" x14ac:dyDescent="0.25">
      <c r="A523" t="str">
        <f>_xll.BDP("811403UE Muni","ID_CUSIP")</f>
        <v>#N/A Requesting Data...</v>
      </c>
      <c r="B523" t="s">
        <v>234</v>
      </c>
      <c r="C523" t="str">
        <f>_xll.BDP("811403UE Muni","INSURANCE_STATUS")</f>
        <v>#N/A Requesting Data...</v>
      </c>
      <c r="D523" t="str">
        <f>_xll.BDP("811403UE Muni","STATE_CODE")</f>
        <v>#N/A Requesting Data...</v>
      </c>
      <c r="E523" t="str">
        <f>_xll.BDP("811403UE Muni","COUNTY_LOCATION_ISSUER")</f>
        <v>#N/A Requesting Data...</v>
      </c>
      <c r="F523" t="str">
        <f>_xll.BDP("811403UE Muni","DUR_ADJ_MID")</f>
        <v>#N/A Requesting Data...</v>
      </c>
      <c r="G523" t="str">
        <f>_xll.BDP("811403UE Muni","SPREAD_AT_ISSUANCE_TO_WORST")</f>
        <v>#N/A Requesting Data...</v>
      </c>
      <c r="H523" t="str">
        <f>_xll.BDP("811403UE Muni","ISSUE_DT")</f>
        <v>#N/A Requesting Data...</v>
      </c>
      <c r="I523" t="str">
        <f>_xll.BDS("811403UE Muni","MUNI_PURPOSE_SCHED", "aggregate=y")</f>
        <v>#N/A Review</v>
      </c>
      <c r="J523" t="str">
        <f>_xll.BDP("811403UE Muni","CPN")</f>
        <v>#N/A Requesting Data...</v>
      </c>
      <c r="K523" t="str">
        <f>_xll.BDP("811403UE Muni","MATURITY")</f>
        <v>#N/A Requesting Data...</v>
      </c>
      <c r="L523">
        <v>1240000</v>
      </c>
      <c r="M523" t="str">
        <f>_xll.BDP("811403UE Muni","YIELD_ON_ISSUE_DATE")</f>
        <v>#N/A Requesting Data...</v>
      </c>
      <c r="N523" t="str">
        <f>_xll.BDP("811403UE Muni","YTW_SPREAD_TO_MATURITY_AT_ISSU")</f>
        <v>#N/A Requesting Data...</v>
      </c>
      <c r="O523" t="str">
        <f>_xll.BDP("811403UE Muni","BVAL_MID_YTM")</f>
        <v>#N/A Requesting Data...</v>
      </c>
      <c r="P523" t="str">
        <f>_xll.BDP("811403UE Muni","MUNI_TAX_PROV")</f>
        <v>#N/A Requesting Data...</v>
      </c>
      <c r="Q523" t="str">
        <f>_xll.BDP("811403UE Muni","MUNI_FED_TAX")</f>
        <v>#N/A Requesting Data...</v>
      </c>
      <c r="R523" t="str">
        <f>_xll.BDP("811403UE Muni","MUNI_MSRB_VOLUME")</f>
        <v>#N/A Requesting Data...</v>
      </c>
      <c r="S523" t="str">
        <f>_xll.BDP("811403UE Muni","BB_COMPOSITE")</f>
        <v>#N/A Requesting Data...</v>
      </c>
      <c r="T523" t="str">
        <f>_xll.BDP("811403UE Muni","LQA_LIQUIDITY_SCORE")</f>
        <v>#N/A Requesting Data...</v>
      </c>
    </row>
    <row r="524" spans="1:20" x14ac:dyDescent="0.25">
      <c r="A524" t="str">
        <f>_xll.BDP("811403UF Muni","ID_CUSIP")</f>
        <v>#N/A Requesting Data...</v>
      </c>
      <c r="B524" t="s">
        <v>234</v>
      </c>
      <c r="C524" t="str">
        <f>_xll.BDP("811403UF Muni","INSURANCE_STATUS")</f>
        <v>#N/A Requesting Data...</v>
      </c>
      <c r="D524" t="str">
        <f>_xll.BDP("811403UF Muni","STATE_CODE")</f>
        <v>#N/A Requesting Data...</v>
      </c>
      <c r="E524" t="str">
        <f>_xll.BDP("811403UF Muni","COUNTY_LOCATION_ISSUER")</f>
        <v>#N/A Requesting Data...</v>
      </c>
      <c r="F524" t="str">
        <f>_xll.BDP("811403UF Muni","DUR_ADJ_MID")</f>
        <v>#N/A Requesting Data...</v>
      </c>
      <c r="G524" t="str">
        <f>_xll.BDP("811403UF Muni","SPREAD_AT_ISSUANCE_TO_WORST")</f>
        <v>#N/A Requesting Data...</v>
      </c>
      <c r="H524" t="str">
        <f>_xll.BDP("811403UF Muni","ISSUE_DT")</f>
        <v>#N/A Requesting Data...</v>
      </c>
      <c r="I524" t="str">
        <f>_xll.BDS("811403UF Muni","MUNI_PURPOSE_SCHED", "aggregate=y")</f>
        <v>#N/A Review</v>
      </c>
      <c r="J524" t="str">
        <f>_xll.BDP("811403UF Muni","CPN")</f>
        <v>#N/A Requesting Data...</v>
      </c>
      <c r="K524" t="str">
        <f>_xll.BDP("811403UF Muni","MATURITY")</f>
        <v>#N/A Requesting Data...</v>
      </c>
      <c r="L524">
        <v>1280000</v>
      </c>
      <c r="M524" t="str">
        <f>_xll.BDP("811403UF Muni","YIELD_ON_ISSUE_DATE")</f>
        <v>#N/A Requesting Data...</v>
      </c>
      <c r="N524" t="str">
        <f>_xll.BDP("811403UF Muni","YTW_SPREAD_TO_MATURITY_AT_ISSU")</f>
        <v>#N/A Requesting Data...</v>
      </c>
      <c r="O524" t="str">
        <f>_xll.BDP("811403UF Muni","BVAL_MID_YTM")</f>
        <v>#N/A Requesting Data...</v>
      </c>
      <c r="P524" t="str">
        <f>_xll.BDP("811403UF Muni","MUNI_TAX_PROV")</f>
        <v>#N/A Requesting Data...</v>
      </c>
      <c r="Q524" t="str">
        <f>_xll.BDP("811403UF Muni","MUNI_FED_TAX")</f>
        <v>#N/A Requesting Data...</v>
      </c>
      <c r="R524" t="str">
        <f>_xll.BDP("811403UF Muni","MUNI_MSRB_VOLUME")</f>
        <v>#N/A Requesting Data...</v>
      </c>
      <c r="S524" t="str">
        <f>_xll.BDP("811403UF Muni","BB_COMPOSITE")</f>
        <v>#N/A Requesting Data...</v>
      </c>
      <c r="T524" t="str">
        <f>_xll.BDP("811403UF Muni","LQA_LIQUIDITY_SCORE")</f>
        <v>#N/A Requesting Data...</v>
      </c>
    </row>
    <row r="525" spans="1:20" x14ac:dyDescent="0.25">
      <c r="A525" t="str">
        <f>_xll.BDP("811692KV Muni","ID_CUSIP")</f>
        <v>#N/A Requesting Data...</v>
      </c>
      <c r="B525" t="s">
        <v>235</v>
      </c>
      <c r="C525" t="str">
        <f>_xll.BDP("811692KV Muni","INSURANCE_STATUS")</f>
        <v>#N/A Requesting Data...</v>
      </c>
      <c r="D525" t="str">
        <f>_xll.BDP("811692KV Muni","STATE_CODE")</f>
        <v>#N/A Requesting Data...</v>
      </c>
      <c r="E525" t="str">
        <f>_xll.BDP("811692KV Muni","COUNTY_LOCATION_ISSUER")</f>
        <v>#N/A Requesting Data...</v>
      </c>
      <c r="F525" t="str">
        <f>_xll.BDP("811692KV Muni","DUR_ADJ_MID")</f>
        <v>#N/A Requesting Data...</v>
      </c>
      <c r="G525" t="str">
        <f>_xll.BDP("811692KV Muni","SPREAD_AT_ISSUANCE_TO_WORST")</f>
        <v>#N/A Requesting Data...</v>
      </c>
      <c r="H525" t="str">
        <f>_xll.BDP("811692KV Muni","ISSUE_DT")</f>
        <v>#N/A Requesting Data...</v>
      </c>
      <c r="I525" t="str">
        <f>_xll.BDS("811692KV Muni","MUNI_PURPOSE_SCHED", "aggregate=y")</f>
        <v>#N/A Review</v>
      </c>
      <c r="J525" t="str">
        <f>_xll.BDP("811692KV Muni","CPN")</f>
        <v>#N/A Requesting Data...</v>
      </c>
      <c r="K525" t="str">
        <f>_xll.BDP("811692KV Muni","MATURITY")</f>
        <v>#N/A Requesting Data...</v>
      </c>
      <c r="L525">
        <v>195000</v>
      </c>
      <c r="M525" t="str">
        <f>_xll.BDP("811692KV Muni","YIELD_ON_ISSUE_DATE")</f>
        <v>#N/A Requesting Data...</v>
      </c>
      <c r="N525" t="str">
        <f>_xll.BDP("811692KV Muni","YTW_SPREAD_TO_MATURITY_AT_ISSU")</f>
        <v>#N/A Requesting Data...</v>
      </c>
      <c r="O525" t="str">
        <f>_xll.BDP("811692KV Muni","BVAL_MID_YTM")</f>
        <v>#N/A Requesting Data...</v>
      </c>
      <c r="P525" t="str">
        <f>_xll.BDP("811692KV Muni","MUNI_TAX_PROV")</f>
        <v>#N/A Requesting Data...</v>
      </c>
      <c r="Q525" t="str">
        <f>_xll.BDP("811692KV Muni","MUNI_FED_TAX")</f>
        <v>#N/A Requesting Data...</v>
      </c>
      <c r="R525" t="str">
        <f>_xll.BDP("811692KV Muni","MUNI_MSRB_VOLUME")</f>
        <v>#N/A Requesting Data...</v>
      </c>
      <c r="S525" t="str">
        <f>_xll.BDP("811692KV Muni","BB_COMPOSITE")</f>
        <v>#N/A Requesting Data...</v>
      </c>
      <c r="T525" t="str">
        <f>_xll.BDP("811692KV Muni","LQA_LIQUIDITY_SCORE")</f>
        <v>#N/A Requesting Data...</v>
      </c>
    </row>
    <row r="526" spans="1:20" x14ac:dyDescent="0.25">
      <c r="A526" t="str">
        <f>_xll.BDP("811692KW Muni","ID_CUSIP")</f>
        <v>#N/A Requesting Data...</v>
      </c>
      <c r="B526" t="s">
        <v>235</v>
      </c>
      <c r="C526" t="str">
        <f>_xll.BDP("811692KW Muni","INSURANCE_STATUS")</f>
        <v>#N/A Requesting Data...</v>
      </c>
      <c r="D526" t="str">
        <f>_xll.BDP("811692KW Muni","STATE_CODE")</f>
        <v>#N/A Requesting Data...</v>
      </c>
      <c r="E526" t="str">
        <f>_xll.BDP("811692KW Muni","COUNTY_LOCATION_ISSUER")</f>
        <v>#N/A Requesting Data...</v>
      </c>
      <c r="F526" t="str">
        <f>_xll.BDP("811692KW Muni","DUR_ADJ_MID")</f>
        <v>#N/A Requesting Data...</v>
      </c>
      <c r="G526" t="str">
        <f>_xll.BDP("811692KW Muni","SPREAD_AT_ISSUANCE_TO_WORST")</f>
        <v>#N/A Requesting Data...</v>
      </c>
      <c r="H526" t="str">
        <f>_xll.BDP("811692KW Muni","ISSUE_DT")</f>
        <v>#N/A Requesting Data...</v>
      </c>
      <c r="I526" t="str">
        <f>_xll.BDS("811692KW Muni","MUNI_PURPOSE_SCHED", "aggregate=y")</f>
        <v>#N/A Review</v>
      </c>
      <c r="J526" t="str">
        <f>_xll.BDP("811692KW Muni","CPN")</f>
        <v>#N/A Requesting Data...</v>
      </c>
      <c r="K526" t="str">
        <f>_xll.BDP("811692KW Muni","MATURITY")</f>
        <v>#N/A Requesting Data...</v>
      </c>
      <c r="L526">
        <v>200000</v>
      </c>
      <c r="M526" t="str">
        <f>_xll.BDP("811692KW Muni","YIELD_ON_ISSUE_DATE")</f>
        <v>#N/A Requesting Data...</v>
      </c>
      <c r="N526" t="str">
        <f>_xll.BDP("811692KW Muni","YTW_SPREAD_TO_MATURITY_AT_ISSU")</f>
        <v>#N/A Requesting Data...</v>
      </c>
      <c r="O526" t="str">
        <f>_xll.BDP("811692KW Muni","BVAL_MID_YTM")</f>
        <v>#N/A Requesting Data...</v>
      </c>
      <c r="P526" t="str">
        <f>_xll.BDP("811692KW Muni","MUNI_TAX_PROV")</f>
        <v>#N/A Requesting Data...</v>
      </c>
      <c r="Q526" t="str">
        <f>_xll.BDP("811692KW Muni","MUNI_FED_TAX")</f>
        <v>#N/A Requesting Data...</v>
      </c>
      <c r="R526" t="str">
        <f>_xll.BDP("811692KW Muni","MUNI_MSRB_VOLUME")</f>
        <v>#N/A Requesting Data...</v>
      </c>
      <c r="S526" t="str">
        <f>_xll.BDP("811692KW Muni","BB_COMPOSITE")</f>
        <v>#N/A Requesting Data...</v>
      </c>
      <c r="T526" t="str">
        <f>_xll.BDP("811692KW Muni","LQA_LIQUIDITY_SCORE")</f>
        <v>#N/A Requesting Data...</v>
      </c>
    </row>
    <row r="527" spans="1:20" x14ac:dyDescent="0.25">
      <c r="A527" t="str">
        <f>_xll.BDP("916091GC Muni","ID_CUSIP")</f>
        <v>#N/A Requesting Data...</v>
      </c>
      <c r="B527" t="s">
        <v>90</v>
      </c>
      <c r="C527" t="str">
        <f>_xll.BDP("916091GC Muni","INSURANCE_STATUS")</f>
        <v>#N/A Requesting Data...</v>
      </c>
      <c r="D527" t="str">
        <f>_xll.BDP("916091GC Muni","STATE_CODE")</f>
        <v>#N/A Requesting Data...</v>
      </c>
      <c r="E527" t="str">
        <f>_xll.BDP("916091GC Muni","COUNTY_LOCATION_ISSUER")</f>
        <v>#N/A Requesting Data...</v>
      </c>
      <c r="F527" t="str">
        <f>_xll.BDP("916091GC Muni","DUR_ADJ_MID")</f>
        <v>#N/A Requesting Data...</v>
      </c>
      <c r="G527" t="str">
        <f>_xll.BDP("916091GC Muni","SPREAD_AT_ISSUANCE_TO_WORST")</f>
        <v>#N/A Requesting Data...</v>
      </c>
      <c r="H527" t="str">
        <f>_xll.BDP("916091GC Muni","ISSUE_DT")</f>
        <v>#N/A Requesting Data...</v>
      </c>
      <c r="I527" t="str">
        <f>_xll.BDS("916091GC Muni","MUNI_PURPOSE_SCHED", "aggregate=y")</f>
        <v>#N/A Review</v>
      </c>
      <c r="J527" t="str">
        <f>_xll.BDP("916091GC Muni","CPN")</f>
        <v>#N/A Requesting Data...</v>
      </c>
      <c r="K527" t="str">
        <f>_xll.BDP("916091GC Muni","MATURITY")</f>
        <v>#N/A Requesting Data...</v>
      </c>
      <c r="L527">
        <v>310000</v>
      </c>
      <c r="M527" t="str">
        <f>_xll.BDP("916091GC Muni","YIELD_ON_ISSUE_DATE")</f>
        <v>#N/A Requesting Data...</v>
      </c>
      <c r="N527" t="str">
        <f>_xll.BDP("916091GC Muni","YTW_SPREAD_TO_MATURITY_AT_ISSU")</f>
        <v>#N/A Requesting Data...</v>
      </c>
      <c r="O527" t="str">
        <f>_xll.BDP("916091GC Muni","BVAL_MID_YTM")</f>
        <v>#N/A Requesting Data...</v>
      </c>
      <c r="P527" t="str">
        <f>_xll.BDP("916091GC Muni","MUNI_TAX_PROV")</f>
        <v>#N/A Requesting Data...</v>
      </c>
      <c r="Q527" t="str">
        <f>_xll.BDP("916091GC Muni","MUNI_FED_TAX")</f>
        <v>#N/A Requesting Data...</v>
      </c>
      <c r="R527" t="str">
        <f>_xll.BDP("916091GC Muni","MUNI_MSRB_VOLUME")</f>
        <v>#N/A Requesting Data...</v>
      </c>
      <c r="S527" t="str">
        <f>_xll.BDP("916091GC Muni","BB_COMPOSITE")</f>
        <v>#N/A Requesting Data...</v>
      </c>
      <c r="T527" t="str">
        <f>_xll.BDP("916091GC Muni","LQA_LIQUIDITY_SCORE")</f>
        <v>#N/A Requesting Data...</v>
      </c>
    </row>
    <row r="528" spans="1:20" x14ac:dyDescent="0.25">
      <c r="A528" t="str">
        <f>_xll.BDP("916544BV Muni","ID_CUSIP")</f>
        <v>#N/A Requesting Data...</v>
      </c>
      <c r="B528" t="s">
        <v>44</v>
      </c>
      <c r="C528" t="str">
        <f>_xll.BDP("916544BV Muni","INSURANCE_STATUS")</f>
        <v>#N/A Requesting Data...</v>
      </c>
      <c r="D528" t="str">
        <f>_xll.BDP("916544BV Muni","STATE_CODE")</f>
        <v>#N/A Requesting Data...</v>
      </c>
      <c r="E528" t="str">
        <f>_xll.BDP("916544BV Muni","COUNTY_LOCATION_ISSUER")</f>
        <v>#N/A Requesting Data...</v>
      </c>
      <c r="F528" t="str">
        <f>_xll.BDP("916544BV Muni","DUR_ADJ_MID")</f>
        <v>#N/A Requesting Data...</v>
      </c>
      <c r="G528" t="str">
        <f>_xll.BDP("916544BV Muni","SPREAD_AT_ISSUANCE_TO_WORST")</f>
        <v>#N/A Requesting Data...</v>
      </c>
      <c r="H528" t="str">
        <f>_xll.BDP("916544BV Muni","ISSUE_DT")</f>
        <v>#N/A Requesting Data...</v>
      </c>
      <c r="I528" t="str">
        <f>_xll.BDS("916544BV Muni","MUNI_PURPOSE_SCHED", "aggregate=y")</f>
        <v>#N/A Review</v>
      </c>
      <c r="J528" t="str">
        <f>_xll.BDP("916544BV Muni","CPN")</f>
        <v>#N/A Requesting Data...</v>
      </c>
      <c r="K528" t="str">
        <f>_xll.BDP("916544BV Muni","MATURITY")</f>
        <v>#N/A Requesting Data...</v>
      </c>
      <c r="L528">
        <v>2275000</v>
      </c>
      <c r="M528" t="str">
        <f>_xll.BDP("916544BV Muni","YIELD_ON_ISSUE_DATE")</f>
        <v>#N/A Requesting Data...</v>
      </c>
      <c r="N528" t="str">
        <f>_xll.BDP("916544BV Muni","YTW_SPREAD_TO_MATURITY_AT_ISSU")</f>
        <v>#N/A Requesting Data...</v>
      </c>
      <c r="O528" t="str">
        <f>_xll.BDP("916544BV Muni","BVAL_MID_YTM")</f>
        <v>#N/A Requesting Data...</v>
      </c>
      <c r="P528" t="str">
        <f>_xll.BDP("916544BV Muni","MUNI_TAX_PROV")</f>
        <v>#N/A Requesting Data...</v>
      </c>
      <c r="Q528" t="str">
        <f>_xll.BDP("916544BV Muni","MUNI_FED_TAX")</f>
        <v>#N/A Requesting Data...</v>
      </c>
      <c r="R528" t="str">
        <f>_xll.BDP("916544BV Muni","MUNI_MSRB_VOLUME")</f>
        <v>#N/A Requesting Data...</v>
      </c>
      <c r="S528" t="str">
        <f>_xll.BDP("916544BV Muni","BB_COMPOSITE")</f>
        <v>#N/A Requesting Data...</v>
      </c>
      <c r="T528" t="str">
        <f>_xll.BDP("916544BV Muni","LQA_LIQUIDITY_SCORE")</f>
        <v>#N/A Requesting Data...</v>
      </c>
    </row>
    <row r="529" spans="1:20" x14ac:dyDescent="0.25">
      <c r="A529" t="str">
        <f>_xll.BDP("916544BW Muni","ID_CUSIP")</f>
        <v>#N/A Requesting Data...</v>
      </c>
      <c r="B529" t="s">
        <v>44</v>
      </c>
      <c r="C529" t="str">
        <f>_xll.BDP("916544BW Muni","INSURANCE_STATUS")</f>
        <v>#N/A Requesting Data...</v>
      </c>
      <c r="D529" t="str">
        <f>_xll.BDP("916544BW Muni","STATE_CODE")</f>
        <v>#N/A Requesting Data...</v>
      </c>
      <c r="E529" t="str">
        <f>_xll.BDP("916544BW Muni","COUNTY_LOCATION_ISSUER")</f>
        <v>#N/A Requesting Data...</v>
      </c>
      <c r="F529" t="str">
        <f>_xll.BDP("916544BW Muni","DUR_ADJ_MID")</f>
        <v>#N/A Requesting Data...</v>
      </c>
      <c r="G529" t="str">
        <f>_xll.BDP("916544BW Muni","SPREAD_AT_ISSUANCE_TO_WORST")</f>
        <v>#N/A Requesting Data...</v>
      </c>
      <c r="H529" t="str">
        <f>_xll.BDP("916544BW Muni","ISSUE_DT")</f>
        <v>#N/A Requesting Data...</v>
      </c>
      <c r="I529" t="str">
        <f>_xll.BDS("916544BW Muni","MUNI_PURPOSE_SCHED", "aggregate=y")</f>
        <v>#N/A Review</v>
      </c>
      <c r="J529" t="str">
        <f>_xll.BDP("916544BW Muni","CPN")</f>
        <v>#N/A Requesting Data...</v>
      </c>
      <c r="K529" t="str">
        <f>_xll.BDP("916544BW Muni","MATURITY")</f>
        <v>#N/A Requesting Data...</v>
      </c>
      <c r="L529">
        <v>2385000</v>
      </c>
      <c r="M529" t="str">
        <f>_xll.BDP("916544BW Muni","YIELD_ON_ISSUE_DATE")</f>
        <v>#N/A Requesting Data...</v>
      </c>
      <c r="N529" t="str">
        <f>_xll.BDP("916544BW Muni","YTW_SPREAD_TO_MATURITY_AT_ISSU")</f>
        <v>#N/A Requesting Data...</v>
      </c>
      <c r="O529" t="str">
        <f>_xll.BDP("916544BW Muni","BVAL_MID_YTM")</f>
        <v>#N/A Requesting Data...</v>
      </c>
      <c r="P529" t="str">
        <f>_xll.BDP("916544BW Muni","MUNI_TAX_PROV")</f>
        <v>#N/A Requesting Data...</v>
      </c>
      <c r="Q529" t="str">
        <f>_xll.BDP("916544BW Muni","MUNI_FED_TAX")</f>
        <v>#N/A Requesting Data...</v>
      </c>
      <c r="R529" t="str">
        <f>_xll.BDP("916544BW Muni","MUNI_MSRB_VOLUME")</f>
        <v>#N/A Requesting Data...</v>
      </c>
      <c r="S529" t="str">
        <f>_xll.BDP("916544BW Muni","BB_COMPOSITE")</f>
        <v>#N/A Requesting Data...</v>
      </c>
      <c r="T529" t="str">
        <f>_xll.BDP("916544BW Muni","LQA_LIQUIDITY_SCORE")</f>
        <v>#N/A Requesting Data...</v>
      </c>
    </row>
    <row r="530" spans="1:20" x14ac:dyDescent="0.25">
      <c r="A530" t="str">
        <f>_xll.BDP("804243YA Muni","ID_CUSIP")</f>
        <v>#N/A Requesting Data...</v>
      </c>
      <c r="B530" t="s">
        <v>227</v>
      </c>
      <c r="C530" t="str">
        <f>_xll.BDP("804243YA Muni","INSURANCE_STATUS")</f>
        <v>#N/A Requesting Data...</v>
      </c>
      <c r="D530" t="str">
        <f>_xll.BDP("804243YA Muni","STATE_CODE")</f>
        <v>#N/A Requesting Data...</v>
      </c>
      <c r="E530" t="str">
        <f>_xll.BDP("804243YA Muni","COUNTY_LOCATION_ISSUER")</f>
        <v>#N/A Requesting Data...</v>
      </c>
      <c r="F530" t="str">
        <f>_xll.BDP("804243YA Muni","DUR_ADJ_MID")</f>
        <v>#N/A Requesting Data...</v>
      </c>
      <c r="G530" t="str">
        <f>_xll.BDP("804243YA Muni","SPREAD_AT_ISSUANCE_TO_WORST")</f>
        <v>#N/A Requesting Data...</v>
      </c>
      <c r="H530" t="str">
        <f>_xll.BDP("804243YA Muni","ISSUE_DT")</f>
        <v>#N/A Requesting Data...</v>
      </c>
      <c r="I530" t="str">
        <f>_xll.BDS("804243YA Muni","MUNI_PURPOSE_SCHED", "aggregate=y")</f>
        <v>#N/A Review</v>
      </c>
      <c r="J530" t="str">
        <f>_xll.BDP("804243YA Muni","CPN")</f>
        <v>#N/A Requesting Data...</v>
      </c>
      <c r="K530" t="str">
        <f>_xll.BDP("804243YA Muni","MATURITY")</f>
        <v>#N/A Requesting Data...</v>
      </c>
      <c r="L530">
        <v>410000</v>
      </c>
      <c r="M530" t="str">
        <f>_xll.BDP("804243YA Muni","YIELD_ON_ISSUE_DATE")</f>
        <v>#N/A Requesting Data...</v>
      </c>
      <c r="N530" t="str">
        <f>_xll.BDP("804243YA Muni","YTW_SPREAD_TO_MATURITY_AT_ISSU")</f>
        <v>#N/A Requesting Data...</v>
      </c>
      <c r="O530" t="str">
        <f>_xll.BDP("804243YA Muni","BVAL_MID_YTM")</f>
        <v>#N/A Requesting Data...</v>
      </c>
      <c r="P530" t="str">
        <f>_xll.BDP("804243YA Muni","MUNI_TAX_PROV")</f>
        <v>#N/A Requesting Data...</v>
      </c>
      <c r="Q530" t="str">
        <f>_xll.BDP("804243YA Muni","MUNI_FED_TAX")</f>
        <v>#N/A Requesting Data...</v>
      </c>
      <c r="R530" t="str">
        <f>_xll.BDP("804243YA Muni","MUNI_MSRB_VOLUME")</f>
        <v>#N/A Requesting Data...</v>
      </c>
      <c r="S530" t="str">
        <f>_xll.BDP("804243YA Muni","BB_COMPOSITE")</f>
        <v>#N/A Requesting Data...</v>
      </c>
      <c r="T530" t="str">
        <f>_xll.BDP("804243YA Muni","LQA_LIQUIDITY_SCORE")</f>
        <v>#N/A Requesting Data...</v>
      </c>
    </row>
    <row r="531" spans="1:20" x14ac:dyDescent="0.25">
      <c r="A531" t="str">
        <f>_xll.BDP("804243YB Muni","ID_CUSIP")</f>
        <v>#N/A Requesting Data...</v>
      </c>
      <c r="B531" t="s">
        <v>227</v>
      </c>
      <c r="C531" t="str">
        <f>_xll.BDP("804243YB Muni","INSURANCE_STATUS")</f>
        <v>#N/A Requesting Data...</v>
      </c>
      <c r="D531" t="str">
        <f>_xll.BDP("804243YB Muni","STATE_CODE")</f>
        <v>#N/A Requesting Data...</v>
      </c>
      <c r="E531" t="str">
        <f>_xll.BDP("804243YB Muni","COUNTY_LOCATION_ISSUER")</f>
        <v>#N/A Requesting Data...</v>
      </c>
      <c r="F531" t="str">
        <f>_xll.BDP("804243YB Muni","DUR_ADJ_MID")</f>
        <v>#N/A Requesting Data...</v>
      </c>
      <c r="G531" t="str">
        <f>_xll.BDP("804243YB Muni","SPREAD_AT_ISSUANCE_TO_WORST")</f>
        <v>#N/A Requesting Data...</v>
      </c>
      <c r="H531" t="str">
        <f>_xll.BDP("804243YB Muni","ISSUE_DT")</f>
        <v>#N/A Requesting Data...</v>
      </c>
      <c r="I531" t="str">
        <f>_xll.BDS("804243YB Muni","MUNI_PURPOSE_SCHED", "aggregate=y")</f>
        <v>#N/A Review</v>
      </c>
      <c r="J531" t="str">
        <f>_xll.BDP("804243YB Muni","CPN")</f>
        <v>#N/A Requesting Data...</v>
      </c>
      <c r="K531" t="str">
        <f>_xll.BDP("804243YB Muni","MATURITY")</f>
        <v>#N/A Requesting Data...</v>
      </c>
      <c r="L531">
        <v>395000</v>
      </c>
      <c r="M531" t="str">
        <f>_xll.BDP("804243YB Muni","YIELD_ON_ISSUE_DATE")</f>
        <v>#N/A Requesting Data...</v>
      </c>
      <c r="N531" t="str">
        <f>_xll.BDP("804243YB Muni","YTW_SPREAD_TO_MATURITY_AT_ISSU")</f>
        <v>#N/A Requesting Data...</v>
      </c>
      <c r="O531" t="str">
        <f>_xll.BDP("804243YB Muni","BVAL_MID_YTM")</f>
        <v>#N/A Requesting Data...</v>
      </c>
      <c r="P531" t="str">
        <f>_xll.BDP("804243YB Muni","MUNI_TAX_PROV")</f>
        <v>#N/A Requesting Data...</v>
      </c>
      <c r="Q531" t="str">
        <f>_xll.BDP("804243YB Muni","MUNI_FED_TAX")</f>
        <v>#N/A Requesting Data...</v>
      </c>
      <c r="R531" t="str">
        <f>_xll.BDP("804243YB Muni","MUNI_MSRB_VOLUME")</f>
        <v>#N/A Requesting Data...</v>
      </c>
      <c r="S531" t="str">
        <f>_xll.BDP("804243YB Muni","BB_COMPOSITE")</f>
        <v>#N/A Requesting Data...</v>
      </c>
      <c r="T531" t="str">
        <f>_xll.BDP("804243YB Muni","LQA_LIQUIDITY_SCORE")</f>
        <v>#N/A Requesting Data...</v>
      </c>
    </row>
    <row r="532" spans="1:20" x14ac:dyDescent="0.25">
      <c r="A532" t="str">
        <f>_xll.BDP("804243YD Muni","ID_CUSIP")</f>
        <v>#N/A Requesting Data...</v>
      </c>
      <c r="B532" t="s">
        <v>227</v>
      </c>
      <c r="C532" t="str">
        <f>_xll.BDP("804243YD Muni","INSURANCE_STATUS")</f>
        <v>#N/A Requesting Data...</v>
      </c>
      <c r="D532" t="str">
        <f>_xll.BDP("804243YD Muni","STATE_CODE")</f>
        <v>#N/A Requesting Data...</v>
      </c>
      <c r="E532" t="str">
        <f>_xll.BDP("804243YD Muni","COUNTY_LOCATION_ISSUER")</f>
        <v>#N/A Requesting Data...</v>
      </c>
      <c r="F532" t="str">
        <f>_xll.BDP("804243YD Muni","DUR_ADJ_MID")</f>
        <v>#N/A Requesting Data...</v>
      </c>
      <c r="G532" t="str">
        <f>_xll.BDP("804243YD Muni","SPREAD_AT_ISSUANCE_TO_WORST")</f>
        <v>#N/A Requesting Data...</v>
      </c>
      <c r="H532" t="str">
        <f>_xll.BDP("804243YD Muni","ISSUE_DT")</f>
        <v>#N/A Requesting Data...</v>
      </c>
      <c r="I532" t="str">
        <f>_xll.BDS("804243YD Muni","MUNI_PURPOSE_SCHED", "aggregate=y")</f>
        <v>#N/A Review</v>
      </c>
      <c r="J532" t="str">
        <f>_xll.BDP("804243YD Muni","CPN")</f>
        <v>#N/A Requesting Data...</v>
      </c>
      <c r="K532" t="str">
        <f>_xll.BDP("804243YD Muni","MATURITY")</f>
        <v>#N/A Requesting Data...</v>
      </c>
      <c r="L532">
        <v>375000</v>
      </c>
      <c r="M532" t="str">
        <f>_xll.BDP("804243YD Muni","YIELD_ON_ISSUE_DATE")</f>
        <v>#N/A Requesting Data...</v>
      </c>
      <c r="N532" t="str">
        <f>_xll.BDP("804243YD Muni","YTW_SPREAD_TO_MATURITY_AT_ISSU")</f>
        <v>#N/A Requesting Data...</v>
      </c>
      <c r="O532" t="str">
        <f>_xll.BDP("804243YD Muni","BVAL_MID_YTM")</f>
        <v>#N/A Requesting Data...</v>
      </c>
      <c r="P532" t="str">
        <f>_xll.BDP("804243YD Muni","MUNI_TAX_PROV")</f>
        <v>#N/A Requesting Data...</v>
      </c>
      <c r="Q532" t="str">
        <f>_xll.BDP("804243YD Muni","MUNI_FED_TAX")</f>
        <v>#N/A Requesting Data...</v>
      </c>
      <c r="R532" t="str">
        <f>_xll.BDP("804243YD Muni","MUNI_MSRB_VOLUME")</f>
        <v>#N/A Requesting Data...</v>
      </c>
      <c r="S532" t="str">
        <f>_xll.BDP("804243YD Muni","BB_COMPOSITE")</f>
        <v>#N/A Requesting Data...</v>
      </c>
      <c r="T532" t="str">
        <f>_xll.BDP("804243YD Muni","LQA_LIQUIDITY_SCORE")</f>
        <v>#N/A Requesting Data...</v>
      </c>
    </row>
    <row r="533" spans="1:20" x14ac:dyDescent="0.25">
      <c r="A533" t="str">
        <f>_xll.BDP("804243YE Muni","ID_CUSIP")</f>
        <v>#N/A Requesting Data...</v>
      </c>
      <c r="B533" t="s">
        <v>227</v>
      </c>
      <c r="C533" t="str">
        <f>_xll.BDP("804243YE Muni","INSURANCE_STATUS")</f>
        <v>#N/A Requesting Data...</v>
      </c>
      <c r="D533" t="str">
        <f>_xll.BDP("804243YE Muni","STATE_CODE")</f>
        <v>#N/A Requesting Data...</v>
      </c>
      <c r="E533" t="str">
        <f>_xll.BDP("804243YE Muni","COUNTY_LOCATION_ISSUER")</f>
        <v>#N/A Requesting Data...</v>
      </c>
      <c r="F533" t="str">
        <f>_xll.BDP("804243YE Muni","DUR_ADJ_MID")</f>
        <v>#N/A Requesting Data...</v>
      </c>
      <c r="G533" t="str">
        <f>_xll.BDP("804243YE Muni","SPREAD_AT_ISSUANCE_TO_WORST")</f>
        <v>#N/A Requesting Data...</v>
      </c>
      <c r="H533" t="str">
        <f>_xll.BDP("804243YE Muni","ISSUE_DT")</f>
        <v>#N/A Requesting Data...</v>
      </c>
      <c r="I533" t="str">
        <f>_xll.BDS("804243YE Muni","MUNI_PURPOSE_SCHED", "aggregate=y")</f>
        <v>#N/A Review</v>
      </c>
      <c r="J533" t="str">
        <f>_xll.BDP("804243YE Muni","CPN")</f>
        <v>#N/A Requesting Data...</v>
      </c>
      <c r="K533" t="str">
        <f>_xll.BDP("804243YE Muni","MATURITY")</f>
        <v>#N/A Requesting Data...</v>
      </c>
      <c r="L533">
        <v>370000</v>
      </c>
      <c r="M533" t="str">
        <f>_xll.BDP("804243YE Muni","YIELD_ON_ISSUE_DATE")</f>
        <v>#N/A Requesting Data...</v>
      </c>
      <c r="N533" t="str">
        <f>_xll.BDP("804243YE Muni","YTW_SPREAD_TO_MATURITY_AT_ISSU")</f>
        <v>#N/A Requesting Data...</v>
      </c>
      <c r="O533" t="str">
        <f>_xll.BDP("804243YE Muni","BVAL_MID_YTM")</f>
        <v>#N/A Requesting Data...</v>
      </c>
      <c r="P533" t="str">
        <f>_xll.BDP("804243YE Muni","MUNI_TAX_PROV")</f>
        <v>#N/A Requesting Data...</v>
      </c>
      <c r="Q533" t="str">
        <f>_xll.BDP("804243YE Muni","MUNI_FED_TAX")</f>
        <v>#N/A Requesting Data...</v>
      </c>
      <c r="R533" t="str">
        <f>_xll.BDP("804243YE Muni","MUNI_MSRB_VOLUME")</f>
        <v>#N/A Requesting Data...</v>
      </c>
      <c r="S533" t="str">
        <f>_xll.BDP("804243YE Muni","BB_COMPOSITE")</f>
        <v>#N/A Requesting Data...</v>
      </c>
      <c r="T533" t="str">
        <f>_xll.BDP("804243YE Muni","LQA_LIQUIDITY_SCORE")</f>
        <v>#N/A Requesting Data...</v>
      </c>
    </row>
    <row r="534" spans="1:20" x14ac:dyDescent="0.25">
      <c r="A534" t="str">
        <f>_xll.BDP("69750RGB Muni","ID_CUSIP")</f>
        <v>#N/A Requesting Data...</v>
      </c>
      <c r="B534" t="s">
        <v>228</v>
      </c>
      <c r="C534" t="str">
        <f>_xll.BDP("69750RGB Muni","INSURANCE_STATUS")</f>
        <v>#N/A Requesting Data...</v>
      </c>
      <c r="D534" t="str">
        <f>_xll.BDP("69750RGB Muni","STATE_CODE")</f>
        <v>#N/A Requesting Data...</v>
      </c>
      <c r="E534" t="str">
        <f>_xll.BDP("69750RGB Muni","COUNTY_LOCATION_ISSUER")</f>
        <v>#N/A Requesting Data...</v>
      </c>
      <c r="F534" t="str">
        <f>_xll.BDP("69750RGB Muni","DUR_ADJ_MID")</f>
        <v>#N/A Requesting Data...</v>
      </c>
      <c r="G534" t="str">
        <f>_xll.BDP("69750RGB Muni","SPREAD_AT_ISSUANCE_TO_WORST")</f>
        <v>#N/A Requesting Data...</v>
      </c>
      <c r="H534" t="str">
        <f>_xll.BDP("69750RGB Muni","ISSUE_DT")</f>
        <v>#N/A Requesting Data...</v>
      </c>
      <c r="I534" t="str">
        <f>_xll.BDS("69750RGB Muni","MUNI_PURPOSE_SCHED", "aggregate=y")</f>
        <v>#N/A Review</v>
      </c>
      <c r="J534" t="str">
        <f>_xll.BDP("69750RGB Muni","CPN")</f>
        <v>#N/A Requesting Data...</v>
      </c>
      <c r="K534" t="str">
        <f>_xll.BDP("69750RGB Muni","MATURITY")</f>
        <v>#N/A Requesting Data...</v>
      </c>
      <c r="L534">
        <v>190000</v>
      </c>
      <c r="M534" t="str">
        <f>_xll.BDP("69750RGB Muni","YIELD_ON_ISSUE_DATE")</f>
        <v>#N/A Requesting Data...</v>
      </c>
      <c r="N534" t="str">
        <f>_xll.BDP("69750RGB Muni","YTW_SPREAD_TO_MATURITY_AT_ISSU")</f>
        <v>#N/A Requesting Data...</v>
      </c>
      <c r="O534" t="str">
        <f>_xll.BDP("69750RGB Muni","BVAL_MID_YTM")</f>
        <v>#N/A Requesting Data...</v>
      </c>
      <c r="P534" t="str">
        <f>_xll.BDP("69750RGB Muni","MUNI_TAX_PROV")</f>
        <v>#N/A Requesting Data...</v>
      </c>
      <c r="Q534" t="str">
        <f>_xll.BDP("69750RGB Muni","MUNI_FED_TAX")</f>
        <v>#N/A Requesting Data...</v>
      </c>
      <c r="R534" t="str">
        <f>_xll.BDP("69750RGB Muni","MUNI_MSRB_VOLUME")</f>
        <v>#N/A Requesting Data...</v>
      </c>
      <c r="S534" t="str">
        <f>_xll.BDP("69750RGB Muni","BB_COMPOSITE")</f>
        <v>#N/A Requesting Data...</v>
      </c>
      <c r="T534" t="str">
        <f>_xll.BDP("69750RGB Muni","LQA_LIQUIDITY_SCORE")</f>
        <v>#N/A Requesting Data...</v>
      </c>
    </row>
    <row r="535" spans="1:20" x14ac:dyDescent="0.25">
      <c r="A535" t="str">
        <f>_xll.BDP("805788UZ Muni","ID_CUSIP")</f>
        <v>#N/A Requesting Data...</v>
      </c>
      <c r="B535" t="s">
        <v>230</v>
      </c>
      <c r="C535" t="str">
        <f>_xll.BDP("805788UZ Muni","INSURANCE_STATUS")</f>
        <v>#N/A Requesting Data...</v>
      </c>
      <c r="D535" t="str">
        <f>_xll.BDP("805788UZ Muni","STATE_CODE")</f>
        <v>#N/A Requesting Data...</v>
      </c>
      <c r="E535" t="str">
        <f>_xll.BDP("805788UZ Muni","COUNTY_LOCATION_ISSUER")</f>
        <v>#N/A Requesting Data...</v>
      </c>
      <c r="F535" t="str">
        <f>_xll.BDP("805788UZ Muni","DUR_ADJ_MID")</f>
        <v>#N/A Requesting Data...</v>
      </c>
      <c r="G535" t="str">
        <f>_xll.BDP("805788UZ Muni","SPREAD_AT_ISSUANCE_TO_WORST")</f>
        <v>#N/A Requesting Data...</v>
      </c>
      <c r="H535" t="str">
        <f>_xll.BDP("805788UZ Muni","ISSUE_DT")</f>
        <v>#N/A Requesting Data...</v>
      </c>
      <c r="I535" t="str">
        <f>_xll.BDS("805788UZ Muni","MUNI_PURPOSE_SCHED", "aggregate=y")</f>
        <v>#N/A Review</v>
      </c>
      <c r="J535" t="str">
        <f>_xll.BDP("805788UZ Muni","CPN")</f>
        <v>#N/A Requesting Data...</v>
      </c>
      <c r="K535" t="str">
        <f>_xll.BDP("805788UZ Muni","MATURITY")</f>
        <v>#N/A Requesting Data...</v>
      </c>
      <c r="L535">
        <v>650000</v>
      </c>
      <c r="M535" t="str">
        <f>_xll.BDP("805788UZ Muni","YIELD_ON_ISSUE_DATE")</f>
        <v>#N/A Requesting Data...</v>
      </c>
      <c r="N535" t="str">
        <f>_xll.BDP("805788UZ Muni","YTW_SPREAD_TO_MATURITY_AT_ISSU")</f>
        <v>#N/A Requesting Data...</v>
      </c>
      <c r="O535" t="str">
        <f>_xll.BDP("805788UZ Muni","BVAL_MID_YTM")</f>
        <v>#N/A Requesting Data...</v>
      </c>
      <c r="P535" t="str">
        <f>_xll.BDP("805788UZ Muni","MUNI_TAX_PROV")</f>
        <v>#N/A Requesting Data...</v>
      </c>
      <c r="Q535" t="str">
        <f>_xll.BDP("805788UZ Muni","MUNI_FED_TAX")</f>
        <v>#N/A Requesting Data...</v>
      </c>
      <c r="R535" t="str">
        <f>_xll.BDP("805788UZ Muni","MUNI_MSRB_VOLUME")</f>
        <v>#N/A Requesting Data...</v>
      </c>
      <c r="S535" t="str">
        <f>_xll.BDP("805788UZ Muni","BB_COMPOSITE")</f>
        <v>#N/A Requesting Data...</v>
      </c>
      <c r="T535" t="str">
        <f>_xll.BDP("805788UZ Muni","LQA_LIQUIDITY_SCORE")</f>
        <v>#N/A Requesting Data...</v>
      </c>
    </row>
    <row r="536" spans="1:20" x14ac:dyDescent="0.25">
      <c r="A536" t="str">
        <f>_xll.BDP("805788VB Muni","ID_CUSIP")</f>
        <v>#N/A Requesting Data...</v>
      </c>
      <c r="B536" t="s">
        <v>230</v>
      </c>
      <c r="C536" t="str">
        <f>_xll.BDP("805788VB Muni","INSURANCE_STATUS")</f>
        <v>#N/A Requesting Data...</v>
      </c>
      <c r="D536" t="str">
        <f>_xll.BDP("805788VB Muni","STATE_CODE")</f>
        <v>#N/A Requesting Data...</v>
      </c>
      <c r="E536" t="str">
        <f>_xll.BDP("805788VB Muni","COUNTY_LOCATION_ISSUER")</f>
        <v>#N/A Requesting Data...</v>
      </c>
      <c r="F536" t="str">
        <f>_xll.BDP("805788VB Muni","DUR_ADJ_MID")</f>
        <v>#N/A Requesting Data...</v>
      </c>
      <c r="G536" t="str">
        <f>_xll.BDP("805788VB Muni","SPREAD_AT_ISSUANCE_TO_WORST")</f>
        <v>#N/A Requesting Data...</v>
      </c>
      <c r="H536" t="str">
        <f>_xll.BDP("805788VB Muni","ISSUE_DT")</f>
        <v>#N/A Requesting Data...</v>
      </c>
      <c r="I536" t="str">
        <f>_xll.BDS("805788VB Muni","MUNI_PURPOSE_SCHED", "aggregate=y")</f>
        <v>#N/A Review</v>
      </c>
      <c r="J536" t="str">
        <f>_xll.BDP("805788VB Muni","CPN")</f>
        <v>#N/A Requesting Data...</v>
      </c>
      <c r="K536" t="str">
        <f>_xll.BDP("805788VB Muni","MATURITY")</f>
        <v>#N/A Requesting Data...</v>
      </c>
      <c r="L536">
        <v>750000</v>
      </c>
      <c r="M536" t="str">
        <f>_xll.BDP("805788VB Muni","YIELD_ON_ISSUE_DATE")</f>
        <v>#N/A Requesting Data...</v>
      </c>
      <c r="N536" t="str">
        <f>_xll.BDP("805788VB Muni","YTW_SPREAD_TO_MATURITY_AT_ISSU")</f>
        <v>#N/A Requesting Data...</v>
      </c>
      <c r="O536" t="str">
        <f>_xll.BDP("805788VB Muni","BVAL_MID_YTM")</f>
        <v>#N/A Requesting Data...</v>
      </c>
      <c r="P536" t="str">
        <f>_xll.BDP("805788VB Muni","MUNI_TAX_PROV")</f>
        <v>#N/A Requesting Data...</v>
      </c>
      <c r="Q536" t="str">
        <f>_xll.BDP("805788VB Muni","MUNI_FED_TAX")</f>
        <v>#N/A Requesting Data...</v>
      </c>
      <c r="R536" t="str">
        <f>_xll.BDP("805788VB Muni","MUNI_MSRB_VOLUME")</f>
        <v>#N/A Requesting Data...</v>
      </c>
      <c r="S536" t="str">
        <f>_xll.BDP("805788VB Muni","BB_COMPOSITE")</f>
        <v>#N/A Requesting Data...</v>
      </c>
      <c r="T536" t="str">
        <f>_xll.BDP("805788VB Muni","LQA_LIQUIDITY_SCORE")</f>
        <v>#N/A Requesting Data...</v>
      </c>
    </row>
    <row r="537" spans="1:20" x14ac:dyDescent="0.25">
      <c r="A537" t="str">
        <f>_xll.BDP("805788VD Muni","ID_CUSIP")</f>
        <v>#N/A Requesting Data...</v>
      </c>
      <c r="B537" t="s">
        <v>230</v>
      </c>
      <c r="C537" t="str">
        <f>_xll.BDP("805788VD Muni","INSURANCE_STATUS")</f>
        <v>#N/A Requesting Data...</v>
      </c>
      <c r="D537" t="str">
        <f>_xll.BDP("805788VD Muni","STATE_CODE")</f>
        <v>#N/A Requesting Data...</v>
      </c>
      <c r="E537" t="str">
        <f>_xll.BDP("805788VD Muni","COUNTY_LOCATION_ISSUER")</f>
        <v>#N/A Requesting Data...</v>
      </c>
      <c r="F537" t="str">
        <f>_xll.BDP("805788VD Muni","DUR_ADJ_MID")</f>
        <v>#N/A Requesting Data...</v>
      </c>
      <c r="G537" t="str">
        <f>_xll.BDP("805788VD Muni","SPREAD_AT_ISSUANCE_TO_WORST")</f>
        <v>#N/A Requesting Data...</v>
      </c>
      <c r="H537" t="str">
        <f>_xll.BDP("805788VD Muni","ISSUE_DT")</f>
        <v>#N/A Requesting Data...</v>
      </c>
      <c r="I537" t="str">
        <f>_xll.BDS("805788VD Muni","MUNI_PURPOSE_SCHED", "aggregate=y")</f>
        <v>#N/A Review</v>
      </c>
      <c r="J537" t="str">
        <f>_xll.BDP("805788VD Muni","CPN")</f>
        <v>#N/A Requesting Data...</v>
      </c>
      <c r="K537" t="str">
        <f>_xll.BDP("805788VD Muni","MATURITY")</f>
        <v>#N/A Requesting Data...</v>
      </c>
      <c r="L537">
        <v>700000</v>
      </c>
      <c r="M537" t="str">
        <f>_xll.BDP("805788VD Muni","YIELD_ON_ISSUE_DATE")</f>
        <v>#N/A Requesting Data...</v>
      </c>
      <c r="N537" t="str">
        <f>_xll.BDP("805788VD Muni","YTW_SPREAD_TO_MATURITY_AT_ISSU")</f>
        <v>#N/A Requesting Data...</v>
      </c>
      <c r="O537" t="str">
        <f>_xll.BDP("805788VD Muni","BVAL_MID_YTM")</f>
        <v>#N/A Requesting Data...</v>
      </c>
      <c r="P537" t="str">
        <f>_xll.BDP("805788VD Muni","MUNI_TAX_PROV")</f>
        <v>#N/A Requesting Data...</v>
      </c>
      <c r="Q537" t="str">
        <f>_xll.BDP("805788VD Muni","MUNI_FED_TAX")</f>
        <v>#N/A Requesting Data...</v>
      </c>
      <c r="R537" t="str">
        <f>_xll.BDP("805788VD Muni","MUNI_MSRB_VOLUME")</f>
        <v>#N/A Requesting Data...</v>
      </c>
      <c r="S537" t="str">
        <f>_xll.BDP("805788VD Muni","BB_COMPOSITE")</f>
        <v>#N/A Requesting Data...</v>
      </c>
      <c r="T537" t="str">
        <f>_xll.BDP("805788VD Muni","LQA_LIQUIDITY_SCORE")</f>
        <v>#N/A Requesting Data...</v>
      </c>
    </row>
    <row r="538" spans="1:20" x14ac:dyDescent="0.25">
      <c r="A538" t="str">
        <f>_xll.BDP("699891NH Muni","ID_CUSIP")</f>
        <v>#N/A Requesting Data...</v>
      </c>
      <c r="B538" t="s">
        <v>231</v>
      </c>
      <c r="C538" t="str">
        <f>_xll.BDP("699891NH Muni","INSURANCE_STATUS")</f>
        <v>#N/A Requesting Data...</v>
      </c>
      <c r="D538" t="str">
        <f>_xll.BDP("699891NH Muni","STATE_CODE")</f>
        <v>#N/A Requesting Data...</v>
      </c>
      <c r="E538" t="str">
        <f>_xll.BDP("699891NH Muni","COUNTY_LOCATION_ISSUER")</f>
        <v>#N/A Requesting Data...</v>
      </c>
      <c r="F538" t="str">
        <f>_xll.BDP("699891NH Muni","DUR_ADJ_MID")</f>
        <v>#N/A Requesting Data...</v>
      </c>
      <c r="G538" t="str">
        <f>_xll.BDP("699891NH Muni","SPREAD_AT_ISSUANCE_TO_WORST")</f>
        <v>#N/A Requesting Data...</v>
      </c>
      <c r="H538" t="str">
        <f>_xll.BDP("699891NH Muni","ISSUE_DT")</f>
        <v>#N/A Requesting Data...</v>
      </c>
      <c r="I538" t="str">
        <f>_xll.BDS("699891NH Muni","MUNI_PURPOSE_SCHED", "aggregate=y")</f>
        <v>#N/A Review</v>
      </c>
      <c r="J538" t="str">
        <f>_xll.BDP("699891NH Muni","CPN")</f>
        <v>#N/A Requesting Data...</v>
      </c>
      <c r="K538" t="str">
        <f>_xll.BDP("699891NH Muni","MATURITY")</f>
        <v>#N/A Requesting Data...</v>
      </c>
      <c r="L538">
        <v>355000</v>
      </c>
      <c r="M538" t="str">
        <f>_xll.BDP("699891NH Muni","YIELD_ON_ISSUE_DATE")</f>
        <v>#N/A Requesting Data...</v>
      </c>
      <c r="N538" t="str">
        <f>_xll.BDP("699891NH Muni","YTW_SPREAD_TO_MATURITY_AT_ISSU")</f>
        <v>#N/A Requesting Data...</v>
      </c>
      <c r="O538" t="str">
        <f>_xll.BDP("699891NH Muni","BVAL_MID_YTM")</f>
        <v>#N/A Requesting Data...</v>
      </c>
      <c r="P538" t="str">
        <f>_xll.BDP("699891NH Muni","MUNI_TAX_PROV")</f>
        <v>#N/A Requesting Data...</v>
      </c>
      <c r="Q538" t="str">
        <f>_xll.BDP("699891NH Muni","MUNI_FED_TAX")</f>
        <v>#N/A Requesting Data...</v>
      </c>
      <c r="R538" t="str">
        <f>_xll.BDP("699891NH Muni","MUNI_MSRB_VOLUME")</f>
        <v>#N/A Requesting Data...</v>
      </c>
      <c r="S538" t="str">
        <f>_xll.BDP("699891NH Muni","BB_COMPOSITE")</f>
        <v>#N/A Requesting Data...</v>
      </c>
      <c r="T538" t="str">
        <f>_xll.BDP("699891NH Muni","LQA_LIQUIDITY_SCORE")</f>
        <v>#N/A Requesting Data...</v>
      </c>
    </row>
    <row r="539" spans="1:20" x14ac:dyDescent="0.25">
      <c r="A539" t="str">
        <f>_xll.BDP("699891NK Muni","ID_CUSIP")</f>
        <v>#N/A Requesting Data...</v>
      </c>
      <c r="B539" t="s">
        <v>231</v>
      </c>
      <c r="C539" t="str">
        <f>_xll.BDP("699891NK Muni","INSURANCE_STATUS")</f>
        <v>#N/A Requesting Data...</v>
      </c>
      <c r="D539" t="str">
        <f>_xll.BDP("699891NK Muni","STATE_CODE")</f>
        <v>#N/A Requesting Data...</v>
      </c>
      <c r="E539" t="str">
        <f>_xll.BDP("699891NK Muni","COUNTY_LOCATION_ISSUER")</f>
        <v>#N/A Requesting Data...</v>
      </c>
      <c r="F539" t="str">
        <f>_xll.BDP("699891NK Muni","DUR_ADJ_MID")</f>
        <v>#N/A Requesting Data...</v>
      </c>
      <c r="G539" t="str">
        <f>_xll.BDP("699891NK Muni","SPREAD_AT_ISSUANCE_TO_WORST")</f>
        <v>#N/A Requesting Data...</v>
      </c>
      <c r="H539" t="str">
        <f>_xll.BDP("699891NK Muni","ISSUE_DT")</f>
        <v>#N/A Requesting Data...</v>
      </c>
      <c r="I539" t="str">
        <f>_xll.BDS("699891NK Muni","MUNI_PURPOSE_SCHED", "aggregate=y")</f>
        <v>#N/A Review</v>
      </c>
      <c r="J539" t="str">
        <f>_xll.BDP("699891NK Muni","CPN")</f>
        <v>#N/A Requesting Data...</v>
      </c>
      <c r="K539" t="str">
        <f>_xll.BDP("699891NK Muni","MATURITY")</f>
        <v>#N/A Requesting Data...</v>
      </c>
      <c r="L539">
        <v>375000</v>
      </c>
      <c r="M539" t="str">
        <f>_xll.BDP("699891NK Muni","YIELD_ON_ISSUE_DATE")</f>
        <v>#N/A Requesting Data...</v>
      </c>
      <c r="N539" t="str">
        <f>_xll.BDP("699891NK Muni","YTW_SPREAD_TO_MATURITY_AT_ISSU")</f>
        <v>#N/A Requesting Data...</v>
      </c>
      <c r="O539" t="str">
        <f>_xll.BDP("699891NK Muni","BVAL_MID_YTM")</f>
        <v>#N/A Requesting Data...</v>
      </c>
      <c r="P539" t="str">
        <f>_xll.BDP("699891NK Muni","MUNI_TAX_PROV")</f>
        <v>#N/A Requesting Data...</v>
      </c>
      <c r="Q539" t="str">
        <f>_xll.BDP("699891NK Muni","MUNI_FED_TAX")</f>
        <v>#N/A Requesting Data...</v>
      </c>
      <c r="R539" t="str">
        <f>_xll.BDP("699891NK Muni","MUNI_MSRB_VOLUME")</f>
        <v>#N/A Requesting Data...</v>
      </c>
      <c r="S539" t="str">
        <f>_xll.BDP("699891NK Muni","BB_COMPOSITE")</f>
        <v>#N/A Requesting Data...</v>
      </c>
      <c r="T539" t="str">
        <f>_xll.BDP("699891NK Muni","LQA_LIQUIDITY_SCORE")</f>
        <v>#N/A Requesting Data...</v>
      </c>
    </row>
    <row r="540" spans="1:20" x14ac:dyDescent="0.25">
      <c r="A540" t="str">
        <f>_xll.BDP("699891NM Muni","ID_CUSIP")</f>
        <v>#N/A Requesting Data...</v>
      </c>
      <c r="B540" t="s">
        <v>231</v>
      </c>
      <c r="C540" t="str">
        <f>_xll.BDP("699891NM Muni","INSURANCE_STATUS")</f>
        <v>#N/A Requesting Data...</v>
      </c>
      <c r="D540" t="str">
        <f>_xll.BDP("699891NM Muni","STATE_CODE")</f>
        <v>#N/A Requesting Data...</v>
      </c>
      <c r="E540" t="str">
        <f>_xll.BDP("699891NM Muni","COUNTY_LOCATION_ISSUER")</f>
        <v>#N/A Requesting Data...</v>
      </c>
      <c r="F540" t="str">
        <f>_xll.BDP("699891NM Muni","DUR_ADJ_MID")</f>
        <v>#N/A Requesting Data...</v>
      </c>
      <c r="G540" t="str">
        <f>_xll.BDP("699891NM Muni","SPREAD_AT_ISSUANCE_TO_WORST")</f>
        <v>#N/A Requesting Data...</v>
      </c>
      <c r="H540" t="str">
        <f>_xll.BDP("699891NM Muni","ISSUE_DT")</f>
        <v>#N/A Requesting Data...</v>
      </c>
      <c r="I540" t="str">
        <f>_xll.BDS("699891NM Muni","MUNI_PURPOSE_SCHED", "aggregate=y")</f>
        <v>#N/A Review</v>
      </c>
      <c r="J540" t="str">
        <f>_xll.BDP("699891NM Muni","CPN")</f>
        <v>#N/A Requesting Data...</v>
      </c>
      <c r="K540" t="str">
        <f>_xll.BDP("699891NM Muni","MATURITY")</f>
        <v>#N/A Requesting Data...</v>
      </c>
      <c r="L540">
        <v>395000</v>
      </c>
      <c r="M540" t="str">
        <f>_xll.BDP("699891NM Muni","YIELD_ON_ISSUE_DATE")</f>
        <v>#N/A Requesting Data...</v>
      </c>
      <c r="N540" t="str">
        <f>_xll.BDP("699891NM Muni","YTW_SPREAD_TO_MATURITY_AT_ISSU")</f>
        <v>#N/A Requesting Data...</v>
      </c>
      <c r="O540" t="str">
        <f>_xll.BDP("699891NM Muni","BVAL_MID_YTM")</f>
        <v>#N/A Requesting Data...</v>
      </c>
      <c r="P540" t="str">
        <f>_xll.BDP("699891NM Muni","MUNI_TAX_PROV")</f>
        <v>#N/A Requesting Data...</v>
      </c>
      <c r="Q540" t="str">
        <f>_xll.BDP("699891NM Muni","MUNI_FED_TAX")</f>
        <v>#N/A Requesting Data...</v>
      </c>
      <c r="R540" t="str">
        <f>_xll.BDP("699891NM Muni","MUNI_MSRB_VOLUME")</f>
        <v>#N/A Requesting Data...</v>
      </c>
      <c r="S540" t="str">
        <f>_xll.BDP("699891NM Muni","BB_COMPOSITE")</f>
        <v>#N/A Requesting Data...</v>
      </c>
      <c r="T540" t="str">
        <f>_xll.BDP("699891NM Muni","LQA_LIQUIDITY_SCORE")</f>
        <v>#N/A Requesting Data...</v>
      </c>
    </row>
    <row r="541" spans="1:20" x14ac:dyDescent="0.25">
      <c r="A541" t="str">
        <f>_xll.BDP("806075B5 Muni","ID_CUSIP")</f>
        <v>#N/A Requesting Data...</v>
      </c>
      <c r="B541" t="s">
        <v>232</v>
      </c>
      <c r="C541" t="str">
        <f>_xll.BDP("806075B5 Muni","INSURANCE_STATUS")</f>
        <v>#N/A Requesting Data...</v>
      </c>
      <c r="D541" t="str">
        <f>_xll.BDP("806075B5 Muni","STATE_CODE")</f>
        <v>#N/A Requesting Data...</v>
      </c>
      <c r="E541" t="str">
        <f>_xll.BDP("806075B5 Muni","COUNTY_LOCATION_ISSUER")</f>
        <v>#N/A Requesting Data...</v>
      </c>
      <c r="F541" t="str">
        <f>_xll.BDP("806075B5 Muni","DUR_ADJ_MID")</f>
        <v>#N/A Requesting Data...</v>
      </c>
      <c r="G541" t="str">
        <f>_xll.BDP("806075B5 Muni","SPREAD_AT_ISSUANCE_TO_WORST")</f>
        <v>#N/A Requesting Data...</v>
      </c>
      <c r="H541" t="str">
        <f>_xll.BDP("806075B5 Muni","ISSUE_DT")</f>
        <v>#N/A Requesting Data...</v>
      </c>
      <c r="I541" t="str">
        <f>_xll.BDS("806075B5 Muni","MUNI_PURPOSE_SCHED", "aggregate=y")</f>
        <v>#N/A Review</v>
      </c>
      <c r="J541" t="str">
        <f>_xll.BDP("806075B5 Muni","CPN")</f>
        <v>#N/A Requesting Data...</v>
      </c>
      <c r="K541" t="str">
        <f>_xll.BDP("806075B5 Muni","MATURITY")</f>
        <v>#N/A Requesting Data...</v>
      </c>
      <c r="L541">
        <v>435000</v>
      </c>
      <c r="M541" t="str">
        <f>_xll.BDP("806075B5 Muni","YIELD_ON_ISSUE_DATE")</f>
        <v>#N/A Requesting Data...</v>
      </c>
      <c r="N541" t="str">
        <f>_xll.BDP("806075B5 Muni","YTW_SPREAD_TO_MATURITY_AT_ISSU")</f>
        <v>#N/A Requesting Data...</v>
      </c>
      <c r="O541" t="str">
        <f>_xll.BDP("806075B5 Muni","BVAL_MID_YTM")</f>
        <v>#N/A Requesting Data...</v>
      </c>
      <c r="P541" t="str">
        <f>_xll.BDP("806075B5 Muni","MUNI_TAX_PROV")</f>
        <v>#N/A Requesting Data...</v>
      </c>
      <c r="Q541" t="str">
        <f>_xll.BDP("806075B5 Muni","MUNI_FED_TAX")</f>
        <v>#N/A Requesting Data...</v>
      </c>
      <c r="R541" t="str">
        <f>_xll.BDP("806075B5 Muni","MUNI_MSRB_VOLUME")</f>
        <v>#N/A Requesting Data...</v>
      </c>
      <c r="S541" t="str">
        <f>_xll.BDP("806075B5 Muni","BB_COMPOSITE")</f>
        <v>#N/A Requesting Data...</v>
      </c>
      <c r="T541" t="str">
        <f>_xll.BDP("806075B5 Muni","LQA_LIQUIDITY_SCORE")</f>
        <v>#N/A Requesting Data...</v>
      </c>
    </row>
    <row r="542" spans="1:20" x14ac:dyDescent="0.25">
      <c r="A542" t="str">
        <f>_xll.BDP("806075B7 Muni","ID_CUSIP")</f>
        <v>#N/A Requesting Data...</v>
      </c>
      <c r="B542" t="s">
        <v>232</v>
      </c>
      <c r="C542" t="str">
        <f>_xll.BDP("806075B7 Muni","INSURANCE_STATUS")</f>
        <v>#N/A Requesting Data...</v>
      </c>
      <c r="D542" t="str">
        <f>_xll.BDP("806075B7 Muni","STATE_CODE")</f>
        <v>#N/A Requesting Data...</v>
      </c>
      <c r="E542" t="str">
        <f>_xll.BDP("806075B7 Muni","COUNTY_LOCATION_ISSUER")</f>
        <v>#N/A Requesting Data...</v>
      </c>
      <c r="F542" t="str">
        <f>_xll.BDP("806075B7 Muni","DUR_ADJ_MID")</f>
        <v>#N/A Requesting Data...</v>
      </c>
      <c r="G542" t="str">
        <f>_xll.BDP("806075B7 Muni","SPREAD_AT_ISSUANCE_TO_WORST")</f>
        <v>#N/A Requesting Data...</v>
      </c>
      <c r="H542" t="str">
        <f>_xll.BDP("806075B7 Muni","ISSUE_DT")</f>
        <v>#N/A Requesting Data...</v>
      </c>
      <c r="I542" t="str">
        <f>_xll.BDS("806075B7 Muni","MUNI_PURPOSE_SCHED", "aggregate=y")</f>
        <v>#N/A Review</v>
      </c>
      <c r="J542" t="str">
        <f>_xll.BDP("806075B7 Muni","CPN")</f>
        <v>#N/A Requesting Data...</v>
      </c>
      <c r="K542" t="str">
        <f>_xll.BDP("806075B7 Muni","MATURITY")</f>
        <v>#N/A Requesting Data...</v>
      </c>
      <c r="L542">
        <v>395000</v>
      </c>
      <c r="M542" t="str">
        <f>_xll.BDP("806075B7 Muni","YIELD_ON_ISSUE_DATE")</f>
        <v>#N/A Requesting Data...</v>
      </c>
      <c r="N542" t="str">
        <f>_xll.BDP("806075B7 Muni","YTW_SPREAD_TO_MATURITY_AT_ISSU")</f>
        <v>#N/A Requesting Data...</v>
      </c>
      <c r="O542" t="str">
        <f>_xll.BDP("806075B7 Muni","BVAL_MID_YTM")</f>
        <v>#N/A Requesting Data...</v>
      </c>
      <c r="P542" t="str">
        <f>_xll.BDP("806075B7 Muni","MUNI_TAX_PROV")</f>
        <v>#N/A Requesting Data...</v>
      </c>
      <c r="Q542" t="str">
        <f>_xll.BDP("806075B7 Muni","MUNI_FED_TAX")</f>
        <v>#N/A Requesting Data...</v>
      </c>
      <c r="R542" t="str">
        <f>_xll.BDP("806075B7 Muni","MUNI_MSRB_VOLUME")</f>
        <v>#N/A Requesting Data...</v>
      </c>
      <c r="S542" t="str">
        <f>_xll.BDP("806075B7 Muni","BB_COMPOSITE")</f>
        <v>#N/A Requesting Data...</v>
      </c>
      <c r="T542" t="str">
        <f>_xll.BDP("806075B7 Muni","LQA_LIQUIDITY_SCORE")</f>
        <v>#N/A Requesting Data...</v>
      </c>
    </row>
    <row r="543" spans="1:20" x14ac:dyDescent="0.25">
      <c r="A543" t="str">
        <f>_xll.BDP("806347ML Muni","ID_CUSIP")</f>
        <v>#N/A Requesting Data...</v>
      </c>
      <c r="B543" t="s">
        <v>233</v>
      </c>
      <c r="C543" t="str">
        <f>_xll.BDP("806347ML Muni","INSURANCE_STATUS")</f>
        <v>#N/A Requesting Data...</v>
      </c>
      <c r="D543" t="str">
        <f>_xll.BDP("806347ML Muni","STATE_CODE")</f>
        <v>#N/A Requesting Data...</v>
      </c>
      <c r="E543" t="str">
        <f>_xll.BDP("806347ML Muni","COUNTY_LOCATION_ISSUER")</f>
        <v>#N/A Requesting Data...</v>
      </c>
      <c r="F543" t="str">
        <f>_xll.BDP("806347ML Muni","DUR_ADJ_MID")</f>
        <v>#N/A Requesting Data...</v>
      </c>
      <c r="G543" t="str">
        <f>_xll.BDP("806347ML Muni","SPREAD_AT_ISSUANCE_TO_WORST")</f>
        <v>#N/A Requesting Data...</v>
      </c>
      <c r="H543" t="str">
        <f>_xll.BDP("806347ML Muni","ISSUE_DT")</f>
        <v>#N/A Requesting Data...</v>
      </c>
      <c r="I543" t="str">
        <f>_xll.BDS("806347ML Muni","MUNI_PURPOSE_SCHED", "aggregate=y")</f>
        <v>#N/A Review</v>
      </c>
      <c r="J543" t="str">
        <f>_xll.BDP("806347ML Muni","CPN")</f>
        <v>#N/A Requesting Data...</v>
      </c>
      <c r="K543" t="str">
        <f>_xll.BDP("806347ML Muni","MATURITY")</f>
        <v>#N/A Requesting Data...</v>
      </c>
      <c r="L543">
        <v>2540000</v>
      </c>
      <c r="M543" t="str">
        <f>_xll.BDP("806347ML Muni","YIELD_ON_ISSUE_DATE")</f>
        <v>#N/A Requesting Data...</v>
      </c>
      <c r="N543" t="str">
        <f>_xll.BDP("806347ML Muni","YTW_SPREAD_TO_MATURITY_AT_ISSU")</f>
        <v>#N/A Requesting Data...</v>
      </c>
      <c r="O543" t="str">
        <f>_xll.BDP("806347ML Muni","BVAL_MID_YTM")</f>
        <v>#N/A Requesting Data...</v>
      </c>
      <c r="P543" t="str">
        <f>_xll.BDP("806347ML Muni","MUNI_TAX_PROV")</f>
        <v>#N/A Requesting Data...</v>
      </c>
      <c r="Q543" t="str">
        <f>_xll.BDP("806347ML Muni","MUNI_FED_TAX")</f>
        <v>#N/A Requesting Data...</v>
      </c>
      <c r="R543" t="str">
        <f>_xll.BDP("806347ML Muni","MUNI_MSRB_VOLUME")</f>
        <v>#N/A Requesting Data...</v>
      </c>
      <c r="S543" t="str">
        <f>_xll.BDP("806347ML Muni","BB_COMPOSITE")</f>
        <v>#N/A Requesting Data...</v>
      </c>
      <c r="T543" t="str">
        <f>_xll.BDP("806347ML Muni","LQA_LIQUIDITY_SCORE")</f>
        <v>#N/A Requesting Data...</v>
      </c>
    </row>
    <row r="544" spans="1:20" x14ac:dyDescent="0.25">
      <c r="A544" t="str">
        <f>_xll.BDP("915547FM Muni","ID_CUSIP")</f>
        <v>#N/A Requesting Data...</v>
      </c>
      <c r="B544" t="s">
        <v>58</v>
      </c>
      <c r="C544" t="str">
        <f>_xll.BDP("915547FM Muni","INSURANCE_STATUS")</f>
        <v>#N/A Requesting Data...</v>
      </c>
      <c r="D544" t="str">
        <f>_xll.BDP("915547FM Muni","STATE_CODE")</f>
        <v>#N/A Requesting Data...</v>
      </c>
      <c r="E544" t="str">
        <f>_xll.BDP("915547FM Muni","COUNTY_LOCATION_ISSUER")</f>
        <v>#N/A Requesting Data...</v>
      </c>
      <c r="F544" t="str">
        <f>_xll.BDP("915547FM Muni","DUR_ADJ_MID")</f>
        <v>#N/A Requesting Data...</v>
      </c>
      <c r="G544" t="str">
        <f>_xll.BDP("915547FM Muni","SPREAD_AT_ISSUANCE_TO_WORST")</f>
        <v>#N/A Requesting Data...</v>
      </c>
      <c r="H544" t="str">
        <f>_xll.BDP("915547FM Muni","ISSUE_DT")</f>
        <v>#N/A Requesting Data...</v>
      </c>
      <c r="I544" t="str">
        <f>_xll.BDS("915547FM Muni","MUNI_PURPOSE_SCHED", "aggregate=y")</f>
        <v>#N/A Review</v>
      </c>
      <c r="J544" t="str">
        <f>_xll.BDP("915547FM Muni","CPN")</f>
        <v>#N/A Requesting Data...</v>
      </c>
      <c r="K544" t="str">
        <f>_xll.BDP("915547FM Muni","MATURITY")</f>
        <v>#N/A Requesting Data...</v>
      </c>
      <c r="L544">
        <v>730000</v>
      </c>
      <c r="M544" t="str">
        <f>_xll.BDP("915547FM Muni","YIELD_ON_ISSUE_DATE")</f>
        <v>#N/A Requesting Data...</v>
      </c>
      <c r="N544" t="str">
        <f>_xll.BDP("915547FM Muni","YTW_SPREAD_TO_MATURITY_AT_ISSU")</f>
        <v>#N/A Requesting Data...</v>
      </c>
      <c r="O544" t="str">
        <f>_xll.BDP("915547FM Muni","BVAL_MID_YTM")</f>
        <v>#N/A Requesting Data...</v>
      </c>
      <c r="P544" t="str">
        <f>_xll.BDP("915547FM Muni","MUNI_TAX_PROV")</f>
        <v>#N/A Requesting Data...</v>
      </c>
      <c r="Q544" t="str">
        <f>_xll.BDP("915547FM Muni","MUNI_FED_TAX")</f>
        <v>#N/A Requesting Data...</v>
      </c>
      <c r="R544" t="str">
        <f>_xll.BDP("915547FM Muni","MUNI_MSRB_VOLUME")</f>
        <v>#N/A Requesting Data...</v>
      </c>
      <c r="S544" t="str">
        <f>_xll.BDP("915547FM Muni","BB_COMPOSITE")</f>
        <v>#N/A Requesting Data...</v>
      </c>
      <c r="T544" t="str">
        <f>_xll.BDP("915547FM Muni","LQA_LIQUIDITY_SCORE")</f>
        <v>#N/A Requesting Data...</v>
      </c>
    </row>
    <row r="545" spans="1:20" x14ac:dyDescent="0.25">
      <c r="A545" t="str">
        <f>_xll.BDP("915547FN Muni","ID_CUSIP")</f>
        <v>#N/A Requesting Data...</v>
      </c>
      <c r="B545" t="s">
        <v>58</v>
      </c>
      <c r="C545" t="str">
        <f>_xll.BDP("915547FN Muni","INSURANCE_STATUS")</f>
        <v>#N/A Requesting Data...</v>
      </c>
      <c r="D545" t="str">
        <f>_xll.BDP("915547FN Muni","STATE_CODE")</f>
        <v>#N/A Requesting Data...</v>
      </c>
      <c r="E545" t="str">
        <f>_xll.BDP("915547FN Muni","COUNTY_LOCATION_ISSUER")</f>
        <v>#N/A Requesting Data...</v>
      </c>
      <c r="F545" t="str">
        <f>_xll.BDP("915547FN Muni","DUR_ADJ_MID")</f>
        <v>#N/A Requesting Data...</v>
      </c>
      <c r="G545" t="str">
        <f>_xll.BDP("915547FN Muni","SPREAD_AT_ISSUANCE_TO_WORST")</f>
        <v>#N/A Requesting Data...</v>
      </c>
      <c r="H545" t="str">
        <f>_xll.BDP("915547FN Muni","ISSUE_DT")</f>
        <v>#N/A Requesting Data...</v>
      </c>
      <c r="I545" t="str">
        <f>_xll.BDS("915547FN Muni","MUNI_PURPOSE_SCHED", "aggregate=y")</f>
        <v>#N/A Review</v>
      </c>
      <c r="J545" t="str">
        <f>_xll.BDP("915547FN Muni","CPN")</f>
        <v>#N/A Requesting Data...</v>
      </c>
      <c r="K545" t="str">
        <f>_xll.BDP("915547FN Muni","MATURITY")</f>
        <v>#N/A Requesting Data...</v>
      </c>
      <c r="L545">
        <v>750000</v>
      </c>
      <c r="M545" t="str">
        <f>_xll.BDP("915547FN Muni","YIELD_ON_ISSUE_DATE")</f>
        <v>#N/A Requesting Data...</v>
      </c>
      <c r="N545" t="str">
        <f>_xll.BDP("915547FN Muni","YTW_SPREAD_TO_MATURITY_AT_ISSU")</f>
        <v>#N/A Requesting Data...</v>
      </c>
      <c r="O545" t="str">
        <f>_xll.BDP("915547FN Muni","BVAL_MID_YTM")</f>
        <v>#N/A Requesting Data...</v>
      </c>
      <c r="P545" t="str">
        <f>_xll.BDP("915547FN Muni","MUNI_TAX_PROV")</f>
        <v>#N/A Requesting Data...</v>
      </c>
      <c r="Q545" t="str">
        <f>_xll.BDP("915547FN Muni","MUNI_FED_TAX")</f>
        <v>#N/A Requesting Data...</v>
      </c>
      <c r="R545" t="str">
        <f>_xll.BDP("915547FN Muni","MUNI_MSRB_VOLUME")</f>
        <v>#N/A Requesting Data...</v>
      </c>
      <c r="S545" t="str">
        <f>_xll.BDP("915547FN Muni","BB_COMPOSITE")</f>
        <v>#N/A Requesting Data...</v>
      </c>
      <c r="T545" t="str">
        <f>_xll.BDP("915547FN Muni","LQA_LIQUIDITY_SCORE")</f>
        <v>#N/A Requesting Data...</v>
      </c>
    </row>
    <row r="546" spans="1:20" x14ac:dyDescent="0.25">
      <c r="A546" t="str">
        <f>_xll.BDP("916091GB Muni","ID_CUSIP")</f>
        <v>#N/A Requesting Data...</v>
      </c>
      <c r="B546" t="s">
        <v>90</v>
      </c>
      <c r="C546" t="str">
        <f>_xll.BDP("916091GB Muni","INSURANCE_STATUS")</f>
        <v>#N/A Requesting Data...</v>
      </c>
      <c r="D546" t="str">
        <f>_xll.BDP("916091GB Muni","STATE_CODE")</f>
        <v>#N/A Requesting Data...</v>
      </c>
      <c r="E546" t="str">
        <f>_xll.BDP("916091GB Muni","COUNTY_LOCATION_ISSUER")</f>
        <v>#N/A Requesting Data...</v>
      </c>
      <c r="F546" t="str">
        <f>_xll.BDP("916091GB Muni","DUR_ADJ_MID")</f>
        <v>#N/A Requesting Data...</v>
      </c>
      <c r="G546" t="str">
        <f>_xll.BDP("916091GB Muni","SPREAD_AT_ISSUANCE_TO_WORST")</f>
        <v>#N/A Requesting Data...</v>
      </c>
      <c r="H546" t="str">
        <f>_xll.BDP("916091GB Muni","ISSUE_DT")</f>
        <v>#N/A Requesting Data...</v>
      </c>
      <c r="I546" t="str">
        <f>_xll.BDS("916091GB Muni","MUNI_PURPOSE_SCHED", "aggregate=y")</f>
        <v>#N/A Review</v>
      </c>
      <c r="J546" t="str">
        <f>_xll.BDP("916091GB Muni","CPN")</f>
        <v>#N/A Requesting Data...</v>
      </c>
      <c r="K546" t="str">
        <f>_xll.BDP("916091GB Muni","MATURITY")</f>
        <v>#N/A Requesting Data...</v>
      </c>
      <c r="L546">
        <v>295000</v>
      </c>
      <c r="M546" t="str">
        <f>_xll.BDP("916091GB Muni","YIELD_ON_ISSUE_DATE")</f>
        <v>#N/A Requesting Data...</v>
      </c>
      <c r="N546" t="str">
        <f>_xll.BDP("916091GB Muni","YTW_SPREAD_TO_MATURITY_AT_ISSU")</f>
        <v>#N/A Requesting Data...</v>
      </c>
      <c r="O546" t="str">
        <f>_xll.BDP("916091GB Muni","BVAL_MID_YTM")</f>
        <v>#N/A Requesting Data...</v>
      </c>
      <c r="P546" t="str">
        <f>_xll.BDP("916091GB Muni","MUNI_TAX_PROV")</f>
        <v>#N/A Requesting Data...</v>
      </c>
      <c r="Q546" t="str">
        <f>_xll.BDP("916091GB Muni","MUNI_FED_TAX")</f>
        <v>#N/A Requesting Data...</v>
      </c>
      <c r="R546" t="str">
        <f>_xll.BDP("916091GB Muni","MUNI_MSRB_VOLUME")</f>
        <v>#N/A Requesting Data...</v>
      </c>
      <c r="S546" t="str">
        <f>_xll.BDP("916091GB Muni","BB_COMPOSITE")</f>
        <v>#N/A Requesting Data...</v>
      </c>
      <c r="T546" t="str">
        <f>_xll.BDP("916091GB Muni","LQA_LIQUIDITY_SCORE")</f>
        <v>#N/A Requesting Data...</v>
      </c>
    </row>
    <row r="547" spans="1:20" x14ac:dyDescent="0.25">
      <c r="A547" t="str">
        <f>_xll.BDP("811403UB Muni","ID_CUSIP")</f>
        <v>#N/A Requesting Data...</v>
      </c>
      <c r="B547" t="s">
        <v>234</v>
      </c>
      <c r="C547" t="str">
        <f>_xll.BDP("811403UB Muni","INSURANCE_STATUS")</f>
        <v>#N/A Requesting Data...</v>
      </c>
      <c r="D547" t="str">
        <f>_xll.BDP("811403UB Muni","STATE_CODE")</f>
        <v>#N/A Requesting Data...</v>
      </c>
      <c r="E547" t="str">
        <f>_xll.BDP("811403UB Muni","COUNTY_LOCATION_ISSUER")</f>
        <v>#N/A Requesting Data...</v>
      </c>
      <c r="F547" t="str">
        <f>_xll.BDP("811403UB Muni","DUR_ADJ_MID")</f>
        <v>#N/A Requesting Data...</v>
      </c>
      <c r="G547" t="str">
        <f>_xll.BDP("811403UB Muni","SPREAD_AT_ISSUANCE_TO_WORST")</f>
        <v>#N/A Requesting Data...</v>
      </c>
      <c r="H547" t="str">
        <f>_xll.BDP("811403UB Muni","ISSUE_DT")</f>
        <v>#N/A Requesting Data...</v>
      </c>
      <c r="I547" t="str">
        <f>_xll.BDS("811403UB Muni","MUNI_PURPOSE_SCHED", "aggregate=y")</f>
        <v>#N/A Review</v>
      </c>
      <c r="J547" t="str">
        <f>_xll.BDP("811403UB Muni","CPN")</f>
        <v>#N/A Requesting Data...</v>
      </c>
      <c r="K547" t="str">
        <f>_xll.BDP("811403UB Muni","MATURITY")</f>
        <v>#N/A Requesting Data...</v>
      </c>
      <c r="L547">
        <v>1030000</v>
      </c>
      <c r="M547" t="str">
        <f>_xll.BDP("811403UB Muni","YIELD_ON_ISSUE_DATE")</f>
        <v>#N/A Requesting Data...</v>
      </c>
      <c r="N547" t="str">
        <f>_xll.BDP("811403UB Muni","YTW_SPREAD_TO_MATURITY_AT_ISSU")</f>
        <v>#N/A Requesting Data...</v>
      </c>
      <c r="O547" t="str">
        <f>_xll.BDP("811403UB Muni","BVAL_MID_YTM")</f>
        <v>#N/A Requesting Data...</v>
      </c>
      <c r="P547" t="str">
        <f>_xll.BDP("811403UB Muni","MUNI_TAX_PROV")</f>
        <v>#N/A Requesting Data...</v>
      </c>
      <c r="Q547" t="str">
        <f>_xll.BDP("811403UB Muni","MUNI_FED_TAX")</f>
        <v>#N/A Requesting Data...</v>
      </c>
      <c r="R547" t="str">
        <f>_xll.BDP("811403UB Muni","MUNI_MSRB_VOLUME")</f>
        <v>#N/A Requesting Data...</v>
      </c>
      <c r="S547" t="str">
        <f>_xll.BDP("811403UB Muni","BB_COMPOSITE")</f>
        <v>#N/A Requesting Data...</v>
      </c>
      <c r="T547" t="str">
        <f>_xll.BDP("811403UB Muni","LQA_LIQUIDITY_SCORE")</f>
        <v>#N/A Requesting Data...</v>
      </c>
    </row>
    <row r="548" spans="1:20" x14ac:dyDescent="0.25">
      <c r="A548" t="str">
        <f>_xll.BDP("811692KT Muni","ID_CUSIP")</f>
        <v>#N/A Requesting Data...</v>
      </c>
      <c r="B548" t="s">
        <v>235</v>
      </c>
      <c r="C548" t="str">
        <f>_xll.BDP("811692KT Muni","INSURANCE_STATUS")</f>
        <v>#N/A Requesting Data...</v>
      </c>
      <c r="D548" t="str">
        <f>_xll.BDP("811692KT Muni","STATE_CODE")</f>
        <v>#N/A Requesting Data...</v>
      </c>
      <c r="E548" t="str">
        <f>_xll.BDP("811692KT Muni","COUNTY_LOCATION_ISSUER")</f>
        <v>#N/A Requesting Data...</v>
      </c>
      <c r="F548" t="str">
        <f>_xll.BDP("811692KT Muni","DUR_ADJ_MID")</f>
        <v>#N/A Requesting Data...</v>
      </c>
      <c r="G548" t="str">
        <f>_xll.BDP("811692KT Muni","SPREAD_AT_ISSUANCE_TO_WORST")</f>
        <v>#N/A Requesting Data...</v>
      </c>
      <c r="H548" t="str">
        <f>_xll.BDP("811692KT Muni","ISSUE_DT")</f>
        <v>#N/A Requesting Data...</v>
      </c>
      <c r="I548" t="str">
        <f>_xll.BDS("811692KT Muni","MUNI_PURPOSE_SCHED", "aggregate=y")</f>
        <v>#N/A Review</v>
      </c>
      <c r="J548" t="str">
        <f>_xll.BDP("811692KT Muni","CPN")</f>
        <v>#N/A Requesting Data...</v>
      </c>
      <c r="K548" t="str">
        <f>_xll.BDP("811692KT Muni","MATURITY")</f>
        <v>#N/A Requesting Data...</v>
      </c>
      <c r="L548">
        <v>185000</v>
      </c>
      <c r="M548" t="str">
        <f>_xll.BDP("811692KT Muni","YIELD_ON_ISSUE_DATE")</f>
        <v>#N/A Requesting Data...</v>
      </c>
      <c r="N548" t="str">
        <f>_xll.BDP("811692KT Muni","YTW_SPREAD_TO_MATURITY_AT_ISSU")</f>
        <v>#N/A Requesting Data...</v>
      </c>
      <c r="O548" t="str">
        <f>_xll.BDP("811692KT Muni","BVAL_MID_YTM")</f>
        <v>#N/A Requesting Data...</v>
      </c>
      <c r="P548" t="str">
        <f>_xll.BDP("811692KT Muni","MUNI_TAX_PROV")</f>
        <v>#N/A Requesting Data...</v>
      </c>
      <c r="Q548" t="str">
        <f>_xll.BDP("811692KT Muni","MUNI_FED_TAX")</f>
        <v>#N/A Requesting Data...</v>
      </c>
      <c r="R548" t="str">
        <f>_xll.BDP("811692KT Muni","MUNI_MSRB_VOLUME")</f>
        <v>#N/A Requesting Data...</v>
      </c>
      <c r="S548" t="str">
        <f>_xll.BDP("811692KT Muni","BB_COMPOSITE")</f>
        <v>#N/A Requesting Data...</v>
      </c>
      <c r="T548" t="str">
        <f>_xll.BDP("811692KT Muni","LQA_LIQUIDITY_SCORE")</f>
        <v>#N/A Requesting Data...</v>
      </c>
    </row>
    <row r="549" spans="1:20" x14ac:dyDescent="0.25">
      <c r="A549" t="str">
        <f>_xll.BDP("811692KU Muni","ID_CUSIP")</f>
        <v>#N/A Requesting Data...</v>
      </c>
      <c r="B549" t="s">
        <v>235</v>
      </c>
      <c r="C549" t="str">
        <f>_xll.BDP("811692KU Muni","INSURANCE_STATUS")</f>
        <v>#N/A Requesting Data...</v>
      </c>
      <c r="D549" t="str">
        <f>_xll.BDP("811692KU Muni","STATE_CODE")</f>
        <v>#N/A Requesting Data...</v>
      </c>
      <c r="E549" t="str">
        <f>_xll.BDP("811692KU Muni","COUNTY_LOCATION_ISSUER")</f>
        <v>#N/A Requesting Data...</v>
      </c>
      <c r="F549" t="str">
        <f>_xll.BDP("811692KU Muni","DUR_ADJ_MID")</f>
        <v>#N/A Requesting Data...</v>
      </c>
      <c r="G549" t="str">
        <f>_xll.BDP("811692KU Muni","SPREAD_AT_ISSUANCE_TO_WORST")</f>
        <v>#N/A Requesting Data...</v>
      </c>
      <c r="H549" t="str">
        <f>_xll.BDP("811692KU Muni","ISSUE_DT")</f>
        <v>#N/A Requesting Data...</v>
      </c>
      <c r="I549" t="str">
        <f>_xll.BDS("811692KU Muni","MUNI_PURPOSE_SCHED", "aggregate=y")</f>
        <v>#N/A Review</v>
      </c>
      <c r="J549" t="str">
        <f>_xll.BDP("811692KU Muni","CPN")</f>
        <v>#N/A Requesting Data...</v>
      </c>
      <c r="K549" t="str">
        <f>_xll.BDP("811692KU Muni","MATURITY")</f>
        <v>#N/A Requesting Data...</v>
      </c>
      <c r="L549">
        <v>190000</v>
      </c>
      <c r="M549" t="str">
        <f>_xll.BDP("811692KU Muni","YIELD_ON_ISSUE_DATE")</f>
        <v>#N/A Requesting Data...</v>
      </c>
      <c r="N549" t="str">
        <f>_xll.BDP("811692KU Muni","YTW_SPREAD_TO_MATURITY_AT_ISSU")</f>
        <v>#N/A Requesting Data...</v>
      </c>
      <c r="O549" t="str">
        <f>_xll.BDP("811692KU Muni","BVAL_MID_YTM")</f>
        <v>#N/A Requesting Data...</v>
      </c>
      <c r="P549" t="str">
        <f>_xll.BDP("811692KU Muni","MUNI_TAX_PROV")</f>
        <v>#N/A Requesting Data...</v>
      </c>
      <c r="Q549" t="str">
        <f>_xll.BDP("811692KU Muni","MUNI_FED_TAX")</f>
        <v>#N/A Requesting Data...</v>
      </c>
      <c r="R549" t="str">
        <f>_xll.BDP("811692KU Muni","MUNI_MSRB_VOLUME")</f>
        <v>#N/A Requesting Data...</v>
      </c>
      <c r="S549" t="str">
        <f>_xll.BDP("811692KU Muni","BB_COMPOSITE")</f>
        <v>#N/A Requesting Data...</v>
      </c>
      <c r="T549" t="str">
        <f>_xll.BDP("811692KU Muni","LQA_LIQUIDITY_SCORE")</f>
        <v>#N/A Requesting Data...</v>
      </c>
    </row>
    <row r="550" spans="1:20" x14ac:dyDescent="0.25">
      <c r="A550" t="str">
        <f>_xll.BDP("724649G7 Muni","ID_CUSIP")</f>
        <v>#N/A Requesting Data...</v>
      </c>
      <c r="B550" t="s">
        <v>225</v>
      </c>
      <c r="C550" t="str">
        <f>_xll.BDP("724649G7 Muni","INSURANCE_STATUS")</f>
        <v>#N/A Requesting Data...</v>
      </c>
      <c r="D550" t="str">
        <f>_xll.BDP("724649G7 Muni","STATE_CODE")</f>
        <v>#N/A Requesting Data...</v>
      </c>
      <c r="E550" t="str">
        <f>_xll.BDP("724649G7 Muni","COUNTY_LOCATION_ISSUER")</f>
        <v>#N/A Requesting Data...</v>
      </c>
      <c r="F550" t="str">
        <f>_xll.BDP("724649G7 Muni","DUR_ADJ_MID")</f>
        <v>#N/A Requesting Data...</v>
      </c>
      <c r="G550" t="str">
        <f>_xll.BDP("724649G7 Muni","SPREAD_AT_ISSUANCE_TO_WORST")</f>
        <v>#N/A Requesting Data...</v>
      </c>
      <c r="H550" t="str">
        <f>_xll.BDP("724649G7 Muni","ISSUE_DT")</f>
        <v>#N/A Requesting Data...</v>
      </c>
      <c r="I550" t="str">
        <f>_xll.BDS("724649G7 Muni","MUNI_PURPOSE_SCHED", "aggregate=y")</f>
        <v>#N/A Review</v>
      </c>
      <c r="J550" t="str">
        <f>_xll.BDP("724649G7 Muni","CPN")</f>
        <v>#N/A Requesting Data...</v>
      </c>
      <c r="K550" t="str">
        <f>_xll.BDP("724649G7 Muni","MATURITY")</f>
        <v>#N/A Requesting Data...</v>
      </c>
      <c r="L550">
        <v>280000</v>
      </c>
      <c r="M550" t="str">
        <f>_xll.BDP("724649G7 Muni","YIELD_ON_ISSUE_DATE")</f>
        <v>#N/A Requesting Data...</v>
      </c>
      <c r="N550" t="str">
        <f>_xll.BDP("724649G7 Muni","YTW_SPREAD_TO_MATURITY_AT_ISSU")</f>
        <v>#N/A Requesting Data...</v>
      </c>
      <c r="O550" t="str">
        <f>_xll.BDP("724649G7 Muni","BVAL_MID_YTM")</f>
        <v>#N/A Requesting Data...</v>
      </c>
      <c r="P550" t="str">
        <f>_xll.BDP("724649G7 Muni","MUNI_TAX_PROV")</f>
        <v>#N/A Requesting Data...</v>
      </c>
      <c r="Q550" t="str">
        <f>_xll.BDP("724649G7 Muni","MUNI_FED_TAX")</f>
        <v>#N/A Requesting Data...</v>
      </c>
      <c r="R550" t="str">
        <f>_xll.BDP("724649G7 Muni","MUNI_MSRB_VOLUME")</f>
        <v>#N/A Requesting Data...</v>
      </c>
      <c r="S550" t="str">
        <f>_xll.BDP("724649G7 Muni","BB_COMPOSITE")</f>
        <v>#N/A Requesting Data...</v>
      </c>
      <c r="T550" t="str">
        <f>_xll.BDP("724649G7 Muni","LQA_LIQUIDITY_SCORE")</f>
        <v>#N/A Requesting Data...</v>
      </c>
    </row>
    <row r="551" spans="1:20" x14ac:dyDescent="0.25">
      <c r="A551" t="str">
        <f>_xll.BDP("724649G8 Muni","ID_CUSIP")</f>
        <v>#N/A Requesting Data...</v>
      </c>
      <c r="B551" t="s">
        <v>225</v>
      </c>
      <c r="C551" t="str">
        <f>_xll.BDP("724649G8 Muni","INSURANCE_STATUS")</f>
        <v>#N/A Requesting Data...</v>
      </c>
      <c r="D551" t="str">
        <f>_xll.BDP("724649G8 Muni","STATE_CODE")</f>
        <v>#N/A Requesting Data...</v>
      </c>
      <c r="E551" t="str">
        <f>_xll.BDP("724649G8 Muni","COUNTY_LOCATION_ISSUER")</f>
        <v>#N/A Requesting Data...</v>
      </c>
      <c r="F551" t="str">
        <f>_xll.BDP("724649G8 Muni","DUR_ADJ_MID")</f>
        <v>#N/A Requesting Data...</v>
      </c>
      <c r="G551" t="str">
        <f>_xll.BDP("724649G8 Muni","SPREAD_AT_ISSUANCE_TO_WORST")</f>
        <v>#N/A Requesting Data...</v>
      </c>
      <c r="H551" t="str">
        <f>_xll.BDP("724649G8 Muni","ISSUE_DT")</f>
        <v>#N/A Requesting Data...</v>
      </c>
      <c r="I551" t="str">
        <f>_xll.BDS("724649G8 Muni","MUNI_PURPOSE_SCHED", "aggregate=y")</f>
        <v>#N/A Review</v>
      </c>
      <c r="J551" t="str">
        <f>_xll.BDP("724649G8 Muni","CPN")</f>
        <v>#N/A Requesting Data...</v>
      </c>
      <c r="K551" t="str">
        <f>_xll.BDP("724649G8 Muni","MATURITY")</f>
        <v>#N/A Requesting Data...</v>
      </c>
      <c r="L551">
        <v>285000</v>
      </c>
      <c r="M551" t="str">
        <f>_xll.BDP("724649G8 Muni","YIELD_ON_ISSUE_DATE")</f>
        <v>#N/A Requesting Data...</v>
      </c>
      <c r="N551" t="str">
        <f>_xll.BDP("724649G8 Muni","YTW_SPREAD_TO_MATURITY_AT_ISSU")</f>
        <v>#N/A Requesting Data...</v>
      </c>
      <c r="O551" t="str">
        <f>_xll.BDP("724649G8 Muni","BVAL_MID_YTM")</f>
        <v>#N/A Requesting Data...</v>
      </c>
      <c r="P551" t="str">
        <f>_xll.BDP("724649G8 Muni","MUNI_TAX_PROV")</f>
        <v>#N/A Requesting Data...</v>
      </c>
      <c r="Q551" t="str">
        <f>_xll.BDP("724649G8 Muni","MUNI_FED_TAX")</f>
        <v>#N/A Requesting Data...</v>
      </c>
      <c r="R551" t="str">
        <f>_xll.BDP("724649G8 Muni","MUNI_MSRB_VOLUME")</f>
        <v>#N/A Requesting Data...</v>
      </c>
      <c r="S551" t="str">
        <f>_xll.BDP("724649G8 Muni","BB_COMPOSITE")</f>
        <v>#N/A Requesting Data...</v>
      </c>
      <c r="T551" t="str">
        <f>_xll.BDP("724649G8 Muni","LQA_LIQUIDITY_SCORE")</f>
        <v>#N/A Requesting Data...</v>
      </c>
    </row>
    <row r="552" spans="1:20" x14ac:dyDescent="0.25">
      <c r="A552" t="str">
        <f>_xll.BDP("724649G9 Muni","ID_CUSIP")</f>
        <v>#N/A Requesting Data...</v>
      </c>
      <c r="B552" t="s">
        <v>225</v>
      </c>
      <c r="C552" t="str">
        <f>_xll.BDP("724649G9 Muni","INSURANCE_STATUS")</f>
        <v>#N/A Requesting Data...</v>
      </c>
      <c r="D552" t="str">
        <f>_xll.BDP("724649G9 Muni","STATE_CODE")</f>
        <v>#N/A Requesting Data...</v>
      </c>
      <c r="E552" t="str">
        <f>_xll.BDP("724649G9 Muni","COUNTY_LOCATION_ISSUER")</f>
        <v>#N/A Requesting Data...</v>
      </c>
      <c r="F552" t="str">
        <f>_xll.BDP("724649G9 Muni","DUR_ADJ_MID")</f>
        <v>#N/A Requesting Data...</v>
      </c>
      <c r="G552" t="str">
        <f>_xll.BDP("724649G9 Muni","SPREAD_AT_ISSUANCE_TO_WORST")</f>
        <v>#N/A Requesting Data...</v>
      </c>
      <c r="H552" t="str">
        <f>_xll.BDP("724649G9 Muni","ISSUE_DT")</f>
        <v>#N/A Requesting Data...</v>
      </c>
      <c r="I552" t="str">
        <f>_xll.BDS("724649G9 Muni","MUNI_PURPOSE_SCHED", "aggregate=y")</f>
        <v>#N/A Review</v>
      </c>
      <c r="J552" t="str">
        <f>_xll.BDP("724649G9 Muni","CPN")</f>
        <v>#N/A Requesting Data...</v>
      </c>
      <c r="K552" t="str">
        <f>_xll.BDP("724649G9 Muni","MATURITY")</f>
        <v>#N/A Requesting Data...</v>
      </c>
      <c r="L552">
        <v>290000</v>
      </c>
      <c r="M552" t="str">
        <f>_xll.BDP("724649G9 Muni","YIELD_ON_ISSUE_DATE")</f>
        <v>#N/A Requesting Data...</v>
      </c>
      <c r="N552" t="str">
        <f>_xll.BDP("724649G9 Muni","YTW_SPREAD_TO_MATURITY_AT_ISSU")</f>
        <v>#N/A Requesting Data...</v>
      </c>
      <c r="O552" t="str">
        <f>_xll.BDP("724649G9 Muni","BVAL_MID_YTM")</f>
        <v>#N/A Requesting Data...</v>
      </c>
      <c r="P552" t="str">
        <f>_xll.BDP("724649G9 Muni","MUNI_TAX_PROV")</f>
        <v>#N/A Requesting Data...</v>
      </c>
      <c r="Q552" t="str">
        <f>_xll.BDP("724649G9 Muni","MUNI_FED_TAX")</f>
        <v>#N/A Requesting Data...</v>
      </c>
      <c r="R552" t="str">
        <f>_xll.BDP("724649G9 Muni","MUNI_MSRB_VOLUME")</f>
        <v>#N/A Requesting Data...</v>
      </c>
      <c r="S552" t="str">
        <f>_xll.BDP("724649G9 Muni","BB_COMPOSITE")</f>
        <v>#N/A Requesting Data...</v>
      </c>
      <c r="T552" t="str">
        <f>_xll.BDP("724649G9 Muni","LQA_LIQUIDITY_SCORE")</f>
        <v>#N/A Requesting Data...</v>
      </c>
    </row>
    <row r="553" spans="1:20" x14ac:dyDescent="0.25">
      <c r="A553" t="str">
        <f>_xll.BDP("724649H2 Muni","ID_CUSIP")</f>
        <v>#N/A Requesting Data...</v>
      </c>
      <c r="B553" t="s">
        <v>225</v>
      </c>
      <c r="C553" t="str">
        <f>_xll.BDP("724649H2 Muni","INSURANCE_STATUS")</f>
        <v>#N/A Requesting Data...</v>
      </c>
      <c r="D553" t="str">
        <f>_xll.BDP("724649H2 Muni","STATE_CODE")</f>
        <v>#N/A Requesting Data...</v>
      </c>
      <c r="E553" t="str">
        <f>_xll.BDP("724649H2 Muni","COUNTY_LOCATION_ISSUER")</f>
        <v>#N/A Requesting Data...</v>
      </c>
      <c r="F553" t="str">
        <f>_xll.BDP("724649H2 Muni","DUR_ADJ_MID")</f>
        <v>#N/A Requesting Data...</v>
      </c>
      <c r="G553" t="str">
        <f>_xll.BDP("724649H2 Muni","SPREAD_AT_ISSUANCE_TO_WORST")</f>
        <v>#N/A Requesting Data...</v>
      </c>
      <c r="H553" t="str">
        <f>_xll.BDP("724649H2 Muni","ISSUE_DT")</f>
        <v>#N/A Requesting Data...</v>
      </c>
      <c r="I553" t="str">
        <f>_xll.BDS("724649H2 Muni","MUNI_PURPOSE_SCHED", "aggregate=y")</f>
        <v>#N/A Review</v>
      </c>
      <c r="J553" t="str">
        <f>_xll.BDP("724649H2 Muni","CPN")</f>
        <v>#N/A Requesting Data...</v>
      </c>
      <c r="K553" t="str">
        <f>_xll.BDP("724649H2 Muni","MATURITY")</f>
        <v>#N/A Requesting Data...</v>
      </c>
      <c r="L553">
        <v>295000</v>
      </c>
      <c r="M553" t="str">
        <f>_xll.BDP("724649H2 Muni","YIELD_ON_ISSUE_DATE")</f>
        <v>#N/A Requesting Data...</v>
      </c>
      <c r="N553" t="str">
        <f>_xll.BDP("724649H2 Muni","YTW_SPREAD_TO_MATURITY_AT_ISSU")</f>
        <v>#N/A Requesting Data...</v>
      </c>
      <c r="O553" t="str">
        <f>_xll.BDP("724649H2 Muni","BVAL_MID_YTM")</f>
        <v>#N/A Requesting Data...</v>
      </c>
      <c r="P553" t="str">
        <f>_xll.BDP("724649H2 Muni","MUNI_TAX_PROV")</f>
        <v>#N/A Requesting Data...</v>
      </c>
      <c r="Q553" t="str">
        <f>_xll.BDP("724649H2 Muni","MUNI_FED_TAX")</f>
        <v>#N/A Requesting Data...</v>
      </c>
      <c r="R553" t="str">
        <f>_xll.BDP("724649H2 Muni","MUNI_MSRB_VOLUME")</f>
        <v>#N/A Requesting Data...</v>
      </c>
      <c r="S553" t="str">
        <f>_xll.BDP("724649H2 Muni","BB_COMPOSITE")</f>
        <v>#N/A Requesting Data...</v>
      </c>
      <c r="T553" t="str">
        <f>_xll.BDP("724649H2 Muni","LQA_LIQUIDITY_SCORE")</f>
        <v>#N/A Requesting Data...</v>
      </c>
    </row>
    <row r="554" spans="1:20" x14ac:dyDescent="0.25">
      <c r="A554" t="str">
        <f>_xll.BDP("717087B6 Muni","ID_CUSIP")</f>
        <v>#N/A Requesting Data...</v>
      </c>
      <c r="B554" t="s">
        <v>236</v>
      </c>
      <c r="C554" t="str">
        <f>_xll.BDP("717087B6 Muni","INSURANCE_STATUS")</f>
        <v>#N/A Requesting Data...</v>
      </c>
      <c r="D554" t="str">
        <f>_xll.BDP("717087B6 Muni","STATE_CODE")</f>
        <v>#N/A Requesting Data...</v>
      </c>
      <c r="E554" t="str">
        <f>_xll.BDP("717087B6 Muni","COUNTY_LOCATION_ISSUER")</f>
        <v>#N/A Requesting Data...</v>
      </c>
      <c r="F554" t="str">
        <f>_xll.BDP("717087B6 Muni","DUR_ADJ_MID")</f>
        <v>#N/A Requesting Data...</v>
      </c>
      <c r="G554" t="str">
        <f>_xll.BDP("717087B6 Muni","SPREAD_AT_ISSUANCE_TO_WORST")</f>
        <v>#N/A Requesting Data...</v>
      </c>
      <c r="H554" t="str">
        <f>_xll.BDP("717087B6 Muni","ISSUE_DT")</f>
        <v>#N/A Requesting Data...</v>
      </c>
      <c r="I554" t="str">
        <f>_xll.BDS("717087B6 Muni","MUNI_PURPOSE_SCHED", "aggregate=y")</f>
        <v>#N/A Review</v>
      </c>
      <c r="J554" t="str">
        <f>_xll.BDP("717087B6 Muni","CPN")</f>
        <v>#N/A Requesting Data...</v>
      </c>
      <c r="K554" t="str">
        <f>_xll.BDP("717087B6 Muni","MATURITY")</f>
        <v>#N/A Requesting Data...</v>
      </c>
      <c r="L554">
        <v>120000</v>
      </c>
      <c r="M554" t="str">
        <f>_xll.BDP("717087B6 Muni","YIELD_ON_ISSUE_DATE")</f>
        <v>#N/A Requesting Data...</v>
      </c>
      <c r="N554" t="str">
        <f>_xll.BDP("717087B6 Muni","YTW_SPREAD_TO_MATURITY_AT_ISSU")</f>
        <v>#N/A Requesting Data...</v>
      </c>
      <c r="O554" t="str">
        <f>_xll.BDP("717087B6 Muni","BVAL_MID_YTM")</f>
        <v>#N/A Requesting Data...</v>
      </c>
      <c r="P554" t="str">
        <f>_xll.BDP("717087B6 Muni","MUNI_TAX_PROV")</f>
        <v>#N/A Requesting Data...</v>
      </c>
      <c r="Q554" t="str">
        <f>_xll.BDP("717087B6 Muni","MUNI_FED_TAX")</f>
        <v>#N/A Requesting Data...</v>
      </c>
      <c r="R554" t="str">
        <f>_xll.BDP("717087B6 Muni","MUNI_MSRB_VOLUME")</f>
        <v>#N/A Requesting Data...</v>
      </c>
      <c r="S554" t="str">
        <f>_xll.BDP("717087B6 Muni","BB_COMPOSITE")</f>
        <v>#N/A Requesting Data...</v>
      </c>
      <c r="T554" t="str">
        <f>_xll.BDP("717087B6 Muni","LQA_LIQUIDITY_SCORE")</f>
        <v>#N/A Requesting Data...</v>
      </c>
    </row>
    <row r="555" spans="1:20" x14ac:dyDescent="0.25">
      <c r="A555" t="str">
        <f>_xll.BDP("717087B8 Muni","ID_CUSIP")</f>
        <v>#N/A Requesting Data...</v>
      </c>
      <c r="B555" t="s">
        <v>236</v>
      </c>
      <c r="C555" t="str">
        <f>_xll.BDP("717087B8 Muni","INSURANCE_STATUS")</f>
        <v>#N/A Requesting Data...</v>
      </c>
      <c r="D555" t="str">
        <f>_xll.BDP("717087B8 Muni","STATE_CODE")</f>
        <v>#N/A Requesting Data...</v>
      </c>
      <c r="E555" t="str">
        <f>_xll.BDP("717087B8 Muni","COUNTY_LOCATION_ISSUER")</f>
        <v>#N/A Requesting Data...</v>
      </c>
      <c r="F555" t="str">
        <f>_xll.BDP("717087B8 Muni","DUR_ADJ_MID")</f>
        <v>#N/A Requesting Data...</v>
      </c>
      <c r="G555" t="str">
        <f>_xll.BDP("717087B8 Muni","SPREAD_AT_ISSUANCE_TO_WORST")</f>
        <v>#N/A Requesting Data...</v>
      </c>
      <c r="H555" t="str">
        <f>_xll.BDP("717087B8 Muni","ISSUE_DT")</f>
        <v>#N/A Requesting Data...</v>
      </c>
      <c r="I555" t="str">
        <f>_xll.BDS("717087B8 Muni","MUNI_PURPOSE_SCHED", "aggregate=y")</f>
        <v>#N/A Review</v>
      </c>
      <c r="J555" t="str">
        <f>_xll.BDP("717087B8 Muni","CPN")</f>
        <v>#N/A Requesting Data...</v>
      </c>
      <c r="K555" t="str">
        <f>_xll.BDP("717087B8 Muni","MATURITY")</f>
        <v>#N/A Requesting Data...</v>
      </c>
      <c r="L555">
        <v>115000</v>
      </c>
      <c r="M555" t="str">
        <f>_xll.BDP("717087B8 Muni","YIELD_ON_ISSUE_DATE")</f>
        <v>#N/A Requesting Data...</v>
      </c>
      <c r="N555" t="str">
        <f>_xll.BDP("717087B8 Muni","YTW_SPREAD_TO_MATURITY_AT_ISSU")</f>
        <v>#N/A Requesting Data...</v>
      </c>
      <c r="O555" t="str">
        <f>_xll.BDP("717087B8 Muni","BVAL_MID_YTM")</f>
        <v>#N/A Requesting Data...</v>
      </c>
      <c r="P555" t="str">
        <f>_xll.BDP("717087B8 Muni","MUNI_TAX_PROV")</f>
        <v>#N/A Requesting Data...</v>
      </c>
      <c r="Q555" t="str">
        <f>_xll.BDP("717087B8 Muni","MUNI_FED_TAX")</f>
        <v>#N/A Requesting Data...</v>
      </c>
      <c r="R555" t="str">
        <f>_xll.BDP("717087B8 Muni","MUNI_MSRB_VOLUME")</f>
        <v>#N/A Requesting Data...</v>
      </c>
      <c r="S555" t="str">
        <f>_xll.BDP("717087B8 Muni","BB_COMPOSITE")</f>
        <v>#N/A Requesting Data...</v>
      </c>
      <c r="T555" t="str">
        <f>_xll.BDP("717087B8 Muni","LQA_LIQUIDITY_SCORE")</f>
        <v>#N/A Requesting Data...</v>
      </c>
    </row>
    <row r="556" spans="1:20" x14ac:dyDescent="0.25">
      <c r="A556" t="str">
        <f>_xll.BDP("717087C2 Muni","ID_CUSIP")</f>
        <v>#N/A Requesting Data...</v>
      </c>
      <c r="B556" t="s">
        <v>236</v>
      </c>
      <c r="C556" t="str">
        <f>_xll.BDP("717087C2 Muni","INSURANCE_STATUS")</f>
        <v>#N/A Requesting Data...</v>
      </c>
      <c r="D556" t="str">
        <f>_xll.BDP("717087C2 Muni","STATE_CODE")</f>
        <v>#N/A Requesting Data...</v>
      </c>
      <c r="E556" t="str">
        <f>_xll.BDP("717087C2 Muni","COUNTY_LOCATION_ISSUER")</f>
        <v>#N/A Requesting Data...</v>
      </c>
      <c r="F556" t="str">
        <f>_xll.BDP("717087C2 Muni","DUR_ADJ_MID")</f>
        <v>#N/A Requesting Data...</v>
      </c>
      <c r="G556" t="str">
        <f>_xll.BDP("717087C2 Muni","SPREAD_AT_ISSUANCE_TO_WORST")</f>
        <v>#N/A Requesting Data...</v>
      </c>
      <c r="H556" t="str">
        <f>_xll.BDP("717087C2 Muni","ISSUE_DT")</f>
        <v>#N/A Requesting Data...</v>
      </c>
      <c r="I556" t="str">
        <f>_xll.BDS("717087C2 Muni","MUNI_PURPOSE_SCHED", "aggregate=y")</f>
        <v>#N/A Review</v>
      </c>
      <c r="J556" t="str">
        <f>_xll.BDP("717087C2 Muni","CPN")</f>
        <v>#N/A Requesting Data...</v>
      </c>
      <c r="K556" t="str">
        <f>_xll.BDP("717087C2 Muni","MATURITY")</f>
        <v>#N/A Requesting Data...</v>
      </c>
      <c r="L556">
        <v>125000</v>
      </c>
      <c r="M556" t="str">
        <f>_xll.BDP("717087C2 Muni","YIELD_ON_ISSUE_DATE")</f>
        <v>#N/A Requesting Data...</v>
      </c>
      <c r="N556" t="str">
        <f>_xll.BDP("717087C2 Muni","YTW_SPREAD_TO_MATURITY_AT_ISSU")</f>
        <v>#N/A Requesting Data...</v>
      </c>
      <c r="O556" t="str">
        <f>_xll.BDP("717087C2 Muni","BVAL_MID_YTM")</f>
        <v>#N/A Requesting Data...</v>
      </c>
      <c r="P556" t="str">
        <f>_xll.BDP("717087C2 Muni","MUNI_TAX_PROV")</f>
        <v>#N/A Requesting Data...</v>
      </c>
      <c r="Q556" t="str">
        <f>_xll.BDP("717087C2 Muni","MUNI_FED_TAX")</f>
        <v>#N/A Requesting Data...</v>
      </c>
      <c r="R556" t="str">
        <f>_xll.BDP("717087C2 Muni","MUNI_MSRB_VOLUME")</f>
        <v>#N/A Requesting Data...</v>
      </c>
      <c r="S556" t="str">
        <f>_xll.BDP("717087C2 Muni","BB_COMPOSITE")</f>
        <v>#N/A Requesting Data...</v>
      </c>
      <c r="T556" t="str">
        <f>_xll.BDP("717087C2 Muni","LQA_LIQUIDITY_SCORE")</f>
        <v>#N/A Requesting Data...</v>
      </c>
    </row>
    <row r="557" spans="1:20" x14ac:dyDescent="0.25">
      <c r="A557" t="str">
        <f>_xll.BDP("266518CW Muni","ID_CUSIP")</f>
        <v>#N/A Requesting Data...</v>
      </c>
      <c r="B557" t="s">
        <v>237</v>
      </c>
      <c r="C557" t="str">
        <f>_xll.BDP("266518CW Muni","INSURANCE_STATUS")</f>
        <v>#N/A Requesting Data...</v>
      </c>
      <c r="D557" t="str">
        <f>_xll.BDP("266518CW Muni","STATE_CODE")</f>
        <v>#N/A Requesting Data...</v>
      </c>
      <c r="E557" t="str">
        <f>_xll.BDP("266518CW Muni","COUNTY_LOCATION_ISSUER")</f>
        <v>#N/A Requesting Data...</v>
      </c>
      <c r="F557" t="str">
        <f>_xll.BDP("266518CW Muni","DUR_ADJ_MID")</f>
        <v>#N/A Requesting Data...</v>
      </c>
      <c r="G557" t="str">
        <f>_xll.BDP("266518CW Muni","SPREAD_AT_ISSUANCE_TO_WORST")</f>
        <v>#N/A Requesting Data...</v>
      </c>
      <c r="H557" t="str">
        <f>_xll.BDP("266518CW Muni","ISSUE_DT")</f>
        <v>#N/A Requesting Data...</v>
      </c>
      <c r="I557" t="str">
        <f>_xll.BDS("266518CW Muni","MUNI_PURPOSE_SCHED", "aggregate=y")</f>
        <v>#N/A Review</v>
      </c>
      <c r="J557" t="str">
        <f>_xll.BDP("266518CW Muni","CPN")</f>
        <v>#N/A Requesting Data...</v>
      </c>
      <c r="K557" t="str">
        <f>_xll.BDP("266518CW Muni","MATURITY")</f>
        <v>#N/A Requesting Data...</v>
      </c>
      <c r="L557">
        <v>300000</v>
      </c>
      <c r="M557" t="str">
        <f>_xll.BDP("266518CW Muni","YIELD_ON_ISSUE_DATE")</f>
        <v>#N/A Requesting Data...</v>
      </c>
      <c r="N557" t="str">
        <f>_xll.BDP("266518CW Muni","YTW_SPREAD_TO_MATURITY_AT_ISSU")</f>
        <v>#N/A Requesting Data...</v>
      </c>
      <c r="O557" t="str">
        <f>_xll.BDP("266518CW Muni","BVAL_MID_YTM")</f>
        <v>#N/A Requesting Data...</v>
      </c>
      <c r="P557" t="str">
        <f>_xll.BDP("266518CW Muni","MUNI_TAX_PROV")</f>
        <v>#N/A Requesting Data...</v>
      </c>
      <c r="Q557" t="str">
        <f>_xll.BDP("266518CW Muni","MUNI_FED_TAX")</f>
        <v>#N/A Requesting Data...</v>
      </c>
      <c r="R557" t="str">
        <f>_xll.BDP("266518CW Muni","MUNI_MSRB_VOLUME")</f>
        <v>#N/A Requesting Data...</v>
      </c>
      <c r="S557" t="str">
        <f>_xll.BDP("266518CW Muni","BB_COMPOSITE")</f>
        <v>#N/A Requesting Data...</v>
      </c>
      <c r="T557" t="str">
        <f>_xll.BDP("266518CW Muni","LQA_LIQUIDITY_SCORE")</f>
        <v>#N/A Requesting Data...</v>
      </c>
    </row>
    <row r="558" spans="1:20" x14ac:dyDescent="0.25">
      <c r="A558" t="str">
        <f>_xll.BDP("104889A2 Muni","ID_CUSIP")</f>
        <v>#N/A Requesting Data...</v>
      </c>
      <c r="B558" t="s">
        <v>134</v>
      </c>
      <c r="C558" t="str">
        <f>_xll.BDP("104889A2 Muni","INSURANCE_STATUS")</f>
        <v>#N/A Requesting Data...</v>
      </c>
      <c r="D558" t="str">
        <f>_xll.BDP("104889A2 Muni","STATE_CODE")</f>
        <v>#N/A Requesting Data...</v>
      </c>
      <c r="E558" t="str">
        <f>_xll.BDP("104889A2 Muni","COUNTY_LOCATION_ISSUER")</f>
        <v>#N/A Requesting Data...</v>
      </c>
      <c r="F558" t="str">
        <f>_xll.BDP("104889A2 Muni","DUR_ADJ_MID")</f>
        <v>#N/A Requesting Data...</v>
      </c>
      <c r="G558" t="str">
        <f>_xll.BDP("104889A2 Muni","SPREAD_AT_ISSUANCE_TO_WORST")</f>
        <v>#N/A Requesting Data...</v>
      </c>
      <c r="H558" t="str">
        <f>_xll.BDP("104889A2 Muni","ISSUE_DT")</f>
        <v>#N/A Requesting Data...</v>
      </c>
      <c r="I558" t="str">
        <f>_xll.BDS("104889A2 Muni","MUNI_PURPOSE_SCHED", "aggregate=y")</f>
        <v>#N/A Review</v>
      </c>
      <c r="J558" t="str">
        <f>_xll.BDP("104889A2 Muni","CPN")</f>
        <v>#N/A Requesting Data...</v>
      </c>
      <c r="K558" t="str">
        <f>_xll.BDP("104889A2 Muni","MATURITY")</f>
        <v>#N/A Requesting Data...</v>
      </c>
      <c r="L558">
        <v>600000</v>
      </c>
      <c r="M558" t="str">
        <f>_xll.BDP("104889A2 Muni","YIELD_ON_ISSUE_DATE")</f>
        <v>#N/A Requesting Data...</v>
      </c>
      <c r="N558" t="str">
        <f>_xll.BDP("104889A2 Muni","YTW_SPREAD_TO_MATURITY_AT_ISSU")</f>
        <v>#N/A Requesting Data...</v>
      </c>
      <c r="O558" t="str">
        <f>_xll.BDP("104889A2 Muni","BVAL_MID_YTM")</f>
        <v>#N/A Requesting Data...</v>
      </c>
      <c r="P558" t="str">
        <f>_xll.BDP("104889A2 Muni","MUNI_TAX_PROV")</f>
        <v>#N/A Requesting Data...</v>
      </c>
      <c r="Q558" t="str">
        <f>_xll.BDP("104889A2 Muni","MUNI_FED_TAX")</f>
        <v>#N/A Requesting Data...</v>
      </c>
      <c r="R558" t="str">
        <f>_xll.BDP("104889A2 Muni","MUNI_MSRB_VOLUME")</f>
        <v>#N/A Requesting Data...</v>
      </c>
      <c r="S558" t="str">
        <f>_xll.BDP("104889A2 Muni","BB_COMPOSITE")</f>
        <v>#N/A Requesting Data...</v>
      </c>
      <c r="T558" t="str">
        <f>_xll.BDP("104889A2 Muni","LQA_LIQUIDITY_SCORE")</f>
        <v>#N/A Requesting Data...</v>
      </c>
    </row>
    <row r="559" spans="1:20" x14ac:dyDescent="0.25">
      <c r="A559" t="str">
        <f>_xll.BDP("104889A3 Muni","ID_CUSIP")</f>
        <v>#N/A Requesting Data...</v>
      </c>
      <c r="B559" t="s">
        <v>134</v>
      </c>
      <c r="C559" t="str">
        <f>_xll.BDP("104889A3 Muni","INSURANCE_STATUS")</f>
        <v>#N/A Requesting Data...</v>
      </c>
      <c r="D559" t="str">
        <f>_xll.BDP("104889A3 Muni","STATE_CODE")</f>
        <v>#N/A Requesting Data...</v>
      </c>
      <c r="E559" t="str">
        <f>_xll.BDP("104889A3 Muni","COUNTY_LOCATION_ISSUER")</f>
        <v>#N/A Requesting Data...</v>
      </c>
      <c r="F559" t="str">
        <f>_xll.BDP("104889A3 Muni","DUR_ADJ_MID")</f>
        <v>#N/A Requesting Data...</v>
      </c>
      <c r="G559" t="str">
        <f>_xll.BDP("104889A3 Muni","SPREAD_AT_ISSUANCE_TO_WORST")</f>
        <v>#N/A Requesting Data...</v>
      </c>
      <c r="H559" t="str">
        <f>_xll.BDP("104889A3 Muni","ISSUE_DT")</f>
        <v>#N/A Requesting Data...</v>
      </c>
      <c r="I559" t="str">
        <f>_xll.BDS("104889A3 Muni","MUNI_PURPOSE_SCHED", "aggregate=y")</f>
        <v>#N/A Review</v>
      </c>
      <c r="J559" t="str">
        <f>_xll.BDP("104889A3 Muni","CPN")</f>
        <v>#N/A Requesting Data...</v>
      </c>
      <c r="K559" t="str">
        <f>_xll.BDP("104889A3 Muni","MATURITY")</f>
        <v>#N/A Requesting Data...</v>
      </c>
      <c r="L559">
        <v>630000</v>
      </c>
      <c r="M559" t="str">
        <f>_xll.BDP("104889A3 Muni","YIELD_ON_ISSUE_DATE")</f>
        <v>#N/A Requesting Data...</v>
      </c>
      <c r="N559" t="str">
        <f>_xll.BDP("104889A3 Muni","YTW_SPREAD_TO_MATURITY_AT_ISSU")</f>
        <v>#N/A Requesting Data...</v>
      </c>
      <c r="O559" t="str">
        <f>_xll.BDP("104889A3 Muni","BVAL_MID_YTM")</f>
        <v>#N/A Requesting Data...</v>
      </c>
      <c r="P559" t="str">
        <f>_xll.BDP("104889A3 Muni","MUNI_TAX_PROV")</f>
        <v>#N/A Requesting Data...</v>
      </c>
      <c r="Q559" t="str">
        <f>_xll.BDP("104889A3 Muni","MUNI_FED_TAX")</f>
        <v>#N/A Requesting Data...</v>
      </c>
      <c r="R559" t="str">
        <f>_xll.BDP("104889A3 Muni","MUNI_MSRB_VOLUME")</f>
        <v>#N/A Requesting Data...</v>
      </c>
      <c r="S559" t="str">
        <f>_xll.BDP("104889A3 Muni","BB_COMPOSITE")</f>
        <v>#N/A Requesting Data...</v>
      </c>
      <c r="T559" t="str">
        <f>_xll.BDP("104889A3 Muni","LQA_LIQUIDITY_SCORE")</f>
        <v>#N/A Requesting Data...</v>
      </c>
    </row>
    <row r="560" spans="1:20" x14ac:dyDescent="0.25">
      <c r="A560" t="str">
        <f>_xll.BDP("104889A5 Muni","ID_CUSIP")</f>
        <v>#N/A Requesting Data...</v>
      </c>
      <c r="B560" t="s">
        <v>134</v>
      </c>
      <c r="C560" t="str">
        <f>_xll.BDP("104889A5 Muni","INSURANCE_STATUS")</f>
        <v>#N/A Requesting Data...</v>
      </c>
      <c r="D560" t="str">
        <f>_xll.BDP("104889A5 Muni","STATE_CODE")</f>
        <v>#N/A Requesting Data...</v>
      </c>
      <c r="E560" t="str">
        <f>_xll.BDP("104889A5 Muni","COUNTY_LOCATION_ISSUER")</f>
        <v>#N/A Requesting Data...</v>
      </c>
      <c r="F560" t="str">
        <f>_xll.BDP("104889A5 Muni","DUR_ADJ_MID")</f>
        <v>#N/A Requesting Data...</v>
      </c>
      <c r="G560" t="str">
        <f>_xll.BDP("104889A5 Muni","SPREAD_AT_ISSUANCE_TO_WORST")</f>
        <v>#N/A Requesting Data...</v>
      </c>
      <c r="H560" t="str">
        <f>_xll.BDP("104889A5 Muni","ISSUE_DT")</f>
        <v>#N/A Requesting Data...</v>
      </c>
      <c r="I560" t="str">
        <f>_xll.BDS("104889A5 Muni","MUNI_PURPOSE_SCHED", "aggregate=y")</f>
        <v>#N/A Review</v>
      </c>
      <c r="J560" t="str">
        <f>_xll.BDP("104889A5 Muni","CPN")</f>
        <v>#N/A Requesting Data...</v>
      </c>
      <c r="K560" t="str">
        <f>_xll.BDP("104889A5 Muni","MATURITY")</f>
        <v>#N/A Requesting Data...</v>
      </c>
      <c r="L560">
        <v>700000</v>
      </c>
      <c r="M560" t="str">
        <f>_xll.BDP("104889A5 Muni","YIELD_ON_ISSUE_DATE")</f>
        <v>#N/A Requesting Data...</v>
      </c>
      <c r="N560" t="str">
        <f>_xll.BDP("104889A5 Muni","YTW_SPREAD_TO_MATURITY_AT_ISSU")</f>
        <v>#N/A Requesting Data...</v>
      </c>
      <c r="O560" t="str">
        <f>_xll.BDP("104889A5 Muni","BVAL_MID_YTM")</f>
        <v>#N/A Requesting Data...</v>
      </c>
      <c r="P560" t="str">
        <f>_xll.BDP("104889A5 Muni","MUNI_TAX_PROV")</f>
        <v>#N/A Requesting Data...</v>
      </c>
      <c r="Q560" t="str">
        <f>_xll.BDP("104889A5 Muni","MUNI_FED_TAX")</f>
        <v>#N/A Requesting Data...</v>
      </c>
      <c r="R560" t="str">
        <f>_xll.BDP("104889A5 Muni","MUNI_MSRB_VOLUME")</f>
        <v>#N/A Requesting Data...</v>
      </c>
      <c r="S560" t="str">
        <f>_xll.BDP("104889A5 Muni","BB_COMPOSITE")</f>
        <v>#N/A Requesting Data...</v>
      </c>
      <c r="T560" t="str">
        <f>_xll.BDP("104889A5 Muni","LQA_LIQUIDITY_SCORE")</f>
        <v>#N/A Requesting Data...</v>
      </c>
    </row>
    <row r="561" spans="1:20" x14ac:dyDescent="0.25">
      <c r="A561" t="str">
        <f>_xll.BDP("79765RN7 Muni","ID_CUSIP")</f>
        <v>#N/A Requesting Data...</v>
      </c>
      <c r="B561" t="s">
        <v>238</v>
      </c>
      <c r="C561" t="str">
        <f>_xll.BDP("79765RN7 Muni","INSURANCE_STATUS")</f>
        <v>#N/A Requesting Data...</v>
      </c>
      <c r="D561" t="str">
        <f>_xll.BDP("79765RN7 Muni","STATE_CODE")</f>
        <v>#N/A Requesting Data...</v>
      </c>
      <c r="E561" t="str">
        <f>_xll.BDP("79765RN7 Muni","COUNTY_LOCATION_ISSUER")</f>
        <v>#N/A Requesting Data...</v>
      </c>
      <c r="F561" t="str">
        <f>_xll.BDP("79765RN7 Muni","DUR_ADJ_MID")</f>
        <v>#N/A Requesting Data...</v>
      </c>
      <c r="G561" t="str">
        <f>_xll.BDP("79765RN7 Muni","SPREAD_AT_ISSUANCE_TO_WORST")</f>
        <v>#N/A Requesting Data...</v>
      </c>
      <c r="H561" t="str">
        <f>_xll.BDP("79765RN7 Muni","ISSUE_DT")</f>
        <v>#N/A Requesting Data...</v>
      </c>
      <c r="I561" t="str">
        <f>_xll.BDS("79765RN7 Muni","MUNI_PURPOSE_SCHED", "aggregate=y")</f>
        <v>#N/A Review</v>
      </c>
      <c r="J561" t="str">
        <f>_xll.BDP("79765RN7 Muni","CPN")</f>
        <v>#N/A Requesting Data...</v>
      </c>
      <c r="K561" t="str">
        <f>_xll.BDP("79765RN7 Muni","MATURITY")</f>
        <v>#N/A Requesting Data...</v>
      </c>
      <c r="L561">
        <v>6275000</v>
      </c>
      <c r="M561" t="str">
        <f>_xll.BDP("79765RN7 Muni","YIELD_ON_ISSUE_DATE")</f>
        <v>#N/A Requesting Data...</v>
      </c>
      <c r="N561" t="str">
        <f>_xll.BDP("79765RN7 Muni","YTW_SPREAD_TO_MATURITY_AT_ISSU")</f>
        <v>#N/A Requesting Data...</v>
      </c>
      <c r="O561" t="str">
        <f>_xll.BDP("79765RN7 Muni","BVAL_MID_YTM")</f>
        <v>#N/A Requesting Data...</v>
      </c>
      <c r="P561" t="str">
        <f>_xll.BDP("79765RN7 Muni","MUNI_TAX_PROV")</f>
        <v>#N/A Requesting Data...</v>
      </c>
      <c r="Q561" t="str">
        <f>_xll.BDP("79765RN7 Muni","MUNI_FED_TAX")</f>
        <v>#N/A Requesting Data...</v>
      </c>
      <c r="R561" t="str">
        <f>_xll.BDP("79765RN7 Muni","MUNI_MSRB_VOLUME")</f>
        <v>#N/A Requesting Data...</v>
      </c>
      <c r="S561" t="str">
        <f>_xll.BDP("79765RN7 Muni","BB_COMPOSITE")</f>
        <v>#N/A Requesting Data...</v>
      </c>
      <c r="T561" t="str">
        <f>_xll.BDP("79765RN7 Muni","LQA_LIQUIDITY_SCORE")</f>
        <v>#N/A Requesting Data...</v>
      </c>
    </row>
    <row r="562" spans="1:20" x14ac:dyDescent="0.25">
      <c r="A562" t="str">
        <f>_xll.BDP("79730CFR Muni","ID_CUSIP")</f>
        <v>#N/A Requesting Data...</v>
      </c>
      <c r="B562" t="s">
        <v>153</v>
      </c>
      <c r="C562" t="str">
        <f>_xll.BDP("79730CFR Muni","INSURANCE_STATUS")</f>
        <v>#N/A Requesting Data...</v>
      </c>
      <c r="D562" t="str">
        <f>_xll.BDP("79730CFR Muni","STATE_CODE")</f>
        <v>#N/A Requesting Data...</v>
      </c>
      <c r="E562" t="str">
        <f>_xll.BDP("79730CFR Muni","COUNTY_LOCATION_ISSUER")</f>
        <v>#N/A Requesting Data...</v>
      </c>
      <c r="F562" t="str">
        <f>_xll.BDP("79730CFR Muni","DUR_ADJ_MID")</f>
        <v>#N/A Requesting Data...</v>
      </c>
      <c r="G562" t="str">
        <f>_xll.BDP("79730CFR Muni","SPREAD_AT_ISSUANCE_TO_WORST")</f>
        <v>#N/A Requesting Data...</v>
      </c>
      <c r="H562" t="str">
        <f>_xll.BDP("79730CFR Muni","ISSUE_DT")</f>
        <v>#N/A Requesting Data...</v>
      </c>
      <c r="I562" t="str">
        <f>_xll.BDS("79730CFR Muni","MUNI_PURPOSE_SCHED", "aggregate=y")</f>
        <v>#N/A Review</v>
      </c>
      <c r="J562" t="str">
        <f>_xll.BDP("79730CFR Muni","CPN")</f>
        <v>#N/A Requesting Data...</v>
      </c>
      <c r="K562" t="str">
        <f>_xll.BDP("79730CFR Muni","MATURITY")</f>
        <v>#N/A Requesting Data...</v>
      </c>
      <c r="L562">
        <v>990000</v>
      </c>
      <c r="M562" t="str">
        <f>_xll.BDP("79730CFR Muni","YIELD_ON_ISSUE_DATE")</f>
        <v>#N/A Requesting Data...</v>
      </c>
      <c r="N562" t="str">
        <f>_xll.BDP("79730CFR Muni","YTW_SPREAD_TO_MATURITY_AT_ISSU")</f>
        <v>#N/A Requesting Data...</v>
      </c>
      <c r="O562" t="str">
        <f>_xll.BDP("79730CFR Muni","BVAL_MID_YTM")</f>
        <v>#N/A Requesting Data...</v>
      </c>
      <c r="P562" t="str">
        <f>_xll.BDP("79730CFR Muni","MUNI_TAX_PROV")</f>
        <v>#N/A Requesting Data...</v>
      </c>
      <c r="Q562" t="str">
        <f>_xll.BDP("79730CFR Muni","MUNI_FED_TAX")</f>
        <v>#N/A Requesting Data...</v>
      </c>
      <c r="R562" t="str">
        <f>_xll.BDP("79730CFR Muni","MUNI_MSRB_VOLUME")</f>
        <v>#N/A Requesting Data...</v>
      </c>
      <c r="S562" t="str">
        <f>_xll.BDP("79730CFR Muni","BB_COMPOSITE")</f>
        <v>#N/A Requesting Data...</v>
      </c>
      <c r="T562" t="str">
        <f>_xll.BDP("79730CFR Muni","LQA_LIQUIDITY_SCORE")</f>
        <v>#N/A Requesting Data...</v>
      </c>
    </row>
    <row r="563" spans="1:20" x14ac:dyDescent="0.25">
      <c r="A563" t="str">
        <f>_xll.BDP("79765RN5 Muni","ID_CUSIP")</f>
        <v>#N/A Requesting Data...</v>
      </c>
      <c r="B563" t="s">
        <v>238</v>
      </c>
      <c r="C563" t="str">
        <f>_xll.BDP("79765RN5 Muni","INSURANCE_STATUS")</f>
        <v>#N/A Requesting Data...</v>
      </c>
      <c r="D563" t="str">
        <f>_xll.BDP("79765RN5 Muni","STATE_CODE")</f>
        <v>#N/A Requesting Data...</v>
      </c>
      <c r="E563" t="str">
        <f>_xll.BDP("79765RN5 Muni","COUNTY_LOCATION_ISSUER")</f>
        <v>#N/A Requesting Data...</v>
      </c>
      <c r="F563" t="str">
        <f>_xll.BDP("79765RN5 Muni","DUR_ADJ_MID")</f>
        <v>#N/A Requesting Data...</v>
      </c>
      <c r="G563" t="str">
        <f>_xll.BDP("79765RN5 Muni","SPREAD_AT_ISSUANCE_TO_WORST")</f>
        <v>#N/A Requesting Data...</v>
      </c>
      <c r="H563" t="str">
        <f>_xll.BDP("79765RN5 Muni","ISSUE_DT")</f>
        <v>#N/A Requesting Data...</v>
      </c>
      <c r="I563" t="str">
        <f>_xll.BDS("79765RN5 Muni","MUNI_PURPOSE_SCHED", "aggregate=y")</f>
        <v>#N/A Review</v>
      </c>
      <c r="J563" t="str">
        <f>_xll.BDP("79765RN5 Muni","CPN")</f>
        <v>#N/A Requesting Data...</v>
      </c>
      <c r="K563" t="str">
        <f>_xll.BDP("79765RN5 Muni","MATURITY")</f>
        <v>#N/A Requesting Data...</v>
      </c>
      <c r="L563">
        <v>5955000</v>
      </c>
      <c r="M563" t="str">
        <f>_xll.BDP("79765RN5 Muni","YIELD_ON_ISSUE_DATE")</f>
        <v>#N/A Requesting Data...</v>
      </c>
      <c r="N563" t="str">
        <f>_xll.BDP("79765RN5 Muni","YTW_SPREAD_TO_MATURITY_AT_ISSU")</f>
        <v>#N/A Requesting Data...</v>
      </c>
      <c r="O563" t="str">
        <f>_xll.BDP("79765RN5 Muni","BVAL_MID_YTM")</f>
        <v>#N/A Requesting Data...</v>
      </c>
      <c r="P563" t="str">
        <f>_xll.BDP("79765RN5 Muni","MUNI_TAX_PROV")</f>
        <v>#N/A Requesting Data...</v>
      </c>
      <c r="Q563" t="str">
        <f>_xll.BDP("79765RN5 Muni","MUNI_FED_TAX")</f>
        <v>#N/A Requesting Data...</v>
      </c>
      <c r="R563" t="str">
        <f>_xll.BDP("79765RN5 Muni","MUNI_MSRB_VOLUME")</f>
        <v>#N/A Requesting Data...</v>
      </c>
      <c r="S563" t="str">
        <f>_xll.BDP("79765RN5 Muni","BB_COMPOSITE")</f>
        <v>#N/A Requesting Data...</v>
      </c>
      <c r="T563" t="str">
        <f>_xll.BDP("79765RN5 Muni","LQA_LIQUIDITY_SCORE")</f>
        <v>#N/A Requesting Data...</v>
      </c>
    </row>
    <row r="564" spans="1:20" x14ac:dyDescent="0.25">
      <c r="A564" t="str">
        <f>_xll.BDP("79765RN6 Muni","ID_CUSIP")</f>
        <v>#N/A Requesting Data...</v>
      </c>
      <c r="B564" t="s">
        <v>238</v>
      </c>
      <c r="C564" t="str">
        <f>_xll.BDP("79765RN6 Muni","INSURANCE_STATUS")</f>
        <v>#N/A Requesting Data...</v>
      </c>
      <c r="D564" t="str">
        <f>_xll.BDP("79765RN6 Muni","STATE_CODE")</f>
        <v>#N/A Requesting Data...</v>
      </c>
      <c r="E564" t="str">
        <f>_xll.BDP("79765RN6 Muni","COUNTY_LOCATION_ISSUER")</f>
        <v>#N/A Requesting Data...</v>
      </c>
      <c r="F564" t="str">
        <f>_xll.BDP("79765RN6 Muni","DUR_ADJ_MID")</f>
        <v>#N/A Requesting Data...</v>
      </c>
      <c r="G564" t="str">
        <f>_xll.BDP("79765RN6 Muni","SPREAD_AT_ISSUANCE_TO_WORST")</f>
        <v>#N/A Requesting Data...</v>
      </c>
      <c r="H564" t="str">
        <f>_xll.BDP("79765RN6 Muni","ISSUE_DT")</f>
        <v>#N/A Requesting Data...</v>
      </c>
      <c r="I564" t="str">
        <f>_xll.BDS("79765RN6 Muni","MUNI_PURPOSE_SCHED", "aggregate=y")</f>
        <v>#N/A Review</v>
      </c>
      <c r="J564" t="str">
        <f>_xll.BDP("79765RN6 Muni","CPN")</f>
        <v>#N/A Requesting Data...</v>
      </c>
      <c r="K564" t="str">
        <f>_xll.BDP("79765RN6 Muni","MATURITY")</f>
        <v>#N/A Requesting Data...</v>
      </c>
      <c r="L564">
        <v>6105000</v>
      </c>
      <c r="M564" t="str">
        <f>_xll.BDP("79765RN6 Muni","YIELD_ON_ISSUE_DATE")</f>
        <v>#N/A Requesting Data...</v>
      </c>
      <c r="N564" t="str">
        <f>_xll.BDP("79765RN6 Muni","YTW_SPREAD_TO_MATURITY_AT_ISSU")</f>
        <v>#N/A Requesting Data...</v>
      </c>
      <c r="O564" t="str">
        <f>_xll.BDP("79765RN6 Muni","BVAL_MID_YTM")</f>
        <v>#N/A Requesting Data...</v>
      </c>
      <c r="P564" t="str">
        <f>_xll.BDP("79765RN6 Muni","MUNI_TAX_PROV")</f>
        <v>#N/A Requesting Data...</v>
      </c>
      <c r="Q564" t="str">
        <f>_xll.BDP("79765RN6 Muni","MUNI_FED_TAX")</f>
        <v>#N/A Requesting Data...</v>
      </c>
      <c r="R564" t="str">
        <f>_xll.BDP("79765RN6 Muni","MUNI_MSRB_VOLUME")</f>
        <v>#N/A Requesting Data...</v>
      </c>
      <c r="S564" t="str">
        <f>_xll.BDP("79765RN6 Muni","BB_COMPOSITE")</f>
        <v>#N/A Requesting Data...</v>
      </c>
      <c r="T564" t="str">
        <f>_xll.BDP("79765RN6 Muni","LQA_LIQUIDITY_SCORE")</f>
        <v>#N/A Requesting Data...</v>
      </c>
    </row>
    <row r="565" spans="1:20" x14ac:dyDescent="0.25">
      <c r="A565" t="str">
        <f>_xll.BDP("79765RN8 Muni","ID_CUSIP")</f>
        <v>#N/A Requesting Data...</v>
      </c>
      <c r="B565" t="s">
        <v>238</v>
      </c>
      <c r="C565" t="str">
        <f>_xll.BDP("79765RN8 Muni","INSURANCE_STATUS")</f>
        <v>#N/A Requesting Data...</v>
      </c>
      <c r="D565" t="str">
        <f>_xll.BDP("79765RN8 Muni","STATE_CODE")</f>
        <v>#N/A Requesting Data...</v>
      </c>
      <c r="E565" t="str">
        <f>_xll.BDP("79765RN8 Muni","COUNTY_LOCATION_ISSUER")</f>
        <v>#N/A Requesting Data...</v>
      </c>
      <c r="F565" t="str">
        <f>_xll.BDP("79765RN8 Muni","DUR_ADJ_MID")</f>
        <v>#N/A Requesting Data...</v>
      </c>
      <c r="G565" t="str">
        <f>_xll.BDP("79765RN8 Muni","SPREAD_AT_ISSUANCE_TO_WORST")</f>
        <v>#N/A Requesting Data...</v>
      </c>
      <c r="H565" t="str">
        <f>_xll.BDP("79765RN8 Muni","ISSUE_DT")</f>
        <v>#N/A Requesting Data...</v>
      </c>
      <c r="I565" t="str">
        <f>_xll.BDS("79765RN8 Muni","MUNI_PURPOSE_SCHED", "aggregate=y")</f>
        <v>#N/A Review</v>
      </c>
      <c r="J565" t="str">
        <f>_xll.BDP("79765RN8 Muni","CPN")</f>
        <v>#N/A Requesting Data...</v>
      </c>
      <c r="K565" t="str">
        <f>_xll.BDP("79765RN8 Muni","MATURITY")</f>
        <v>#N/A Requesting Data...</v>
      </c>
      <c r="L565">
        <v>6455000</v>
      </c>
      <c r="M565" t="str">
        <f>_xll.BDP("79765RN8 Muni","YIELD_ON_ISSUE_DATE")</f>
        <v>#N/A Requesting Data...</v>
      </c>
      <c r="N565" t="str">
        <f>_xll.BDP("79765RN8 Muni","YTW_SPREAD_TO_MATURITY_AT_ISSU")</f>
        <v>#N/A Requesting Data...</v>
      </c>
      <c r="O565" t="str">
        <f>_xll.BDP("79765RN8 Muni","BVAL_MID_YTM")</f>
        <v>#N/A Requesting Data...</v>
      </c>
      <c r="P565" t="str">
        <f>_xll.BDP("79765RN8 Muni","MUNI_TAX_PROV")</f>
        <v>#N/A Requesting Data...</v>
      </c>
      <c r="Q565" t="str">
        <f>_xll.BDP("79765RN8 Muni","MUNI_FED_TAX")</f>
        <v>#N/A Requesting Data...</v>
      </c>
      <c r="R565" t="str">
        <f>_xll.BDP("79765RN8 Muni","MUNI_MSRB_VOLUME")</f>
        <v>#N/A Requesting Data...</v>
      </c>
      <c r="S565" t="str">
        <f>_xll.BDP("79765RN8 Muni","BB_COMPOSITE")</f>
        <v>#N/A Requesting Data...</v>
      </c>
      <c r="T565" t="str">
        <f>_xll.BDP("79765RN8 Muni","LQA_LIQUIDITY_SCORE")</f>
        <v>#N/A Requesting Data...</v>
      </c>
    </row>
    <row r="566" spans="1:20" x14ac:dyDescent="0.25">
      <c r="A566" t="str">
        <f>_xll.BDP("79765RN9 Muni","ID_CUSIP")</f>
        <v>#N/A Requesting Data...</v>
      </c>
      <c r="B566" t="s">
        <v>238</v>
      </c>
      <c r="C566" t="str">
        <f>_xll.BDP("79765RN9 Muni","INSURANCE_STATUS")</f>
        <v>#N/A Requesting Data...</v>
      </c>
      <c r="D566" t="str">
        <f>_xll.BDP("79765RN9 Muni","STATE_CODE")</f>
        <v>#N/A Requesting Data...</v>
      </c>
      <c r="E566" t="str">
        <f>_xll.BDP("79765RN9 Muni","COUNTY_LOCATION_ISSUER")</f>
        <v>#N/A Requesting Data...</v>
      </c>
      <c r="F566" t="str">
        <f>_xll.BDP("79765RN9 Muni","DUR_ADJ_MID")</f>
        <v>#N/A Requesting Data...</v>
      </c>
      <c r="G566" t="str">
        <f>_xll.BDP("79765RN9 Muni","SPREAD_AT_ISSUANCE_TO_WORST")</f>
        <v>#N/A Requesting Data...</v>
      </c>
      <c r="H566" t="str">
        <f>_xll.BDP("79765RN9 Muni","ISSUE_DT")</f>
        <v>#N/A Requesting Data...</v>
      </c>
      <c r="I566" t="str">
        <f>_xll.BDS("79765RN9 Muni","MUNI_PURPOSE_SCHED", "aggregate=y")</f>
        <v>#N/A Review</v>
      </c>
      <c r="J566" t="str">
        <f>_xll.BDP("79765RN9 Muni","CPN")</f>
        <v>#N/A Requesting Data...</v>
      </c>
      <c r="K566" t="str">
        <f>_xll.BDP("79765RN9 Muni","MATURITY")</f>
        <v>#N/A Requesting Data...</v>
      </c>
      <c r="L566">
        <v>6645000</v>
      </c>
      <c r="M566" t="str">
        <f>_xll.BDP("79765RN9 Muni","YIELD_ON_ISSUE_DATE")</f>
        <v>#N/A Requesting Data...</v>
      </c>
      <c r="N566" t="str">
        <f>_xll.BDP("79765RN9 Muni","YTW_SPREAD_TO_MATURITY_AT_ISSU")</f>
        <v>#N/A Requesting Data...</v>
      </c>
      <c r="O566" t="str">
        <f>_xll.BDP("79765RN9 Muni","BVAL_MID_YTM")</f>
        <v>#N/A Requesting Data...</v>
      </c>
      <c r="P566" t="str">
        <f>_xll.BDP("79765RN9 Muni","MUNI_TAX_PROV")</f>
        <v>#N/A Requesting Data...</v>
      </c>
      <c r="Q566" t="str">
        <f>_xll.BDP("79765RN9 Muni","MUNI_FED_TAX")</f>
        <v>#N/A Requesting Data...</v>
      </c>
      <c r="R566" t="str">
        <f>_xll.BDP("79765RN9 Muni","MUNI_MSRB_VOLUME")</f>
        <v>#N/A Requesting Data...</v>
      </c>
      <c r="S566" t="str">
        <f>_xll.BDP("79765RN9 Muni","BB_COMPOSITE")</f>
        <v>#N/A Requesting Data...</v>
      </c>
      <c r="T566" t="str">
        <f>_xll.BDP("79765RN9 Muni","LQA_LIQUIDITY_SCORE")</f>
        <v>#N/A Requesting Data...</v>
      </c>
    </row>
    <row r="567" spans="1:20" x14ac:dyDescent="0.25">
      <c r="A567" t="str">
        <f>_xll.BDP("79730CFM Muni","ID_CUSIP")</f>
        <v>#N/A Requesting Data...</v>
      </c>
      <c r="B567" t="s">
        <v>153</v>
      </c>
      <c r="C567" t="str">
        <f>_xll.BDP("79730CFM Muni","INSURANCE_STATUS")</f>
        <v>#N/A Requesting Data...</v>
      </c>
      <c r="D567" t="str">
        <f>_xll.BDP("79730CFM Muni","STATE_CODE")</f>
        <v>#N/A Requesting Data...</v>
      </c>
      <c r="E567" t="str">
        <f>_xll.BDP("79730CFM Muni","COUNTY_LOCATION_ISSUER")</f>
        <v>#N/A Requesting Data...</v>
      </c>
      <c r="F567" t="str">
        <f>_xll.BDP("79730CFM Muni","DUR_ADJ_MID")</f>
        <v>#N/A Requesting Data...</v>
      </c>
      <c r="G567" t="str">
        <f>_xll.BDP("79730CFM Muni","SPREAD_AT_ISSUANCE_TO_WORST")</f>
        <v>#N/A Requesting Data...</v>
      </c>
      <c r="H567" t="str">
        <f>_xll.BDP("79730CFM Muni","ISSUE_DT")</f>
        <v>#N/A Requesting Data...</v>
      </c>
      <c r="I567" t="str">
        <f>_xll.BDS("79730CFM Muni","MUNI_PURPOSE_SCHED", "aggregate=y")</f>
        <v>#N/A Review</v>
      </c>
      <c r="J567" t="str">
        <f>_xll.BDP("79730CFM Muni","CPN")</f>
        <v>#N/A Requesting Data...</v>
      </c>
      <c r="K567" t="str">
        <f>_xll.BDP("79730CFM Muni","MATURITY")</f>
        <v>#N/A Requesting Data...</v>
      </c>
      <c r="L567">
        <v>845000</v>
      </c>
      <c r="M567" t="str">
        <f>_xll.BDP("79730CFM Muni","YIELD_ON_ISSUE_DATE")</f>
        <v>#N/A Requesting Data...</v>
      </c>
      <c r="N567" t="str">
        <f>_xll.BDP("79730CFM Muni","YTW_SPREAD_TO_MATURITY_AT_ISSU")</f>
        <v>#N/A Requesting Data...</v>
      </c>
      <c r="O567" t="str">
        <f>_xll.BDP("79730CFM Muni","BVAL_MID_YTM")</f>
        <v>#N/A Requesting Data...</v>
      </c>
      <c r="P567" t="str">
        <f>_xll.BDP("79730CFM Muni","MUNI_TAX_PROV")</f>
        <v>#N/A Requesting Data...</v>
      </c>
      <c r="Q567" t="str">
        <f>_xll.BDP("79730CFM Muni","MUNI_FED_TAX")</f>
        <v>#N/A Requesting Data...</v>
      </c>
      <c r="R567" t="str">
        <f>_xll.BDP("79730CFM Muni","MUNI_MSRB_VOLUME")</f>
        <v>#N/A Requesting Data...</v>
      </c>
      <c r="S567" t="str">
        <f>_xll.BDP("79730CFM Muni","BB_COMPOSITE")</f>
        <v>#N/A Requesting Data...</v>
      </c>
      <c r="T567" t="str">
        <f>_xll.BDP("79730CFM Muni","LQA_LIQUIDITY_SCORE")</f>
        <v>#N/A Requesting Data...</v>
      </c>
    </row>
    <row r="568" spans="1:20" x14ac:dyDescent="0.25">
      <c r="A568" t="str">
        <f>_xll.BDP("79730CFN Muni","ID_CUSIP")</f>
        <v>#N/A Requesting Data...</v>
      </c>
      <c r="B568" t="s">
        <v>153</v>
      </c>
      <c r="C568" t="str">
        <f>_xll.BDP("79730CFN Muni","INSURANCE_STATUS")</f>
        <v>#N/A Requesting Data...</v>
      </c>
      <c r="D568" t="str">
        <f>_xll.BDP("79730CFN Muni","STATE_CODE")</f>
        <v>#N/A Requesting Data...</v>
      </c>
      <c r="E568" t="str">
        <f>_xll.BDP("79730CFN Muni","COUNTY_LOCATION_ISSUER")</f>
        <v>#N/A Requesting Data...</v>
      </c>
      <c r="F568" t="str">
        <f>_xll.BDP("79730CFN Muni","DUR_ADJ_MID")</f>
        <v>#N/A Requesting Data...</v>
      </c>
      <c r="G568" t="str">
        <f>_xll.BDP("79730CFN Muni","SPREAD_AT_ISSUANCE_TO_WORST")</f>
        <v>#N/A Requesting Data...</v>
      </c>
      <c r="H568" t="str">
        <f>_xll.BDP("79730CFN Muni","ISSUE_DT")</f>
        <v>#N/A Requesting Data...</v>
      </c>
      <c r="I568" t="str">
        <f>_xll.BDS("79730CFN Muni","MUNI_PURPOSE_SCHED", "aggregate=y")</f>
        <v>#N/A Review</v>
      </c>
      <c r="J568" t="str">
        <f>_xll.BDP("79730CFN Muni","CPN")</f>
        <v>#N/A Requesting Data...</v>
      </c>
      <c r="K568" t="str">
        <f>_xll.BDP("79730CFN Muni","MATURITY")</f>
        <v>#N/A Requesting Data...</v>
      </c>
      <c r="L568">
        <v>880000</v>
      </c>
      <c r="M568" t="str">
        <f>_xll.BDP("79730CFN Muni","YIELD_ON_ISSUE_DATE")</f>
        <v>#N/A Requesting Data...</v>
      </c>
      <c r="N568" t="str">
        <f>_xll.BDP("79730CFN Muni","YTW_SPREAD_TO_MATURITY_AT_ISSU")</f>
        <v>#N/A Requesting Data...</v>
      </c>
      <c r="O568" t="str">
        <f>_xll.BDP("79730CFN Muni","BVAL_MID_YTM")</f>
        <v>#N/A Requesting Data...</v>
      </c>
      <c r="P568" t="str">
        <f>_xll.BDP("79730CFN Muni","MUNI_TAX_PROV")</f>
        <v>#N/A Requesting Data...</v>
      </c>
      <c r="Q568" t="str">
        <f>_xll.BDP("79730CFN Muni","MUNI_FED_TAX")</f>
        <v>#N/A Requesting Data...</v>
      </c>
      <c r="R568" t="str">
        <f>_xll.BDP("79730CFN Muni","MUNI_MSRB_VOLUME")</f>
        <v>#N/A Requesting Data...</v>
      </c>
      <c r="S568" t="str">
        <f>_xll.BDP("79730CFN Muni","BB_COMPOSITE")</f>
        <v>#N/A Requesting Data...</v>
      </c>
      <c r="T568" t="str">
        <f>_xll.BDP("79730CFN Muni","LQA_LIQUIDITY_SCORE")</f>
        <v>#N/A Requesting Data...</v>
      </c>
    </row>
    <row r="569" spans="1:20" x14ac:dyDescent="0.25">
      <c r="A569" t="str">
        <f>_xll.BDP("79730CFP Muni","ID_CUSIP")</f>
        <v>#N/A Requesting Data...</v>
      </c>
      <c r="B569" t="s">
        <v>153</v>
      </c>
      <c r="C569" t="str">
        <f>_xll.BDP("79730CFP Muni","INSURANCE_STATUS")</f>
        <v>#N/A Requesting Data...</v>
      </c>
      <c r="D569" t="str">
        <f>_xll.BDP("79730CFP Muni","STATE_CODE")</f>
        <v>#N/A Requesting Data...</v>
      </c>
      <c r="E569" t="str">
        <f>_xll.BDP("79730CFP Muni","COUNTY_LOCATION_ISSUER")</f>
        <v>#N/A Requesting Data...</v>
      </c>
      <c r="F569" t="str">
        <f>_xll.BDP("79730CFP Muni","DUR_ADJ_MID")</f>
        <v>#N/A Requesting Data...</v>
      </c>
      <c r="G569" t="str">
        <f>_xll.BDP("79730CFP Muni","SPREAD_AT_ISSUANCE_TO_WORST")</f>
        <v>#N/A Requesting Data...</v>
      </c>
      <c r="H569" t="str">
        <f>_xll.BDP("79730CFP Muni","ISSUE_DT")</f>
        <v>#N/A Requesting Data...</v>
      </c>
      <c r="I569" t="str">
        <f>_xll.BDS("79730CFP Muni","MUNI_PURPOSE_SCHED", "aggregate=y")</f>
        <v>#N/A Review</v>
      </c>
      <c r="J569" t="str">
        <f>_xll.BDP("79730CFP Muni","CPN")</f>
        <v>#N/A Requesting Data...</v>
      </c>
      <c r="K569" t="str">
        <f>_xll.BDP("79730CFP Muni","MATURITY")</f>
        <v>#N/A Requesting Data...</v>
      </c>
      <c r="L569">
        <v>915000</v>
      </c>
      <c r="M569" t="str">
        <f>_xll.BDP("79730CFP Muni","YIELD_ON_ISSUE_DATE")</f>
        <v>#N/A Requesting Data...</v>
      </c>
      <c r="N569" t="str">
        <f>_xll.BDP("79730CFP Muni","YTW_SPREAD_TO_MATURITY_AT_ISSU")</f>
        <v>#N/A Requesting Data...</v>
      </c>
      <c r="O569" t="str">
        <f>_xll.BDP("79730CFP Muni","BVAL_MID_YTM")</f>
        <v>#N/A Requesting Data...</v>
      </c>
      <c r="P569" t="str">
        <f>_xll.BDP("79730CFP Muni","MUNI_TAX_PROV")</f>
        <v>#N/A Requesting Data...</v>
      </c>
      <c r="Q569" t="str">
        <f>_xll.BDP("79730CFP Muni","MUNI_FED_TAX")</f>
        <v>#N/A Requesting Data...</v>
      </c>
      <c r="R569" t="str">
        <f>_xll.BDP("79730CFP Muni","MUNI_MSRB_VOLUME")</f>
        <v>#N/A Requesting Data...</v>
      </c>
      <c r="S569" t="str">
        <f>_xll.BDP("79730CFP Muni","BB_COMPOSITE")</f>
        <v>#N/A Requesting Data...</v>
      </c>
      <c r="T569" t="str">
        <f>_xll.BDP("79730CFP Muni","LQA_LIQUIDITY_SCORE")</f>
        <v>#N/A Requesting Data...</v>
      </c>
    </row>
    <row r="570" spans="1:20" x14ac:dyDescent="0.25">
      <c r="A570" t="str">
        <f>_xll.BDP("159106BN Muni","ID_CUSIP")</f>
        <v>#N/A Requesting Data...</v>
      </c>
      <c r="B570" t="s">
        <v>239</v>
      </c>
      <c r="C570" t="str">
        <f>_xll.BDP("159106BN Muni","INSURANCE_STATUS")</f>
        <v>#N/A Requesting Data...</v>
      </c>
      <c r="D570" t="str">
        <f>_xll.BDP("159106BN Muni","STATE_CODE")</f>
        <v>#N/A Requesting Data...</v>
      </c>
      <c r="E570" t="str">
        <f>_xll.BDP("159106BN Muni","COUNTY_LOCATION_ISSUER")</f>
        <v>#N/A Requesting Data...</v>
      </c>
      <c r="F570" t="str">
        <f>_xll.BDP("159106BN Muni","DUR_ADJ_MID")</f>
        <v>#N/A Requesting Data...</v>
      </c>
      <c r="G570" t="str">
        <f>_xll.BDP("159106BN Muni","SPREAD_AT_ISSUANCE_TO_WORST")</f>
        <v>#N/A Requesting Data...</v>
      </c>
      <c r="H570" t="str">
        <f>_xll.BDP("159106BN Muni","ISSUE_DT")</f>
        <v>#N/A Requesting Data...</v>
      </c>
      <c r="I570" t="str">
        <f>_xll.BDS("159106BN Muni","MUNI_PURPOSE_SCHED", "aggregate=y")</f>
        <v>#N/A Review</v>
      </c>
      <c r="J570" t="str">
        <f>_xll.BDP("159106BN Muni","CPN")</f>
        <v>#N/A Requesting Data...</v>
      </c>
      <c r="K570" t="str">
        <f>_xll.BDP("159106BN Muni","MATURITY")</f>
        <v>#N/A Requesting Data...</v>
      </c>
      <c r="L570">
        <v>550000</v>
      </c>
      <c r="M570" t="str">
        <f>_xll.BDP("159106BN Muni","YIELD_ON_ISSUE_DATE")</f>
        <v>#N/A Requesting Data...</v>
      </c>
      <c r="N570" t="str">
        <f>_xll.BDP("159106BN Muni","YTW_SPREAD_TO_MATURITY_AT_ISSU")</f>
        <v>#N/A Requesting Data...</v>
      </c>
      <c r="O570" t="str">
        <f>_xll.BDP("159106BN Muni","BVAL_MID_YTM")</f>
        <v>#N/A Requesting Data...</v>
      </c>
      <c r="P570" t="str">
        <f>_xll.BDP("159106BN Muni","MUNI_TAX_PROV")</f>
        <v>#N/A Requesting Data...</v>
      </c>
      <c r="Q570" t="str">
        <f>_xll.BDP("159106BN Muni","MUNI_FED_TAX")</f>
        <v>#N/A Requesting Data...</v>
      </c>
      <c r="R570" t="str">
        <f>_xll.BDP("159106BN Muni","MUNI_MSRB_VOLUME")</f>
        <v>#N/A Requesting Data...</v>
      </c>
      <c r="S570" t="str">
        <f>_xll.BDP("159106BN Muni","BB_COMPOSITE")</f>
        <v>#N/A Requesting Data...</v>
      </c>
      <c r="T570" t="str">
        <f>_xll.BDP("159106BN Muni","LQA_LIQUIDITY_SCORE")</f>
        <v>#N/A Requesting Data...</v>
      </c>
    </row>
    <row r="571" spans="1:20" x14ac:dyDescent="0.25">
      <c r="A571" t="str">
        <f>_xll.BDP("159106BP Muni","ID_CUSIP")</f>
        <v>#N/A Requesting Data...</v>
      </c>
      <c r="B571" t="s">
        <v>239</v>
      </c>
      <c r="C571" t="str">
        <f>_xll.BDP("159106BP Muni","INSURANCE_STATUS")</f>
        <v>#N/A Requesting Data...</v>
      </c>
      <c r="D571" t="str">
        <f>_xll.BDP("159106BP Muni","STATE_CODE")</f>
        <v>#N/A Requesting Data...</v>
      </c>
      <c r="E571" t="str">
        <f>_xll.BDP("159106BP Muni","COUNTY_LOCATION_ISSUER")</f>
        <v>#N/A Requesting Data...</v>
      </c>
      <c r="F571" t="str">
        <f>_xll.BDP("159106BP Muni","DUR_ADJ_MID")</f>
        <v>#N/A Requesting Data...</v>
      </c>
      <c r="G571" t="str">
        <f>_xll.BDP("159106BP Muni","SPREAD_AT_ISSUANCE_TO_WORST")</f>
        <v>#N/A Requesting Data...</v>
      </c>
      <c r="H571" t="str">
        <f>_xll.BDP("159106BP Muni","ISSUE_DT")</f>
        <v>#N/A Requesting Data...</v>
      </c>
      <c r="I571" t="str">
        <f>_xll.BDS("159106BP Muni","MUNI_PURPOSE_SCHED", "aggregate=y")</f>
        <v>#N/A Review</v>
      </c>
      <c r="J571" t="str">
        <f>_xll.BDP("159106BP Muni","CPN")</f>
        <v>#N/A Requesting Data...</v>
      </c>
      <c r="K571" t="str">
        <f>_xll.BDP("159106BP Muni","MATURITY")</f>
        <v>#N/A Requesting Data...</v>
      </c>
      <c r="L571">
        <v>560000</v>
      </c>
      <c r="M571" t="str">
        <f>_xll.BDP("159106BP Muni","YIELD_ON_ISSUE_DATE")</f>
        <v>#N/A Requesting Data...</v>
      </c>
      <c r="N571" t="str">
        <f>_xll.BDP("159106BP Muni","YTW_SPREAD_TO_MATURITY_AT_ISSU")</f>
        <v>#N/A Requesting Data...</v>
      </c>
      <c r="O571" t="str">
        <f>_xll.BDP("159106BP Muni","BVAL_MID_YTM")</f>
        <v>#N/A Requesting Data...</v>
      </c>
      <c r="P571" t="str">
        <f>_xll.BDP("159106BP Muni","MUNI_TAX_PROV")</f>
        <v>#N/A Requesting Data...</v>
      </c>
      <c r="Q571" t="str">
        <f>_xll.BDP("159106BP Muni","MUNI_FED_TAX")</f>
        <v>#N/A Requesting Data...</v>
      </c>
      <c r="R571" t="str">
        <f>_xll.BDP("159106BP Muni","MUNI_MSRB_VOLUME")</f>
        <v>#N/A Requesting Data...</v>
      </c>
      <c r="S571" t="str">
        <f>_xll.BDP("159106BP Muni","BB_COMPOSITE")</f>
        <v>#N/A Requesting Data...</v>
      </c>
      <c r="T571" t="str">
        <f>_xll.BDP("159106BP Muni","LQA_LIQUIDITY_SCORE")</f>
        <v>#N/A Requesting Data...</v>
      </c>
    </row>
    <row r="572" spans="1:20" x14ac:dyDescent="0.25">
      <c r="A572" t="str">
        <f>_xll.BDP("160028EY Muni","ID_CUSIP")</f>
        <v>#N/A Requesting Data...</v>
      </c>
      <c r="B572" t="s">
        <v>25</v>
      </c>
      <c r="C572" t="str">
        <f>_xll.BDP("160028EY Muni","INSURANCE_STATUS")</f>
        <v>#N/A Requesting Data...</v>
      </c>
      <c r="D572" t="str">
        <f>_xll.BDP("160028EY Muni","STATE_CODE")</f>
        <v>#N/A Requesting Data...</v>
      </c>
      <c r="E572" t="str">
        <f>_xll.BDP("160028EY Muni","COUNTY_LOCATION_ISSUER")</f>
        <v>#N/A Requesting Data...</v>
      </c>
      <c r="F572" t="str">
        <f>_xll.BDP("160028EY Muni","DUR_ADJ_MID")</f>
        <v>#N/A Requesting Data...</v>
      </c>
      <c r="G572" t="str">
        <f>_xll.BDP("160028EY Muni","SPREAD_AT_ISSUANCE_TO_WORST")</f>
        <v>#N/A Requesting Data...</v>
      </c>
      <c r="H572" t="str">
        <f>_xll.BDP("160028EY Muni","ISSUE_DT")</f>
        <v>#N/A Requesting Data...</v>
      </c>
      <c r="I572" t="str">
        <f>_xll.BDS("160028EY Muni","MUNI_PURPOSE_SCHED", "aggregate=y")</f>
        <v>#N/A Review</v>
      </c>
      <c r="J572" t="str">
        <f>_xll.BDP("160028EY Muni","CPN")</f>
        <v>#N/A Requesting Data...</v>
      </c>
      <c r="K572" t="str">
        <f>_xll.BDP("160028EY Muni","MATURITY")</f>
        <v>#N/A Requesting Data...</v>
      </c>
      <c r="L572">
        <v>180000</v>
      </c>
      <c r="M572" t="str">
        <f>_xll.BDP("160028EY Muni","YIELD_ON_ISSUE_DATE")</f>
        <v>#N/A Requesting Data...</v>
      </c>
      <c r="N572" t="str">
        <f>_xll.BDP("160028EY Muni","YTW_SPREAD_TO_MATURITY_AT_ISSU")</f>
        <v>#N/A Requesting Data...</v>
      </c>
      <c r="O572" t="str">
        <f>_xll.BDP("160028EY Muni","BVAL_MID_YTM")</f>
        <v>#N/A Requesting Data...</v>
      </c>
      <c r="P572" t="str">
        <f>_xll.BDP("160028EY Muni","MUNI_TAX_PROV")</f>
        <v>#N/A Requesting Data...</v>
      </c>
      <c r="Q572" t="str">
        <f>_xll.BDP("160028EY Muni","MUNI_FED_TAX")</f>
        <v>#N/A Requesting Data...</v>
      </c>
      <c r="R572" t="str">
        <f>_xll.BDP("160028EY Muni","MUNI_MSRB_VOLUME")</f>
        <v>#N/A Requesting Data...</v>
      </c>
      <c r="S572" t="str">
        <f>_xll.BDP("160028EY Muni","BB_COMPOSITE")</f>
        <v>#N/A Requesting Data...</v>
      </c>
      <c r="T572" t="str">
        <f>_xll.BDP("160028EY Muni","LQA_LIQUIDITY_SCORE")</f>
        <v>#N/A Requesting Data...</v>
      </c>
    </row>
    <row r="573" spans="1:20" x14ac:dyDescent="0.25">
      <c r="A573" t="str">
        <f>_xll.BDP("160028EZ Muni","ID_CUSIP")</f>
        <v>#N/A Requesting Data...</v>
      </c>
      <c r="B573" t="s">
        <v>25</v>
      </c>
      <c r="C573" t="str">
        <f>_xll.BDP("160028EZ Muni","INSURANCE_STATUS")</f>
        <v>#N/A Requesting Data...</v>
      </c>
      <c r="D573" t="str">
        <f>_xll.BDP("160028EZ Muni","STATE_CODE")</f>
        <v>#N/A Requesting Data...</v>
      </c>
      <c r="E573" t="str">
        <f>_xll.BDP("160028EZ Muni","COUNTY_LOCATION_ISSUER")</f>
        <v>#N/A Requesting Data...</v>
      </c>
      <c r="F573" t="str">
        <f>_xll.BDP("160028EZ Muni","DUR_ADJ_MID")</f>
        <v>#N/A Requesting Data...</v>
      </c>
      <c r="G573" t="str">
        <f>_xll.BDP("160028EZ Muni","SPREAD_AT_ISSUANCE_TO_WORST")</f>
        <v>#N/A Requesting Data...</v>
      </c>
      <c r="H573" t="str">
        <f>_xll.BDP("160028EZ Muni","ISSUE_DT")</f>
        <v>#N/A Requesting Data...</v>
      </c>
      <c r="I573" t="str">
        <f>_xll.BDS("160028EZ Muni","MUNI_PURPOSE_SCHED", "aggregate=y")</f>
        <v>#N/A Review</v>
      </c>
      <c r="J573" t="str">
        <f>_xll.BDP("160028EZ Muni","CPN")</f>
        <v>#N/A Requesting Data...</v>
      </c>
      <c r="K573" t="str">
        <f>_xll.BDP("160028EZ Muni","MATURITY")</f>
        <v>#N/A Requesting Data...</v>
      </c>
      <c r="L573">
        <v>180000</v>
      </c>
      <c r="M573" t="str">
        <f>_xll.BDP("160028EZ Muni","YIELD_ON_ISSUE_DATE")</f>
        <v>#N/A Requesting Data...</v>
      </c>
      <c r="N573" t="str">
        <f>_xll.BDP("160028EZ Muni","YTW_SPREAD_TO_MATURITY_AT_ISSU")</f>
        <v>#N/A Requesting Data...</v>
      </c>
      <c r="O573" t="str">
        <f>_xll.BDP("160028EZ Muni","BVAL_MID_YTM")</f>
        <v>#N/A Requesting Data...</v>
      </c>
      <c r="P573" t="str">
        <f>_xll.BDP("160028EZ Muni","MUNI_TAX_PROV")</f>
        <v>#N/A Requesting Data...</v>
      </c>
      <c r="Q573" t="str">
        <f>_xll.BDP("160028EZ Muni","MUNI_FED_TAX")</f>
        <v>#N/A Requesting Data...</v>
      </c>
      <c r="R573" t="str">
        <f>_xll.BDP("160028EZ Muni","MUNI_MSRB_VOLUME")</f>
        <v>#N/A Requesting Data...</v>
      </c>
      <c r="S573" t="str">
        <f>_xll.BDP("160028EZ Muni","BB_COMPOSITE")</f>
        <v>#N/A Requesting Data...</v>
      </c>
      <c r="T573" t="str">
        <f>_xll.BDP("160028EZ Muni","LQA_LIQUIDITY_SCORE")</f>
        <v>#N/A Requesting Data...</v>
      </c>
    </row>
    <row r="574" spans="1:20" x14ac:dyDescent="0.25">
      <c r="A574" t="str">
        <f>_xll.BDP("160028FA Muni","ID_CUSIP")</f>
        <v>#N/A Requesting Data...</v>
      </c>
      <c r="B574" t="s">
        <v>25</v>
      </c>
      <c r="C574" t="str">
        <f>_xll.BDP("160028FA Muni","INSURANCE_STATUS")</f>
        <v>#N/A Requesting Data...</v>
      </c>
      <c r="D574" t="str">
        <f>_xll.BDP("160028FA Muni","STATE_CODE")</f>
        <v>#N/A Requesting Data...</v>
      </c>
      <c r="E574" t="str">
        <f>_xll.BDP("160028FA Muni","COUNTY_LOCATION_ISSUER")</f>
        <v>#N/A Requesting Data...</v>
      </c>
      <c r="F574" t="str">
        <f>_xll.BDP("160028FA Muni","DUR_ADJ_MID")</f>
        <v>#N/A Requesting Data...</v>
      </c>
      <c r="G574" t="str">
        <f>_xll.BDP("160028FA Muni","SPREAD_AT_ISSUANCE_TO_WORST")</f>
        <v>#N/A Requesting Data...</v>
      </c>
      <c r="H574" t="str">
        <f>_xll.BDP("160028FA Muni","ISSUE_DT")</f>
        <v>#N/A Requesting Data...</v>
      </c>
      <c r="I574" t="str">
        <f>_xll.BDS("160028FA Muni","MUNI_PURPOSE_SCHED", "aggregate=y")</f>
        <v>#N/A Review</v>
      </c>
      <c r="J574" t="str">
        <f>_xll.BDP("160028FA Muni","CPN")</f>
        <v>#N/A Requesting Data...</v>
      </c>
      <c r="K574" t="str">
        <f>_xll.BDP("160028FA Muni","MATURITY")</f>
        <v>#N/A Requesting Data...</v>
      </c>
      <c r="L574">
        <v>185000</v>
      </c>
      <c r="M574" t="str">
        <f>_xll.BDP("160028FA Muni","YIELD_ON_ISSUE_DATE")</f>
        <v>#N/A Requesting Data...</v>
      </c>
      <c r="N574" t="str">
        <f>_xll.BDP("160028FA Muni","YTW_SPREAD_TO_MATURITY_AT_ISSU")</f>
        <v>#N/A Requesting Data...</v>
      </c>
      <c r="O574" t="str">
        <f>_xll.BDP("160028FA Muni","BVAL_MID_YTM")</f>
        <v>#N/A Requesting Data...</v>
      </c>
      <c r="P574" t="str">
        <f>_xll.BDP("160028FA Muni","MUNI_TAX_PROV")</f>
        <v>#N/A Requesting Data...</v>
      </c>
      <c r="Q574" t="str">
        <f>_xll.BDP("160028FA Muni","MUNI_FED_TAX")</f>
        <v>#N/A Requesting Data...</v>
      </c>
      <c r="R574" t="str">
        <f>_xll.BDP("160028FA Muni","MUNI_MSRB_VOLUME")</f>
        <v>#N/A Requesting Data...</v>
      </c>
      <c r="S574" t="str">
        <f>_xll.BDP("160028FA Muni","BB_COMPOSITE")</f>
        <v>#N/A Requesting Data...</v>
      </c>
      <c r="T574" t="str">
        <f>_xll.BDP("160028FA Muni","LQA_LIQUIDITY_SCORE")</f>
        <v>#N/A Requesting Data...</v>
      </c>
    </row>
    <row r="575" spans="1:20" x14ac:dyDescent="0.25">
      <c r="A575" t="str">
        <f>_xll.BDP("07821BAH Muni","ID_CUSIP")</f>
        <v>#N/A Requesting Data...</v>
      </c>
      <c r="B575" t="s">
        <v>65</v>
      </c>
      <c r="C575" t="str">
        <f>_xll.BDP("07821BAH Muni","INSURANCE_STATUS")</f>
        <v>#N/A Requesting Data...</v>
      </c>
      <c r="D575" t="str">
        <f>_xll.BDP("07821BAH Muni","STATE_CODE")</f>
        <v>#N/A Requesting Data...</v>
      </c>
      <c r="E575" t="str">
        <f>_xll.BDP("07821BAH Muni","COUNTY_LOCATION_ISSUER")</f>
        <v>#N/A Requesting Data...</v>
      </c>
      <c r="F575" t="str">
        <f>_xll.BDP("07821BAH Muni","DUR_ADJ_MID")</f>
        <v>#N/A Requesting Data...</v>
      </c>
      <c r="G575" t="str">
        <f>_xll.BDP("07821BAH Muni","SPREAD_AT_ISSUANCE_TO_WORST")</f>
        <v>#N/A Requesting Data...</v>
      </c>
      <c r="H575" t="str">
        <f>_xll.BDP("07821BAH Muni","ISSUE_DT")</f>
        <v>#N/A Requesting Data...</v>
      </c>
      <c r="I575" t="str">
        <f>_xll.BDS("07821BAH Muni","MUNI_PURPOSE_SCHED", "aggregate=y")</f>
        <v>#N/A Review</v>
      </c>
      <c r="J575" t="str">
        <f>_xll.BDP("07821BAH Muni","CPN")</f>
        <v>#N/A Requesting Data...</v>
      </c>
      <c r="K575" t="str">
        <f>_xll.BDP("07821BAH Muni","MATURITY")</f>
        <v>#N/A Requesting Data...</v>
      </c>
      <c r="L575">
        <v>160000</v>
      </c>
      <c r="M575" t="str">
        <f>_xll.BDP("07821BAH Muni","YIELD_ON_ISSUE_DATE")</f>
        <v>#N/A Requesting Data...</v>
      </c>
      <c r="N575" t="str">
        <f>_xll.BDP("07821BAH Muni","YTW_SPREAD_TO_MATURITY_AT_ISSU")</f>
        <v>#N/A Requesting Data...</v>
      </c>
      <c r="O575" t="str">
        <f>_xll.BDP("07821BAH Muni","BVAL_MID_YTM")</f>
        <v>#N/A Requesting Data...</v>
      </c>
      <c r="P575" t="str">
        <f>_xll.BDP("07821BAH Muni","MUNI_TAX_PROV")</f>
        <v>#N/A Requesting Data...</v>
      </c>
      <c r="Q575" t="str">
        <f>_xll.BDP("07821BAH Muni","MUNI_FED_TAX")</f>
        <v>#N/A Requesting Data...</v>
      </c>
      <c r="R575" t="str">
        <f>_xll.BDP("07821BAH Muni","MUNI_MSRB_VOLUME")</f>
        <v>#N/A Requesting Data...</v>
      </c>
      <c r="S575" t="str">
        <f>_xll.BDP("07821BAH Muni","BB_COMPOSITE")</f>
        <v>#N/A Requesting Data...</v>
      </c>
      <c r="T575" t="str">
        <f>_xll.BDP("07821BAH Muni","LQA_LIQUIDITY_SCORE")</f>
        <v>#N/A Requesting Data...</v>
      </c>
    </row>
    <row r="576" spans="1:20" x14ac:dyDescent="0.25">
      <c r="A576" t="str">
        <f>_xll.BDP("07821BAJ Muni","ID_CUSIP")</f>
        <v>#N/A Requesting Data...</v>
      </c>
      <c r="B576" t="s">
        <v>65</v>
      </c>
      <c r="C576" t="str">
        <f>_xll.BDP("07821BAJ Muni","INSURANCE_STATUS")</f>
        <v>#N/A Requesting Data...</v>
      </c>
      <c r="D576" t="str">
        <f>_xll.BDP("07821BAJ Muni","STATE_CODE")</f>
        <v>#N/A Requesting Data...</v>
      </c>
      <c r="E576" t="str">
        <f>_xll.BDP("07821BAJ Muni","COUNTY_LOCATION_ISSUER")</f>
        <v>#N/A Requesting Data...</v>
      </c>
      <c r="F576" t="str">
        <f>_xll.BDP("07821BAJ Muni","DUR_ADJ_MID")</f>
        <v>#N/A Requesting Data...</v>
      </c>
      <c r="G576" t="str">
        <f>_xll.BDP("07821BAJ Muni","SPREAD_AT_ISSUANCE_TO_WORST")</f>
        <v>#N/A Requesting Data...</v>
      </c>
      <c r="H576" t="str">
        <f>_xll.BDP("07821BAJ Muni","ISSUE_DT")</f>
        <v>#N/A Requesting Data...</v>
      </c>
      <c r="I576" t="str">
        <f>_xll.BDS("07821BAJ Muni","MUNI_PURPOSE_SCHED", "aggregate=y")</f>
        <v>#N/A Review</v>
      </c>
      <c r="J576" t="str">
        <f>_xll.BDP("07821BAJ Muni","CPN")</f>
        <v>#N/A Requesting Data...</v>
      </c>
      <c r="K576" t="str">
        <f>_xll.BDP("07821BAJ Muni","MATURITY")</f>
        <v>#N/A Requesting Data...</v>
      </c>
      <c r="L576">
        <v>160000</v>
      </c>
      <c r="M576" t="str">
        <f>_xll.BDP("07821BAJ Muni","YIELD_ON_ISSUE_DATE")</f>
        <v>#N/A Requesting Data...</v>
      </c>
      <c r="N576" t="str">
        <f>_xll.BDP("07821BAJ Muni","YTW_SPREAD_TO_MATURITY_AT_ISSU")</f>
        <v>#N/A Requesting Data...</v>
      </c>
      <c r="O576" t="str">
        <f>_xll.BDP("07821BAJ Muni","BVAL_MID_YTM")</f>
        <v>#N/A Requesting Data...</v>
      </c>
      <c r="P576" t="str">
        <f>_xll.BDP("07821BAJ Muni","MUNI_TAX_PROV")</f>
        <v>#N/A Requesting Data...</v>
      </c>
      <c r="Q576" t="str">
        <f>_xll.BDP("07821BAJ Muni","MUNI_FED_TAX")</f>
        <v>#N/A Requesting Data...</v>
      </c>
      <c r="R576" t="str">
        <f>_xll.BDP("07821BAJ Muni","MUNI_MSRB_VOLUME")</f>
        <v>#N/A Requesting Data...</v>
      </c>
      <c r="S576" t="str">
        <f>_xll.BDP("07821BAJ Muni","BB_COMPOSITE")</f>
        <v>#N/A Requesting Data...</v>
      </c>
      <c r="T576" t="str">
        <f>_xll.BDP("07821BAJ Muni","LQA_LIQUIDITY_SCORE")</f>
        <v>#N/A Requesting Data...</v>
      </c>
    </row>
    <row r="577" spans="1:20" x14ac:dyDescent="0.25">
      <c r="A577" t="str">
        <f>_xll.BDP("07821BAK Muni","ID_CUSIP")</f>
        <v>#N/A Requesting Data...</v>
      </c>
      <c r="B577" t="s">
        <v>65</v>
      </c>
      <c r="C577" t="str">
        <f>_xll.BDP("07821BAK Muni","INSURANCE_STATUS")</f>
        <v>#N/A Requesting Data...</v>
      </c>
      <c r="D577" t="str">
        <f>_xll.BDP("07821BAK Muni","STATE_CODE")</f>
        <v>#N/A Requesting Data...</v>
      </c>
      <c r="E577" t="str">
        <f>_xll.BDP("07821BAK Muni","COUNTY_LOCATION_ISSUER")</f>
        <v>#N/A Requesting Data...</v>
      </c>
      <c r="F577" t="str">
        <f>_xll.BDP("07821BAK Muni","DUR_ADJ_MID")</f>
        <v>#N/A Requesting Data...</v>
      </c>
      <c r="G577" t="str">
        <f>_xll.BDP("07821BAK Muni","SPREAD_AT_ISSUANCE_TO_WORST")</f>
        <v>#N/A Requesting Data...</v>
      </c>
      <c r="H577" t="str">
        <f>_xll.BDP("07821BAK Muni","ISSUE_DT")</f>
        <v>#N/A Requesting Data...</v>
      </c>
      <c r="I577" t="str">
        <f>_xll.BDS("07821BAK Muni","MUNI_PURPOSE_SCHED", "aggregate=y")</f>
        <v>#N/A Review</v>
      </c>
      <c r="J577" t="str">
        <f>_xll.BDP("07821BAK Muni","CPN")</f>
        <v>#N/A Requesting Data...</v>
      </c>
      <c r="K577" t="str">
        <f>_xll.BDP("07821BAK Muni","MATURITY")</f>
        <v>#N/A Requesting Data...</v>
      </c>
      <c r="L577">
        <v>165000</v>
      </c>
      <c r="M577" t="str">
        <f>_xll.BDP("07821BAK Muni","YIELD_ON_ISSUE_DATE")</f>
        <v>#N/A Requesting Data...</v>
      </c>
      <c r="N577" t="str">
        <f>_xll.BDP("07821BAK Muni","YTW_SPREAD_TO_MATURITY_AT_ISSU")</f>
        <v>#N/A Requesting Data...</v>
      </c>
      <c r="O577" t="str">
        <f>_xll.BDP("07821BAK Muni","BVAL_MID_YTM")</f>
        <v>#N/A Requesting Data...</v>
      </c>
      <c r="P577" t="str">
        <f>_xll.BDP("07821BAK Muni","MUNI_TAX_PROV")</f>
        <v>#N/A Requesting Data...</v>
      </c>
      <c r="Q577" t="str">
        <f>_xll.BDP("07821BAK Muni","MUNI_FED_TAX")</f>
        <v>#N/A Requesting Data...</v>
      </c>
      <c r="R577" t="str">
        <f>_xll.BDP("07821BAK Muni","MUNI_MSRB_VOLUME")</f>
        <v>#N/A Requesting Data...</v>
      </c>
      <c r="S577" t="str">
        <f>_xll.BDP("07821BAK Muni","BB_COMPOSITE")</f>
        <v>#N/A Requesting Data...</v>
      </c>
      <c r="T577" t="str">
        <f>_xll.BDP("07821BAK Muni","LQA_LIQUIDITY_SCORE")</f>
        <v>#N/A Requesting Data...</v>
      </c>
    </row>
    <row r="578" spans="1:20" x14ac:dyDescent="0.25">
      <c r="A578" t="str">
        <f>_xll.BDP("07821BAL Muni","ID_CUSIP")</f>
        <v>#N/A Requesting Data...</v>
      </c>
      <c r="B578" t="s">
        <v>65</v>
      </c>
      <c r="C578" t="str">
        <f>_xll.BDP("07821BAL Muni","INSURANCE_STATUS")</f>
        <v>#N/A Requesting Data...</v>
      </c>
      <c r="D578" t="str">
        <f>_xll.BDP("07821BAL Muni","STATE_CODE")</f>
        <v>#N/A Requesting Data...</v>
      </c>
      <c r="E578" t="str">
        <f>_xll.BDP("07821BAL Muni","COUNTY_LOCATION_ISSUER")</f>
        <v>#N/A Requesting Data...</v>
      </c>
      <c r="F578" t="str">
        <f>_xll.BDP("07821BAL Muni","DUR_ADJ_MID")</f>
        <v>#N/A Requesting Data...</v>
      </c>
      <c r="G578" t="str">
        <f>_xll.BDP("07821BAL Muni","SPREAD_AT_ISSUANCE_TO_WORST")</f>
        <v>#N/A Requesting Data...</v>
      </c>
      <c r="H578" t="str">
        <f>_xll.BDP("07821BAL Muni","ISSUE_DT")</f>
        <v>#N/A Requesting Data...</v>
      </c>
      <c r="I578" t="str">
        <f>_xll.BDS("07821BAL Muni","MUNI_PURPOSE_SCHED", "aggregate=y")</f>
        <v>#N/A Review</v>
      </c>
      <c r="J578" t="str">
        <f>_xll.BDP("07821BAL Muni","CPN")</f>
        <v>#N/A Requesting Data...</v>
      </c>
      <c r="K578" t="str">
        <f>_xll.BDP("07821BAL Muni","MATURITY")</f>
        <v>#N/A Requesting Data...</v>
      </c>
      <c r="L578">
        <v>170000</v>
      </c>
      <c r="M578" t="str">
        <f>_xll.BDP("07821BAL Muni","YIELD_ON_ISSUE_DATE")</f>
        <v>#N/A Requesting Data...</v>
      </c>
      <c r="N578" t="str">
        <f>_xll.BDP("07821BAL Muni","YTW_SPREAD_TO_MATURITY_AT_ISSU")</f>
        <v>#N/A Requesting Data...</v>
      </c>
      <c r="O578" t="str">
        <f>_xll.BDP("07821BAL Muni","BVAL_MID_YTM")</f>
        <v>#N/A Requesting Data...</v>
      </c>
      <c r="P578" t="str">
        <f>_xll.BDP("07821BAL Muni","MUNI_TAX_PROV")</f>
        <v>#N/A Requesting Data...</v>
      </c>
      <c r="Q578" t="str">
        <f>_xll.BDP("07821BAL Muni","MUNI_FED_TAX")</f>
        <v>#N/A Requesting Data...</v>
      </c>
      <c r="R578" t="str">
        <f>_xll.BDP("07821BAL Muni","MUNI_MSRB_VOLUME")</f>
        <v>#N/A Requesting Data...</v>
      </c>
      <c r="S578" t="str">
        <f>_xll.BDP("07821BAL Muni","BB_COMPOSITE")</f>
        <v>#N/A Requesting Data...</v>
      </c>
      <c r="T578" t="str">
        <f>_xll.BDP("07821BAL Muni","LQA_LIQUIDITY_SCORE")</f>
        <v>#N/A Requesting Data...</v>
      </c>
    </row>
    <row r="579" spans="1:20" x14ac:dyDescent="0.25">
      <c r="A579" t="str">
        <f>_xll.BDP("150591GC Muni","ID_CUSIP")</f>
        <v>#N/A Requesting Data...</v>
      </c>
      <c r="B579" t="s">
        <v>240</v>
      </c>
      <c r="C579" t="str">
        <f>_xll.BDP("150591GC Muni","INSURANCE_STATUS")</f>
        <v>#N/A Requesting Data...</v>
      </c>
      <c r="D579" t="str">
        <f>_xll.BDP("150591GC Muni","STATE_CODE")</f>
        <v>#N/A Requesting Data...</v>
      </c>
      <c r="E579" t="str">
        <f>_xll.BDP("150591GC Muni","COUNTY_LOCATION_ISSUER")</f>
        <v>#N/A Requesting Data...</v>
      </c>
      <c r="F579" t="str">
        <f>_xll.BDP("150591GC Muni","DUR_ADJ_MID")</f>
        <v>#N/A Requesting Data...</v>
      </c>
      <c r="G579" t="str">
        <f>_xll.BDP("150591GC Muni","SPREAD_AT_ISSUANCE_TO_WORST")</f>
        <v>#N/A Requesting Data...</v>
      </c>
      <c r="H579" t="str">
        <f>_xll.BDP("150591GC Muni","ISSUE_DT")</f>
        <v>#N/A Requesting Data...</v>
      </c>
      <c r="I579" t="str">
        <f>_xll.BDS("150591GC Muni","MUNI_PURPOSE_SCHED", "aggregate=y")</f>
        <v>#N/A Review</v>
      </c>
      <c r="J579" t="str">
        <f>_xll.BDP("150591GC Muni","CPN")</f>
        <v>#N/A Requesting Data...</v>
      </c>
      <c r="K579" t="str">
        <f>_xll.BDP("150591GC Muni","MATURITY")</f>
        <v>#N/A Requesting Data...</v>
      </c>
      <c r="L579">
        <v>615000</v>
      </c>
      <c r="M579" t="str">
        <f>_xll.BDP("150591GC Muni","YIELD_ON_ISSUE_DATE")</f>
        <v>#N/A Requesting Data...</v>
      </c>
      <c r="N579" t="str">
        <f>_xll.BDP("150591GC Muni","YTW_SPREAD_TO_MATURITY_AT_ISSU")</f>
        <v>#N/A Requesting Data...</v>
      </c>
      <c r="O579" t="str">
        <f>_xll.BDP("150591GC Muni","BVAL_MID_YTM")</f>
        <v>#N/A Requesting Data...</v>
      </c>
      <c r="P579" t="str">
        <f>_xll.BDP("150591GC Muni","MUNI_TAX_PROV")</f>
        <v>#N/A Requesting Data...</v>
      </c>
      <c r="Q579" t="str">
        <f>_xll.BDP("150591GC Muni","MUNI_FED_TAX")</f>
        <v>#N/A Requesting Data...</v>
      </c>
      <c r="R579" t="str">
        <f>_xll.BDP("150591GC Muni","MUNI_MSRB_VOLUME")</f>
        <v>#N/A Requesting Data...</v>
      </c>
      <c r="S579" t="str">
        <f>_xll.BDP("150591GC Muni","BB_COMPOSITE")</f>
        <v>#N/A Requesting Data...</v>
      </c>
      <c r="T579" t="str">
        <f>_xll.BDP("150591GC Muni","LQA_LIQUIDITY_SCORE")</f>
        <v>#N/A Requesting Data...</v>
      </c>
    </row>
    <row r="580" spans="1:20" x14ac:dyDescent="0.25">
      <c r="A580" t="str">
        <f>_xll.BDP("150591GD Muni","ID_CUSIP")</f>
        <v>#N/A Requesting Data...</v>
      </c>
      <c r="B580" t="s">
        <v>240</v>
      </c>
      <c r="C580" t="str">
        <f>_xll.BDP("150591GD Muni","INSURANCE_STATUS")</f>
        <v>#N/A Requesting Data...</v>
      </c>
      <c r="D580" t="str">
        <f>_xll.BDP("150591GD Muni","STATE_CODE")</f>
        <v>#N/A Requesting Data...</v>
      </c>
      <c r="E580" t="str">
        <f>_xll.BDP("150591GD Muni","COUNTY_LOCATION_ISSUER")</f>
        <v>#N/A Requesting Data...</v>
      </c>
      <c r="F580" t="str">
        <f>_xll.BDP("150591GD Muni","DUR_ADJ_MID")</f>
        <v>#N/A Requesting Data...</v>
      </c>
      <c r="G580" t="str">
        <f>_xll.BDP("150591GD Muni","SPREAD_AT_ISSUANCE_TO_WORST")</f>
        <v>#N/A Requesting Data...</v>
      </c>
      <c r="H580" t="str">
        <f>_xll.BDP("150591GD Muni","ISSUE_DT")</f>
        <v>#N/A Requesting Data...</v>
      </c>
      <c r="I580" t="str">
        <f>_xll.BDS("150591GD Muni","MUNI_PURPOSE_SCHED", "aggregate=y")</f>
        <v>#N/A Review</v>
      </c>
      <c r="J580" t="str">
        <f>_xll.BDP("150591GD Muni","CPN")</f>
        <v>#N/A Requesting Data...</v>
      </c>
      <c r="K580" t="str">
        <f>_xll.BDP("150591GD Muni","MATURITY")</f>
        <v>#N/A Requesting Data...</v>
      </c>
      <c r="L580">
        <v>645000</v>
      </c>
      <c r="M580" t="str">
        <f>_xll.BDP("150591GD Muni","YIELD_ON_ISSUE_DATE")</f>
        <v>#N/A Requesting Data...</v>
      </c>
      <c r="N580" t="str">
        <f>_xll.BDP("150591GD Muni","YTW_SPREAD_TO_MATURITY_AT_ISSU")</f>
        <v>#N/A Requesting Data...</v>
      </c>
      <c r="O580" t="str">
        <f>_xll.BDP("150591GD Muni","BVAL_MID_YTM")</f>
        <v>#N/A Requesting Data...</v>
      </c>
      <c r="P580" t="str">
        <f>_xll.BDP("150591GD Muni","MUNI_TAX_PROV")</f>
        <v>#N/A Requesting Data...</v>
      </c>
      <c r="Q580" t="str">
        <f>_xll.BDP("150591GD Muni","MUNI_FED_TAX")</f>
        <v>#N/A Requesting Data...</v>
      </c>
      <c r="R580" t="str">
        <f>_xll.BDP("150591GD Muni","MUNI_MSRB_VOLUME")</f>
        <v>#N/A Requesting Data...</v>
      </c>
      <c r="S580" t="str">
        <f>_xll.BDP("150591GD Muni","BB_COMPOSITE")</f>
        <v>#N/A Requesting Data...</v>
      </c>
      <c r="T580" t="str">
        <f>_xll.BDP("150591GD Muni","LQA_LIQUIDITY_SCORE")</f>
        <v>#N/A Requesting Data...</v>
      </c>
    </row>
    <row r="581" spans="1:20" x14ac:dyDescent="0.25">
      <c r="A581" t="str">
        <f>_xll.BDP("080375AG Muni","ID_CUSIP")</f>
        <v>#N/A Requesting Data...</v>
      </c>
      <c r="B581" t="s">
        <v>70</v>
      </c>
      <c r="C581" t="str">
        <f>_xll.BDP("080375AG Muni","INSURANCE_STATUS")</f>
        <v>#N/A Requesting Data...</v>
      </c>
      <c r="D581" t="str">
        <f>_xll.BDP("080375AG Muni","STATE_CODE")</f>
        <v>#N/A Requesting Data...</v>
      </c>
      <c r="E581" t="str">
        <f>_xll.BDP("080375AG Muni","COUNTY_LOCATION_ISSUER")</f>
        <v>#N/A Requesting Data...</v>
      </c>
      <c r="F581" t="str">
        <f>_xll.BDP("080375AG Muni","DUR_ADJ_MID")</f>
        <v>#N/A Requesting Data...</v>
      </c>
      <c r="G581" t="str">
        <f>_xll.BDP("080375AG Muni","SPREAD_AT_ISSUANCE_TO_WORST")</f>
        <v>#N/A Requesting Data...</v>
      </c>
      <c r="H581" t="str">
        <f>_xll.BDP("080375AG Muni","ISSUE_DT")</f>
        <v>#N/A Requesting Data...</v>
      </c>
      <c r="I581" t="str">
        <f>_xll.BDS("080375AG Muni","MUNI_PURPOSE_SCHED", "aggregate=y")</f>
        <v>#N/A Review</v>
      </c>
      <c r="J581" t="str">
        <f>_xll.BDP("080375AG Muni","CPN")</f>
        <v>#N/A Requesting Data...</v>
      </c>
      <c r="K581" t="str">
        <f>_xll.BDP("080375AG Muni","MATURITY")</f>
        <v>#N/A Requesting Data...</v>
      </c>
      <c r="L581">
        <v>370000</v>
      </c>
      <c r="M581" t="str">
        <f>_xll.BDP("080375AG Muni","YIELD_ON_ISSUE_DATE")</f>
        <v>#N/A Requesting Data...</v>
      </c>
      <c r="N581" t="str">
        <f>_xll.BDP("080375AG Muni","YTW_SPREAD_TO_MATURITY_AT_ISSU")</f>
        <v>#N/A Requesting Data...</v>
      </c>
      <c r="O581" t="str">
        <f>_xll.BDP("080375AG Muni","BVAL_MID_YTM")</f>
        <v>#N/A Requesting Data...</v>
      </c>
      <c r="P581" t="str">
        <f>_xll.BDP("080375AG Muni","MUNI_TAX_PROV")</f>
        <v>#N/A Requesting Data...</v>
      </c>
      <c r="Q581" t="str">
        <f>_xll.BDP("080375AG Muni","MUNI_FED_TAX")</f>
        <v>#N/A Requesting Data...</v>
      </c>
      <c r="R581" t="str">
        <f>_xll.BDP("080375AG Muni","MUNI_MSRB_VOLUME")</f>
        <v>#N/A Requesting Data...</v>
      </c>
      <c r="S581" t="str">
        <f>_xll.BDP("080375AG Muni","BB_COMPOSITE")</f>
        <v>#N/A Requesting Data...</v>
      </c>
      <c r="T581" t="str">
        <f>_xll.BDP("080375AG Muni","LQA_LIQUIDITY_SCORE")</f>
        <v>#N/A Requesting Data...</v>
      </c>
    </row>
    <row r="582" spans="1:20" x14ac:dyDescent="0.25">
      <c r="A582" t="str">
        <f>_xll.BDP("080375BG Muni","ID_CUSIP")</f>
        <v>#N/A Requesting Data...</v>
      </c>
      <c r="B582" t="s">
        <v>70</v>
      </c>
      <c r="C582" t="str">
        <f>_xll.BDP("080375BG Muni","INSURANCE_STATUS")</f>
        <v>#N/A Requesting Data...</v>
      </c>
      <c r="D582" t="str">
        <f>_xll.BDP("080375BG Muni","STATE_CODE")</f>
        <v>#N/A Requesting Data...</v>
      </c>
      <c r="E582" t="str">
        <f>_xll.BDP("080375BG Muni","COUNTY_LOCATION_ISSUER")</f>
        <v>#N/A Requesting Data...</v>
      </c>
      <c r="F582" t="str">
        <f>_xll.BDP("080375BG Muni","DUR_ADJ_MID")</f>
        <v>#N/A Requesting Data...</v>
      </c>
      <c r="G582" t="str">
        <f>_xll.BDP("080375BG Muni","SPREAD_AT_ISSUANCE_TO_WORST")</f>
        <v>#N/A Requesting Data...</v>
      </c>
      <c r="H582" t="str">
        <f>_xll.BDP("080375BG Muni","ISSUE_DT")</f>
        <v>#N/A Requesting Data...</v>
      </c>
      <c r="I582" t="str">
        <f>_xll.BDS("080375BG Muni","MUNI_PURPOSE_SCHED", "aggregate=y")</f>
        <v>#N/A Review</v>
      </c>
      <c r="J582" t="str">
        <f>_xll.BDP("080375BG Muni","CPN")</f>
        <v>#N/A Requesting Data...</v>
      </c>
      <c r="K582" t="str">
        <f>_xll.BDP("080375BG Muni","MATURITY")</f>
        <v>#N/A Requesting Data...</v>
      </c>
      <c r="L582">
        <v>150000</v>
      </c>
      <c r="M582" t="str">
        <f>_xll.BDP("080375BG Muni","YIELD_ON_ISSUE_DATE")</f>
        <v>#N/A Requesting Data...</v>
      </c>
      <c r="N582" t="str">
        <f>_xll.BDP("080375BG Muni","YTW_SPREAD_TO_MATURITY_AT_ISSU")</f>
        <v>#N/A Requesting Data...</v>
      </c>
      <c r="O582" t="str">
        <f>_xll.BDP("080375BG Muni","BVAL_MID_YTM")</f>
        <v>#N/A Requesting Data...</v>
      </c>
      <c r="P582" t="str">
        <f>_xll.BDP("080375BG Muni","MUNI_TAX_PROV")</f>
        <v>#N/A Requesting Data...</v>
      </c>
      <c r="Q582" t="str">
        <f>_xll.BDP("080375BG Muni","MUNI_FED_TAX")</f>
        <v>#N/A Requesting Data...</v>
      </c>
      <c r="R582" t="str">
        <f>_xll.BDP("080375BG Muni","MUNI_MSRB_VOLUME")</f>
        <v>#N/A Requesting Data...</v>
      </c>
      <c r="S582" t="str">
        <f>_xll.BDP("080375BG Muni","BB_COMPOSITE")</f>
        <v>#N/A Requesting Data...</v>
      </c>
      <c r="T582" t="str">
        <f>_xll.BDP("080375BG Muni","LQA_LIQUIDITY_SCORE")</f>
        <v>#N/A Requesting Data...</v>
      </c>
    </row>
    <row r="583" spans="1:20" x14ac:dyDescent="0.25">
      <c r="A583" t="str">
        <f>_xll.BDP("081059JR Muni","ID_CUSIP")</f>
        <v>#N/A Requesting Data...</v>
      </c>
      <c r="B583" t="s">
        <v>241</v>
      </c>
      <c r="C583" t="str">
        <f>_xll.BDP("081059JR Muni","INSURANCE_STATUS")</f>
        <v>#N/A Requesting Data...</v>
      </c>
      <c r="D583" t="str">
        <f>_xll.BDP("081059JR Muni","STATE_CODE")</f>
        <v>#N/A Requesting Data...</v>
      </c>
      <c r="E583" t="str">
        <f>_xll.BDP("081059JR Muni","COUNTY_LOCATION_ISSUER")</f>
        <v>#N/A Requesting Data...</v>
      </c>
      <c r="F583" t="str">
        <f>_xll.BDP("081059JR Muni","DUR_ADJ_MID")</f>
        <v>#N/A Requesting Data...</v>
      </c>
      <c r="G583" t="str">
        <f>_xll.BDP("081059JR Muni","SPREAD_AT_ISSUANCE_TO_WORST")</f>
        <v>#N/A Requesting Data...</v>
      </c>
      <c r="H583" t="str">
        <f>_xll.BDP("081059JR Muni","ISSUE_DT")</f>
        <v>#N/A Requesting Data...</v>
      </c>
      <c r="I583" t="str">
        <f>_xll.BDS("081059JR Muni","MUNI_PURPOSE_SCHED", "aggregate=y")</f>
        <v>#N/A Review</v>
      </c>
      <c r="J583" t="str">
        <f>_xll.BDP("081059JR Muni","CPN")</f>
        <v>#N/A Requesting Data...</v>
      </c>
      <c r="K583" t="str">
        <f>_xll.BDP("081059JR Muni","MATURITY")</f>
        <v>#N/A Requesting Data...</v>
      </c>
      <c r="L583">
        <v>610000</v>
      </c>
      <c r="M583" t="str">
        <f>_xll.BDP("081059JR Muni","YIELD_ON_ISSUE_DATE")</f>
        <v>#N/A Requesting Data...</v>
      </c>
      <c r="N583" t="str">
        <f>_xll.BDP("081059JR Muni","YTW_SPREAD_TO_MATURITY_AT_ISSU")</f>
        <v>#N/A Requesting Data...</v>
      </c>
      <c r="O583" t="str">
        <f>_xll.BDP("081059JR Muni","BVAL_MID_YTM")</f>
        <v>#N/A Requesting Data...</v>
      </c>
      <c r="P583" t="str">
        <f>_xll.BDP("081059JR Muni","MUNI_TAX_PROV")</f>
        <v>#N/A Requesting Data...</v>
      </c>
      <c r="Q583" t="str">
        <f>_xll.BDP("081059JR Muni","MUNI_FED_TAX")</f>
        <v>#N/A Requesting Data...</v>
      </c>
      <c r="R583" t="str">
        <f>_xll.BDP("081059JR Muni","MUNI_MSRB_VOLUME")</f>
        <v>#N/A Requesting Data...</v>
      </c>
      <c r="S583" t="str">
        <f>_xll.BDP("081059JR Muni","BB_COMPOSITE")</f>
        <v>#N/A Requesting Data...</v>
      </c>
      <c r="T583" t="str">
        <f>_xll.BDP("081059JR Muni","LQA_LIQUIDITY_SCORE")</f>
        <v>#N/A Requesting Data...</v>
      </c>
    </row>
    <row r="584" spans="1:20" x14ac:dyDescent="0.25">
      <c r="A584" t="str">
        <f>_xll.BDP("08117PBX Muni","ID_CUSIP")</f>
        <v>#N/A Requesting Data...</v>
      </c>
      <c r="B584" t="s">
        <v>242</v>
      </c>
      <c r="C584" t="str">
        <f>_xll.BDP("08117PBX Muni","INSURANCE_STATUS")</f>
        <v>#N/A Requesting Data...</v>
      </c>
      <c r="D584" t="str">
        <f>_xll.BDP("08117PBX Muni","STATE_CODE")</f>
        <v>#N/A Requesting Data...</v>
      </c>
      <c r="E584" t="str">
        <f>_xll.BDP("08117PBX Muni","COUNTY_LOCATION_ISSUER")</f>
        <v>#N/A Requesting Data...</v>
      </c>
      <c r="F584" t="str">
        <f>_xll.BDP("08117PBX Muni","DUR_ADJ_MID")</f>
        <v>#N/A Requesting Data...</v>
      </c>
      <c r="G584" t="str">
        <f>_xll.BDP("08117PBX Muni","SPREAD_AT_ISSUANCE_TO_WORST")</f>
        <v>#N/A Requesting Data...</v>
      </c>
      <c r="H584" t="str">
        <f>_xll.BDP("08117PBX Muni","ISSUE_DT")</f>
        <v>#N/A Requesting Data...</v>
      </c>
      <c r="I584" t="str">
        <f>_xll.BDS("08117PBX Muni","MUNI_PURPOSE_SCHED", "aggregate=y")</f>
        <v>#N/A Review</v>
      </c>
      <c r="J584" t="str">
        <f>_xll.BDP("08117PBX Muni","CPN")</f>
        <v>#N/A Requesting Data...</v>
      </c>
      <c r="K584" t="str">
        <f>_xll.BDP("08117PBX Muni","MATURITY")</f>
        <v>#N/A Requesting Data...</v>
      </c>
      <c r="L584">
        <v>30000</v>
      </c>
      <c r="M584" t="str">
        <f>_xll.BDP("08117PBX Muni","YIELD_ON_ISSUE_DATE")</f>
        <v>#N/A Requesting Data...</v>
      </c>
      <c r="N584" t="str">
        <f>_xll.BDP("08117PBX Muni","YTW_SPREAD_TO_MATURITY_AT_ISSU")</f>
        <v>#N/A Requesting Data...</v>
      </c>
      <c r="O584" t="str">
        <f>_xll.BDP("08117PBX Muni","BVAL_MID_YTM")</f>
        <v>#N/A Requesting Data...</v>
      </c>
      <c r="P584" t="str">
        <f>_xll.BDP("08117PBX Muni","MUNI_TAX_PROV")</f>
        <v>#N/A Requesting Data...</v>
      </c>
      <c r="Q584" t="str">
        <f>_xll.BDP("08117PBX Muni","MUNI_FED_TAX")</f>
        <v>#N/A Requesting Data...</v>
      </c>
      <c r="R584" t="str">
        <f>_xll.BDP("08117PBX Muni","MUNI_MSRB_VOLUME")</f>
        <v>#N/A Requesting Data...</v>
      </c>
      <c r="S584" t="str">
        <f>_xll.BDP("08117PBX Muni","BB_COMPOSITE")</f>
        <v>#N/A Requesting Data...</v>
      </c>
      <c r="T584" t="str">
        <f>_xll.BDP("08117PBX Muni","LQA_LIQUIDITY_SCORE")</f>
        <v>#N/A Requesting Data...</v>
      </c>
    </row>
    <row r="585" spans="1:20" x14ac:dyDescent="0.25">
      <c r="A585" t="str">
        <f>_xll.BDP("038141QJ Muni","ID_CUSIP")</f>
        <v>#N/A Requesting Data...</v>
      </c>
      <c r="B585" t="s">
        <v>243</v>
      </c>
      <c r="C585" t="str">
        <f>_xll.BDP("038141QJ Muni","INSURANCE_STATUS")</f>
        <v>#N/A Requesting Data...</v>
      </c>
      <c r="D585" t="str">
        <f>_xll.BDP("038141QJ Muni","STATE_CODE")</f>
        <v>#N/A Requesting Data...</v>
      </c>
      <c r="E585" t="str">
        <f>_xll.BDP("038141QJ Muni","COUNTY_LOCATION_ISSUER")</f>
        <v>#N/A Requesting Data...</v>
      </c>
      <c r="F585" t="str">
        <f>_xll.BDP("038141QJ Muni","DUR_ADJ_MID")</f>
        <v>#N/A Requesting Data...</v>
      </c>
      <c r="G585" t="str">
        <f>_xll.BDP("038141QJ Muni","SPREAD_AT_ISSUANCE_TO_WORST")</f>
        <v>#N/A Requesting Data...</v>
      </c>
      <c r="H585" t="str">
        <f>_xll.BDP("038141QJ Muni","ISSUE_DT")</f>
        <v>#N/A Requesting Data...</v>
      </c>
      <c r="I585" t="str">
        <f>_xll.BDS("038141QJ Muni","MUNI_PURPOSE_SCHED", "aggregate=y")</f>
        <v>#N/A Review</v>
      </c>
      <c r="J585" t="str">
        <f>_xll.BDP("038141QJ Muni","CPN")</f>
        <v>#N/A Requesting Data...</v>
      </c>
      <c r="K585" t="str">
        <f>_xll.BDP("038141QJ Muni","MATURITY")</f>
        <v>#N/A Requesting Data...</v>
      </c>
      <c r="L585">
        <v>170000</v>
      </c>
      <c r="M585" t="str">
        <f>_xll.BDP("038141QJ Muni","YIELD_ON_ISSUE_DATE")</f>
        <v>#N/A Requesting Data...</v>
      </c>
      <c r="N585" t="str">
        <f>_xll.BDP("038141QJ Muni","YTW_SPREAD_TO_MATURITY_AT_ISSU")</f>
        <v>#N/A Requesting Data...</v>
      </c>
      <c r="O585" t="str">
        <f>_xll.BDP("038141QJ Muni","BVAL_MID_YTM")</f>
        <v>#N/A Requesting Data...</v>
      </c>
      <c r="P585" t="str">
        <f>_xll.BDP("038141QJ Muni","MUNI_TAX_PROV")</f>
        <v>#N/A Requesting Data...</v>
      </c>
      <c r="Q585" t="str">
        <f>_xll.BDP("038141QJ Muni","MUNI_FED_TAX")</f>
        <v>#N/A Requesting Data...</v>
      </c>
      <c r="R585" t="str">
        <f>_xll.BDP("038141QJ Muni","MUNI_MSRB_VOLUME")</f>
        <v>#N/A Requesting Data...</v>
      </c>
      <c r="S585" t="str">
        <f>_xll.BDP("038141QJ Muni","BB_COMPOSITE")</f>
        <v>#N/A Requesting Data...</v>
      </c>
      <c r="T585" t="str">
        <f>_xll.BDP("038141QJ Muni","LQA_LIQUIDITY_SCORE")</f>
        <v>#N/A Requesting Data...</v>
      </c>
    </row>
    <row r="586" spans="1:20" x14ac:dyDescent="0.25">
      <c r="A586" t="str">
        <f>_xll.BDP("081587BR Muni","ID_CUSIP")</f>
        <v>#N/A Requesting Data...</v>
      </c>
      <c r="B586" t="s">
        <v>244</v>
      </c>
      <c r="C586" t="str">
        <f>_xll.BDP("081587BR Muni","INSURANCE_STATUS")</f>
        <v>#N/A Requesting Data...</v>
      </c>
      <c r="D586" t="str">
        <f>_xll.BDP("081587BR Muni","STATE_CODE")</f>
        <v>#N/A Requesting Data...</v>
      </c>
      <c r="E586" t="str">
        <f>_xll.BDP("081587BR Muni","COUNTY_LOCATION_ISSUER")</f>
        <v>#N/A Requesting Data...</v>
      </c>
      <c r="F586" t="str">
        <f>_xll.BDP("081587BR Muni","DUR_ADJ_MID")</f>
        <v>#N/A Requesting Data...</v>
      </c>
      <c r="G586" t="str">
        <f>_xll.BDP("081587BR Muni","SPREAD_AT_ISSUANCE_TO_WORST")</f>
        <v>#N/A Requesting Data...</v>
      </c>
      <c r="H586" t="str">
        <f>_xll.BDP("081587BR Muni","ISSUE_DT")</f>
        <v>#N/A Requesting Data...</v>
      </c>
      <c r="I586" t="str">
        <f>_xll.BDS("081587BR Muni","MUNI_PURPOSE_SCHED", "aggregate=y")</f>
        <v>#N/A Review</v>
      </c>
      <c r="J586" t="str">
        <f>_xll.BDP("081587BR Muni","CPN")</f>
        <v>#N/A Requesting Data...</v>
      </c>
      <c r="K586" t="str">
        <f>_xll.BDP("081587BR Muni","MATURITY")</f>
        <v>#N/A Requesting Data...</v>
      </c>
      <c r="L586">
        <v>310000</v>
      </c>
      <c r="M586" t="str">
        <f>_xll.BDP("081587BR Muni","YIELD_ON_ISSUE_DATE")</f>
        <v>#N/A Requesting Data...</v>
      </c>
      <c r="N586" t="str">
        <f>_xll.BDP("081587BR Muni","YTW_SPREAD_TO_MATURITY_AT_ISSU")</f>
        <v>#N/A Requesting Data...</v>
      </c>
      <c r="O586" t="str">
        <f>_xll.BDP("081587BR Muni","BVAL_MID_YTM")</f>
        <v>#N/A Requesting Data...</v>
      </c>
      <c r="P586" t="str">
        <f>_xll.BDP("081587BR Muni","MUNI_TAX_PROV")</f>
        <v>#N/A Requesting Data...</v>
      </c>
      <c r="Q586" t="str">
        <f>_xll.BDP("081587BR Muni","MUNI_FED_TAX")</f>
        <v>#N/A Requesting Data...</v>
      </c>
      <c r="R586" t="str">
        <f>_xll.BDP("081587BR Muni","MUNI_MSRB_VOLUME")</f>
        <v>#N/A Requesting Data...</v>
      </c>
      <c r="S586" t="str">
        <f>_xll.BDP("081587BR Muni","BB_COMPOSITE")</f>
        <v>#N/A Requesting Data...</v>
      </c>
      <c r="T586" t="str">
        <f>_xll.BDP("081587BR Muni","LQA_LIQUIDITY_SCORE")</f>
        <v>#N/A Requesting Data...</v>
      </c>
    </row>
    <row r="587" spans="1:20" x14ac:dyDescent="0.25">
      <c r="A587" t="str">
        <f>_xll.BDP("081587BT Muni","ID_CUSIP")</f>
        <v>#N/A Requesting Data...</v>
      </c>
      <c r="B587" t="s">
        <v>244</v>
      </c>
      <c r="C587" t="str">
        <f>_xll.BDP("081587BT Muni","INSURANCE_STATUS")</f>
        <v>#N/A Requesting Data...</v>
      </c>
      <c r="D587" t="str">
        <f>_xll.BDP("081587BT Muni","STATE_CODE")</f>
        <v>#N/A Requesting Data...</v>
      </c>
      <c r="E587" t="str">
        <f>_xll.BDP("081587BT Muni","COUNTY_LOCATION_ISSUER")</f>
        <v>#N/A Requesting Data...</v>
      </c>
      <c r="F587" t="str">
        <f>_xll.BDP("081587BT Muni","DUR_ADJ_MID")</f>
        <v>#N/A Requesting Data...</v>
      </c>
      <c r="G587" t="str">
        <f>_xll.BDP("081587BT Muni","SPREAD_AT_ISSUANCE_TO_WORST")</f>
        <v>#N/A Requesting Data...</v>
      </c>
      <c r="H587" t="str">
        <f>_xll.BDP("081587BT Muni","ISSUE_DT")</f>
        <v>#N/A Requesting Data...</v>
      </c>
      <c r="I587" t="str">
        <f>_xll.BDS("081587BT Muni","MUNI_PURPOSE_SCHED", "aggregate=y")</f>
        <v>#N/A Review</v>
      </c>
      <c r="J587" t="str">
        <f>_xll.BDP("081587BT Muni","CPN")</f>
        <v>#N/A Requesting Data...</v>
      </c>
      <c r="K587" t="str">
        <f>_xll.BDP("081587BT Muni","MATURITY")</f>
        <v>#N/A Requesting Data...</v>
      </c>
      <c r="L587">
        <v>320000</v>
      </c>
      <c r="M587" t="str">
        <f>_xll.BDP("081587BT Muni","YIELD_ON_ISSUE_DATE")</f>
        <v>#N/A Requesting Data...</v>
      </c>
      <c r="N587" t="str">
        <f>_xll.BDP("081587BT Muni","YTW_SPREAD_TO_MATURITY_AT_ISSU")</f>
        <v>#N/A Requesting Data...</v>
      </c>
      <c r="O587" t="str">
        <f>_xll.BDP("081587BT Muni","BVAL_MID_YTM")</f>
        <v>#N/A Requesting Data...</v>
      </c>
      <c r="P587" t="str">
        <f>_xll.BDP("081587BT Muni","MUNI_TAX_PROV")</f>
        <v>#N/A Requesting Data...</v>
      </c>
      <c r="Q587" t="str">
        <f>_xll.BDP("081587BT Muni","MUNI_FED_TAX")</f>
        <v>#N/A Requesting Data...</v>
      </c>
      <c r="R587" t="str">
        <f>_xll.BDP("081587BT Muni","MUNI_MSRB_VOLUME")</f>
        <v>#N/A Requesting Data...</v>
      </c>
      <c r="S587" t="str">
        <f>_xll.BDP("081587BT Muni","BB_COMPOSITE")</f>
        <v>#N/A Requesting Data...</v>
      </c>
      <c r="T587" t="str">
        <f>_xll.BDP("081587BT Muni","LQA_LIQUIDITY_SCORE")</f>
        <v>#N/A Requesting Data...</v>
      </c>
    </row>
    <row r="588" spans="1:20" x14ac:dyDescent="0.25">
      <c r="A588" t="str">
        <f>_xll.BDP("084113RZ Muni","ID_CUSIP")</f>
        <v>#N/A Requesting Data...</v>
      </c>
      <c r="B588" t="s">
        <v>157</v>
      </c>
      <c r="C588" t="str">
        <f>_xll.BDP("084113RZ Muni","INSURANCE_STATUS")</f>
        <v>#N/A Requesting Data...</v>
      </c>
      <c r="D588" t="str">
        <f>_xll.BDP("084113RZ Muni","STATE_CODE")</f>
        <v>#N/A Requesting Data...</v>
      </c>
      <c r="E588" t="str">
        <f>_xll.BDP("084113RZ Muni","COUNTY_LOCATION_ISSUER")</f>
        <v>#N/A Requesting Data...</v>
      </c>
      <c r="F588" t="str">
        <f>_xll.BDP("084113RZ Muni","DUR_ADJ_MID")</f>
        <v>#N/A Requesting Data...</v>
      </c>
      <c r="G588" t="str">
        <f>_xll.BDP("084113RZ Muni","SPREAD_AT_ISSUANCE_TO_WORST")</f>
        <v>#N/A Requesting Data...</v>
      </c>
      <c r="H588" t="str">
        <f>_xll.BDP("084113RZ Muni","ISSUE_DT")</f>
        <v>#N/A Requesting Data...</v>
      </c>
      <c r="I588" t="str">
        <f>_xll.BDS("084113RZ Muni","MUNI_PURPOSE_SCHED", "aggregate=y")</f>
        <v>#N/A Review</v>
      </c>
      <c r="J588" t="str">
        <f>_xll.BDP("084113RZ Muni","CPN")</f>
        <v>#N/A Requesting Data...</v>
      </c>
      <c r="K588" t="str">
        <f>_xll.BDP("084113RZ Muni","MATURITY")</f>
        <v>#N/A Requesting Data...</v>
      </c>
      <c r="L588">
        <v>335000</v>
      </c>
      <c r="M588" t="str">
        <f>_xll.BDP("084113RZ Muni","YIELD_ON_ISSUE_DATE")</f>
        <v>#N/A Requesting Data...</v>
      </c>
      <c r="N588" t="str">
        <f>_xll.BDP("084113RZ Muni","YTW_SPREAD_TO_MATURITY_AT_ISSU")</f>
        <v>#N/A Requesting Data...</v>
      </c>
      <c r="O588" t="str">
        <f>_xll.BDP("084113RZ Muni","BVAL_MID_YTM")</f>
        <v>#N/A Requesting Data...</v>
      </c>
      <c r="P588" t="str">
        <f>_xll.BDP("084113RZ Muni","MUNI_TAX_PROV")</f>
        <v>#N/A Requesting Data...</v>
      </c>
      <c r="Q588" t="str">
        <f>_xll.BDP("084113RZ Muni","MUNI_FED_TAX")</f>
        <v>#N/A Requesting Data...</v>
      </c>
      <c r="R588" t="str">
        <f>_xll.BDP("084113RZ Muni","MUNI_MSRB_VOLUME")</f>
        <v>#N/A Requesting Data...</v>
      </c>
      <c r="S588" t="str">
        <f>_xll.BDP("084113RZ Muni","BB_COMPOSITE")</f>
        <v>#N/A Requesting Data...</v>
      </c>
      <c r="T588" t="str">
        <f>_xll.BDP("084113RZ Muni","LQA_LIQUIDITY_SCORE")</f>
        <v>#N/A Requesting Data...</v>
      </c>
    </row>
    <row r="589" spans="1:20" x14ac:dyDescent="0.25">
      <c r="A589" t="str">
        <f>_xll.BDP("15239WAG Muni","ID_CUSIP")</f>
        <v>#N/A Requesting Data...</v>
      </c>
      <c r="B589" t="s">
        <v>245</v>
      </c>
      <c r="C589" t="str">
        <f>_xll.BDP("15239WAG Muni","INSURANCE_STATUS")</f>
        <v>#N/A Requesting Data...</v>
      </c>
      <c r="D589" t="str">
        <f>_xll.BDP("15239WAG Muni","STATE_CODE")</f>
        <v>#N/A Requesting Data...</v>
      </c>
      <c r="E589" t="str">
        <f>_xll.BDP("15239WAG Muni","COUNTY_LOCATION_ISSUER")</f>
        <v>#N/A Requesting Data...</v>
      </c>
      <c r="F589" t="str">
        <f>_xll.BDP("15239WAG Muni","DUR_ADJ_MID")</f>
        <v>#N/A Requesting Data...</v>
      </c>
      <c r="G589" t="str">
        <f>_xll.BDP("15239WAG Muni","SPREAD_AT_ISSUANCE_TO_WORST")</f>
        <v>#N/A Requesting Data...</v>
      </c>
      <c r="H589" t="str">
        <f>_xll.BDP("15239WAG Muni","ISSUE_DT")</f>
        <v>#N/A Requesting Data...</v>
      </c>
      <c r="I589" t="str">
        <f>_xll.BDS("15239WAG Muni","MUNI_PURPOSE_SCHED", "aggregate=y")</f>
        <v>#N/A Review</v>
      </c>
      <c r="J589" t="str">
        <f>_xll.BDP("15239WAG Muni","CPN")</f>
        <v>#N/A Requesting Data...</v>
      </c>
      <c r="K589" t="str">
        <f>_xll.BDP("15239WAG Muni","MATURITY")</f>
        <v>#N/A Requesting Data...</v>
      </c>
      <c r="L589">
        <v>580000</v>
      </c>
      <c r="M589" t="str">
        <f>_xll.BDP("15239WAG Muni","YIELD_ON_ISSUE_DATE")</f>
        <v>#N/A Requesting Data...</v>
      </c>
      <c r="N589" t="str">
        <f>_xll.BDP("15239WAG Muni","YTW_SPREAD_TO_MATURITY_AT_ISSU")</f>
        <v>#N/A Requesting Data...</v>
      </c>
      <c r="O589" t="str">
        <f>_xll.BDP("15239WAG Muni","BVAL_MID_YTM")</f>
        <v>#N/A Requesting Data...</v>
      </c>
      <c r="P589" t="str">
        <f>_xll.BDP("15239WAG Muni","MUNI_TAX_PROV")</f>
        <v>#N/A Requesting Data...</v>
      </c>
      <c r="Q589" t="str">
        <f>_xll.BDP("15239WAG Muni","MUNI_FED_TAX")</f>
        <v>#N/A Requesting Data...</v>
      </c>
      <c r="R589" t="str">
        <f>_xll.BDP("15239WAG Muni","MUNI_MSRB_VOLUME")</f>
        <v>#N/A Requesting Data...</v>
      </c>
      <c r="S589" t="str">
        <f>_xll.BDP("15239WAG Muni","BB_COMPOSITE")</f>
        <v>#N/A Requesting Data...</v>
      </c>
      <c r="T589" t="str">
        <f>_xll.BDP("15239WAG Muni","LQA_LIQUIDITY_SCORE")</f>
        <v>#N/A Requesting Data...</v>
      </c>
    </row>
    <row r="590" spans="1:20" x14ac:dyDescent="0.25">
      <c r="A590" t="str">
        <f>_xll.BDP("15239WAJ Muni","ID_CUSIP")</f>
        <v>#N/A Requesting Data...</v>
      </c>
      <c r="B590" t="s">
        <v>245</v>
      </c>
      <c r="C590" t="str">
        <f>_xll.BDP("15239WAJ Muni","INSURANCE_STATUS")</f>
        <v>#N/A Requesting Data...</v>
      </c>
      <c r="D590" t="str">
        <f>_xll.BDP("15239WAJ Muni","STATE_CODE")</f>
        <v>#N/A Requesting Data...</v>
      </c>
      <c r="E590" t="str">
        <f>_xll.BDP("15239WAJ Muni","COUNTY_LOCATION_ISSUER")</f>
        <v>#N/A Requesting Data...</v>
      </c>
      <c r="F590" t="str">
        <f>_xll.BDP("15239WAJ Muni","DUR_ADJ_MID")</f>
        <v>#N/A Requesting Data...</v>
      </c>
      <c r="G590" t="str">
        <f>_xll.BDP("15239WAJ Muni","SPREAD_AT_ISSUANCE_TO_WORST")</f>
        <v>#N/A Requesting Data...</v>
      </c>
      <c r="H590" t="str">
        <f>_xll.BDP("15239WAJ Muni","ISSUE_DT")</f>
        <v>#N/A Requesting Data...</v>
      </c>
      <c r="I590" t="str">
        <f>_xll.BDS("15239WAJ Muni","MUNI_PURPOSE_SCHED", "aggregate=y")</f>
        <v>#N/A Review</v>
      </c>
      <c r="J590" t="str">
        <f>_xll.BDP("15239WAJ Muni","CPN")</f>
        <v>#N/A Requesting Data...</v>
      </c>
      <c r="K590" t="str">
        <f>_xll.BDP("15239WAJ Muni","MATURITY")</f>
        <v>#N/A Requesting Data...</v>
      </c>
      <c r="L590">
        <v>615000</v>
      </c>
      <c r="M590" t="str">
        <f>_xll.BDP("15239WAJ Muni","YIELD_ON_ISSUE_DATE")</f>
        <v>#N/A Requesting Data...</v>
      </c>
      <c r="N590" t="str">
        <f>_xll.BDP("15239WAJ Muni","YTW_SPREAD_TO_MATURITY_AT_ISSU")</f>
        <v>#N/A Requesting Data...</v>
      </c>
      <c r="O590" t="str">
        <f>_xll.BDP("15239WAJ Muni","BVAL_MID_YTM")</f>
        <v>#N/A Requesting Data...</v>
      </c>
      <c r="P590" t="str">
        <f>_xll.BDP("15239WAJ Muni","MUNI_TAX_PROV")</f>
        <v>#N/A Requesting Data...</v>
      </c>
      <c r="Q590" t="str">
        <f>_xll.BDP("15239WAJ Muni","MUNI_FED_TAX")</f>
        <v>#N/A Requesting Data...</v>
      </c>
      <c r="R590" t="str">
        <f>_xll.BDP("15239WAJ Muni","MUNI_MSRB_VOLUME")</f>
        <v>#N/A Requesting Data...</v>
      </c>
      <c r="S590" t="str">
        <f>_xll.BDP("15239WAJ Muni","BB_COMPOSITE")</f>
        <v>#N/A Requesting Data...</v>
      </c>
      <c r="T590" t="str">
        <f>_xll.BDP("15239WAJ Muni","LQA_LIQUIDITY_SCORE")</f>
        <v>#N/A Requesting Data...</v>
      </c>
    </row>
    <row r="591" spans="1:20" x14ac:dyDescent="0.25">
      <c r="A591" t="str">
        <f>_xll.BDP("15240AAG Muni","ID_CUSIP")</f>
        <v>#N/A Requesting Data...</v>
      </c>
      <c r="B591" t="s">
        <v>49</v>
      </c>
      <c r="C591" t="str">
        <f>_xll.BDP("15240AAG Muni","INSURANCE_STATUS")</f>
        <v>#N/A Requesting Data...</v>
      </c>
      <c r="D591" t="str">
        <f>_xll.BDP("15240AAG Muni","STATE_CODE")</f>
        <v>#N/A Requesting Data...</v>
      </c>
      <c r="E591" t="str">
        <f>_xll.BDP("15240AAG Muni","COUNTY_LOCATION_ISSUER")</f>
        <v>#N/A Requesting Data...</v>
      </c>
      <c r="F591" t="str">
        <f>_xll.BDP("15240AAG Muni","DUR_ADJ_MID")</f>
        <v>#N/A Requesting Data...</v>
      </c>
      <c r="G591" t="str">
        <f>_xll.BDP("15240AAG Muni","SPREAD_AT_ISSUANCE_TO_WORST")</f>
        <v>#N/A Requesting Data...</v>
      </c>
      <c r="H591" t="str">
        <f>_xll.BDP("15240AAG Muni","ISSUE_DT")</f>
        <v>#N/A Requesting Data...</v>
      </c>
      <c r="I591" t="str">
        <f>_xll.BDS("15240AAG Muni","MUNI_PURPOSE_SCHED", "aggregate=y")</f>
        <v>#N/A Review</v>
      </c>
      <c r="J591" t="str">
        <f>_xll.BDP("15240AAG Muni","CPN")</f>
        <v>#N/A Requesting Data...</v>
      </c>
      <c r="K591" t="str">
        <f>_xll.BDP("15240AAG Muni","MATURITY")</f>
        <v>#N/A Requesting Data...</v>
      </c>
      <c r="L591">
        <v>1845000</v>
      </c>
      <c r="M591" t="str">
        <f>_xll.BDP("15240AAG Muni","YIELD_ON_ISSUE_DATE")</f>
        <v>#N/A Requesting Data...</v>
      </c>
      <c r="N591" t="str">
        <f>_xll.BDP("15240AAG Muni","YTW_SPREAD_TO_MATURITY_AT_ISSU")</f>
        <v>#N/A Requesting Data...</v>
      </c>
      <c r="O591" t="str">
        <f>_xll.BDP("15240AAG Muni","BVAL_MID_YTM")</f>
        <v>#N/A Requesting Data...</v>
      </c>
      <c r="P591" t="str">
        <f>_xll.BDP("15240AAG Muni","MUNI_TAX_PROV")</f>
        <v>#N/A Requesting Data...</v>
      </c>
      <c r="Q591" t="str">
        <f>_xll.BDP("15240AAG Muni","MUNI_FED_TAX")</f>
        <v>#N/A Requesting Data...</v>
      </c>
      <c r="R591" t="str">
        <f>_xll.BDP("15240AAG Muni","MUNI_MSRB_VOLUME")</f>
        <v>#N/A Requesting Data...</v>
      </c>
      <c r="S591" t="str">
        <f>_xll.BDP("15240AAG Muni","BB_COMPOSITE")</f>
        <v>#N/A Requesting Data...</v>
      </c>
      <c r="T591" t="str">
        <f>_xll.BDP("15240AAG Muni","LQA_LIQUIDITY_SCORE")</f>
        <v>#N/A Requesting Data...</v>
      </c>
    </row>
    <row r="592" spans="1:20" x14ac:dyDescent="0.25">
      <c r="A592" t="str">
        <f>_xll.BDP("15239WAH Muni","ID_CUSIP")</f>
        <v>#N/A Requesting Data...</v>
      </c>
      <c r="B592" t="s">
        <v>245</v>
      </c>
      <c r="C592" t="str">
        <f>_xll.BDP("15239WAH Muni","INSURANCE_STATUS")</f>
        <v>#N/A Requesting Data...</v>
      </c>
      <c r="D592" t="str">
        <f>_xll.BDP("15239WAH Muni","STATE_CODE")</f>
        <v>#N/A Requesting Data...</v>
      </c>
      <c r="E592" t="str">
        <f>_xll.BDP("15239WAH Muni","COUNTY_LOCATION_ISSUER")</f>
        <v>#N/A Requesting Data...</v>
      </c>
      <c r="F592" t="str">
        <f>_xll.BDP("15239WAH Muni","DUR_ADJ_MID")</f>
        <v>#N/A Requesting Data...</v>
      </c>
      <c r="G592" t="str">
        <f>_xll.BDP("15239WAH Muni","SPREAD_AT_ISSUANCE_TO_WORST")</f>
        <v>#N/A Requesting Data...</v>
      </c>
      <c r="H592" t="str">
        <f>_xll.BDP("15239WAH Muni","ISSUE_DT")</f>
        <v>#N/A Requesting Data...</v>
      </c>
      <c r="I592" t="str">
        <f>_xll.BDS("15239WAH Muni","MUNI_PURPOSE_SCHED", "aggregate=y")</f>
        <v>#N/A Review</v>
      </c>
      <c r="J592" t="str">
        <f>_xll.BDP("15239WAH Muni","CPN")</f>
        <v>#N/A Requesting Data...</v>
      </c>
      <c r="K592" t="str">
        <f>_xll.BDP("15239WAH Muni","MATURITY")</f>
        <v>#N/A Requesting Data...</v>
      </c>
      <c r="L592">
        <v>595000</v>
      </c>
      <c r="M592" t="str">
        <f>_xll.BDP("15239WAH Muni","YIELD_ON_ISSUE_DATE")</f>
        <v>#N/A Requesting Data...</v>
      </c>
      <c r="N592" t="str">
        <f>_xll.BDP("15239WAH Muni","YTW_SPREAD_TO_MATURITY_AT_ISSU")</f>
        <v>#N/A Requesting Data...</v>
      </c>
      <c r="O592" t="str">
        <f>_xll.BDP("15239WAH Muni","BVAL_MID_YTM")</f>
        <v>#N/A Requesting Data...</v>
      </c>
      <c r="P592" t="str">
        <f>_xll.BDP("15239WAH Muni","MUNI_TAX_PROV")</f>
        <v>#N/A Requesting Data...</v>
      </c>
      <c r="Q592" t="str">
        <f>_xll.BDP("15239WAH Muni","MUNI_FED_TAX")</f>
        <v>#N/A Requesting Data...</v>
      </c>
      <c r="R592" t="str">
        <f>_xll.BDP("15239WAH Muni","MUNI_MSRB_VOLUME")</f>
        <v>#N/A Requesting Data...</v>
      </c>
      <c r="S592" t="str">
        <f>_xll.BDP("15239WAH Muni","BB_COMPOSITE")</f>
        <v>#N/A Requesting Data...</v>
      </c>
      <c r="T592" t="str">
        <f>_xll.BDP("15239WAH Muni","LQA_LIQUIDITY_SCORE")</f>
        <v>#N/A Requesting Data...</v>
      </c>
    </row>
    <row r="593" spans="1:20" x14ac:dyDescent="0.25">
      <c r="A593" t="str">
        <f>_xll.BDP("15239WAK Muni","ID_CUSIP")</f>
        <v>#N/A Requesting Data...</v>
      </c>
      <c r="B593" t="s">
        <v>245</v>
      </c>
      <c r="C593" t="str">
        <f>_xll.BDP("15239WAK Muni","INSURANCE_STATUS")</f>
        <v>#N/A Requesting Data...</v>
      </c>
      <c r="D593" t="str">
        <f>_xll.BDP("15239WAK Muni","STATE_CODE")</f>
        <v>#N/A Requesting Data...</v>
      </c>
      <c r="E593" t="str">
        <f>_xll.BDP("15239WAK Muni","COUNTY_LOCATION_ISSUER")</f>
        <v>#N/A Requesting Data...</v>
      </c>
      <c r="F593" t="str">
        <f>_xll.BDP("15239WAK Muni","DUR_ADJ_MID")</f>
        <v>#N/A Requesting Data...</v>
      </c>
      <c r="G593" t="str">
        <f>_xll.BDP("15239WAK Muni","SPREAD_AT_ISSUANCE_TO_WORST")</f>
        <v>#N/A Requesting Data...</v>
      </c>
      <c r="H593" t="str">
        <f>_xll.BDP("15239WAK Muni","ISSUE_DT")</f>
        <v>#N/A Requesting Data...</v>
      </c>
      <c r="I593" t="str">
        <f>_xll.BDS("15239WAK Muni","MUNI_PURPOSE_SCHED", "aggregate=y")</f>
        <v>#N/A Review</v>
      </c>
      <c r="J593" t="str">
        <f>_xll.BDP("15239WAK Muni","CPN")</f>
        <v>#N/A Requesting Data...</v>
      </c>
      <c r="K593" t="str">
        <f>_xll.BDP("15239WAK Muni","MATURITY")</f>
        <v>#N/A Requesting Data...</v>
      </c>
      <c r="L593">
        <v>625000</v>
      </c>
      <c r="M593" t="str">
        <f>_xll.BDP("15239WAK Muni","YIELD_ON_ISSUE_DATE")</f>
        <v>#N/A Requesting Data...</v>
      </c>
      <c r="N593" t="str">
        <f>_xll.BDP("15239WAK Muni","YTW_SPREAD_TO_MATURITY_AT_ISSU")</f>
        <v>#N/A Requesting Data...</v>
      </c>
      <c r="O593" t="str">
        <f>_xll.BDP("15239WAK Muni","BVAL_MID_YTM")</f>
        <v>#N/A Requesting Data...</v>
      </c>
      <c r="P593" t="str">
        <f>_xll.BDP("15239WAK Muni","MUNI_TAX_PROV")</f>
        <v>#N/A Requesting Data...</v>
      </c>
      <c r="Q593" t="str">
        <f>_xll.BDP("15239WAK Muni","MUNI_FED_TAX")</f>
        <v>#N/A Requesting Data...</v>
      </c>
      <c r="R593" t="str">
        <f>_xll.BDP("15239WAK Muni","MUNI_MSRB_VOLUME")</f>
        <v>#N/A Requesting Data...</v>
      </c>
      <c r="S593" t="str">
        <f>_xll.BDP("15239WAK Muni","BB_COMPOSITE")</f>
        <v>#N/A Requesting Data...</v>
      </c>
      <c r="T593" t="str">
        <f>_xll.BDP("15239WAK Muni","LQA_LIQUIDITY_SCORE")</f>
        <v>#N/A Requesting Data...</v>
      </c>
    </row>
    <row r="594" spans="1:20" x14ac:dyDescent="0.25">
      <c r="A594" t="str">
        <f>_xll.BDP("15240AAK Muni","ID_CUSIP")</f>
        <v>#N/A Requesting Data...</v>
      </c>
      <c r="B594" t="s">
        <v>49</v>
      </c>
      <c r="C594" t="str">
        <f>_xll.BDP("15240AAK Muni","INSURANCE_STATUS")</f>
        <v>#N/A Requesting Data...</v>
      </c>
      <c r="D594" t="str">
        <f>_xll.BDP("15240AAK Muni","STATE_CODE")</f>
        <v>#N/A Requesting Data...</v>
      </c>
      <c r="E594" t="str">
        <f>_xll.BDP("15240AAK Muni","COUNTY_LOCATION_ISSUER")</f>
        <v>#N/A Requesting Data...</v>
      </c>
      <c r="F594" t="str">
        <f>_xll.BDP("15240AAK Muni","DUR_ADJ_MID")</f>
        <v>#N/A Requesting Data...</v>
      </c>
      <c r="G594" t="str">
        <f>_xll.BDP("15240AAK Muni","SPREAD_AT_ISSUANCE_TO_WORST")</f>
        <v>#N/A Requesting Data...</v>
      </c>
      <c r="H594" t="str">
        <f>_xll.BDP("15240AAK Muni","ISSUE_DT")</f>
        <v>#N/A Requesting Data...</v>
      </c>
      <c r="I594" t="str">
        <f>_xll.BDS("15240AAK Muni","MUNI_PURPOSE_SCHED", "aggregate=y")</f>
        <v>#N/A Review</v>
      </c>
      <c r="J594" t="str">
        <f>_xll.BDP("15240AAK Muni","CPN")</f>
        <v>#N/A Requesting Data...</v>
      </c>
      <c r="K594" t="str">
        <f>_xll.BDP("15240AAK Muni","MATURITY")</f>
        <v>#N/A Requesting Data...</v>
      </c>
      <c r="L594">
        <v>2120000</v>
      </c>
      <c r="M594" t="str">
        <f>_xll.BDP("15240AAK Muni","YIELD_ON_ISSUE_DATE")</f>
        <v>#N/A Requesting Data...</v>
      </c>
      <c r="N594" t="str">
        <f>_xll.BDP("15240AAK Muni","YTW_SPREAD_TO_MATURITY_AT_ISSU")</f>
        <v>#N/A Requesting Data...</v>
      </c>
      <c r="O594" t="str">
        <f>_xll.BDP("15240AAK Muni","BVAL_MID_YTM")</f>
        <v>#N/A Requesting Data...</v>
      </c>
      <c r="P594" t="str">
        <f>_xll.BDP("15240AAK Muni","MUNI_TAX_PROV")</f>
        <v>#N/A Requesting Data...</v>
      </c>
      <c r="Q594" t="str">
        <f>_xll.BDP("15240AAK Muni","MUNI_FED_TAX")</f>
        <v>#N/A Requesting Data...</v>
      </c>
      <c r="R594" t="str">
        <f>_xll.BDP("15240AAK Muni","MUNI_MSRB_VOLUME")</f>
        <v>#N/A Requesting Data...</v>
      </c>
      <c r="S594" t="str">
        <f>_xll.BDP("15240AAK Muni","BB_COMPOSITE")</f>
        <v>#N/A Requesting Data...</v>
      </c>
      <c r="T594" t="str">
        <f>_xll.BDP("15240AAK Muni","LQA_LIQUIDITY_SCORE")</f>
        <v>#N/A Requesting Data...</v>
      </c>
    </row>
    <row r="595" spans="1:20" x14ac:dyDescent="0.25">
      <c r="A595" t="str">
        <f>_xll.BDP("107897HV Muni","ID_CUSIP")</f>
        <v>#N/A Requesting Data...</v>
      </c>
      <c r="B595" t="s">
        <v>246</v>
      </c>
      <c r="C595" t="str">
        <f>_xll.BDP("107897HV Muni","INSURANCE_STATUS")</f>
        <v>#N/A Requesting Data...</v>
      </c>
      <c r="D595" t="str">
        <f>_xll.BDP("107897HV Muni","STATE_CODE")</f>
        <v>#N/A Requesting Data...</v>
      </c>
      <c r="E595" t="str">
        <f>_xll.BDP("107897HV Muni","COUNTY_LOCATION_ISSUER")</f>
        <v>#N/A Requesting Data...</v>
      </c>
      <c r="F595" t="str">
        <f>_xll.BDP("107897HV Muni","DUR_ADJ_MID")</f>
        <v>#N/A Requesting Data...</v>
      </c>
      <c r="G595" t="str">
        <f>_xll.BDP("107897HV Muni","SPREAD_AT_ISSUANCE_TO_WORST")</f>
        <v>#N/A Requesting Data...</v>
      </c>
      <c r="H595" t="str">
        <f>_xll.BDP("107897HV Muni","ISSUE_DT")</f>
        <v>#N/A Requesting Data...</v>
      </c>
      <c r="I595" t="str">
        <f>_xll.BDS("107897HV Muni","MUNI_PURPOSE_SCHED", "aggregate=y")</f>
        <v>#N/A Review</v>
      </c>
      <c r="J595" t="str">
        <f>_xll.BDP("107897HV Muni","CPN")</f>
        <v>#N/A Requesting Data...</v>
      </c>
      <c r="K595" t="str">
        <f>_xll.BDP("107897HV Muni","MATURITY")</f>
        <v>#N/A Requesting Data...</v>
      </c>
      <c r="L595">
        <v>2245000</v>
      </c>
      <c r="M595" t="str">
        <f>_xll.BDP("107897HV Muni","YIELD_ON_ISSUE_DATE")</f>
        <v>#N/A Requesting Data...</v>
      </c>
      <c r="N595" t="str">
        <f>_xll.BDP("107897HV Muni","YTW_SPREAD_TO_MATURITY_AT_ISSU")</f>
        <v>#N/A Requesting Data...</v>
      </c>
      <c r="O595" t="str">
        <f>_xll.BDP("107897HV Muni","BVAL_MID_YTM")</f>
        <v>#N/A Requesting Data...</v>
      </c>
      <c r="P595" t="str">
        <f>_xll.BDP("107897HV Muni","MUNI_TAX_PROV")</f>
        <v>#N/A Requesting Data...</v>
      </c>
      <c r="Q595" t="str">
        <f>_xll.BDP("107897HV Muni","MUNI_FED_TAX")</f>
        <v>#N/A Requesting Data...</v>
      </c>
      <c r="R595" t="str">
        <f>_xll.BDP("107897HV Muni","MUNI_MSRB_VOLUME")</f>
        <v>#N/A Requesting Data...</v>
      </c>
      <c r="S595" t="str">
        <f>_xll.BDP("107897HV Muni","BB_COMPOSITE")</f>
        <v>#N/A Requesting Data...</v>
      </c>
      <c r="T595" t="str">
        <f>_xll.BDP("107897HV Muni","LQA_LIQUIDITY_SCORE")</f>
        <v>#N/A Requesting Data...</v>
      </c>
    </row>
    <row r="596" spans="1:20" x14ac:dyDescent="0.25">
      <c r="A596" t="str">
        <f>_xll.BDP("091096LE Muni","ID_CUSIP")</f>
        <v>#N/A Requesting Data...</v>
      </c>
      <c r="B596" t="s">
        <v>56</v>
      </c>
      <c r="C596" t="str">
        <f>_xll.BDP("091096LE Muni","INSURANCE_STATUS")</f>
        <v>#N/A Requesting Data...</v>
      </c>
      <c r="D596" t="str">
        <f>_xll.BDP("091096LE Muni","STATE_CODE")</f>
        <v>#N/A Requesting Data...</v>
      </c>
      <c r="E596" t="str">
        <f>_xll.BDP("091096LE Muni","COUNTY_LOCATION_ISSUER")</f>
        <v>#N/A Requesting Data...</v>
      </c>
      <c r="F596" t="str">
        <f>_xll.BDP("091096LE Muni","DUR_ADJ_MID")</f>
        <v>#N/A Requesting Data...</v>
      </c>
      <c r="G596" t="str">
        <f>_xll.BDP("091096LE Muni","SPREAD_AT_ISSUANCE_TO_WORST")</f>
        <v>#N/A Requesting Data...</v>
      </c>
      <c r="H596" t="str">
        <f>_xll.BDP("091096LE Muni","ISSUE_DT")</f>
        <v>#N/A Requesting Data...</v>
      </c>
      <c r="I596" t="str">
        <f>_xll.BDS("091096LE Muni","MUNI_PURPOSE_SCHED", "aggregate=y")</f>
        <v>#N/A Review</v>
      </c>
      <c r="J596" t="str">
        <f>_xll.BDP("091096LE Muni","CPN")</f>
        <v>#N/A Requesting Data...</v>
      </c>
      <c r="K596" t="str">
        <f>_xll.BDP("091096LE Muni","MATURITY")</f>
        <v>#N/A Requesting Data...</v>
      </c>
      <c r="L596">
        <v>2660000</v>
      </c>
      <c r="M596" t="str">
        <f>_xll.BDP("091096LE Muni","YIELD_ON_ISSUE_DATE")</f>
        <v>#N/A Requesting Data...</v>
      </c>
      <c r="N596" t="str">
        <f>_xll.BDP("091096LE Muni","YTW_SPREAD_TO_MATURITY_AT_ISSU")</f>
        <v>#N/A Requesting Data...</v>
      </c>
      <c r="O596" t="str">
        <f>_xll.BDP("091096LE Muni","BVAL_MID_YTM")</f>
        <v>#N/A Requesting Data...</v>
      </c>
      <c r="P596" t="str">
        <f>_xll.BDP("091096LE Muni","MUNI_TAX_PROV")</f>
        <v>#N/A Requesting Data...</v>
      </c>
      <c r="Q596" t="str">
        <f>_xll.BDP("091096LE Muni","MUNI_FED_TAX")</f>
        <v>#N/A Requesting Data...</v>
      </c>
      <c r="R596" t="str">
        <f>_xll.BDP("091096LE Muni","MUNI_MSRB_VOLUME")</f>
        <v>#N/A Requesting Data...</v>
      </c>
      <c r="S596" t="str">
        <f>_xll.BDP("091096LE Muni","BB_COMPOSITE")</f>
        <v>#N/A Requesting Data...</v>
      </c>
      <c r="T596" t="str">
        <f>_xll.BDP("091096LE Muni","LQA_LIQUIDITY_SCORE")</f>
        <v>#N/A Requesting Data...</v>
      </c>
    </row>
    <row r="597" spans="1:20" x14ac:dyDescent="0.25">
      <c r="A597" t="str">
        <f>_xll.BDP("107043GP Muni","ID_CUSIP")</f>
        <v>#N/A Requesting Data...</v>
      </c>
      <c r="B597" t="s">
        <v>247</v>
      </c>
      <c r="C597" t="str">
        <f>_xll.BDP("107043GP Muni","INSURANCE_STATUS")</f>
        <v>#N/A Requesting Data...</v>
      </c>
      <c r="D597" t="str">
        <f>_xll.BDP("107043GP Muni","STATE_CODE")</f>
        <v>#N/A Requesting Data...</v>
      </c>
      <c r="E597" t="str">
        <f>_xll.BDP("107043GP Muni","COUNTY_LOCATION_ISSUER")</f>
        <v>#N/A Requesting Data...</v>
      </c>
      <c r="F597" t="str">
        <f>_xll.BDP("107043GP Muni","DUR_ADJ_MID")</f>
        <v>#N/A Requesting Data...</v>
      </c>
      <c r="G597" t="str">
        <f>_xll.BDP("107043GP Muni","SPREAD_AT_ISSUANCE_TO_WORST")</f>
        <v>#N/A Requesting Data...</v>
      </c>
      <c r="H597" t="str">
        <f>_xll.BDP("107043GP Muni","ISSUE_DT")</f>
        <v>#N/A Requesting Data...</v>
      </c>
      <c r="I597" t="str">
        <f>_xll.BDS("107043GP Muni","MUNI_PURPOSE_SCHED", "aggregate=y")</f>
        <v>#N/A Review</v>
      </c>
      <c r="J597" t="str">
        <f>_xll.BDP("107043GP Muni","CPN")</f>
        <v>#N/A Requesting Data...</v>
      </c>
      <c r="K597" t="str">
        <f>_xll.BDP("107043GP Muni","MATURITY")</f>
        <v>#N/A Requesting Data...</v>
      </c>
      <c r="L597">
        <v>350000</v>
      </c>
      <c r="M597" t="str">
        <f>_xll.BDP("107043GP Muni","YIELD_ON_ISSUE_DATE")</f>
        <v>#N/A Requesting Data...</v>
      </c>
      <c r="N597" t="str">
        <f>_xll.BDP("107043GP Muni","YTW_SPREAD_TO_MATURITY_AT_ISSU")</f>
        <v>#N/A Requesting Data...</v>
      </c>
      <c r="O597" t="str">
        <f>_xll.BDP("107043GP Muni","BVAL_MID_YTM")</f>
        <v>#N/A Requesting Data...</v>
      </c>
      <c r="P597" t="str">
        <f>_xll.BDP("107043GP Muni","MUNI_TAX_PROV")</f>
        <v>#N/A Requesting Data...</v>
      </c>
      <c r="Q597" t="str">
        <f>_xll.BDP("107043GP Muni","MUNI_FED_TAX")</f>
        <v>#N/A Requesting Data...</v>
      </c>
      <c r="R597" t="str">
        <f>_xll.BDP("107043GP Muni","MUNI_MSRB_VOLUME")</f>
        <v>#N/A Requesting Data...</v>
      </c>
      <c r="S597" t="str">
        <f>_xll.BDP("107043GP Muni","BB_COMPOSITE")</f>
        <v>#N/A Requesting Data...</v>
      </c>
      <c r="T597" t="str">
        <f>_xll.BDP("107043GP Muni","LQA_LIQUIDITY_SCORE")</f>
        <v>#N/A Requesting Data...</v>
      </c>
    </row>
    <row r="598" spans="1:20" x14ac:dyDescent="0.25">
      <c r="A598" t="str">
        <f>_xll.BDP("107043GR Muni","ID_CUSIP")</f>
        <v>#N/A Requesting Data...</v>
      </c>
      <c r="B598" t="s">
        <v>247</v>
      </c>
      <c r="C598" t="str">
        <f>_xll.BDP("107043GR Muni","INSURANCE_STATUS")</f>
        <v>#N/A Requesting Data...</v>
      </c>
      <c r="D598" t="str">
        <f>_xll.BDP("107043GR Muni","STATE_CODE")</f>
        <v>#N/A Requesting Data...</v>
      </c>
      <c r="E598" t="str">
        <f>_xll.BDP("107043GR Muni","COUNTY_LOCATION_ISSUER")</f>
        <v>#N/A Requesting Data...</v>
      </c>
      <c r="F598" t="str">
        <f>_xll.BDP("107043GR Muni","DUR_ADJ_MID")</f>
        <v>#N/A Requesting Data...</v>
      </c>
      <c r="G598" t="str">
        <f>_xll.BDP("107043GR Muni","SPREAD_AT_ISSUANCE_TO_WORST")</f>
        <v>#N/A Requesting Data...</v>
      </c>
      <c r="H598" t="str">
        <f>_xll.BDP("107043GR Muni","ISSUE_DT")</f>
        <v>#N/A Requesting Data...</v>
      </c>
      <c r="I598" t="str">
        <f>_xll.BDS("107043GR Muni","MUNI_PURPOSE_SCHED", "aggregate=y")</f>
        <v>#N/A Review</v>
      </c>
      <c r="J598" t="str">
        <f>_xll.BDP("107043GR Muni","CPN")</f>
        <v>#N/A Requesting Data...</v>
      </c>
      <c r="K598" t="str">
        <f>_xll.BDP("107043GR Muni","MATURITY")</f>
        <v>#N/A Requesting Data...</v>
      </c>
      <c r="L598">
        <v>370000</v>
      </c>
      <c r="M598" t="str">
        <f>_xll.BDP("107043GR Muni","YIELD_ON_ISSUE_DATE")</f>
        <v>#N/A Requesting Data...</v>
      </c>
      <c r="N598" t="str">
        <f>_xll.BDP("107043GR Muni","YTW_SPREAD_TO_MATURITY_AT_ISSU")</f>
        <v>#N/A Requesting Data...</v>
      </c>
      <c r="O598" t="str">
        <f>_xll.BDP("107043GR Muni","BVAL_MID_YTM")</f>
        <v>#N/A Requesting Data...</v>
      </c>
      <c r="P598" t="str">
        <f>_xll.BDP("107043GR Muni","MUNI_TAX_PROV")</f>
        <v>#N/A Requesting Data...</v>
      </c>
      <c r="Q598" t="str">
        <f>_xll.BDP("107043GR Muni","MUNI_FED_TAX")</f>
        <v>#N/A Requesting Data...</v>
      </c>
      <c r="R598" t="str">
        <f>_xll.BDP("107043GR Muni","MUNI_MSRB_VOLUME")</f>
        <v>#N/A Requesting Data...</v>
      </c>
      <c r="S598" t="str">
        <f>_xll.BDP("107043GR Muni","BB_COMPOSITE")</f>
        <v>#N/A Requesting Data...</v>
      </c>
      <c r="T598" t="str">
        <f>_xll.BDP("107043GR Muni","LQA_LIQUIDITY_SCORE")</f>
        <v>#N/A Requesting Data...</v>
      </c>
    </row>
    <row r="599" spans="1:20" x14ac:dyDescent="0.25">
      <c r="A599" t="str">
        <f>_xll.BDP("092472AH Muni","ID_CUSIP")</f>
        <v>#N/A Requesting Data...</v>
      </c>
      <c r="B599" t="s">
        <v>248</v>
      </c>
      <c r="C599" t="str">
        <f>_xll.BDP("092472AH Muni","INSURANCE_STATUS")</f>
        <v>#N/A Requesting Data...</v>
      </c>
      <c r="D599" t="str">
        <f>_xll.BDP("092472AH Muni","STATE_CODE")</f>
        <v>#N/A Requesting Data...</v>
      </c>
      <c r="E599" t="str">
        <f>_xll.BDP("092472AH Muni","COUNTY_LOCATION_ISSUER")</f>
        <v>#N/A Requesting Data...</v>
      </c>
      <c r="F599" t="str">
        <f>_xll.BDP("092472AH Muni","DUR_ADJ_MID")</f>
        <v>#N/A Requesting Data...</v>
      </c>
      <c r="G599" t="str">
        <f>_xll.BDP("092472AH Muni","SPREAD_AT_ISSUANCE_TO_WORST")</f>
        <v>#N/A Requesting Data...</v>
      </c>
      <c r="H599" t="str">
        <f>_xll.BDP("092472AH Muni","ISSUE_DT")</f>
        <v>#N/A Requesting Data...</v>
      </c>
      <c r="I599" t="str">
        <f>_xll.BDS("092472AH Muni","MUNI_PURPOSE_SCHED", "aggregate=y")</f>
        <v>#N/A Review</v>
      </c>
      <c r="J599" t="str">
        <f>_xll.BDP("092472AH Muni","CPN")</f>
        <v>#N/A Requesting Data...</v>
      </c>
      <c r="K599" t="str">
        <f>_xll.BDP("092472AH Muni","MATURITY")</f>
        <v>#N/A Requesting Data...</v>
      </c>
      <c r="L599">
        <v>70000</v>
      </c>
      <c r="M599" t="str">
        <f>_xll.BDP("092472AH Muni","YIELD_ON_ISSUE_DATE")</f>
        <v>#N/A Requesting Data...</v>
      </c>
      <c r="N599" t="str">
        <f>_xll.BDP("092472AH Muni","YTW_SPREAD_TO_MATURITY_AT_ISSU")</f>
        <v>#N/A Requesting Data...</v>
      </c>
      <c r="O599" t="str">
        <f>_xll.BDP("092472AH Muni","BVAL_MID_YTM")</f>
        <v>#N/A Requesting Data...</v>
      </c>
      <c r="P599" t="str">
        <f>_xll.BDP("092472AH Muni","MUNI_TAX_PROV")</f>
        <v>#N/A Requesting Data...</v>
      </c>
      <c r="Q599" t="str">
        <f>_xll.BDP("092472AH Muni","MUNI_FED_TAX")</f>
        <v>#N/A Requesting Data...</v>
      </c>
      <c r="R599" t="str">
        <f>_xll.BDP("092472AH Muni","MUNI_MSRB_VOLUME")</f>
        <v>#N/A Requesting Data...</v>
      </c>
      <c r="S599" t="str">
        <f>_xll.BDP("092472AH Muni","BB_COMPOSITE")</f>
        <v>#N/A Requesting Data...</v>
      </c>
      <c r="T599" t="str">
        <f>_xll.BDP("092472AH Muni","LQA_LIQUIDITY_SCORE")</f>
        <v>#N/A Requesting Data...</v>
      </c>
    </row>
    <row r="600" spans="1:20" x14ac:dyDescent="0.25">
      <c r="A600" t="str">
        <f>_xll.BDP("107897HU Muni","ID_CUSIP")</f>
        <v>#N/A Requesting Data...</v>
      </c>
      <c r="B600" t="s">
        <v>246</v>
      </c>
      <c r="C600" t="str">
        <f>_xll.BDP("107897HU Muni","INSURANCE_STATUS")</f>
        <v>#N/A Requesting Data...</v>
      </c>
      <c r="D600" t="str">
        <f>_xll.BDP("107897HU Muni","STATE_CODE")</f>
        <v>#N/A Requesting Data...</v>
      </c>
      <c r="E600" t="str">
        <f>_xll.BDP("107897HU Muni","COUNTY_LOCATION_ISSUER")</f>
        <v>#N/A Requesting Data...</v>
      </c>
      <c r="F600" t="str">
        <f>_xll.BDP("107897HU Muni","DUR_ADJ_MID")</f>
        <v>#N/A Requesting Data...</v>
      </c>
      <c r="G600" t="str">
        <f>_xll.BDP("107897HU Muni","SPREAD_AT_ISSUANCE_TO_WORST")</f>
        <v>#N/A Requesting Data...</v>
      </c>
      <c r="H600" t="str">
        <f>_xll.BDP("107897HU Muni","ISSUE_DT")</f>
        <v>#N/A Requesting Data...</v>
      </c>
      <c r="I600" t="str">
        <f>_xll.BDS("107897HU Muni","MUNI_PURPOSE_SCHED", "aggregate=y")</f>
        <v>#N/A Review</v>
      </c>
      <c r="J600" t="str">
        <f>_xll.BDP("107897HU Muni","CPN")</f>
        <v>#N/A Requesting Data...</v>
      </c>
      <c r="K600" t="str">
        <f>_xll.BDP("107897HU Muni","MATURITY")</f>
        <v>#N/A Requesting Data...</v>
      </c>
      <c r="L600">
        <v>2135000</v>
      </c>
      <c r="M600" t="str">
        <f>_xll.BDP("107897HU Muni","YIELD_ON_ISSUE_DATE")</f>
        <v>#N/A Requesting Data...</v>
      </c>
      <c r="N600" t="str">
        <f>_xll.BDP("107897HU Muni","YTW_SPREAD_TO_MATURITY_AT_ISSU")</f>
        <v>#N/A Requesting Data...</v>
      </c>
      <c r="O600" t="str">
        <f>_xll.BDP("107897HU Muni","BVAL_MID_YTM")</f>
        <v>#N/A Requesting Data...</v>
      </c>
      <c r="P600" t="str">
        <f>_xll.BDP("107897HU Muni","MUNI_TAX_PROV")</f>
        <v>#N/A Requesting Data...</v>
      </c>
      <c r="Q600" t="str">
        <f>_xll.BDP("107897HU Muni","MUNI_FED_TAX")</f>
        <v>#N/A Requesting Data...</v>
      </c>
      <c r="R600" t="str">
        <f>_xll.BDP("107897HU Muni","MUNI_MSRB_VOLUME")</f>
        <v>#N/A Requesting Data...</v>
      </c>
      <c r="S600" t="str">
        <f>_xll.BDP("107897HU Muni","BB_COMPOSITE")</f>
        <v>#N/A Requesting Data...</v>
      </c>
      <c r="T600" t="str">
        <f>_xll.BDP("107897HU Muni","LQA_LIQUIDITY_SCORE")</f>
        <v>#N/A Requesting Data...</v>
      </c>
    </row>
    <row r="601" spans="1:20" x14ac:dyDescent="0.25">
      <c r="A601" t="str">
        <f>_xll.BDP("107897HW Muni","ID_CUSIP")</f>
        <v>#N/A Requesting Data...</v>
      </c>
      <c r="B601" t="s">
        <v>246</v>
      </c>
      <c r="C601" t="str">
        <f>_xll.BDP("107897HW Muni","INSURANCE_STATUS")</f>
        <v>#N/A Requesting Data...</v>
      </c>
      <c r="D601" t="str">
        <f>_xll.BDP("107897HW Muni","STATE_CODE")</f>
        <v>#N/A Requesting Data...</v>
      </c>
      <c r="E601" t="str">
        <f>_xll.BDP("107897HW Muni","COUNTY_LOCATION_ISSUER")</f>
        <v>#N/A Requesting Data...</v>
      </c>
      <c r="F601" t="str">
        <f>_xll.BDP("107897HW Muni","DUR_ADJ_MID")</f>
        <v>#N/A Requesting Data...</v>
      </c>
      <c r="G601" t="str">
        <f>_xll.BDP("107897HW Muni","SPREAD_AT_ISSUANCE_TO_WORST")</f>
        <v>#N/A Requesting Data...</v>
      </c>
      <c r="H601" t="str">
        <f>_xll.BDP("107897HW Muni","ISSUE_DT")</f>
        <v>#N/A Requesting Data...</v>
      </c>
      <c r="I601" t="str">
        <f>_xll.BDS("107897HW Muni","MUNI_PURPOSE_SCHED", "aggregate=y")</f>
        <v>#N/A Review</v>
      </c>
      <c r="J601" t="str">
        <f>_xll.BDP("107897HW Muni","CPN")</f>
        <v>#N/A Requesting Data...</v>
      </c>
      <c r="K601" t="str">
        <f>_xll.BDP("107897HW Muni","MATURITY")</f>
        <v>#N/A Requesting Data...</v>
      </c>
      <c r="L601">
        <v>2360000</v>
      </c>
      <c r="M601" t="str">
        <f>_xll.BDP("107897HW Muni","YIELD_ON_ISSUE_DATE")</f>
        <v>#N/A Requesting Data...</v>
      </c>
      <c r="N601" t="str">
        <f>_xll.BDP("107897HW Muni","YTW_SPREAD_TO_MATURITY_AT_ISSU")</f>
        <v>#N/A Requesting Data...</v>
      </c>
      <c r="O601" t="str">
        <f>_xll.BDP("107897HW Muni","BVAL_MID_YTM")</f>
        <v>#N/A Requesting Data...</v>
      </c>
      <c r="P601" t="str">
        <f>_xll.BDP("107897HW Muni","MUNI_TAX_PROV")</f>
        <v>#N/A Requesting Data...</v>
      </c>
      <c r="Q601" t="str">
        <f>_xll.BDP("107897HW Muni","MUNI_FED_TAX")</f>
        <v>#N/A Requesting Data...</v>
      </c>
      <c r="R601" t="str">
        <f>_xll.BDP("107897HW Muni","MUNI_MSRB_VOLUME")</f>
        <v>#N/A Requesting Data...</v>
      </c>
      <c r="S601" t="str">
        <f>_xll.BDP("107897HW Muni","BB_COMPOSITE")</f>
        <v>#N/A Requesting Data...</v>
      </c>
      <c r="T601" t="str">
        <f>_xll.BDP("107897HW Muni","LQA_LIQUIDITY_SCORE")</f>
        <v>#N/A Requesting Data...</v>
      </c>
    </row>
    <row r="602" spans="1:20" x14ac:dyDescent="0.25">
      <c r="A602" t="str">
        <f>_xll.BDP("107897HX Muni","ID_CUSIP")</f>
        <v>#N/A Requesting Data...</v>
      </c>
      <c r="B602" t="s">
        <v>246</v>
      </c>
      <c r="C602" t="str">
        <f>_xll.BDP("107897HX Muni","INSURANCE_STATUS")</f>
        <v>#N/A Requesting Data...</v>
      </c>
      <c r="D602" t="str">
        <f>_xll.BDP("107897HX Muni","STATE_CODE")</f>
        <v>#N/A Requesting Data...</v>
      </c>
      <c r="E602" t="str">
        <f>_xll.BDP("107897HX Muni","COUNTY_LOCATION_ISSUER")</f>
        <v>#N/A Requesting Data...</v>
      </c>
      <c r="F602" t="str">
        <f>_xll.BDP("107897HX Muni","DUR_ADJ_MID")</f>
        <v>#N/A Requesting Data...</v>
      </c>
      <c r="G602" t="str">
        <f>_xll.BDP("107897HX Muni","SPREAD_AT_ISSUANCE_TO_WORST")</f>
        <v>#N/A Requesting Data...</v>
      </c>
      <c r="H602" t="str">
        <f>_xll.BDP("107897HX Muni","ISSUE_DT")</f>
        <v>#N/A Requesting Data...</v>
      </c>
      <c r="I602" t="str">
        <f>_xll.BDS("107897HX Muni","MUNI_PURPOSE_SCHED", "aggregate=y")</f>
        <v>#N/A Review</v>
      </c>
      <c r="J602" t="str">
        <f>_xll.BDP("107897HX Muni","CPN")</f>
        <v>#N/A Requesting Data...</v>
      </c>
      <c r="K602" t="str">
        <f>_xll.BDP("107897HX Muni","MATURITY")</f>
        <v>#N/A Requesting Data...</v>
      </c>
      <c r="L602">
        <v>2475000</v>
      </c>
      <c r="M602" t="str">
        <f>_xll.BDP("107897HX Muni","YIELD_ON_ISSUE_DATE")</f>
        <v>#N/A Requesting Data...</v>
      </c>
      <c r="N602" t="str">
        <f>_xll.BDP("107897HX Muni","YTW_SPREAD_TO_MATURITY_AT_ISSU")</f>
        <v>#N/A Requesting Data...</v>
      </c>
      <c r="O602" t="str">
        <f>_xll.BDP("107897HX Muni","BVAL_MID_YTM")</f>
        <v>#N/A Requesting Data...</v>
      </c>
      <c r="P602" t="str">
        <f>_xll.BDP("107897HX Muni","MUNI_TAX_PROV")</f>
        <v>#N/A Requesting Data...</v>
      </c>
      <c r="Q602" t="str">
        <f>_xll.BDP("107897HX Muni","MUNI_FED_TAX")</f>
        <v>#N/A Requesting Data...</v>
      </c>
      <c r="R602" t="str">
        <f>_xll.BDP("107897HX Muni","MUNI_MSRB_VOLUME")</f>
        <v>#N/A Requesting Data...</v>
      </c>
      <c r="S602" t="str">
        <f>_xll.BDP("107897HX Muni","BB_COMPOSITE")</f>
        <v>#N/A Requesting Data...</v>
      </c>
      <c r="T602" t="str">
        <f>_xll.BDP("107897HX Muni","LQA_LIQUIDITY_SCORE")</f>
        <v>#N/A Requesting Data...</v>
      </c>
    </row>
    <row r="603" spans="1:20" x14ac:dyDescent="0.25">
      <c r="A603" t="str">
        <f>_xll.BDP("080375BF Muni","ID_CUSIP")</f>
        <v>#N/A Requesting Data...</v>
      </c>
      <c r="B603" t="s">
        <v>70</v>
      </c>
      <c r="C603" t="str">
        <f>_xll.BDP("080375BF Muni","INSURANCE_STATUS")</f>
        <v>#N/A Requesting Data...</v>
      </c>
      <c r="D603" t="str">
        <f>_xll.BDP("080375BF Muni","STATE_CODE")</f>
        <v>#N/A Requesting Data...</v>
      </c>
      <c r="E603" t="str">
        <f>_xll.BDP("080375BF Muni","COUNTY_LOCATION_ISSUER")</f>
        <v>#N/A Requesting Data...</v>
      </c>
      <c r="F603" t="str">
        <f>_xll.BDP("080375BF Muni","DUR_ADJ_MID")</f>
        <v>#N/A Requesting Data...</v>
      </c>
      <c r="G603" t="str">
        <f>_xll.BDP("080375BF Muni","SPREAD_AT_ISSUANCE_TO_WORST")</f>
        <v>#N/A Requesting Data...</v>
      </c>
      <c r="H603" t="str">
        <f>_xll.BDP("080375BF Muni","ISSUE_DT")</f>
        <v>#N/A Requesting Data...</v>
      </c>
      <c r="I603" t="str">
        <f>_xll.BDS("080375BF Muni","MUNI_PURPOSE_SCHED", "aggregate=y")</f>
        <v>#N/A Review</v>
      </c>
      <c r="J603" t="str">
        <f>_xll.BDP("080375BF Muni","CPN")</f>
        <v>#N/A Requesting Data...</v>
      </c>
      <c r="K603" t="str">
        <f>_xll.BDP("080375BF Muni","MATURITY")</f>
        <v>#N/A Requesting Data...</v>
      </c>
      <c r="L603">
        <v>135000</v>
      </c>
      <c r="M603" t="str">
        <f>_xll.BDP("080375BF Muni","YIELD_ON_ISSUE_DATE")</f>
        <v>#N/A Requesting Data...</v>
      </c>
      <c r="N603" t="str">
        <f>_xll.BDP("080375BF Muni","YTW_SPREAD_TO_MATURITY_AT_ISSU")</f>
        <v>#N/A Requesting Data...</v>
      </c>
      <c r="O603" t="str">
        <f>_xll.BDP("080375BF Muni","BVAL_MID_YTM")</f>
        <v>#N/A Requesting Data...</v>
      </c>
      <c r="P603" t="str">
        <f>_xll.BDP("080375BF Muni","MUNI_TAX_PROV")</f>
        <v>#N/A Requesting Data...</v>
      </c>
      <c r="Q603" t="str">
        <f>_xll.BDP("080375BF Muni","MUNI_FED_TAX")</f>
        <v>#N/A Requesting Data...</v>
      </c>
      <c r="R603" t="str">
        <f>_xll.BDP("080375BF Muni","MUNI_MSRB_VOLUME")</f>
        <v>#N/A Requesting Data...</v>
      </c>
      <c r="S603" t="str">
        <f>_xll.BDP("080375BF Muni","BB_COMPOSITE")</f>
        <v>#N/A Requesting Data...</v>
      </c>
      <c r="T603" t="str">
        <f>_xll.BDP("080375BF Muni","LQA_LIQUIDITY_SCORE")</f>
        <v>#N/A Requesting Data...</v>
      </c>
    </row>
    <row r="604" spans="1:20" x14ac:dyDescent="0.25">
      <c r="A604" t="str">
        <f>_xll.BDP("081059JP Muni","ID_CUSIP")</f>
        <v>#N/A Requesting Data...</v>
      </c>
      <c r="B604" t="s">
        <v>241</v>
      </c>
      <c r="C604" t="str">
        <f>_xll.BDP("081059JP Muni","INSURANCE_STATUS")</f>
        <v>#N/A Requesting Data...</v>
      </c>
      <c r="D604" t="str">
        <f>_xll.BDP("081059JP Muni","STATE_CODE")</f>
        <v>#N/A Requesting Data...</v>
      </c>
      <c r="E604" t="str">
        <f>_xll.BDP("081059JP Muni","COUNTY_LOCATION_ISSUER")</f>
        <v>#N/A Requesting Data...</v>
      </c>
      <c r="F604" t="str">
        <f>_xll.BDP("081059JP Muni","DUR_ADJ_MID")</f>
        <v>#N/A Requesting Data...</v>
      </c>
      <c r="G604" t="str">
        <f>_xll.BDP("081059JP Muni","SPREAD_AT_ISSUANCE_TO_WORST")</f>
        <v>#N/A Requesting Data...</v>
      </c>
      <c r="H604" t="str">
        <f>_xll.BDP("081059JP Muni","ISSUE_DT")</f>
        <v>#N/A Requesting Data...</v>
      </c>
      <c r="I604" t="str">
        <f>_xll.BDS("081059JP Muni","MUNI_PURPOSE_SCHED", "aggregate=y")</f>
        <v>#N/A Review</v>
      </c>
      <c r="J604" t="str">
        <f>_xll.BDP("081059JP Muni","CPN")</f>
        <v>#N/A Requesting Data...</v>
      </c>
      <c r="K604" t="str">
        <f>_xll.BDP("081059JP Muni","MATURITY")</f>
        <v>#N/A Requesting Data...</v>
      </c>
      <c r="L604">
        <v>145000</v>
      </c>
      <c r="M604" t="str">
        <f>_xll.BDP("081059JP Muni","YIELD_ON_ISSUE_DATE")</f>
        <v>#N/A Requesting Data...</v>
      </c>
      <c r="N604" t="str">
        <f>_xll.BDP("081059JP Muni","YTW_SPREAD_TO_MATURITY_AT_ISSU")</f>
        <v>#N/A Requesting Data...</v>
      </c>
      <c r="O604" t="str">
        <f>_xll.BDP("081059JP Muni","BVAL_MID_YTM")</f>
        <v>#N/A Requesting Data...</v>
      </c>
      <c r="P604" t="str">
        <f>_xll.BDP("081059JP Muni","MUNI_TAX_PROV")</f>
        <v>#N/A Requesting Data...</v>
      </c>
      <c r="Q604" t="str">
        <f>_xll.BDP("081059JP Muni","MUNI_FED_TAX")</f>
        <v>#N/A Requesting Data...</v>
      </c>
      <c r="R604" t="str">
        <f>_xll.BDP("081059JP Muni","MUNI_MSRB_VOLUME")</f>
        <v>#N/A Requesting Data...</v>
      </c>
      <c r="S604" t="str">
        <f>_xll.BDP("081059JP Muni","BB_COMPOSITE")</f>
        <v>#N/A Requesting Data...</v>
      </c>
      <c r="T604" t="str">
        <f>_xll.BDP("081059JP Muni","LQA_LIQUIDITY_SCORE")</f>
        <v>#N/A Requesting Data...</v>
      </c>
    </row>
    <row r="605" spans="1:20" x14ac:dyDescent="0.25">
      <c r="A605" t="str">
        <f>_xll.BDP("081059JQ Muni","ID_CUSIP")</f>
        <v>#N/A Requesting Data...</v>
      </c>
      <c r="B605" t="s">
        <v>241</v>
      </c>
      <c r="C605" t="str">
        <f>_xll.BDP("081059JQ Muni","INSURANCE_STATUS")</f>
        <v>#N/A Requesting Data...</v>
      </c>
      <c r="D605" t="str">
        <f>_xll.BDP("081059JQ Muni","STATE_CODE")</f>
        <v>#N/A Requesting Data...</v>
      </c>
      <c r="E605" t="str">
        <f>_xll.BDP("081059JQ Muni","COUNTY_LOCATION_ISSUER")</f>
        <v>#N/A Requesting Data...</v>
      </c>
      <c r="F605" t="str">
        <f>_xll.BDP("081059JQ Muni","DUR_ADJ_MID")</f>
        <v>#N/A Requesting Data...</v>
      </c>
      <c r="G605" t="str">
        <f>_xll.BDP("081059JQ Muni","SPREAD_AT_ISSUANCE_TO_WORST")</f>
        <v>#N/A Requesting Data...</v>
      </c>
      <c r="H605" t="str">
        <f>_xll.BDP("081059JQ Muni","ISSUE_DT")</f>
        <v>#N/A Requesting Data...</v>
      </c>
      <c r="I605" t="str">
        <f>_xll.BDS("081059JQ Muni","MUNI_PURPOSE_SCHED", "aggregate=y")</f>
        <v>#N/A Review</v>
      </c>
      <c r="J605" t="str">
        <f>_xll.BDP("081059JQ Muni","CPN")</f>
        <v>#N/A Requesting Data...</v>
      </c>
      <c r="K605" t="str">
        <f>_xll.BDP("081059JQ Muni","MATURITY")</f>
        <v>#N/A Requesting Data...</v>
      </c>
      <c r="L605">
        <v>595000</v>
      </c>
      <c r="M605" t="str">
        <f>_xll.BDP("081059JQ Muni","YIELD_ON_ISSUE_DATE")</f>
        <v>#N/A Requesting Data...</v>
      </c>
      <c r="N605" t="str">
        <f>_xll.BDP("081059JQ Muni","YTW_SPREAD_TO_MATURITY_AT_ISSU")</f>
        <v>#N/A Requesting Data...</v>
      </c>
      <c r="O605" t="str">
        <f>_xll.BDP("081059JQ Muni","BVAL_MID_YTM")</f>
        <v>#N/A Requesting Data...</v>
      </c>
      <c r="P605" t="str">
        <f>_xll.BDP("081059JQ Muni","MUNI_TAX_PROV")</f>
        <v>#N/A Requesting Data...</v>
      </c>
      <c r="Q605" t="str">
        <f>_xll.BDP("081059JQ Muni","MUNI_FED_TAX")</f>
        <v>#N/A Requesting Data...</v>
      </c>
      <c r="R605" t="str">
        <f>_xll.BDP("081059JQ Muni","MUNI_MSRB_VOLUME")</f>
        <v>#N/A Requesting Data...</v>
      </c>
      <c r="S605" t="str">
        <f>_xll.BDP("081059JQ Muni","BB_COMPOSITE")</f>
        <v>#N/A Requesting Data...</v>
      </c>
      <c r="T605" t="str">
        <f>_xll.BDP("081059JQ Muni","LQA_LIQUIDITY_SCORE")</f>
        <v>#N/A Requesting Data...</v>
      </c>
    </row>
    <row r="606" spans="1:20" x14ac:dyDescent="0.25">
      <c r="A606" t="str">
        <f>_xll.BDP("081059JS Muni","ID_CUSIP")</f>
        <v>#N/A Requesting Data...</v>
      </c>
      <c r="B606" t="s">
        <v>241</v>
      </c>
      <c r="C606" t="str">
        <f>_xll.BDP("081059JS Muni","INSURANCE_STATUS")</f>
        <v>#N/A Requesting Data...</v>
      </c>
      <c r="D606" t="str">
        <f>_xll.BDP("081059JS Muni","STATE_CODE")</f>
        <v>#N/A Requesting Data...</v>
      </c>
      <c r="E606" t="str">
        <f>_xll.BDP("081059JS Muni","COUNTY_LOCATION_ISSUER")</f>
        <v>#N/A Requesting Data...</v>
      </c>
      <c r="F606" t="str">
        <f>_xll.BDP("081059JS Muni","DUR_ADJ_MID")</f>
        <v>#N/A Requesting Data...</v>
      </c>
      <c r="G606" t="str">
        <f>_xll.BDP("081059JS Muni","SPREAD_AT_ISSUANCE_TO_WORST")</f>
        <v>#N/A Requesting Data...</v>
      </c>
      <c r="H606" t="str">
        <f>_xll.BDP("081059JS Muni","ISSUE_DT")</f>
        <v>#N/A Requesting Data...</v>
      </c>
      <c r="I606" t="str">
        <f>_xll.BDS("081059JS Muni","MUNI_PURPOSE_SCHED", "aggregate=y")</f>
        <v>#N/A Review</v>
      </c>
      <c r="J606" t="str">
        <f>_xll.BDP("081059JS Muni","CPN")</f>
        <v>#N/A Requesting Data...</v>
      </c>
      <c r="K606" t="str">
        <f>_xll.BDP("081059JS Muni","MATURITY")</f>
        <v>#N/A Requesting Data...</v>
      </c>
      <c r="L606">
        <v>630000</v>
      </c>
      <c r="M606" t="str">
        <f>_xll.BDP("081059JS Muni","YIELD_ON_ISSUE_DATE")</f>
        <v>#N/A Requesting Data...</v>
      </c>
      <c r="N606" t="str">
        <f>_xll.BDP("081059JS Muni","YTW_SPREAD_TO_MATURITY_AT_ISSU")</f>
        <v>#N/A Requesting Data...</v>
      </c>
      <c r="O606" t="str">
        <f>_xll.BDP("081059JS Muni","BVAL_MID_YTM")</f>
        <v>#N/A Requesting Data...</v>
      </c>
      <c r="P606" t="str">
        <f>_xll.BDP("081059JS Muni","MUNI_TAX_PROV")</f>
        <v>#N/A Requesting Data...</v>
      </c>
      <c r="Q606" t="str">
        <f>_xll.BDP("081059JS Muni","MUNI_FED_TAX")</f>
        <v>#N/A Requesting Data...</v>
      </c>
      <c r="R606" t="str">
        <f>_xll.BDP("081059JS Muni","MUNI_MSRB_VOLUME")</f>
        <v>#N/A Requesting Data...</v>
      </c>
      <c r="S606" t="str">
        <f>_xll.BDP("081059JS Muni","BB_COMPOSITE")</f>
        <v>#N/A Requesting Data...</v>
      </c>
      <c r="T606" t="str">
        <f>_xll.BDP("081059JS Muni","LQA_LIQUIDITY_SCORE")</f>
        <v>#N/A Requesting Data...</v>
      </c>
    </row>
    <row r="607" spans="1:20" x14ac:dyDescent="0.25">
      <c r="A607" t="str">
        <f>_xll.BDP("08117PBY Muni","ID_CUSIP")</f>
        <v>#N/A Requesting Data...</v>
      </c>
      <c r="B607" t="s">
        <v>242</v>
      </c>
      <c r="C607" t="str">
        <f>_xll.BDP("08117PBY Muni","INSURANCE_STATUS")</f>
        <v>#N/A Requesting Data...</v>
      </c>
      <c r="D607" t="str">
        <f>_xll.BDP("08117PBY Muni","STATE_CODE")</f>
        <v>#N/A Requesting Data...</v>
      </c>
      <c r="E607" t="str">
        <f>_xll.BDP("08117PBY Muni","COUNTY_LOCATION_ISSUER")</f>
        <v>#N/A Requesting Data...</v>
      </c>
      <c r="F607" t="str">
        <f>_xll.BDP("08117PBY Muni","DUR_ADJ_MID")</f>
        <v>#N/A Requesting Data...</v>
      </c>
      <c r="G607" t="str">
        <f>_xll.BDP("08117PBY Muni","SPREAD_AT_ISSUANCE_TO_WORST")</f>
        <v>#N/A Requesting Data...</v>
      </c>
      <c r="H607" t="str">
        <f>_xll.BDP("08117PBY Muni","ISSUE_DT")</f>
        <v>#N/A Requesting Data...</v>
      </c>
      <c r="I607" t="str">
        <f>_xll.BDS("08117PBY Muni","MUNI_PURPOSE_SCHED", "aggregate=y")</f>
        <v>#N/A Review</v>
      </c>
      <c r="J607" t="str">
        <f>_xll.BDP("08117PBY Muni","CPN")</f>
        <v>#N/A Requesting Data...</v>
      </c>
      <c r="K607" t="str">
        <f>_xll.BDP("08117PBY Muni","MATURITY")</f>
        <v>#N/A Requesting Data...</v>
      </c>
      <c r="L607">
        <v>35000</v>
      </c>
      <c r="M607" t="str">
        <f>_xll.BDP("08117PBY Muni","YIELD_ON_ISSUE_DATE")</f>
        <v>#N/A Requesting Data...</v>
      </c>
      <c r="N607" t="str">
        <f>_xll.BDP("08117PBY Muni","YTW_SPREAD_TO_MATURITY_AT_ISSU")</f>
        <v>#N/A Requesting Data...</v>
      </c>
      <c r="O607" t="str">
        <f>_xll.BDP("08117PBY Muni","BVAL_MID_YTM")</f>
        <v>#N/A Requesting Data...</v>
      </c>
      <c r="P607" t="str">
        <f>_xll.BDP("08117PBY Muni","MUNI_TAX_PROV")</f>
        <v>#N/A Requesting Data...</v>
      </c>
      <c r="Q607" t="str">
        <f>_xll.BDP("08117PBY Muni","MUNI_FED_TAX")</f>
        <v>#N/A Requesting Data...</v>
      </c>
      <c r="R607" t="str">
        <f>_xll.BDP("08117PBY Muni","MUNI_MSRB_VOLUME")</f>
        <v>#N/A Requesting Data...</v>
      </c>
      <c r="S607" t="str">
        <f>_xll.BDP("08117PBY Muni","BB_COMPOSITE")</f>
        <v>#N/A Requesting Data...</v>
      </c>
      <c r="T607" t="str">
        <f>_xll.BDP("08117PBY Muni","LQA_LIQUIDITY_SCORE")</f>
        <v>#N/A Requesting Data...</v>
      </c>
    </row>
    <row r="608" spans="1:20" x14ac:dyDescent="0.25">
      <c r="A608" t="str">
        <f>_xll.BDP("038141QH Muni","ID_CUSIP")</f>
        <v>#N/A Requesting Data...</v>
      </c>
      <c r="B608" t="s">
        <v>243</v>
      </c>
      <c r="C608" t="str">
        <f>_xll.BDP("038141QH Muni","INSURANCE_STATUS")</f>
        <v>#N/A Requesting Data...</v>
      </c>
      <c r="D608" t="str">
        <f>_xll.BDP("038141QH Muni","STATE_CODE")</f>
        <v>#N/A Requesting Data...</v>
      </c>
      <c r="E608" t="str">
        <f>_xll.BDP("038141QH Muni","COUNTY_LOCATION_ISSUER")</f>
        <v>#N/A Requesting Data...</v>
      </c>
      <c r="F608" t="str">
        <f>_xll.BDP("038141QH Muni","DUR_ADJ_MID")</f>
        <v>#N/A Requesting Data...</v>
      </c>
      <c r="G608" t="str">
        <f>_xll.BDP("038141QH Muni","SPREAD_AT_ISSUANCE_TO_WORST")</f>
        <v>#N/A Requesting Data...</v>
      </c>
      <c r="H608" t="str">
        <f>_xll.BDP("038141QH Muni","ISSUE_DT")</f>
        <v>#N/A Requesting Data...</v>
      </c>
      <c r="I608" t="str">
        <f>_xll.BDS("038141QH Muni","MUNI_PURPOSE_SCHED", "aggregate=y")</f>
        <v>#N/A Review</v>
      </c>
      <c r="J608" t="str">
        <f>_xll.BDP("038141QH Muni","CPN")</f>
        <v>#N/A Requesting Data...</v>
      </c>
      <c r="K608" t="str">
        <f>_xll.BDP("038141QH Muni","MATURITY")</f>
        <v>#N/A Requesting Data...</v>
      </c>
      <c r="L608">
        <v>175000</v>
      </c>
      <c r="M608" t="str">
        <f>_xll.BDP("038141QH Muni","YIELD_ON_ISSUE_DATE")</f>
        <v>#N/A Requesting Data...</v>
      </c>
      <c r="N608" t="str">
        <f>_xll.BDP("038141QH Muni","YTW_SPREAD_TO_MATURITY_AT_ISSU")</f>
        <v>#N/A Requesting Data...</v>
      </c>
      <c r="O608" t="str">
        <f>_xll.BDP("038141QH Muni","BVAL_MID_YTM")</f>
        <v>#N/A Requesting Data...</v>
      </c>
      <c r="P608" t="str">
        <f>_xll.BDP("038141QH Muni","MUNI_TAX_PROV")</f>
        <v>#N/A Requesting Data...</v>
      </c>
      <c r="Q608" t="str">
        <f>_xll.BDP("038141QH Muni","MUNI_FED_TAX")</f>
        <v>#N/A Requesting Data...</v>
      </c>
      <c r="R608" t="str">
        <f>_xll.BDP("038141QH Muni","MUNI_MSRB_VOLUME")</f>
        <v>#N/A Requesting Data...</v>
      </c>
      <c r="S608" t="str">
        <f>_xll.BDP("038141QH Muni","BB_COMPOSITE")</f>
        <v>#N/A Requesting Data...</v>
      </c>
      <c r="T608" t="str">
        <f>_xll.BDP("038141QH Muni","LQA_LIQUIDITY_SCORE")</f>
        <v>#N/A Requesting Data...</v>
      </c>
    </row>
    <row r="609" spans="1:20" x14ac:dyDescent="0.25">
      <c r="A609" t="str">
        <f>_xll.BDP("038141QK Muni","ID_CUSIP")</f>
        <v>#N/A Requesting Data...</v>
      </c>
      <c r="B609" t="s">
        <v>243</v>
      </c>
      <c r="C609" t="str">
        <f>_xll.BDP("038141QK Muni","INSURANCE_STATUS")</f>
        <v>#N/A Requesting Data...</v>
      </c>
      <c r="D609" t="str">
        <f>_xll.BDP("038141QK Muni","STATE_CODE")</f>
        <v>#N/A Requesting Data...</v>
      </c>
      <c r="E609" t="str">
        <f>_xll.BDP("038141QK Muni","COUNTY_LOCATION_ISSUER")</f>
        <v>#N/A Requesting Data...</v>
      </c>
      <c r="F609" t="str">
        <f>_xll.BDP("038141QK Muni","DUR_ADJ_MID")</f>
        <v>#N/A Requesting Data...</v>
      </c>
      <c r="G609" t="str">
        <f>_xll.BDP("038141QK Muni","SPREAD_AT_ISSUANCE_TO_WORST")</f>
        <v>#N/A Requesting Data...</v>
      </c>
      <c r="H609" t="str">
        <f>_xll.BDP("038141QK Muni","ISSUE_DT")</f>
        <v>#N/A Requesting Data...</v>
      </c>
      <c r="I609" t="str">
        <f>_xll.BDS("038141QK Muni","MUNI_PURPOSE_SCHED", "aggregate=y")</f>
        <v>#N/A Review</v>
      </c>
      <c r="J609" t="str">
        <f>_xll.BDP("038141QK Muni","CPN")</f>
        <v>#N/A Requesting Data...</v>
      </c>
      <c r="K609" t="str">
        <f>_xll.BDP("038141QK Muni","MATURITY")</f>
        <v>#N/A Requesting Data...</v>
      </c>
      <c r="L609">
        <v>165000</v>
      </c>
      <c r="M609" t="str">
        <f>_xll.BDP("038141QK Muni","YIELD_ON_ISSUE_DATE")</f>
        <v>#N/A Requesting Data...</v>
      </c>
      <c r="N609" t="str">
        <f>_xll.BDP("038141QK Muni","YTW_SPREAD_TO_MATURITY_AT_ISSU")</f>
        <v>#N/A Requesting Data...</v>
      </c>
      <c r="O609" t="str">
        <f>_xll.BDP("038141QK Muni","BVAL_MID_YTM")</f>
        <v>#N/A Requesting Data...</v>
      </c>
      <c r="P609" t="str">
        <f>_xll.BDP("038141QK Muni","MUNI_TAX_PROV")</f>
        <v>#N/A Requesting Data...</v>
      </c>
      <c r="Q609" t="str">
        <f>_xll.BDP("038141QK Muni","MUNI_FED_TAX")</f>
        <v>#N/A Requesting Data...</v>
      </c>
      <c r="R609" t="str">
        <f>_xll.BDP("038141QK Muni","MUNI_MSRB_VOLUME")</f>
        <v>#N/A Requesting Data...</v>
      </c>
      <c r="S609" t="str">
        <f>_xll.BDP("038141QK Muni","BB_COMPOSITE")</f>
        <v>#N/A Requesting Data...</v>
      </c>
      <c r="T609" t="str">
        <f>_xll.BDP("038141QK Muni","LQA_LIQUIDITY_SCORE")</f>
        <v>#N/A Requesting Data...</v>
      </c>
    </row>
    <row r="610" spans="1:20" x14ac:dyDescent="0.25">
      <c r="A610" t="str">
        <f>_xll.BDP("038141QL Muni","ID_CUSIP")</f>
        <v>#N/A Requesting Data...</v>
      </c>
      <c r="B610" t="s">
        <v>243</v>
      </c>
      <c r="C610" t="str">
        <f>_xll.BDP("038141QL Muni","INSURANCE_STATUS")</f>
        <v>#N/A Requesting Data...</v>
      </c>
      <c r="D610" t="str">
        <f>_xll.BDP("038141QL Muni","STATE_CODE")</f>
        <v>#N/A Requesting Data...</v>
      </c>
      <c r="E610" t="str">
        <f>_xll.BDP("038141QL Muni","COUNTY_LOCATION_ISSUER")</f>
        <v>#N/A Requesting Data...</v>
      </c>
      <c r="F610" t="str">
        <f>_xll.BDP("038141QL Muni","DUR_ADJ_MID")</f>
        <v>#N/A Requesting Data...</v>
      </c>
      <c r="G610" t="str">
        <f>_xll.BDP("038141QL Muni","SPREAD_AT_ISSUANCE_TO_WORST")</f>
        <v>#N/A Requesting Data...</v>
      </c>
      <c r="H610" t="str">
        <f>_xll.BDP("038141QL Muni","ISSUE_DT")</f>
        <v>#N/A Requesting Data...</v>
      </c>
      <c r="I610" t="str">
        <f>_xll.BDS("038141QL Muni","MUNI_PURPOSE_SCHED", "aggregate=y")</f>
        <v>#N/A Review</v>
      </c>
      <c r="J610" t="str">
        <f>_xll.BDP("038141QL Muni","CPN")</f>
        <v>#N/A Requesting Data...</v>
      </c>
      <c r="K610" t="str">
        <f>_xll.BDP("038141QL Muni","MATURITY")</f>
        <v>#N/A Requesting Data...</v>
      </c>
      <c r="L610">
        <v>170000</v>
      </c>
      <c r="M610" t="str">
        <f>_xll.BDP("038141QL Muni","YIELD_ON_ISSUE_DATE")</f>
        <v>#N/A Requesting Data...</v>
      </c>
      <c r="N610" t="str">
        <f>_xll.BDP("038141QL Muni","YTW_SPREAD_TO_MATURITY_AT_ISSU")</f>
        <v>#N/A Requesting Data...</v>
      </c>
      <c r="O610" t="str">
        <f>_xll.BDP("038141QL Muni","BVAL_MID_YTM")</f>
        <v>#N/A Requesting Data...</v>
      </c>
      <c r="P610" t="str">
        <f>_xll.BDP("038141QL Muni","MUNI_TAX_PROV")</f>
        <v>#N/A Requesting Data...</v>
      </c>
      <c r="Q610" t="str">
        <f>_xll.BDP("038141QL Muni","MUNI_FED_TAX")</f>
        <v>#N/A Requesting Data...</v>
      </c>
      <c r="R610" t="str">
        <f>_xll.BDP("038141QL Muni","MUNI_MSRB_VOLUME")</f>
        <v>#N/A Requesting Data...</v>
      </c>
      <c r="S610" t="str">
        <f>_xll.BDP("038141QL Muni","BB_COMPOSITE")</f>
        <v>#N/A Requesting Data...</v>
      </c>
      <c r="T610" t="str">
        <f>_xll.BDP("038141QL Muni","LQA_LIQUIDITY_SCORE")</f>
        <v>#N/A Requesting Data...</v>
      </c>
    </row>
    <row r="611" spans="1:20" x14ac:dyDescent="0.25">
      <c r="A611" t="str">
        <f>_xll.BDP("081587BS Muni","ID_CUSIP")</f>
        <v>#N/A Requesting Data...</v>
      </c>
      <c r="B611" t="s">
        <v>244</v>
      </c>
      <c r="C611" t="str">
        <f>_xll.BDP("081587BS Muni","INSURANCE_STATUS")</f>
        <v>#N/A Requesting Data...</v>
      </c>
      <c r="D611" t="str">
        <f>_xll.BDP("081587BS Muni","STATE_CODE")</f>
        <v>#N/A Requesting Data...</v>
      </c>
      <c r="E611" t="str">
        <f>_xll.BDP("081587BS Muni","COUNTY_LOCATION_ISSUER")</f>
        <v>#N/A Requesting Data...</v>
      </c>
      <c r="F611" t="str">
        <f>_xll.BDP("081587BS Muni","DUR_ADJ_MID")</f>
        <v>#N/A Requesting Data...</v>
      </c>
      <c r="G611" t="str">
        <f>_xll.BDP("081587BS Muni","SPREAD_AT_ISSUANCE_TO_WORST")</f>
        <v>#N/A Requesting Data...</v>
      </c>
      <c r="H611" t="str">
        <f>_xll.BDP("081587BS Muni","ISSUE_DT")</f>
        <v>#N/A Requesting Data...</v>
      </c>
      <c r="I611" t="str">
        <f>_xll.BDS("081587BS Muni","MUNI_PURPOSE_SCHED", "aggregate=y")</f>
        <v>#N/A Review</v>
      </c>
      <c r="J611" t="str">
        <f>_xll.BDP("081587BS Muni","CPN")</f>
        <v>#N/A Requesting Data...</v>
      </c>
      <c r="K611" t="str">
        <f>_xll.BDP("081587BS Muni","MATURITY")</f>
        <v>#N/A Requesting Data...</v>
      </c>
      <c r="L611">
        <v>315000</v>
      </c>
      <c r="M611" t="str">
        <f>_xll.BDP("081587BS Muni","YIELD_ON_ISSUE_DATE")</f>
        <v>#N/A Requesting Data...</v>
      </c>
      <c r="N611" t="str">
        <f>_xll.BDP("081587BS Muni","YTW_SPREAD_TO_MATURITY_AT_ISSU")</f>
        <v>#N/A Requesting Data...</v>
      </c>
      <c r="O611" t="str">
        <f>_xll.BDP("081587BS Muni","BVAL_MID_YTM")</f>
        <v>#N/A Requesting Data...</v>
      </c>
      <c r="P611" t="str">
        <f>_xll.BDP("081587BS Muni","MUNI_TAX_PROV")</f>
        <v>#N/A Requesting Data...</v>
      </c>
      <c r="Q611" t="str">
        <f>_xll.BDP("081587BS Muni","MUNI_FED_TAX")</f>
        <v>#N/A Requesting Data...</v>
      </c>
      <c r="R611" t="str">
        <f>_xll.BDP("081587BS Muni","MUNI_MSRB_VOLUME")</f>
        <v>#N/A Requesting Data...</v>
      </c>
      <c r="S611" t="str">
        <f>_xll.BDP("081587BS Muni","BB_COMPOSITE")</f>
        <v>#N/A Requesting Data...</v>
      </c>
      <c r="T611" t="str">
        <f>_xll.BDP("081587BS Muni","LQA_LIQUIDITY_SCORE")</f>
        <v>#N/A Requesting Data...</v>
      </c>
    </row>
    <row r="612" spans="1:20" x14ac:dyDescent="0.25">
      <c r="A612" t="str">
        <f>_xll.BDP("081587BU Muni","ID_CUSIP")</f>
        <v>#N/A Requesting Data...</v>
      </c>
      <c r="B612" t="s">
        <v>244</v>
      </c>
      <c r="C612" t="str">
        <f>_xll.BDP("081587BU Muni","INSURANCE_STATUS")</f>
        <v>#N/A Requesting Data...</v>
      </c>
      <c r="D612" t="str">
        <f>_xll.BDP("081587BU Muni","STATE_CODE")</f>
        <v>#N/A Requesting Data...</v>
      </c>
      <c r="E612" t="str">
        <f>_xll.BDP("081587BU Muni","COUNTY_LOCATION_ISSUER")</f>
        <v>#N/A Requesting Data...</v>
      </c>
      <c r="F612" t="str">
        <f>_xll.BDP("081587BU Muni","DUR_ADJ_MID")</f>
        <v>#N/A Requesting Data...</v>
      </c>
      <c r="G612" t="str">
        <f>_xll.BDP("081587BU Muni","SPREAD_AT_ISSUANCE_TO_WORST")</f>
        <v>#N/A Requesting Data...</v>
      </c>
      <c r="H612" t="str">
        <f>_xll.BDP("081587BU Muni","ISSUE_DT")</f>
        <v>#N/A Requesting Data...</v>
      </c>
      <c r="I612" t="str">
        <f>_xll.BDS("081587BU Muni","MUNI_PURPOSE_SCHED", "aggregate=y")</f>
        <v>#N/A Review</v>
      </c>
      <c r="J612" t="str">
        <f>_xll.BDP("081587BU Muni","CPN")</f>
        <v>#N/A Requesting Data...</v>
      </c>
      <c r="K612" t="str">
        <f>_xll.BDP("081587BU Muni","MATURITY")</f>
        <v>#N/A Requesting Data...</v>
      </c>
      <c r="L612">
        <v>335000</v>
      </c>
      <c r="M612" t="str">
        <f>_xll.BDP("081587BU Muni","YIELD_ON_ISSUE_DATE")</f>
        <v>#N/A Requesting Data...</v>
      </c>
      <c r="N612" t="str">
        <f>_xll.BDP("081587BU Muni","YTW_SPREAD_TO_MATURITY_AT_ISSU")</f>
        <v>#N/A Requesting Data...</v>
      </c>
      <c r="O612" t="str">
        <f>_xll.BDP("081587BU Muni","BVAL_MID_YTM")</f>
        <v>#N/A Requesting Data...</v>
      </c>
      <c r="P612" t="str">
        <f>_xll.BDP("081587BU Muni","MUNI_TAX_PROV")</f>
        <v>#N/A Requesting Data...</v>
      </c>
      <c r="Q612" t="str">
        <f>_xll.BDP("081587BU Muni","MUNI_FED_TAX")</f>
        <v>#N/A Requesting Data...</v>
      </c>
      <c r="R612" t="str">
        <f>_xll.BDP("081587BU Muni","MUNI_MSRB_VOLUME")</f>
        <v>#N/A Requesting Data...</v>
      </c>
      <c r="S612" t="str">
        <f>_xll.BDP("081587BU Muni","BB_COMPOSITE")</f>
        <v>#N/A Requesting Data...</v>
      </c>
      <c r="T612" t="str">
        <f>_xll.BDP("081587BU Muni","LQA_LIQUIDITY_SCORE")</f>
        <v>#N/A Requesting Data...</v>
      </c>
    </row>
    <row r="613" spans="1:20" x14ac:dyDescent="0.25">
      <c r="A613" t="str">
        <f>_xll.BDP("105025W5 Muni","ID_CUSIP")</f>
        <v>#N/A Requesting Data...</v>
      </c>
      <c r="B613" t="s">
        <v>73</v>
      </c>
      <c r="C613" t="str">
        <f>_xll.BDP("105025W5 Muni","INSURANCE_STATUS")</f>
        <v>#N/A Requesting Data...</v>
      </c>
      <c r="D613" t="str">
        <f>_xll.BDP("105025W5 Muni","STATE_CODE")</f>
        <v>#N/A Requesting Data...</v>
      </c>
      <c r="E613" t="str">
        <f>_xll.BDP("105025W5 Muni","COUNTY_LOCATION_ISSUER")</f>
        <v>#N/A Requesting Data...</v>
      </c>
      <c r="F613" t="str">
        <f>_xll.BDP("105025W5 Muni","DUR_ADJ_MID")</f>
        <v>#N/A Requesting Data...</v>
      </c>
      <c r="G613" t="str">
        <f>_xll.BDP("105025W5 Muni","SPREAD_AT_ISSUANCE_TO_WORST")</f>
        <v>#N/A Requesting Data...</v>
      </c>
      <c r="H613" t="str">
        <f>_xll.BDP("105025W5 Muni","ISSUE_DT")</f>
        <v>#N/A Requesting Data...</v>
      </c>
      <c r="I613" t="str">
        <f>_xll.BDS("105025W5 Muni","MUNI_PURPOSE_SCHED", "aggregate=y")</f>
        <v>#N/A Review</v>
      </c>
      <c r="J613" t="str">
        <f>_xll.BDP("105025W5 Muni","CPN")</f>
        <v>#N/A Requesting Data...</v>
      </c>
      <c r="K613" t="str">
        <f>_xll.BDP("105025W5 Muni","MATURITY")</f>
        <v>#N/A Requesting Data...</v>
      </c>
      <c r="L613">
        <v>280000</v>
      </c>
      <c r="M613" t="str">
        <f>_xll.BDP("105025W5 Muni","YIELD_ON_ISSUE_DATE")</f>
        <v>#N/A Requesting Data...</v>
      </c>
      <c r="N613" t="str">
        <f>_xll.BDP("105025W5 Muni","YTW_SPREAD_TO_MATURITY_AT_ISSU")</f>
        <v>#N/A Requesting Data...</v>
      </c>
      <c r="O613" t="str">
        <f>_xll.BDP("105025W5 Muni","BVAL_MID_YTM")</f>
        <v>#N/A Requesting Data...</v>
      </c>
      <c r="P613" t="str">
        <f>_xll.BDP("105025W5 Muni","MUNI_TAX_PROV")</f>
        <v>#N/A Requesting Data...</v>
      </c>
      <c r="Q613" t="str">
        <f>_xll.BDP("105025W5 Muni","MUNI_FED_TAX")</f>
        <v>#N/A Requesting Data...</v>
      </c>
      <c r="R613" t="str">
        <f>_xll.BDP("105025W5 Muni","MUNI_MSRB_VOLUME")</f>
        <v>#N/A Requesting Data...</v>
      </c>
      <c r="S613" t="str">
        <f>_xll.BDP("105025W5 Muni","BB_COMPOSITE")</f>
        <v>#N/A Requesting Data...</v>
      </c>
      <c r="T613" t="str">
        <f>_xll.BDP("105025W5 Muni","LQA_LIQUIDITY_SCORE")</f>
        <v>#N/A Requesting Data...</v>
      </c>
    </row>
    <row r="614" spans="1:20" x14ac:dyDescent="0.25">
      <c r="A614" t="str">
        <f>_xll.BDP("105025W6 Muni","ID_CUSIP")</f>
        <v>#N/A Requesting Data...</v>
      </c>
      <c r="B614" t="s">
        <v>73</v>
      </c>
      <c r="C614" t="str">
        <f>_xll.BDP("105025W6 Muni","INSURANCE_STATUS")</f>
        <v>#N/A Requesting Data...</v>
      </c>
      <c r="D614" t="str">
        <f>_xll.BDP("105025W6 Muni","STATE_CODE")</f>
        <v>#N/A Requesting Data...</v>
      </c>
      <c r="E614" t="str">
        <f>_xll.BDP("105025W6 Muni","COUNTY_LOCATION_ISSUER")</f>
        <v>#N/A Requesting Data...</v>
      </c>
      <c r="F614" t="str">
        <f>_xll.BDP("105025W6 Muni","DUR_ADJ_MID")</f>
        <v>#N/A Requesting Data...</v>
      </c>
      <c r="G614" t="str">
        <f>_xll.BDP("105025W6 Muni","SPREAD_AT_ISSUANCE_TO_WORST")</f>
        <v>#N/A Requesting Data...</v>
      </c>
      <c r="H614" t="str">
        <f>_xll.BDP("105025W6 Muni","ISSUE_DT")</f>
        <v>#N/A Requesting Data...</v>
      </c>
      <c r="I614" t="str">
        <f>_xll.BDS("105025W6 Muni","MUNI_PURPOSE_SCHED", "aggregate=y")</f>
        <v>#N/A Review</v>
      </c>
      <c r="J614" t="str">
        <f>_xll.BDP("105025W6 Muni","CPN")</f>
        <v>#N/A Requesting Data...</v>
      </c>
      <c r="K614" t="str">
        <f>_xll.BDP("105025W6 Muni","MATURITY")</f>
        <v>#N/A Requesting Data...</v>
      </c>
      <c r="L614">
        <v>280000</v>
      </c>
      <c r="M614" t="str">
        <f>_xll.BDP("105025W6 Muni","YIELD_ON_ISSUE_DATE")</f>
        <v>#N/A Requesting Data...</v>
      </c>
      <c r="N614" t="str">
        <f>_xll.BDP("105025W6 Muni","YTW_SPREAD_TO_MATURITY_AT_ISSU")</f>
        <v>#N/A Requesting Data...</v>
      </c>
      <c r="O614" t="str">
        <f>_xll.BDP("105025W6 Muni","BVAL_MID_YTM")</f>
        <v>#N/A Requesting Data...</v>
      </c>
      <c r="P614" t="str">
        <f>_xll.BDP("105025W6 Muni","MUNI_TAX_PROV")</f>
        <v>#N/A Requesting Data...</v>
      </c>
      <c r="Q614" t="str">
        <f>_xll.BDP("105025W6 Muni","MUNI_FED_TAX")</f>
        <v>#N/A Requesting Data...</v>
      </c>
      <c r="R614" t="str">
        <f>_xll.BDP("105025W6 Muni","MUNI_MSRB_VOLUME")</f>
        <v>#N/A Requesting Data...</v>
      </c>
      <c r="S614" t="str">
        <f>_xll.BDP("105025W6 Muni","BB_COMPOSITE")</f>
        <v>#N/A Requesting Data...</v>
      </c>
      <c r="T614" t="str">
        <f>_xll.BDP("105025W6 Muni","LQA_LIQUIDITY_SCORE")</f>
        <v>#N/A Requesting Data...</v>
      </c>
    </row>
    <row r="615" spans="1:20" x14ac:dyDescent="0.25">
      <c r="A615" t="str">
        <f>_xll.BDP("106059LF Muni","ID_CUSIP")</f>
        <v>#N/A Requesting Data...</v>
      </c>
      <c r="B615" t="s">
        <v>249</v>
      </c>
      <c r="C615" t="str">
        <f>_xll.BDP("106059LF Muni","INSURANCE_STATUS")</f>
        <v>#N/A Requesting Data...</v>
      </c>
      <c r="D615" t="str">
        <f>_xll.BDP("106059LF Muni","STATE_CODE")</f>
        <v>#N/A Requesting Data...</v>
      </c>
      <c r="E615" t="str">
        <f>_xll.BDP("106059LF Muni","COUNTY_LOCATION_ISSUER")</f>
        <v>#N/A Requesting Data...</v>
      </c>
      <c r="F615" t="str">
        <f>_xll.BDP("106059LF Muni","DUR_ADJ_MID")</f>
        <v>#N/A Requesting Data...</v>
      </c>
      <c r="G615" t="str">
        <f>_xll.BDP("106059LF Muni","SPREAD_AT_ISSUANCE_TO_WORST")</f>
        <v>#N/A Requesting Data...</v>
      </c>
      <c r="H615" t="str">
        <f>_xll.BDP("106059LF Muni","ISSUE_DT")</f>
        <v>#N/A Requesting Data...</v>
      </c>
      <c r="I615" t="str">
        <f>_xll.BDS("106059LF Muni","MUNI_PURPOSE_SCHED", "aggregate=y")</f>
        <v>#N/A Review</v>
      </c>
      <c r="J615" t="str">
        <f>_xll.BDP("106059LF Muni","CPN")</f>
        <v>#N/A Requesting Data...</v>
      </c>
      <c r="K615" t="str">
        <f>_xll.BDP("106059LF Muni","MATURITY")</f>
        <v>#N/A Requesting Data...</v>
      </c>
      <c r="L615">
        <v>120000</v>
      </c>
      <c r="M615" t="str">
        <f>_xll.BDP("106059LF Muni","YIELD_ON_ISSUE_DATE")</f>
        <v>#N/A Requesting Data...</v>
      </c>
      <c r="N615" t="str">
        <f>_xll.BDP("106059LF Muni","YTW_SPREAD_TO_MATURITY_AT_ISSU")</f>
        <v>#N/A Requesting Data...</v>
      </c>
      <c r="O615" t="str">
        <f>_xll.BDP("106059LF Muni","BVAL_MID_YTM")</f>
        <v>#N/A Requesting Data...</v>
      </c>
      <c r="P615" t="str">
        <f>_xll.BDP("106059LF Muni","MUNI_TAX_PROV")</f>
        <v>#N/A Requesting Data...</v>
      </c>
      <c r="Q615" t="str">
        <f>_xll.BDP("106059LF Muni","MUNI_FED_TAX")</f>
        <v>#N/A Requesting Data...</v>
      </c>
      <c r="R615" t="str">
        <f>_xll.BDP("106059LF Muni","MUNI_MSRB_VOLUME")</f>
        <v>#N/A Requesting Data...</v>
      </c>
      <c r="S615" t="str">
        <f>_xll.BDP("106059LF Muni","BB_COMPOSITE")</f>
        <v>#N/A Requesting Data...</v>
      </c>
      <c r="T615" t="str">
        <f>_xll.BDP("106059LF Muni","LQA_LIQUIDITY_SCORE")</f>
        <v>#N/A Requesting Data...</v>
      </c>
    </row>
    <row r="616" spans="1:20" x14ac:dyDescent="0.25">
      <c r="A616" t="str">
        <f>_xll.BDP("106147HK Muni","ID_CUSIP")</f>
        <v>#N/A Requesting Data...</v>
      </c>
      <c r="B616" t="s">
        <v>250</v>
      </c>
      <c r="C616" t="str">
        <f>_xll.BDP("106147HK Muni","INSURANCE_STATUS")</f>
        <v>#N/A Requesting Data...</v>
      </c>
      <c r="D616" t="str">
        <f>_xll.BDP("106147HK Muni","STATE_CODE")</f>
        <v>#N/A Requesting Data...</v>
      </c>
      <c r="E616" t="str">
        <f>_xll.BDP("106147HK Muni","COUNTY_LOCATION_ISSUER")</f>
        <v>#N/A Requesting Data...</v>
      </c>
      <c r="F616" t="str">
        <f>_xll.BDP("106147HK Muni","DUR_ADJ_MID")</f>
        <v>#N/A Requesting Data...</v>
      </c>
      <c r="G616" t="str">
        <f>_xll.BDP("106147HK Muni","SPREAD_AT_ISSUANCE_TO_WORST")</f>
        <v>#N/A Requesting Data...</v>
      </c>
      <c r="H616" t="str">
        <f>_xll.BDP("106147HK Muni","ISSUE_DT")</f>
        <v>#N/A Requesting Data...</v>
      </c>
      <c r="I616" t="str">
        <f>_xll.BDS("106147HK Muni","MUNI_PURPOSE_SCHED", "aggregate=y")</f>
        <v>#N/A Review</v>
      </c>
      <c r="J616" t="str">
        <f>_xll.BDP("106147HK Muni","CPN")</f>
        <v>#N/A Requesting Data...</v>
      </c>
      <c r="K616" t="str">
        <f>_xll.BDP("106147HK Muni","MATURITY")</f>
        <v>#N/A Requesting Data...</v>
      </c>
      <c r="L616">
        <v>1100000</v>
      </c>
      <c r="M616" t="str">
        <f>_xll.BDP("106147HK Muni","YIELD_ON_ISSUE_DATE")</f>
        <v>#N/A Requesting Data...</v>
      </c>
      <c r="N616" t="str">
        <f>_xll.BDP("106147HK Muni","YTW_SPREAD_TO_MATURITY_AT_ISSU")</f>
        <v>#N/A Requesting Data...</v>
      </c>
      <c r="O616" t="str">
        <f>_xll.BDP("106147HK Muni","BVAL_MID_YTM")</f>
        <v>#N/A Requesting Data...</v>
      </c>
      <c r="P616" t="str">
        <f>_xll.BDP("106147HK Muni","MUNI_TAX_PROV")</f>
        <v>#N/A Requesting Data...</v>
      </c>
      <c r="Q616" t="str">
        <f>_xll.BDP("106147HK Muni","MUNI_FED_TAX")</f>
        <v>#N/A Requesting Data...</v>
      </c>
      <c r="R616" t="str">
        <f>_xll.BDP("106147HK Muni","MUNI_MSRB_VOLUME")</f>
        <v>#N/A Requesting Data...</v>
      </c>
      <c r="S616" t="str">
        <f>_xll.BDP("106147HK Muni","BB_COMPOSITE")</f>
        <v>#N/A Requesting Data...</v>
      </c>
      <c r="T616" t="str">
        <f>_xll.BDP("106147HK Muni","LQA_LIQUIDITY_SCORE")</f>
        <v>#N/A Requesting Data...</v>
      </c>
    </row>
    <row r="617" spans="1:20" x14ac:dyDescent="0.25">
      <c r="A617" t="str">
        <f>_xll.BDP("091096LA Muni","ID_CUSIP")</f>
        <v>#N/A Requesting Data...</v>
      </c>
      <c r="B617" t="s">
        <v>56</v>
      </c>
      <c r="C617" t="str">
        <f>_xll.BDP("091096LA Muni","INSURANCE_STATUS")</f>
        <v>#N/A Requesting Data...</v>
      </c>
      <c r="D617" t="str">
        <f>_xll.BDP("091096LA Muni","STATE_CODE")</f>
        <v>#N/A Requesting Data...</v>
      </c>
      <c r="E617" t="str">
        <f>_xll.BDP("091096LA Muni","COUNTY_LOCATION_ISSUER")</f>
        <v>#N/A Requesting Data...</v>
      </c>
      <c r="F617" t="str">
        <f>_xll.BDP("091096LA Muni","DUR_ADJ_MID")</f>
        <v>#N/A Requesting Data...</v>
      </c>
      <c r="G617" t="str">
        <f>_xll.BDP("091096LA Muni","SPREAD_AT_ISSUANCE_TO_WORST")</f>
        <v>#N/A Requesting Data...</v>
      </c>
      <c r="H617" t="str">
        <f>_xll.BDP("091096LA Muni","ISSUE_DT")</f>
        <v>#N/A Requesting Data...</v>
      </c>
      <c r="I617" t="str">
        <f>_xll.BDS("091096LA Muni","MUNI_PURPOSE_SCHED", "aggregate=y")</f>
        <v>#N/A Review</v>
      </c>
      <c r="J617" t="str">
        <f>_xll.BDP("091096LA Muni","CPN")</f>
        <v>#N/A Requesting Data...</v>
      </c>
      <c r="K617" t="str">
        <f>_xll.BDP("091096LA Muni","MATURITY")</f>
        <v>#N/A Requesting Data...</v>
      </c>
      <c r="L617">
        <v>1870000</v>
      </c>
      <c r="M617" t="str">
        <f>_xll.BDP("091096LA Muni","YIELD_ON_ISSUE_DATE")</f>
        <v>#N/A Requesting Data...</v>
      </c>
      <c r="N617" t="str">
        <f>_xll.BDP("091096LA Muni","YTW_SPREAD_TO_MATURITY_AT_ISSU")</f>
        <v>#N/A Requesting Data...</v>
      </c>
      <c r="O617" t="str">
        <f>_xll.BDP("091096LA Muni","BVAL_MID_YTM")</f>
        <v>#N/A Requesting Data...</v>
      </c>
      <c r="P617" t="str">
        <f>_xll.BDP("091096LA Muni","MUNI_TAX_PROV")</f>
        <v>#N/A Requesting Data...</v>
      </c>
      <c r="Q617" t="str">
        <f>_xll.BDP("091096LA Muni","MUNI_FED_TAX")</f>
        <v>#N/A Requesting Data...</v>
      </c>
      <c r="R617" t="str">
        <f>_xll.BDP("091096LA Muni","MUNI_MSRB_VOLUME")</f>
        <v>#N/A Requesting Data...</v>
      </c>
      <c r="S617" t="str">
        <f>_xll.BDP("091096LA Muni","BB_COMPOSITE")</f>
        <v>#N/A Requesting Data...</v>
      </c>
      <c r="T617" t="str">
        <f>_xll.BDP("091096LA Muni","LQA_LIQUIDITY_SCORE")</f>
        <v>#N/A Requesting Data...</v>
      </c>
    </row>
    <row r="618" spans="1:20" x14ac:dyDescent="0.25">
      <c r="A618" t="str">
        <f>_xll.BDP("091096LB Muni","ID_CUSIP")</f>
        <v>#N/A Requesting Data...</v>
      </c>
      <c r="B618" t="s">
        <v>56</v>
      </c>
      <c r="C618" t="str">
        <f>_xll.BDP("091096LB Muni","INSURANCE_STATUS")</f>
        <v>#N/A Requesting Data...</v>
      </c>
      <c r="D618" t="str">
        <f>_xll.BDP("091096LB Muni","STATE_CODE")</f>
        <v>#N/A Requesting Data...</v>
      </c>
      <c r="E618" t="str">
        <f>_xll.BDP("091096LB Muni","COUNTY_LOCATION_ISSUER")</f>
        <v>#N/A Requesting Data...</v>
      </c>
      <c r="F618" t="str">
        <f>_xll.BDP("091096LB Muni","DUR_ADJ_MID")</f>
        <v>#N/A Requesting Data...</v>
      </c>
      <c r="G618" t="str">
        <f>_xll.BDP("091096LB Muni","SPREAD_AT_ISSUANCE_TO_WORST")</f>
        <v>#N/A Requesting Data...</v>
      </c>
      <c r="H618" t="str">
        <f>_xll.BDP("091096LB Muni","ISSUE_DT")</f>
        <v>#N/A Requesting Data...</v>
      </c>
      <c r="I618" t="str">
        <f>_xll.BDS("091096LB Muni","MUNI_PURPOSE_SCHED", "aggregate=y")</f>
        <v>#N/A Review</v>
      </c>
      <c r="J618" t="str">
        <f>_xll.BDP("091096LB Muni","CPN")</f>
        <v>#N/A Requesting Data...</v>
      </c>
      <c r="K618" t="str">
        <f>_xll.BDP("091096LB Muni","MATURITY")</f>
        <v>#N/A Requesting Data...</v>
      </c>
      <c r="L618">
        <v>6090000</v>
      </c>
      <c r="M618" t="str">
        <f>_xll.BDP("091096LB Muni","YIELD_ON_ISSUE_DATE")</f>
        <v>#N/A Requesting Data...</v>
      </c>
      <c r="N618" t="str">
        <f>_xll.BDP("091096LB Muni","YTW_SPREAD_TO_MATURITY_AT_ISSU")</f>
        <v>#N/A Requesting Data...</v>
      </c>
      <c r="O618" t="str">
        <f>_xll.BDP("091096LB Muni","BVAL_MID_YTM")</f>
        <v>#N/A Requesting Data...</v>
      </c>
      <c r="P618" t="str">
        <f>_xll.BDP("091096LB Muni","MUNI_TAX_PROV")</f>
        <v>#N/A Requesting Data...</v>
      </c>
      <c r="Q618" t="str">
        <f>_xll.BDP("091096LB Muni","MUNI_FED_TAX")</f>
        <v>#N/A Requesting Data...</v>
      </c>
      <c r="R618" t="str">
        <f>_xll.BDP("091096LB Muni","MUNI_MSRB_VOLUME")</f>
        <v>#N/A Requesting Data...</v>
      </c>
      <c r="S618" t="str">
        <f>_xll.BDP("091096LB Muni","BB_COMPOSITE")</f>
        <v>#N/A Requesting Data...</v>
      </c>
      <c r="T618" t="str">
        <f>_xll.BDP("091096LB Muni","LQA_LIQUIDITY_SCORE")</f>
        <v>#N/A Requesting Data...</v>
      </c>
    </row>
    <row r="619" spans="1:20" x14ac:dyDescent="0.25">
      <c r="A619" t="str">
        <f>_xll.BDP("09237RQS Muni","ID_CUSIP")</f>
        <v>#N/A Requesting Data...</v>
      </c>
      <c r="B619" t="s">
        <v>251</v>
      </c>
      <c r="C619" t="str">
        <f>_xll.BDP("09237RQS Muni","INSURANCE_STATUS")</f>
        <v>#N/A Requesting Data...</v>
      </c>
      <c r="D619" t="str">
        <f>_xll.BDP("09237RQS Muni","STATE_CODE")</f>
        <v>#N/A Requesting Data...</v>
      </c>
      <c r="E619" t="str">
        <f>_xll.BDP("09237RQS Muni","COUNTY_LOCATION_ISSUER")</f>
        <v>#N/A Requesting Data...</v>
      </c>
      <c r="F619" t="str">
        <f>_xll.BDP("09237RQS Muni","DUR_ADJ_MID")</f>
        <v>#N/A Requesting Data...</v>
      </c>
      <c r="G619" t="str">
        <f>_xll.BDP("09237RQS Muni","SPREAD_AT_ISSUANCE_TO_WORST")</f>
        <v>#N/A Requesting Data...</v>
      </c>
      <c r="H619" t="str">
        <f>_xll.BDP("09237RQS Muni","ISSUE_DT")</f>
        <v>#N/A Requesting Data...</v>
      </c>
      <c r="I619" t="str">
        <f>_xll.BDS("09237RQS Muni","MUNI_PURPOSE_SCHED", "aggregate=y")</f>
        <v>#N/A Review</v>
      </c>
      <c r="J619" t="str">
        <f>_xll.BDP("09237RQS Muni","CPN")</f>
        <v>#N/A Requesting Data...</v>
      </c>
      <c r="K619" t="str">
        <f>_xll.BDP("09237RQS Muni","MATURITY")</f>
        <v>#N/A Requesting Data...</v>
      </c>
      <c r="L619">
        <v>200000</v>
      </c>
      <c r="M619" t="str">
        <f>_xll.BDP("09237RQS Muni","YIELD_ON_ISSUE_DATE")</f>
        <v>#N/A Requesting Data...</v>
      </c>
      <c r="N619" t="str">
        <f>_xll.BDP("09237RQS Muni","YTW_SPREAD_TO_MATURITY_AT_ISSU")</f>
        <v>#N/A Requesting Data...</v>
      </c>
      <c r="O619" t="str">
        <f>_xll.BDP("09237RQS Muni","BVAL_MID_YTM")</f>
        <v>#N/A Requesting Data...</v>
      </c>
      <c r="P619" t="str">
        <f>_xll.BDP("09237RQS Muni","MUNI_TAX_PROV")</f>
        <v>#N/A Requesting Data...</v>
      </c>
      <c r="Q619" t="str">
        <f>_xll.BDP("09237RQS Muni","MUNI_FED_TAX")</f>
        <v>#N/A Requesting Data...</v>
      </c>
      <c r="R619" t="str">
        <f>_xll.BDP("09237RQS Muni","MUNI_MSRB_VOLUME")</f>
        <v>#N/A Requesting Data...</v>
      </c>
      <c r="S619" t="str">
        <f>_xll.BDP("09237RQS Muni","BB_COMPOSITE")</f>
        <v>#N/A Requesting Data...</v>
      </c>
      <c r="T619" t="str">
        <f>_xll.BDP("09237RQS Muni","LQA_LIQUIDITY_SCORE")</f>
        <v>#N/A Requesting Data...</v>
      </c>
    </row>
    <row r="620" spans="1:20" x14ac:dyDescent="0.25">
      <c r="A620" t="str">
        <f>_xll.BDP("107727SQ Muni","ID_CUSIP")</f>
        <v>#N/A Requesting Data...</v>
      </c>
      <c r="B620" t="s">
        <v>252</v>
      </c>
      <c r="C620" t="str">
        <f>_xll.BDP("107727SQ Muni","INSURANCE_STATUS")</f>
        <v>#N/A Requesting Data...</v>
      </c>
      <c r="D620" t="str">
        <f>_xll.BDP("107727SQ Muni","STATE_CODE")</f>
        <v>#N/A Requesting Data...</v>
      </c>
      <c r="E620" t="str">
        <f>_xll.BDP("107727SQ Muni","COUNTY_LOCATION_ISSUER")</f>
        <v>#N/A Requesting Data...</v>
      </c>
      <c r="F620" t="str">
        <f>_xll.BDP("107727SQ Muni","DUR_ADJ_MID")</f>
        <v>#N/A Requesting Data...</v>
      </c>
      <c r="G620" t="str">
        <f>_xll.BDP("107727SQ Muni","SPREAD_AT_ISSUANCE_TO_WORST")</f>
        <v>#N/A Requesting Data...</v>
      </c>
      <c r="H620" t="str">
        <f>_xll.BDP("107727SQ Muni","ISSUE_DT")</f>
        <v>#N/A Requesting Data...</v>
      </c>
      <c r="I620" t="str">
        <f>_xll.BDS("107727SQ Muni","MUNI_PURPOSE_SCHED", "aggregate=y")</f>
        <v>#N/A Review</v>
      </c>
      <c r="J620" t="str">
        <f>_xll.BDP("107727SQ Muni","CPN")</f>
        <v>#N/A Requesting Data...</v>
      </c>
      <c r="K620" t="str">
        <f>_xll.BDP("107727SQ Muni","MATURITY")</f>
        <v>#N/A Requesting Data...</v>
      </c>
      <c r="L620">
        <v>360000</v>
      </c>
      <c r="M620" t="str">
        <f>_xll.BDP("107727SQ Muni","YIELD_ON_ISSUE_DATE")</f>
        <v>#N/A Requesting Data...</v>
      </c>
      <c r="N620" t="str">
        <f>_xll.BDP("107727SQ Muni","YTW_SPREAD_TO_MATURITY_AT_ISSU")</f>
        <v>#N/A Requesting Data...</v>
      </c>
      <c r="O620" t="str">
        <f>_xll.BDP("107727SQ Muni","BVAL_MID_YTM")</f>
        <v>#N/A Requesting Data...</v>
      </c>
      <c r="P620" t="str">
        <f>_xll.BDP("107727SQ Muni","MUNI_TAX_PROV")</f>
        <v>#N/A Requesting Data...</v>
      </c>
      <c r="Q620" t="str">
        <f>_xll.BDP("107727SQ Muni","MUNI_FED_TAX")</f>
        <v>#N/A Requesting Data...</v>
      </c>
      <c r="R620" t="str">
        <f>_xll.BDP("107727SQ Muni","MUNI_MSRB_VOLUME")</f>
        <v>#N/A Requesting Data...</v>
      </c>
      <c r="S620" t="str">
        <f>_xll.BDP("107727SQ Muni","BB_COMPOSITE")</f>
        <v>#N/A Requesting Data...</v>
      </c>
      <c r="T620" t="str">
        <f>_xll.BDP("107727SQ Muni","LQA_LIQUIDITY_SCORE")</f>
        <v>#N/A Requesting Data...</v>
      </c>
    </row>
    <row r="621" spans="1:20" x14ac:dyDescent="0.25">
      <c r="A621" t="str">
        <f>_xll.BDP("092472AJ Muni","ID_CUSIP")</f>
        <v>#N/A Requesting Data...</v>
      </c>
      <c r="B621" t="s">
        <v>248</v>
      </c>
      <c r="C621" t="str">
        <f>_xll.BDP("092472AJ Muni","INSURANCE_STATUS")</f>
        <v>#N/A Requesting Data...</v>
      </c>
      <c r="D621" t="str">
        <f>_xll.BDP("092472AJ Muni","STATE_CODE")</f>
        <v>#N/A Requesting Data...</v>
      </c>
      <c r="E621" t="str">
        <f>_xll.BDP("092472AJ Muni","COUNTY_LOCATION_ISSUER")</f>
        <v>#N/A Requesting Data...</v>
      </c>
      <c r="F621" t="str">
        <f>_xll.BDP("092472AJ Muni","DUR_ADJ_MID")</f>
        <v>#N/A Requesting Data...</v>
      </c>
      <c r="G621" t="str">
        <f>_xll.BDP("092472AJ Muni","SPREAD_AT_ISSUANCE_TO_WORST")</f>
        <v>#N/A Requesting Data...</v>
      </c>
      <c r="H621" t="str">
        <f>_xll.BDP("092472AJ Muni","ISSUE_DT")</f>
        <v>#N/A Requesting Data...</v>
      </c>
      <c r="I621" t="str">
        <f>_xll.BDS("092472AJ Muni","MUNI_PURPOSE_SCHED", "aggregate=y")</f>
        <v>#N/A Review</v>
      </c>
      <c r="J621" t="str">
        <f>_xll.BDP("092472AJ Muni","CPN")</f>
        <v>#N/A Requesting Data...</v>
      </c>
      <c r="K621" t="str">
        <f>_xll.BDP("092472AJ Muni","MATURITY")</f>
        <v>#N/A Requesting Data...</v>
      </c>
      <c r="L621">
        <v>70000</v>
      </c>
      <c r="M621" t="str">
        <f>_xll.BDP("092472AJ Muni","YIELD_ON_ISSUE_DATE")</f>
        <v>#N/A Requesting Data...</v>
      </c>
      <c r="N621" t="str">
        <f>_xll.BDP("092472AJ Muni","YTW_SPREAD_TO_MATURITY_AT_ISSU")</f>
        <v>#N/A Requesting Data...</v>
      </c>
      <c r="O621" t="str">
        <f>_xll.BDP("092472AJ Muni","BVAL_MID_YTM")</f>
        <v>#N/A Requesting Data...</v>
      </c>
      <c r="P621" t="str">
        <f>_xll.BDP("092472AJ Muni","MUNI_TAX_PROV")</f>
        <v>#N/A Requesting Data...</v>
      </c>
      <c r="Q621" t="str">
        <f>_xll.BDP("092472AJ Muni","MUNI_FED_TAX")</f>
        <v>#N/A Requesting Data...</v>
      </c>
      <c r="R621" t="str">
        <f>_xll.BDP("092472AJ Muni","MUNI_MSRB_VOLUME")</f>
        <v>#N/A Requesting Data...</v>
      </c>
      <c r="S621" t="str">
        <f>_xll.BDP("092472AJ Muni","BB_COMPOSITE")</f>
        <v>#N/A Requesting Data...</v>
      </c>
      <c r="T621" t="str">
        <f>_xll.BDP("092472AJ Muni","LQA_LIQUIDITY_SCORE")</f>
        <v>#N/A Requesting Data...</v>
      </c>
    </row>
    <row r="622" spans="1:20" x14ac:dyDescent="0.25">
      <c r="A622" t="str">
        <f>_xll.BDP("107897HT Muni","ID_CUSIP")</f>
        <v>#N/A Requesting Data...</v>
      </c>
      <c r="B622" t="s">
        <v>246</v>
      </c>
      <c r="C622" t="str">
        <f>_xll.BDP("107897HT Muni","INSURANCE_STATUS")</f>
        <v>#N/A Requesting Data...</v>
      </c>
      <c r="D622" t="str">
        <f>_xll.BDP("107897HT Muni","STATE_CODE")</f>
        <v>#N/A Requesting Data...</v>
      </c>
      <c r="E622" t="str">
        <f>_xll.BDP("107897HT Muni","COUNTY_LOCATION_ISSUER")</f>
        <v>#N/A Requesting Data...</v>
      </c>
      <c r="F622" t="str">
        <f>_xll.BDP("107897HT Muni","DUR_ADJ_MID")</f>
        <v>#N/A Requesting Data...</v>
      </c>
      <c r="G622" t="str">
        <f>_xll.BDP("107897HT Muni","SPREAD_AT_ISSUANCE_TO_WORST")</f>
        <v>#N/A Requesting Data...</v>
      </c>
      <c r="H622" t="str">
        <f>_xll.BDP("107897HT Muni","ISSUE_DT")</f>
        <v>#N/A Requesting Data...</v>
      </c>
      <c r="I622" t="str">
        <f>_xll.BDS("107897HT Muni","MUNI_PURPOSE_SCHED", "aggregate=y")</f>
        <v>#N/A Review</v>
      </c>
      <c r="J622" t="str">
        <f>_xll.BDP("107897HT Muni","CPN")</f>
        <v>#N/A Requesting Data...</v>
      </c>
      <c r="K622" t="str">
        <f>_xll.BDP("107897HT Muni","MATURITY")</f>
        <v>#N/A Requesting Data...</v>
      </c>
      <c r="L622">
        <v>2040000</v>
      </c>
      <c r="M622" t="str">
        <f>_xll.BDP("107897HT Muni","YIELD_ON_ISSUE_DATE")</f>
        <v>#N/A Requesting Data...</v>
      </c>
      <c r="N622" t="str">
        <f>_xll.BDP("107897HT Muni","YTW_SPREAD_TO_MATURITY_AT_ISSU")</f>
        <v>#N/A Requesting Data...</v>
      </c>
      <c r="O622" t="str">
        <f>_xll.BDP("107897HT Muni","BVAL_MID_YTM")</f>
        <v>#N/A Requesting Data...</v>
      </c>
      <c r="P622" t="str">
        <f>_xll.BDP("107897HT Muni","MUNI_TAX_PROV")</f>
        <v>#N/A Requesting Data...</v>
      </c>
      <c r="Q622" t="str">
        <f>_xll.BDP("107897HT Muni","MUNI_FED_TAX")</f>
        <v>#N/A Requesting Data...</v>
      </c>
      <c r="R622" t="str">
        <f>_xll.BDP("107897HT Muni","MUNI_MSRB_VOLUME")</f>
        <v>#N/A Requesting Data...</v>
      </c>
      <c r="S622" t="str">
        <f>_xll.BDP("107897HT Muni","BB_COMPOSITE")</f>
        <v>#N/A Requesting Data...</v>
      </c>
      <c r="T622" t="str">
        <f>_xll.BDP("107897HT Muni","LQA_LIQUIDITY_SCORE")</f>
        <v>#N/A Requesting Data...</v>
      </c>
    </row>
    <row r="623" spans="1:20" x14ac:dyDescent="0.25">
      <c r="A623" t="str">
        <f>_xll.BDP("106147HL Muni","ID_CUSIP")</f>
        <v>#N/A Requesting Data...</v>
      </c>
      <c r="B623" t="s">
        <v>250</v>
      </c>
      <c r="C623" t="str">
        <f>_xll.BDP("106147HL Muni","INSURANCE_STATUS")</f>
        <v>#N/A Requesting Data...</v>
      </c>
      <c r="D623" t="str">
        <f>_xll.BDP("106147HL Muni","STATE_CODE")</f>
        <v>#N/A Requesting Data...</v>
      </c>
      <c r="E623" t="str">
        <f>_xll.BDP("106147HL Muni","COUNTY_LOCATION_ISSUER")</f>
        <v>#N/A Requesting Data...</v>
      </c>
      <c r="F623" t="str">
        <f>_xll.BDP("106147HL Muni","DUR_ADJ_MID")</f>
        <v>#N/A Requesting Data...</v>
      </c>
      <c r="G623" t="str">
        <f>_xll.BDP("106147HL Muni","SPREAD_AT_ISSUANCE_TO_WORST")</f>
        <v>#N/A Requesting Data...</v>
      </c>
      <c r="H623" t="str">
        <f>_xll.BDP("106147HL Muni","ISSUE_DT")</f>
        <v>#N/A Requesting Data...</v>
      </c>
      <c r="I623" t="str">
        <f>_xll.BDS("106147HL Muni","MUNI_PURPOSE_SCHED", "aggregate=y")</f>
        <v>#N/A Review</v>
      </c>
      <c r="J623" t="str">
        <f>_xll.BDP("106147HL Muni","CPN")</f>
        <v>#N/A Requesting Data...</v>
      </c>
      <c r="K623" t="str">
        <f>_xll.BDP("106147HL Muni","MATURITY")</f>
        <v>#N/A Requesting Data...</v>
      </c>
      <c r="L623">
        <v>1050000</v>
      </c>
      <c r="M623" t="str">
        <f>_xll.BDP("106147HL Muni","YIELD_ON_ISSUE_DATE")</f>
        <v>#N/A Requesting Data...</v>
      </c>
      <c r="N623" t="str">
        <f>_xll.BDP("106147HL Muni","YTW_SPREAD_TO_MATURITY_AT_ISSU")</f>
        <v>#N/A Requesting Data...</v>
      </c>
      <c r="O623" t="str">
        <f>_xll.BDP("106147HL Muni","BVAL_MID_YTM")</f>
        <v>#N/A Requesting Data...</v>
      </c>
      <c r="P623" t="str">
        <f>_xll.BDP("106147HL Muni","MUNI_TAX_PROV")</f>
        <v>#N/A Requesting Data...</v>
      </c>
      <c r="Q623" t="str">
        <f>_xll.BDP("106147HL Muni","MUNI_FED_TAX")</f>
        <v>#N/A Requesting Data...</v>
      </c>
      <c r="R623" t="str">
        <f>_xll.BDP("106147HL Muni","MUNI_MSRB_VOLUME")</f>
        <v>#N/A Requesting Data...</v>
      </c>
      <c r="S623" t="str">
        <f>_xll.BDP("106147HL Muni","BB_COMPOSITE")</f>
        <v>#N/A Requesting Data...</v>
      </c>
      <c r="T623" t="str">
        <f>_xll.BDP("106147HL Muni","LQA_LIQUIDITY_SCORE")</f>
        <v>#N/A Requesting Data...</v>
      </c>
    </row>
    <row r="624" spans="1:20" x14ac:dyDescent="0.25">
      <c r="A624" t="str">
        <f>_xll.BDP("091096LD Muni","ID_CUSIP")</f>
        <v>#N/A Requesting Data...</v>
      </c>
      <c r="B624" t="s">
        <v>56</v>
      </c>
      <c r="C624" t="str">
        <f>_xll.BDP("091096LD Muni","INSURANCE_STATUS")</f>
        <v>#N/A Requesting Data...</v>
      </c>
      <c r="D624" t="str">
        <f>_xll.BDP("091096LD Muni","STATE_CODE")</f>
        <v>#N/A Requesting Data...</v>
      </c>
      <c r="E624" t="str">
        <f>_xll.BDP("091096LD Muni","COUNTY_LOCATION_ISSUER")</f>
        <v>#N/A Requesting Data...</v>
      </c>
      <c r="F624" t="str">
        <f>_xll.BDP("091096LD Muni","DUR_ADJ_MID")</f>
        <v>#N/A Requesting Data...</v>
      </c>
      <c r="G624" t="str">
        <f>_xll.BDP("091096LD Muni","SPREAD_AT_ISSUANCE_TO_WORST")</f>
        <v>#N/A Requesting Data...</v>
      </c>
      <c r="H624" t="str">
        <f>_xll.BDP("091096LD Muni","ISSUE_DT")</f>
        <v>#N/A Requesting Data...</v>
      </c>
      <c r="I624" t="str">
        <f>_xll.BDS("091096LD Muni","MUNI_PURPOSE_SCHED", "aggregate=y")</f>
        <v>#N/A Review</v>
      </c>
      <c r="J624" t="str">
        <f>_xll.BDP("091096LD Muni","CPN")</f>
        <v>#N/A Requesting Data...</v>
      </c>
      <c r="K624" t="str">
        <f>_xll.BDP("091096LD Muni","MATURITY")</f>
        <v>#N/A Requesting Data...</v>
      </c>
      <c r="L624">
        <v>2535000</v>
      </c>
      <c r="M624" t="str">
        <f>_xll.BDP("091096LD Muni","YIELD_ON_ISSUE_DATE")</f>
        <v>#N/A Requesting Data...</v>
      </c>
      <c r="N624" t="str">
        <f>_xll.BDP("091096LD Muni","YTW_SPREAD_TO_MATURITY_AT_ISSU")</f>
        <v>#N/A Requesting Data...</v>
      </c>
      <c r="O624" t="str">
        <f>_xll.BDP("091096LD Muni","BVAL_MID_YTM")</f>
        <v>#N/A Requesting Data...</v>
      </c>
      <c r="P624" t="str">
        <f>_xll.BDP("091096LD Muni","MUNI_TAX_PROV")</f>
        <v>#N/A Requesting Data...</v>
      </c>
      <c r="Q624" t="str">
        <f>_xll.BDP("091096LD Muni","MUNI_FED_TAX")</f>
        <v>#N/A Requesting Data...</v>
      </c>
      <c r="R624" t="str">
        <f>_xll.BDP("091096LD Muni","MUNI_MSRB_VOLUME")</f>
        <v>#N/A Requesting Data...</v>
      </c>
      <c r="S624" t="str">
        <f>_xll.BDP("091096LD Muni","BB_COMPOSITE")</f>
        <v>#N/A Requesting Data...</v>
      </c>
      <c r="T624" t="str">
        <f>_xll.BDP("091096LD Muni","LQA_LIQUIDITY_SCORE")</f>
        <v>#N/A Requesting Data...</v>
      </c>
    </row>
    <row r="625" spans="1:20" x14ac:dyDescent="0.25">
      <c r="A625" t="str">
        <f>_xll.BDP("091096MB Muni","ID_CUSIP")</f>
        <v>#N/A Requesting Data...</v>
      </c>
      <c r="B625" t="s">
        <v>56</v>
      </c>
      <c r="C625" t="str">
        <f>_xll.BDP("091096MB Muni","INSURANCE_STATUS")</f>
        <v>#N/A Requesting Data...</v>
      </c>
      <c r="D625" t="str">
        <f>_xll.BDP("091096MB Muni","STATE_CODE")</f>
        <v>#N/A Requesting Data...</v>
      </c>
      <c r="E625" t="str">
        <f>_xll.BDP("091096MB Muni","COUNTY_LOCATION_ISSUER")</f>
        <v>#N/A Requesting Data...</v>
      </c>
      <c r="F625" t="str">
        <f>_xll.BDP("091096MB Muni","DUR_ADJ_MID")</f>
        <v>#N/A Requesting Data...</v>
      </c>
      <c r="G625" t="str">
        <f>_xll.BDP("091096MB Muni","SPREAD_AT_ISSUANCE_TO_WORST")</f>
        <v>#N/A Requesting Data...</v>
      </c>
      <c r="H625" t="str">
        <f>_xll.BDP("091096MB Muni","ISSUE_DT")</f>
        <v>#N/A Requesting Data...</v>
      </c>
      <c r="I625" t="str">
        <f>_xll.BDS("091096MB Muni","MUNI_PURPOSE_SCHED", "aggregate=y")</f>
        <v>#N/A Review</v>
      </c>
      <c r="J625" t="str">
        <f>_xll.BDP("091096MB Muni","CPN")</f>
        <v>#N/A Requesting Data...</v>
      </c>
      <c r="K625" t="str">
        <f>_xll.BDP("091096MB Muni","MATURITY")</f>
        <v>#N/A Requesting Data...</v>
      </c>
      <c r="L625">
        <v>3970000</v>
      </c>
      <c r="M625" t="str">
        <f>_xll.BDP("091096MB Muni","YIELD_ON_ISSUE_DATE")</f>
        <v>#N/A Requesting Data...</v>
      </c>
      <c r="N625" t="str">
        <f>_xll.BDP("091096MB Muni","YTW_SPREAD_TO_MATURITY_AT_ISSU")</f>
        <v>#N/A Requesting Data...</v>
      </c>
      <c r="O625" t="str">
        <f>_xll.BDP("091096MB Muni","BVAL_MID_YTM")</f>
        <v>#N/A Requesting Data...</v>
      </c>
      <c r="P625" t="str">
        <f>_xll.BDP("091096MB Muni","MUNI_TAX_PROV")</f>
        <v>#N/A Requesting Data...</v>
      </c>
      <c r="Q625" t="str">
        <f>_xll.BDP("091096MB Muni","MUNI_FED_TAX")</f>
        <v>#N/A Requesting Data...</v>
      </c>
      <c r="R625" t="str">
        <f>_xll.BDP("091096MB Muni","MUNI_MSRB_VOLUME")</f>
        <v>#N/A Requesting Data...</v>
      </c>
      <c r="S625" t="str">
        <f>_xll.BDP("091096MB Muni","BB_COMPOSITE")</f>
        <v>#N/A Requesting Data...</v>
      </c>
      <c r="T625" t="str">
        <f>_xll.BDP("091096MB Muni","LQA_LIQUIDITY_SCORE")</f>
        <v>#N/A Requesting Data...</v>
      </c>
    </row>
    <row r="626" spans="1:20" x14ac:dyDescent="0.25">
      <c r="A626" t="str">
        <f>_xll.BDP("107043GQ Muni","ID_CUSIP")</f>
        <v>#N/A Requesting Data...</v>
      </c>
      <c r="B626" t="s">
        <v>247</v>
      </c>
      <c r="C626" t="str">
        <f>_xll.BDP("107043GQ Muni","INSURANCE_STATUS")</f>
        <v>#N/A Requesting Data...</v>
      </c>
      <c r="D626" t="str">
        <f>_xll.BDP("107043GQ Muni","STATE_CODE")</f>
        <v>#N/A Requesting Data...</v>
      </c>
      <c r="E626" t="str">
        <f>_xll.BDP("107043GQ Muni","COUNTY_LOCATION_ISSUER")</f>
        <v>#N/A Requesting Data...</v>
      </c>
      <c r="F626" t="str">
        <f>_xll.BDP("107043GQ Muni","DUR_ADJ_MID")</f>
        <v>#N/A Requesting Data...</v>
      </c>
      <c r="G626" t="str">
        <f>_xll.BDP("107043GQ Muni","SPREAD_AT_ISSUANCE_TO_WORST")</f>
        <v>#N/A Requesting Data...</v>
      </c>
      <c r="H626" t="str">
        <f>_xll.BDP("107043GQ Muni","ISSUE_DT")</f>
        <v>#N/A Requesting Data...</v>
      </c>
      <c r="I626" t="str">
        <f>_xll.BDS("107043GQ Muni","MUNI_PURPOSE_SCHED", "aggregate=y")</f>
        <v>#N/A Review</v>
      </c>
      <c r="J626" t="str">
        <f>_xll.BDP("107043GQ Muni","CPN")</f>
        <v>#N/A Requesting Data...</v>
      </c>
      <c r="K626" t="str">
        <f>_xll.BDP("107043GQ Muni","MATURITY")</f>
        <v>#N/A Requesting Data...</v>
      </c>
      <c r="L626">
        <v>360000</v>
      </c>
      <c r="M626" t="str">
        <f>_xll.BDP("107043GQ Muni","YIELD_ON_ISSUE_DATE")</f>
        <v>#N/A Requesting Data...</v>
      </c>
      <c r="N626" t="str">
        <f>_xll.BDP("107043GQ Muni","YTW_SPREAD_TO_MATURITY_AT_ISSU")</f>
        <v>#N/A Requesting Data...</v>
      </c>
      <c r="O626" t="str">
        <f>_xll.BDP("107043GQ Muni","BVAL_MID_YTM")</f>
        <v>#N/A Requesting Data...</v>
      </c>
      <c r="P626" t="str">
        <f>_xll.BDP("107043GQ Muni","MUNI_TAX_PROV")</f>
        <v>#N/A Requesting Data...</v>
      </c>
      <c r="Q626" t="str">
        <f>_xll.BDP("107043GQ Muni","MUNI_FED_TAX")</f>
        <v>#N/A Requesting Data...</v>
      </c>
      <c r="R626" t="str">
        <f>_xll.BDP("107043GQ Muni","MUNI_MSRB_VOLUME")</f>
        <v>#N/A Requesting Data...</v>
      </c>
      <c r="S626" t="str">
        <f>_xll.BDP("107043GQ Muni","BB_COMPOSITE")</f>
        <v>#N/A Requesting Data...</v>
      </c>
      <c r="T626" t="str">
        <f>_xll.BDP("107043GQ Muni","LQA_LIQUIDITY_SCORE")</f>
        <v>#N/A Requesting Data...</v>
      </c>
    </row>
    <row r="627" spans="1:20" x14ac:dyDescent="0.25">
      <c r="A627" t="str">
        <f>_xll.BDP("107043GS Muni","ID_CUSIP")</f>
        <v>#N/A Requesting Data...</v>
      </c>
      <c r="B627" t="s">
        <v>247</v>
      </c>
      <c r="C627" t="str">
        <f>_xll.BDP("107043GS Muni","INSURANCE_STATUS")</f>
        <v>#N/A Requesting Data...</v>
      </c>
      <c r="D627" t="str">
        <f>_xll.BDP("107043GS Muni","STATE_CODE")</f>
        <v>#N/A Requesting Data...</v>
      </c>
      <c r="E627" t="str">
        <f>_xll.BDP("107043GS Muni","COUNTY_LOCATION_ISSUER")</f>
        <v>#N/A Requesting Data...</v>
      </c>
      <c r="F627" t="str">
        <f>_xll.BDP("107043GS Muni","DUR_ADJ_MID")</f>
        <v>#N/A Requesting Data...</v>
      </c>
      <c r="G627" t="str">
        <f>_xll.BDP("107043GS Muni","SPREAD_AT_ISSUANCE_TO_WORST")</f>
        <v>#N/A Requesting Data...</v>
      </c>
      <c r="H627" t="str">
        <f>_xll.BDP("107043GS Muni","ISSUE_DT")</f>
        <v>#N/A Requesting Data...</v>
      </c>
      <c r="I627" t="str">
        <f>_xll.BDS("107043GS Muni","MUNI_PURPOSE_SCHED", "aggregate=y")</f>
        <v>#N/A Review</v>
      </c>
      <c r="J627" t="str">
        <f>_xll.BDP("107043GS Muni","CPN")</f>
        <v>#N/A Requesting Data...</v>
      </c>
      <c r="K627" t="str">
        <f>_xll.BDP("107043GS Muni","MATURITY")</f>
        <v>#N/A Requesting Data...</v>
      </c>
      <c r="L627">
        <v>385000</v>
      </c>
      <c r="M627" t="str">
        <f>_xll.BDP("107043GS Muni","YIELD_ON_ISSUE_DATE")</f>
        <v>#N/A Requesting Data...</v>
      </c>
      <c r="N627" t="str">
        <f>_xll.BDP("107043GS Muni","YTW_SPREAD_TO_MATURITY_AT_ISSU")</f>
        <v>#N/A Requesting Data...</v>
      </c>
      <c r="O627" t="str">
        <f>_xll.BDP("107043GS Muni","BVAL_MID_YTM")</f>
        <v>#N/A Requesting Data...</v>
      </c>
      <c r="P627" t="str">
        <f>_xll.BDP("107043GS Muni","MUNI_TAX_PROV")</f>
        <v>#N/A Requesting Data...</v>
      </c>
      <c r="Q627" t="str">
        <f>_xll.BDP("107043GS Muni","MUNI_FED_TAX")</f>
        <v>#N/A Requesting Data...</v>
      </c>
      <c r="R627" t="str">
        <f>_xll.BDP("107043GS Muni","MUNI_MSRB_VOLUME")</f>
        <v>#N/A Requesting Data...</v>
      </c>
      <c r="S627" t="str">
        <f>_xll.BDP("107043GS Muni","BB_COMPOSITE")</f>
        <v>#N/A Requesting Data...</v>
      </c>
      <c r="T627" t="str">
        <f>_xll.BDP("107043GS Muni","LQA_LIQUIDITY_SCORE")</f>
        <v>#N/A Requesting Data...</v>
      </c>
    </row>
    <row r="628" spans="1:20" x14ac:dyDescent="0.25">
      <c r="A628" t="str">
        <f>_xll.BDP("09237RQR Muni","ID_CUSIP")</f>
        <v>#N/A Requesting Data...</v>
      </c>
      <c r="B628" t="s">
        <v>251</v>
      </c>
      <c r="C628" t="str">
        <f>_xll.BDP("09237RQR Muni","INSURANCE_STATUS")</f>
        <v>#N/A Requesting Data...</v>
      </c>
      <c r="D628" t="str">
        <f>_xll.BDP("09237RQR Muni","STATE_CODE")</f>
        <v>#N/A Requesting Data...</v>
      </c>
      <c r="E628" t="str">
        <f>_xll.BDP("09237RQR Muni","COUNTY_LOCATION_ISSUER")</f>
        <v>#N/A Requesting Data...</v>
      </c>
      <c r="F628" t="str">
        <f>_xll.BDP("09237RQR Muni","DUR_ADJ_MID")</f>
        <v>#N/A Requesting Data...</v>
      </c>
      <c r="G628" t="str">
        <f>_xll.BDP("09237RQR Muni","SPREAD_AT_ISSUANCE_TO_WORST")</f>
        <v>#N/A Requesting Data...</v>
      </c>
      <c r="H628" t="str">
        <f>_xll.BDP("09237RQR Muni","ISSUE_DT")</f>
        <v>#N/A Requesting Data...</v>
      </c>
      <c r="I628" t="str">
        <f>_xll.BDS("09237RQR Muni","MUNI_PURPOSE_SCHED", "aggregate=y")</f>
        <v>#N/A Review</v>
      </c>
      <c r="J628" t="str">
        <f>_xll.BDP("09237RQR Muni","CPN")</f>
        <v>#N/A Requesting Data...</v>
      </c>
      <c r="K628" t="str">
        <f>_xll.BDP("09237RQR Muni","MATURITY")</f>
        <v>#N/A Requesting Data...</v>
      </c>
      <c r="L628">
        <v>400000</v>
      </c>
      <c r="M628" t="str">
        <f>_xll.BDP("09237RQR Muni","YIELD_ON_ISSUE_DATE")</f>
        <v>#N/A Requesting Data...</v>
      </c>
      <c r="N628" t="str">
        <f>_xll.BDP("09237RQR Muni","YTW_SPREAD_TO_MATURITY_AT_ISSU")</f>
        <v>#N/A Requesting Data...</v>
      </c>
      <c r="O628" t="str">
        <f>_xll.BDP("09237RQR Muni","BVAL_MID_YTM")</f>
        <v>#N/A Requesting Data...</v>
      </c>
      <c r="P628" t="str">
        <f>_xll.BDP("09237RQR Muni","MUNI_TAX_PROV")</f>
        <v>#N/A Requesting Data...</v>
      </c>
      <c r="Q628" t="str">
        <f>_xll.BDP("09237RQR Muni","MUNI_FED_TAX")</f>
        <v>#N/A Requesting Data...</v>
      </c>
      <c r="R628" t="str">
        <f>_xll.BDP("09237RQR Muni","MUNI_MSRB_VOLUME")</f>
        <v>#N/A Requesting Data...</v>
      </c>
      <c r="S628" t="str">
        <f>_xll.BDP("09237RQR Muni","BB_COMPOSITE")</f>
        <v>#N/A Requesting Data...</v>
      </c>
      <c r="T628" t="str">
        <f>_xll.BDP("09237RQR Muni","LQA_LIQUIDITY_SCORE")</f>
        <v>#N/A Requesting Data...</v>
      </c>
    </row>
    <row r="629" spans="1:20" x14ac:dyDescent="0.25">
      <c r="A629" t="str">
        <f>_xll.BDP("107727SM Muni","ID_CUSIP")</f>
        <v>#N/A Requesting Data...</v>
      </c>
      <c r="B629" t="s">
        <v>252</v>
      </c>
      <c r="C629" t="str">
        <f>_xll.BDP("107727SM Muni","INSURANCE_STATUS")</f>
        <v>#N/A Requesting Data...</v>
      </c>
      <c r="D629" t="str">
        <f>_xll.BDP("107727SM Muni","STATE_CODE")</f>
        <v>#N/A Requesting Data...</v>
      </c>
      <c r="E629" t="str">
        <f>_xll.BDP("107727SM Muni","COUNTY_LOCATION_ISSUER")</f>
        <v>#N/A Requesting Data...</v>
      </c>
      <c r="F629" t="str">
        <f>_xll.BDP("107727SM Muni","DUR_ADJ_MID")</f>
        <v>#N/A Requesting Data...</v>
      </c>
      <c r="G629" t="str">
        <f>_xll.BDP("107727SM Muni","SPREAD_AT_ISSUANCE_TO_WORST")</f>
        <v>#N/A Requesting Data...</v>
      </c>
      <c r="H629" t="str">
        <f>_xll.BDP("107727SM Muni","ISSUE_DT")</f>
        <v>#N/A Requesting Data...</v>
      </c>
      <c r="I629" t="str">
        <f>_xll.BDS("107727SM Muni","MUNI_PURPOSE_SCHED", "aggregate=y")</f>
        <v>#N/A Review</v>
      </c>
      <c r="J629" t="str">
        <f>_xll.BDP("107727SM Muni","CPN")</f>
        <v>#N/A Requesting Data...</v>
      </c>
      <c r="K629" t="str">
        <f>_xll.BDP("107727SM Muni","MATURITY")</f>
        <v>#N/A Requesting Data...</v>
      </c>
      <c r="L629">
        <v>365000</v>
      </c>
      <c r="M629" t="str">
        <f>_xll.BDP("107727SM Muni","YIELD_ON_ISSUE_DATE")</f>
        <v>#N/A Requesting Data...</v>
      </c>
      <c r="N629" t="str">
        <f>_xll.BDP("107727SM Muni","YTW_SPREAD_TO_MATURITY_AT_ISSU")</f>
        <v>#N/A Requesting Data...</v>
      </c>
      <c r="O629" t="str">
        <f>_xll.BDP("107727SM Muni","BVAL_MID_YTM")</f>
        <v>#N/A Requesting Data...</v>
      </c>
      <c r="P629" t="str">
        <f>_xll.BDP("107727SM Muni","MUNI_TAX_PROV")</f>
        <v>#N/A Requesting Data...</v>
      </c>
      <c r="Q629" t="str">
        <f>_xll.BDP("107727SM Muni","MUNI_FED_TAX")</f>
        <v>#N/A Requesting Data...</v>
      </c>
      <c r="R629" t="str">
        <f>_xll.BDP("107727SM Muni","MUNI_MSRB_VOLUME")</f>
        <v>#N/A Requesting Data...</v>
      </c>
      <c r="S629" t="str">
        <f>_xll.BDP("107727SM Muni","BB_COMPOSITE")</f>
        <v>#N/A Requesting Data...</v>
      </c>
      <c r="T629" t="str">
        <f>_xll.BDP("107727SM Muni","LQA_LIQUIDITY_SCORE")</f>
        <v>#N/A Requesting Data...</v>
      </c>
    </row>
    <row r="630" spans="1:20" x14ac:dyDescent="0.25">
      <c r="A630" t="str">
        <f>_xll.BDP("107727SN Muni","ID_CUSIP")</f>
        <v>#N/A Requesting Data...</v>
      </c>
      <c r="B630" t="s">
        <v>252</v>
      </c>
      <c r="C630" t="str">
        <f>_xll.BDP("107727SN Muni","INSURANCE_STATUS")</f>
        <v>#N/A Requesting Data...</v>
      </c>
      <c r="D630" t="str">
        <f>_xll.BDP("107727SN Muni","STATE_CODE")</f>
        <v>#N/A Requesting Data...</v>
      </c>
      <c r="E630" t="str">
        <f>_xll.BDP("107727SN Muni","COUNTY_LOCATION_ISSUER")</f>
        <v>#N/A Requesting Data...</v>
      </c>
      <c r="F630" t="str">
        <f>_xll.BDP("107727SN Muni","DUR_ADJ_MID")</f>
        <v>#N/A Requesting Data...</v>
      </c>
      <c r="G630" t="str">
        <f>_xll.BDP("107727SN Muni","SPREAD_AT_ISSUANCE_TO_WORST")</f>
        <v>#N/A Requesting Data...</v>
      </c>
      <c r="H630" t="str">
        <f>_xll.BDP("107727SN Muni","ISSUE_DT")</f>
        <v>#N/A Requesting Data...</v>
      </c>
      <c r="I630" t="str">
        <f>_xll.BDS("107727SN Muni","MUNI_PURPOSE_SCHED", "aggregate=y")</f>
        <v>#N/A Review</v>
      </c>
      <c r="J630" t="str">
        <f>_xll.BDP("107727SN Muni","CPN")</f>
        <v>#N/A Requesting Data...</v>
      </c>
      <c r="K630" t="str">
        <f>_xll.BDP("107727SN Muni","MATURITY")</f>
        <v>#N/A Requesting Data...</v>
      </c>
      <c r="L630">
        <v>365000</v>
      </c>
      <c r="M630" t="str">
        <f>_xll.BDP("107727SN Muni","YIELD_ON_ISSUE_DATE")</f>
        <v>#N/A Requesting Data...</v>
      </c>
      <c r="N630" t="str">
        <f>_xll.BDP("107727SN Muni","YTW_SPREAD_TO_MATURITY_AT_ISSU")</f>
        <v>#N/A Requesting Data...</v>
      </c>
      <c r="O630" t="str">
        <f>_xll.BDP("107727SN Muni","BVAL_MID_YTM")</f>
        <v>#N/A Requesting Data...</v>
      </c>
      <c r="P630" t="str">
        <f>_xll.BDP("107727SN Muni","MUNI_TAX_PROV")</f>
        <v>#N/A Requesting Data...</v>
      </c>
      <c r="Q630" t="str">
        <f>_xll.BDP("107727SN Muni","MUNI_FED_TAX")</f>
        <v>#N/A Requesting Data...</v>
      </c>
      <c r="R630" t="str">
        <f>_xll.BDP("107727SN Muni","MUNI_MSRB_VOLUME")</f>
        <v>#N/A Requesting Data...</v>
      </c>
      <c r="S630" t="str">
        <f>_xll.BDP("107727SN Muni","BB_COMPOSITE")</f>
        <v>#N/A Requesting Data...</v>
      </c>
      <c r="T630" t="str">
        <f>_xll.BDP("107727SN Muni","LQA_LIQUIDITY_SCORE")</f>
        <v>#N/A Requesting Data...</v>
      </c>
    </row>
    <row r="631" spans="1:20" x14ac:dyDescent="0.25">
      <c r="A631" t="str">
        <f>_xll.BDP("107727SP Muni","ID_CUSIP")</f>
        <v>#N/A Requesting Data...</v>
      </c>
      <c r="B631" t="s">
        <v>252</v>
      </c>
      <c r="C631" t="str">
        <f>_xll.BDP("107727SP Muni","INSURANCE_STATUS")</f>
        <v>#N/A Requesting Data...</v>
      </c>
      <c r="D631" t="str">
        <f>_xll.BDP("107727SP Muni","STATE_CODE")</f>
        <v>#N/A Requesting Data...</v>
      </c>
      <c r="E631" t="str">
        <f>_xll.BDP("107727SP Muni","COUNTY_LOCATION_ISSUER")</f>
        <v>#N/A Requesting Data...</v>
      </c>
      <c r="F631" t="str">
        <f>_xll.BDP("107727SP Muni","DUR_ADJ_MID")</f>
        <v>#N/A Requesting Data...</v>
      </c>
      <c r="G631" t="str">
        <f>_xll.BDP("107727SP Muni","SPREAD_AT_ISSUANCE_TO_WORST")</f>
        <v>#N/A Requesting Data...</v>
      </c>
      <c r="H631" t="str">
        <f>_xll.BDP("107727SP Muni","ISSUE_DT")</f>
        <v>#N/A Requesting Data...</v>
      </c>
      <c r="I631" t="str">
        <f>_xll.BDS("107727SP Muni","MUNI_PURPOSE_SCHED", "aggregate=y")</f>
        <v>#N/A Review</v>
      </c>
      <c r="J631" t="str">
        <f>_xll.BDP("107727SP Muni","CPN")</f>
        <v>#N/A Requesting Data...</v>
      </c>
      <c r="K631" t="str">
        <f>_xll.BDP("107727SP Muni","MATURITY")</f>
        <v>#N/A Requesting Data...</v>
      </c>
      <c r="L631">
        <v>360000</v>
      </c>
      <c r="M631" t="str">
        <f>_xll.BDP("107727SP Muni","YIELD_ON_ISSUE_DATE")</f>
        <v>#N/A Requesting Data...</v>
      </c>
      <c r="N631" t="str">
        <f>_xll.BDP("107727SP Muni","YTW_SPREAD_TO_MATURITY_AT_ISSU")</f>
        <v>#N/A Requesting Data...</v>
      </c>
      <c r="O631" t="str">
        <f>_xll.BDP("107727SP Muni","BVAL_MID_YTM")</f>
        <v>#N/A Requesting Data...</v>
      </c>
      <c r="P631" t="str">
        <f>_xll.BDP("107727SP Muni","MUNI_TAX_PROV")</f>
        <v>#N/A Requesting Data...</v>
      </c>
      <c r="Q631" t="str">
        <f>_xll.BDP("107727SP Muni","MUNI_FED_TAX")</f>
        <v>#N/A Requesting Data...</v>
      </c>
      <c r="R631" t="str">
        <f>_xll.BDP("107727SP Muni","MUNI_MSRB_VOLUME")</f>
        <v>#N/A Requesting Data...</v>
      </c>
      <c r="S631" t="str">
        <f>_xll.BDP("107727SP Muni","BB_COMPOSITE")</f>
        <v>#N/A Requesting Data...</v>
      </c>
      <c r="T631" t="str">
        <f>_xll.BDP("107727SP Muni","LQA_LIQUIDITY_SCORE")</f>
        <v>#N/A Requesting Data...</v>
      </c>
    </row>
    <row r="632" spans="1:20" x14ac:dyDescent="0.25">
      <c r="A632" t="str">
        <f>_xll.BDP("092472AG Muni","ID_CUSIP")</f>
        <v>#N/A Requesting Data...</v>
      </c>
      <c r="B632" t="s">
        <v>248</v>
      </c>
      <c r="C632" t="str">
        <f>_xll.BDP("092472AG Muni","INSURANCE_STATUS")</f>
        <v>#N/A Requesting Data...</v>
      </c>
      <c r="D632" t="str">
        <f>_xll.BDP("092472AG Muni","STATE_CODE")</f>
        <v>#N/A Requesting Data...</v>
      </c>
      <c r="E632" t="str">
        <f>_xll.BDP("092472AG Muni","COUNTY_LOCATION_ISSUER")</f>
        <v>#N/A Requesting Data...</v>
      </c>
      <c r="F632" t="str">
        <f>_xll.BDP("092472AG Muni","DUR_ADJ_MID")</f>
        <v>#N/A Requesting Data...</v>
      </c>
      <c r="G632" t="str">
        <f>_xll.BDP("092472AG Muni","SPREAD_AT_ISSUANCE_TO_WORST")</f>
        <v>#N/A Requesting Data...</v>
      </c>
      <c r="H632" t="str">
        <f>_xll.BDP("092472AG Muni","ISSUE_DT")</f>
        <v>#N/A Requesting Data...</v>
      </c>
      <c r="I632" t="str">
        <f>_xll.BDS("092472AG Muni","MUNI_PURPOSE_SCHED", "aggregate=y")</f>
        <v>#N/A Review</v>
      </c>
      <c r="J632" t="str">
        <f>_xll.BDP("092472AG Muni","CPN")</f>
        <v>#N/A Requesting Data...</v>
      </c>
      <c r="K632" t="str">
        <f>_xll.BDP("092472AG Muni","MATURITY")</f>
        <v>#N/A Requesting Data...</v>
      </c>
      <c r="L632">
        <v>70000</v>
      </c>
      <c r="M632" t="str">
        <f>_xll.BDP("092472AG Muni","YIELD_ON_ISSUE_DATE")</f>
        <v>#N/A Requesting Data...</v>
      </c>
      <c r="N632" t="str">
        <f>_xll.BDP("092472AG Muni","YTW_SPREAD_TO_MATURITY_AT_ISSU")</f>
        <v>#N/A Requesting Data...</v>
      </c>
      <c r="O632" t="str">
        <f>_xll.BDP("092472AG Muni","BVAL_MID_YTM")</f>
        <v>#N/A Requesting Data...</v>
      </c>
      <c r="P632" t="str">
        <f>_xll.BDP("092472AG Muni","MUNI_TAX_PROV")</f>
        <v>#N/A Requesting Data...</v>
      </c>
      <c r="Q632" t="str">
        <f>_xll.BDP("092472AG Muni","MUNI_FED_TAX")</f>
        <v>#N/A Requesting Data...</v>
      </c>
      <c r="R632" t="str">
        <f>_xll.BDP("092472AG Muni","MUNI_MSRB_VOLUME")</f>
        <v>#N/A Requesting Data...</v>
      </c>
      <c r="S632" t="str">
        <f>_xll.BDP("092472AG Muni","BB_COMPOSITE")</f>
        <v>#N/A Requesting Data...</v>
      </c>
      <c r="T632" t="str">
        <f>_xll.BDP("092472AG Muni","LQA_LIQUIDITY_SCORE")</f>
        <v>#N/A Requesting Data...</v>
      </c>
    </row>
    <row r="633" spans="1:20" x14ac:dyDescent="0.25">
      <c r="A633" t="str">
        <f>_xll.BDP("092472AK Muni","ID_CUSIP")</f>
        <v>#N/A Requesting Data...</v>
      </c>
      <c r="B633" t="s">
        <v>248</v>
      </c>
      <c r="C633" t="str">
        <f>_xll.BDP("092472AK Muni","INSURANCE_STATUS")</f>
        <v>#N/A Requesting Data...</v>
      </c>
      <c r="D633" t="str">
        <f>_xll.BDP("092472AK Muni","STATE_CODE")</f>
        <v>#N/A Requesting Data...</v>
      </c>
      <c r="E633" t="str">
        <f>_xll.BDP("092472AK Muni","COUNTY_LOCATION_ISSUER")</f>
        <v>#N/A Requesting Data...</v>
      </c>
      <c r="F633" t="str">
        <f>_xll.BDP("092472AK Muni","DUR_ADJ_MID")</f>
        <v>#N/A Requesting Data...</v>
      </c>
      <c r="G633" t="str">
        <f>_xll.BDP("092472AK Muni","SPREAD_AT_ISSUANCE_TO_WORST")</f>
        <v>#N/A Requesting Data...</v>
      </c>
      <c r="H633" t="str">
        <f>_xll.BDP("092472AK Muni","ISSUE_DT")</f>
        <v>#N/A Requesting Data...</v>
      </c>
      <c r="I633" t="str">
        <f>_xll.BDS("092472AK Muni","MUNI_PURPOSE_SCHED", "aggregate=y")</f>
        <v>#N/A Review</v>
      </c>
      <c r="J633" t="str">
        <f>_xll.BDP("092472AK Muni","CPN")</f>
        <v>#N/A Requesting Data...</v>
      </c>
      <c r="K633" t="str">
        <f>_xll.BDP("092472AK Muni","MATURITY")</f>
        <v>#N/A Requesting Data...</v>
      </c>
      <c r="L633">
        <v>70000</v>
      </c>
      <c r="M633" t="str">
        <f>_xll.BDP("092472AK Muni","YIELD_ON_ISSUE_DATE")</f>
        <v>#N/A Requesting Data...</v>
      </c>
      <c r="N633" t="str">
        <f>_xll.BDP("092472AK Muni","YTW_SPREAD_TO_MATURITY_AT_ISSU")</f>
        <v>#N/A Requesting Data...</v>
      </c>
      <c r="O633" t="str">
        <f>_xll.BDP("092472AK Muni","BVAL_MID_YTM")</f>
        <v>#N/A Requesting Data...</v>
      </c>
      <c r="P633" t="str">
        <f>_xll.BDP("092472AK Muni","MUNI_TAX_PROV")</f>
        <v>#N/A Requesting Data...</v>
      </c>
      <c r="Q633" t="str">
        <f>_xll.BDP("092472AK Muni","MUNI_FED_TAX")</f>
        <v>#N/A Requesting Data...</v>
      </c>
      <c r="R633" t="str">
        <f>_xll.BDP("092472AK Muni","MUNI_MSRB_VOLUME")</f>
        <v>#N/A Requesting Data...</v>
      </c>
      <c r="S633" t="str">
        <f>_xll.BDP("092472AK Muni","BB_COMPOSITE")</f>
        <v>#N/A Requesting Data...</v>
      </c>
      <c r="T633" t="str">
        <f>_xll.BDP("092472AK Muni","LQA_LIQUIDITY_SCORE")</f>
        <v>#N/A Requesting Data...</v>
      </c>
    </row>
    <row r="634" spans="1:20" x14ac:dyDescent="0.25">
      <c r="A634" t="str">
        <f>_xll.BDP("105025W4 Muni","ID_CUSIP")</f>
        <v>#N/A Requesting Data...</v>
      </c>
      <c r="B634" t="s">
        <v>73</v>
      </c>
      <c r="C634" t="str">
        <f>_xll.BDP("105025W4 Muni","INSURANCE_STATUS")</f>
        <v>#N/A Requesting Data...</v>
      </c>
      <c r="D634" t="str">
        <f>_xll.BDP("105025W4 Muni","STATE_CODE")</f>
        <v>#N/A Requesting Data...</v>
      </c>
      <c r="E634" t="str">
        <f>_xll.BDP("105025W4 Muni","COUNTY_LOCATION_ISSUER")</f>
        <v>#N/A Requesting Data...</v>
      </c>
      <c r="F634" t="str">
        <f>_xll.BDP("105025W4 Muni","DUR_ADJ_MID")</f>
        <v>#N/A Requesting Data...</v>
      </c>
      <c r="G634" t="str">
        <f>_xll.BDP("105025W4 Muni","SPREAD_AT_ISSUANCE_TO_WORST")</f>
        <v>#N/A Requesting Data...</v>
      </c>
      <c r="H634" t="str">
        <f>_xll.BDP("105025W4 Muni","ISSUE_DT")</f>
        <v>#N/A Requesting Data...</v>
      </c>
      <c r="I634" t="str">
        <f>_xll.BDS("105025W4 Muni","MUNI_PURPOSE_SCHED", "aggregate=y")</f>
        <v>#N/A Review</v>
      </c>
      <c r="J634" t="str">
        <f>_xll.BDP("105025W4 Muni","CPN")</f>
        <v>#N/A Requesting Data...</v>
      </c>
      <c r="K634" t="str">
        <f>_xll.BDP("105025W4 Muni","MATURITY")</f>
        <v>#N/A Requesting Data...</v>
      </c>
      <c r="L634">
        <v>285000</v>
      </c>
      <c r="M634" t="str">
        <f>_xll.BDP("105025W4 Muni","YIELD_ON_ISSUE_DATE")</f>
        <v>#N/A Requesting Data...</v>
      </c>
      <c r="N634" t="str">
        <f>_xll.BDP("105025W4 Muni","YTW_SPREAD_TO_MATURITY_AT_ISSU")</f>
        <v>#N/A Requesting Data...</v>
      </c>
      <c r="O634" t="str">
        <f>_xll.BDP("105025W4 Muni","BVAL_MID_YTM")</f>
        <v>#N/A Requesting Data...</v>
      </c>
      <c r="P634" t="str">
        <f>_xll.BDP("105025W4 Muni","MUNI_TAX_PROV")</f>
        <v>#N/A Requesting Data...</v>
      </c>
      <c r="Q634" t="str">
        <f>_xll.BDP("105025W4 Muni","MUNI_FED_TAX")</f>
        <v>#N/A Requesting Data...</v>
      </c>
      <c r="R634" t="str">
        <f>_xll.BDP("105025W4 Muni","MUNI_MSRB_VOLUME")</f>
        <v>#N/A Requesting Data...</v>
      </c>
      <c r="S634" t="str">
        <f>_xll.BDP("105025W4 Muni","BB_COMPOSITE")</f>
        <v>#N/A Requesting Data...</v>
      </c>
      <c r="T634" t="str">
        <f>_xll.BDP("105025W4 Muni","LQA_LIQUIDITY_SCORE")</f>
        <v>#N/A Requesting Data...</v>
      </c>
    </row>
    <row r="635" spans="1:20" x14ac:dyDescent="0.25">
      <c r="A635" t="str">
        <f>_xll.BDP("106059LE Muni","ID_CUSIP")</f>
        <v>#N/A Requesting Data...</v>
      </c>
      <c r="B635" t="s">
        <v>249</v>
      </c>
      <c r="C635" t="str">
        <f>_xll.BDP("106059LE Muni","INSURANCE_STATUS")</f>
        <v>#N/A Requesting Data...</v>
      </c>
      <c r="D635" t="str">
        <f>_xll.BDP("106059LE Muni","STATE_CODE")</f>
        <v>#N/A Requesting Data...</v>
      </c>
      <c r="E635" t="str">
        <f>_xll.BDP("106059LE Muni","COUNTY_LOCATION_ISSUER")</f>
        <v>#N/A Requesting Data...</v>
      </c>
      <c r="F635" t="str">
        <f>_xll.BDP("106059LE Muni","DUR_ADJ_MID")</f>
        <v>#N/A Requesting Data...</v>
      </c>
      <c r="G635" t="str">
        <f>_xll.BDP("106059LE Muni","SPREAD_AT_ISSUANCE_TO_WORST")</f>
        <v>#N/A Requesting Data...</v>
      </c>
      <c r="H635" t="str">
        <f>_xll.BDP("106059LE Muni","ISSUE_DT")</f>
        <v>#N/A Requesting Data...</v>
      </c>
      <c r="I635" t="str">
        <f>_xll.BDS("106059LE Muni","MUNI_PURPOSE_SCHED", "aggregate=y")</f>
        <v>#N/A Review</v>
      </c>
      <c r="J635" t="str">
        <f>_xll.BDP("106059LE Muni","CPN")</f>
        <v>#N/A Requesting Data...</v>
      </c>
      <c r="K635" t="str">
        <f>_xll.BDP("106059LE Muni","MATURITY")</f>
        <v>#N/A Requesting Data...</v>
      </c>
      <c r="L635">
        <v>115000</v>
      </c>
      <c r="M635" t="str">
        <f>_xll.BDP("106059LE Muni","YIELD_ON_ISSUE_DATE")</f>
        <v>#N/A Requesting Data...</v>
      </c>
      <c r="N635" t="str">
        <f>_xll.BDP("106059LE Muni","YTW_SPREAD_TO_MATURITY_AT_ISSU")</f>
        <v>#N/A Requesting Data...</v>
      </c>
      <c r="O635" t="str">
        <f>_xll.BDP("106059LE Muni","BVAL_MID_YTM")</f>
        <v>#N/A Requesting Data...</v>
      </c>
      <c r="P635" t="str">
        <f>_xll.BDP("106059LE Muni","MUNI_TAX_PROV")</f>
        <v>#N/A Requesting Data...</v>
      </c>
      <c r="Q635" t="str">
        <f>_xll.BDP("106059LE Muni","MUNI_FED_TAX")</f>
        <v>#N/A Requesting Data...</v>
      </c>
      <c r="R635" t="str">
        <f>_xll.BDP("106059LE Muni","MUNI_MSRB_VOLUME")</f>
        <v>#N/A Requesting Data...</v>
      </c>
      <c r="S635" t="str">
        <f>_xll.BDP("106059LE Muni","BB_COMPOSITE")</f>
        <v>#N/A Requesting Data...</v>
      </c>
      <c r="T635" t="str">
        <f>_xll.BDP("106059LE Muni","LQA_LIQUIDITY_SCORE")</f>
        <v>#N/A Requesting Data...</v>
      </c>
    </row>
    <row r="636" spans="1:20" x14ac:dyDescent="0.25">
      <c r="A636" t="str">
        <f>_xll.BDP("106059LG Muni","ID_CUSIP")</f>
        <v>#N/A Requesting Data...</v>
      </c>
      <c r="B636" t="s">
        <v>249</v>
      </c>
      <c r="C636" t="str">
        <f>_xll.BDP("106059LG Muni","INSURANCE_STATUS")</f>
        <v>#N/A Requesting Data...</v>
      </c>
      <c r="D636" t="str">
        <f>_xll.BDP("106059LG Muni","STATE_CODE")</f>
        <v>#N/A Requesting Data...</v>
      </c>
      <c r="E636" t="str">
        <f>_xll.BDP("106059LG Muni","COUNTY_LOCATION_ISSUER")</f>
        <v>#N/A Requesting Data...</v>
      </c>
      <c r="F636" t="str">
        <f>_xll.BDP("106059LG Muni","DUR_ADJ_MID")</f>
        <v>#N/A Requesting Data...</v>
      </c>
      <c r="G636" t="str">
        <f>_xll.BDP("106059LG Muni","SPREAD_AT_ISSUANCE_TO_WORST")</f>
        <v>#N/A Requesting Data...</v>
      </c>
      <c r="H636" t="str">
        <f>_xll.BDP("106059LG Muni","ISSUE_DT")</f>
        <v>#N/A Requesting Data...</v>
      </c>
      <c r="I636" t="str">
        <f>_xll.BDS("106059LG Muni","MUNI_PURPOSE_SCHED", "aggregate=y")</f>
        <v>#N/A Review</v>
      </c>
      <c r="J636" t="str">
        <f>_xll.BDP("106059LG Muni","CPN")</f>
        <v>#N/A Requesting Data...</v>
      </c>
      <c r="K636" t="str">
        <f>_xll.BDP("106059LG Muni","MATURITY")</f>
        <v>#N/A Requesting Data...</v>
      </c>
      <c r="L636">
        <v>125000</v>
      </c>
      <c r="M636" t="str">
        <f>_xll.BDP("106059LG Muni","YIELD_ON_ISSUE_DATE")</f>
        <v>#N/A Requesting Data...</v>
      </c>
      <c r="N636" t="str">
        <f>_xll.BDP("106059LG Muni","YTW_SPREAD_TO_MATURITY_AT_ISSU")</f>
        <v>#N/A Requesting Data...</v>
      </c>
      <c r="O636" t="str">
        <f>_xll.BDP("106059LG Muni","BVAL_MID_YTM")</f>
        <v>#N/A Requesting Data...</v>
      </c>
      <c r="P636" t="str">
        <f>_xll.BDP("106059LG Muni","MUNI_TAX_PROV")</f>
        <v>#N/A Requesting Data...</v>
      </c>
      <c r="Q636" t="str">
        <f>_xll.BDP("106059LG Muni","MUNI_FED_TAX")</f>
        <v>#N/A Requesting Data...</v>
      </c>
      <c r="R636" t="str">
        <f>_xll.BDP("106059LG Muni","MUNI_MSRB_VOLUME")</f>
        <v>#N/A Requesting Data...</v>
      </c>
      <c r="S636" t="str">
        <f>_xll.BDP("106059LG Muni","BB_COMPOSITE")</f>
        <v>#N/A Requesting Data...</v>
      </c>
      <c r="T636" t="str">
        <f>_xll.BDP("106059LG Muni","LQA_LIQUIDITY_SCORE")</f>
        <v>#N/A Requesting Data...</v>
      </c>
    </row>
    <row r="637" spans="1:20" x14ac:dyDescent="0.25">
      <c r="A637" t="str">
        <f>_xll.BDP("10606PGG Muni","ID_CUSIP")</f>
        <v>#N/A Requesting Data...</v>
      </c>
      <c r="B637" t="s">
        <v>253</v>
      </c>
      <c r="C637" t="str">
        <f>_xll.BDP("10606PGG Muni","INSURANCE_STATUS")</f>
        <v>#N/A Requesting Data...</v>
      </c>
      <c r="D637" t="str">
        <f>_xll.BDP("10606PGG Muni","STATE_CODE")</f>
        <v>#N/A Requesting Data...</v>
      </c>
      <c r="E637" t="str">
        <f>_xll.BDP("10606PGG Muni","COUNTY_LOCATION_ISSUER")</f>
        <v>#N/A Requesting Data...</v>
      </c>
      <c r="F637" t="str">
        <f>_xll.BDP("10606PGG Muni","DUR_ADJ_MID")</f>
        <v>#N/A Requesting Data...</v>
      </c>
      <c r="G637" t="str">
        <f>_xll.BDP("10606PGG Muni","SPREAD_AT_ISSUANCE_TO_WORST")</f>
        <v>#N/A Requesting Data...</v>
      </c>
      <c r="H637" t="str">
        <f>_xll.BDP("10606PGG Muni","ISSUE_DT")</f>
        <v>#N/A Requesting Data...</v>
      </c>
      <c r="I637" t="str">
        <f>_xll.BDS("10606PGG Muni","MUNI_PURPOSE_SCHED", "aggregate=y")</f>
        <v>#N/A Review</v>
      </c>
      <c r="J637" t="str">
        <f>_xll.BDP("10606PGG Muni","CPN")</f>
        <v>#N/A Requesting Data...</v>
      </c>
      <c r="K637" t="str">
        <f>_xll.BDP("10606PGG Muni","MATURITY")</f>
        <v>#N/A Requesting Data...</v>
      </c>
      <c r="L637">
        <v>330000</v>
      </c>
      <c r="M637" t="str">
        <f>_xll.BDP("10606PGG Muni","YIELD_ON_ISSUE_DATE")</f>
        <v>#N/A Requesting Data...</v>
      </c>
      <c r="N637" t="str">
        <f>_xll.BDP("10606PGG Muni","YTW_SPREAD_TO_MATURITY_AT_ISSU")</f>
        <v>#N/A Requesting Data...</v>
      </c>
      <c r="O637" t="str">
        <f>_xll.BDP("10606PGG Muni","BVAL_MID_YTM")</f>
        <v>#N/A Requesting Data...</v>
      </c>
      <c r="P637" t="str">
        <f>_xll.BDP("10606PGG Muni","MUNI_TAX_PROV")</f>
        <v>#N/A Requesting Data...</v>
      </c>
      <c r="Q637" t="str">
        <f>_xll.BDP("10606PGG Muni","MUNI_FED_TAX")</f>
        <v>#N/A Requesting Data...</v>
      </c>
      <c r="R637" t="str">
        <f>_xll.BDP("10606PGG Muni","MUNI_MSRB_VOLUME")</f>
        <v>#N/A Requesting Data...</v>
      </c>
      <c r="S637" t="str">
        <f>_xll.BDP("10606PGG Muni","BB_COMPOSITE")</f>
        <v>#N/A Requesting Data...</v>
      </c>
      <c r="T637" t="str">
        <f>_xll.BDP("10606PGG Muni","LQA_LIQUIDITY_SCORE")</f>
        <v>#N/A Requesting Data...</v>
      </c>
    </row>
    <row r="638" spans="1:20" x14ac:dyDescent="0.25">
      <c r="A638" t="str">
        <f>_xll.BDP("10606PGH Muni","ID_CUSIP")</f>
        <v>#N/A Requesting Data...</v>
      </c>
      <c r="B638" t="s">
        <v>253</v>
      </c>
      <c r="C638" t="str">
        <f>_xll.BDP("10606PGH Muni","INSURANCE_STATUS")</f>
        <v>#N/A Requesting Data...</v>
      </c>
      <c r="D638" t="str">
        <f>_xll.BDP("10606PGH Muni","STATE_CODE")</f>
        <v>#N/A Requesting Data...</v>
      </c>
      <c r="E638" t="str">
        <f>_xll.BDP("10606PGH Muni","COUNTY_LOCATION_ISSUER")</f>
        <v>#N/A Requesting Data...</v>
      </c>
      <c r="F638" t="str">
        <f>_xll.BDP("10606PGH Muni","DUR_ADJ_MID")</f>
        <v>#N/A Requesting Data...</v>
      </c>
      <c r="G638" t="str">
        <f>_xll.BDP("10606PGH Muni","SPREAD_AT_ISSUANCE_TO_WORST")</f>
        <v>#N/A Requesting Data...</v>
      </c>
      <c r="H638" t="str">
        <f>_xll.BDP("10606PGH Muni","ISSUE_DT")</f>
        <v>#N/A Requesting Data...</v>
      </c>
      <c r="I638" t="str">
        <f>_xll.BDS("10606PGH Muni","MUNI_PURPOSE_SCHED", "aggregate=y")</f>
        <v>#N/A Review</v>
      </c>
      <c r="J638" t="str">
        <f>_xll.BDP("10606PGH Muni","CPN")</f>
        <v>#N/A Requesting Data...</v>
      </c>
      <c r="K638" t="str">
        <f>_xll.BDP("10606PGH Muni","MATURITY")</f>
        <v>#N/A Requesting Data...</v>
      </c>
      <c r="L638">
        <v>350000</v>
      </c>
      <c r="M638" t="str">
        <f>_xll.BDP("10606PGH Muni","YIELD_ON_ISSUE_DATE")</f>
        <v>#N/A Requesting Data...</v>
      </c>
      <c r="N638" t="str">
        <f>_xll.BDP("10606PGH Muni","YTW_SPREAD_TO_MATURITY_AT_ISSU")</f>
        <v>#N/A Requesting Data...</v>
      </c>
      <c r="O638" t="str">
        <f>_xll.BDP("10606PGH Muni","BVAL_MID_YTM")</f>
        <v>#N/A Requesting Data...</v>
      </c>
      <c r="P638" t="str">
        <f>_xll.BDP("10606PGH Muni","MUNI_TAX_PROV")</f>
        <v>#N/A Requesting Data...</v>
      </c>
      <c r="Q638" t="str">
        <f>_xll.BDP("10606PGH Muni","MUNI_FED_TAX")</f>
        <v>#N/A Requesting Data...</v>
      </c>
      <c r="R638" t="str">
        <f>_xll.BDP("10606PGH Muni","MUNI_MSRB_VOLUME")</f>
        <v>#N/A Requesting Data...</v>
      </c>
      <c r="S638" t="str">
        <f>_xll.BDP("10606PGH Muni","BB_COMPOSITE")</f>
        <v>#N/A Requesting Data...</v>
      </c>
      <c r="T638" t="str">
        <f>_xll.BDP("10606PGH Muni","LQA_LIQUIDITY_SCORE")</f>
        <v>#N/A Requesting Data...</v>
      </c>
    </row>
    <row r="639" spans="1:20" x14ac:dyDescent="0.25">
      <c r="A639" t="str">
        <f>_xll.BDP("10606RJB Muni","ID_CUSIP")</f>
        <v>#N/A Requesting Data...</v>
      </c>
      <c r="B639" t="s">
        <v>254</v>
      </c>
      <c r="C639" t="str">
        <f>_xll.BDP("10606RJB Muni","INSURANCE_STATUS")</f>
        <v>#N/A Requesting Data...</v>
      </c>
      <c r="D639" t="str">
        <f>_xll.BDP("10606RJB Muni","STATE_CODE")</f>
        <v>#N/A Requesting Data...</v>
      </c>
      <c r="E639" t="str">
        <f>_xll.BDP("10606RJB Muni","COUNTY_LOCATION_ISSUER")</f>
        <v>#N/A Requesting Data...</v>
      </c>
      <c r="F639" t="str">
        <f>_xll.BDP("10606RJB Muni","DUR_ADJ_MID")</f>
        <v>#N/A Requesting Data...</v>
      </c>
      <c r="G639" t="str">
        <f>_xll.BDP("10606RJB Muni","SPREAD_AT_ISSUANCE_TO_WORST")</f>
        <v>#N/A Requesting Data...</v>
      </c>
      <c r="H639" t="str">
        <f>_xll.BDP("10606RJB Muni","ISSUE_DT")</f>
        <v>#N/A Requesting Data...</v>
      </c>
      <c r="I639" t="str">
        <f>_xll.BDS("10606RJB Muni","MUNI_PURPOSE_SCHED", "aggregate=y")</f>
        <v>#N/A Review</v>
      </c>
      <c r="J639" t="str">
        <f>_xll.BDP("10606RJB Muni","CPN")</f>
        <v>#N/A Requesting Data...</v>
      </c>
      <c r="K639" t="str">
        <f>_xll.BDP("10606RJB Muni","MATURITY")</f>
        <v>#N/A Requesting Data...</v>
      </c>
      <c r="L639">
        <v>230000</v>
      </c>
      <c r="M639" t="str">
        <f>_xll.BDP("10606RJB Muni","YIELD_ON_ISSUE_DATE")</f>
        <v>#N/A Requesting Data...</v>
      </c>
      <c r="N639" t="str">
        <f>_xll.BDP("10606RJB Muni","YTW_SPREAD_TO_MATURITY_AT_ISSU")</f>
        <v>#N/A Requesting Data...</v>
      </c>
      <c r="O639" t="str">
        <f>_xll.BDP("10606RJB Muni","BVAL_MID_YTM")</f>
        <v>#N/A Requesting Data...</v>
      </c>
      <c r="P639" t="str">
        <f>_xll.BDP("10606RJB Muni","MUNI_TAX_PROV")</f>
        <v>#N/A Requesting Data...</v>
      </c>
      <c r="Q639" t="str">
        <f>_xll.BDP("10606RJB Muni","MUNI_FED_TAX")</f>
        <v>#N/A Requesting Data...</v>
      </c>
      <c r="R639" t="str">
        <f>_xll.BDP("10606RJB Muni","MUNI_MSRB_VOLUME")</f>
        <v>#N/A Requesting Data...</v>
      </c>
      <c r="S639" t="str">
        <f>_xll.BDP("10606RJB Muni","BB_COMPOSITE")</f>
        <v>#N/A Requesting Data...</v>
      </c>
      <c r="T639" t="str">
        <f>_xll.BDP("10606RJB Muni","LQA_LIQUIDITY_SCORE")</f>
        <v>#N/A Requesting Data...</v>
      </c>
    </row>
    <row r="640" spans="1:20" x14ac:dyDescent="0.25">
      <c r="A640" t="str">
        <f>_xll.BDP("10606RJC Muni","ID_CUSIP")</f>
        <v>#N/A Requesting Data...</v>
      </c>
      <c r="B640" t="s">
        <v>254</v>
      </c>
      <c r="C640" t="str">
        <f>_xll.BDP("10606RJC Muni","INSURANCE_STATUS")</f>
        <v>#N/A Requesting Data...</v>
      </c>
      <c r="D640" t="str">
        <f>_xll.BDP("10606RJC Muni","STATE_CODE")</f>
        <v>#N/A Requesting Data...</v>
      </c>
      <c r="E640" t="str">
        <f>_xll.BDP("10606RJC Muni","COUNTY_LOCATION_ISSUER")</f>
        <v>#N/A Requesting Data...</v>
      </c>
      <c r="F640" t="str">
        <f>_xll.BDP("10606RJC Muni","DUR_ADJ_MID")</f>
        <v>#N/A Requesting Data...</v>
      </c>
      <c r="G640" t="str">
        <f>_xll.BDP("10606RJC Muni","SPREAD_AT_ISSUANCE_TO_WORST")</f>
        <v>#N/A Requesting Data...</v>
      </c>
      <c r="H640" t="str">
        <f>_xll.BDP("10606RJC Muni","ISSUE_DT")</f>
        <v>#N/A Requesting Data...</v>
      </c>
      <c r="I640" t="str">
        <f>_xll.BDS("10606RJC Muni","MUNI_PURPOSE_SCHED", "aggregate=y")</f>
        <v>#N/A Review</v>
      </c>
      <c r="J640" t="str">
        <f>_xll.BDP("10606RJC Muni","CPN")</f>
        <v>#N/A Requesting Data...</v>
      </c>
      <c r="K640" t="str">
        <f>_xll.BDP("10606RJC Muni","MATURITY")</f>
        <v>#N/A Requesting Data...</v>
      </c>
      <c r="L640">
        <v>240000</v>
      </c>
      <c r="M640" t="str">
        <f>_xll.BDP("10606RJC Muni","YIELD_ON_ISSUE_DATE")</f>
        <v>#N/A Requesting Data...</v>
      </c>
      <c r="N640" t="str">
        <f>_xll.BDP("10606RJC Muni","YTW_SPREAD_TO_MATURITY_AT_ISSU")</f>
        <v>#N/A Requesting Data...</v>
      </c>
      <c r="O640" t="str">
        <f>_xll.BDP("10606RJC Muni","BVAL_MID_YTM")</f>
        <v>#N/A Requesting Data...</v>
      </c>
      <c r="P640" t="str">
        <f>_xll.BDP("10606RJC Muni","MUNI_TAX_PROV")</f>
        <v>#N/A Requesting Data...</v>
      </c>
      <c r="Q640" t="str">
        <f>_xll.BDP("10606RJC Muni","MUNI_FED_TAX")</f>
        <v>#N/A Requesting Data...</v>
      </c>
      <c r="R640" t="str">
        <f>_xll.BDP("10606RJC Muni","MUNI_MSRB_VOLUME")</f>
        <v>#N/A Requesting Data...</v>
      </c>
      <c r="S640" t="str">
        <f>_xll.BDP("10606RJC Muni","BB_COMPOSITE")</f>
        <v>#N/A Requesting Data...</v>
      </c>
      <c r="T640" t="str">
        <f>_xll.BDP("10606RJC Muni","LQA_LIQUIDITY_SCORE")</f>
        <v>#N/A Requesting Data...</v>
      </c>
    </row>
    <row r="641" spans="1:20" x14ac:dyDescent="0.25">
      <c r="A641" t="str">
        <f>_xll.BDP("121385ZV Muni","ID_CUSIP")</f>
        <v>#N/A Requesting Data...</v>
      </c>
      <c r="B641" t="s">
        <v>255</v>
      </c>
      <c r="C641" t="str">
        <f>_xll.BDP("121385ZV Muni","INSURANCE_STATUS")</f>
        <v>#N/A Requesting Data...</v>
      </c>
      <c r="D641" t="str">
        <f>_xll.BDP("121385ZV Muni","STATE_CODE")</f>
        <v>#N/A Requesting Data...</v>
      </c>
      <c r="E641" t="str">
        <f>_xll.BDP("121385ZV Muni","COUNTY_LOCATION_ISSUER")</f>
        <v>#N/A Requesting Data...</v>
      </c>
      <c r="F641" t="str">
        <f>_xll.BDP("121385ZV Muni","DUR_ADJ_MID")</f>
        <v>#N/A Requesting Data...</v>
      </c>
      <c r="G641" t="str">
        <f>_xll.BDP("121385ZV Muni","SPREAD_AT_ISSUANCE_TO_WORST")</f>
        <v>#N/A Requesting Data...</v>
      </c>
      <c r="H641" t="str">
        <f>_xll.BDP("121385ZV Muni","ISSUE_DT")</f>
        <v>#N/A Requesting Data...</v>
      </c>
      <c r="I641" t="str">
        <f>_xll.BDS("121385ZV Muni","MUNI_PURPOSE_SCHED", "aggregate=y")</f>
        <v>#N/A Review</v>
      </c>
      <c r="J641" t="str">
        <f>_xll.BDP("121385ZV Muni","CPN")</f>
        <v>#N/A Requesting Data...</v>
      </c>
      <c r="K641" t="str">
        <f>_xll.BDP("121385ZV Muni","MATURITY")</f>
        <v>#N/A Requesting Data...</v>
      </c>
      <c r="L641">
        <v>405000</v>
      </c>
      <c r="M641" t="str">
        <f>_xll.BDP("121385ZV Muni","YIELD_ON_ISSUE_DATE")</f>
        <v>#N/A Requesting Data...</v>
      </c>
      <c r="N641" t="str">
        <f>_xll.BDP("121385ZV Muni","YTW_SPREAD_TO_MATURITY_AT_ISSU")</f>
        <v>#N/A Requesting Data...</v>
      </c>
      <c r="O641" t="str">
        <f>_xll.BDP("121385ZV Muni","BVAL_MID_YTM")</f>
        <v>#N/A Requesting Data...</v>
      </c>
      <c r="P641" t="str">
        <f>_xll.BDP("121385ZV Muni","MUNI_TAX_PROV")</f>
        <v>#N/A Requesting Data...</v>
      </c>
      <c r="Q641" t="str">
        <f>_xll.BDP("121385ZV Muni","MUNI_FED_TAX")</f>
        <v>#N/A Requesting Data...</v>
      </c>
      <c r="R641" t="str">
        <f>_xll.BDP("121385ZV Muni","MUNI_MSRB_VOLUME")</f>
        <v>#N/A Requesting Data...</v>
      </c>
      <c r="S641" t="str">
        <f>_xll.BDP("121385ZV Muni","BB_COMPOSITE")</f>
        <v>#N/A Requesting Data...</v>
      </c>
      <c r="T641" t="str">
        <f>_xll.BDP("121385ZV Muni","LQA_LIQUIDITY_SCORE")</f>
        <v>#N/A Requesting Data...</v>
      </c>
    </row>
    <row r="642" spans="1:20" x14ac:dyDescent="0.25">
      <c r="A642" t="str">
        <f>_xll.BDP("121385ZW Muni","ID_CUSIP")</f>
        <v>#N/A Requesting Data...</v>
      </c>
      <c r="B642" t="s">
        <v>255</v>
      </c>
      <c r="C642" t="str">
        <f>_xll.BDP("121385ZW Muni","INSURANCE_STATUS")</f>
        <v>#N/A Requesting Data...</v>
      </c>
      <c r="D642" t="str">
        <f>_xll.BDP("121385ZW Muni","STATE_CODE")</f>
        <v>#N/A Requesting Data...</v>
      </c>
      <c r="E642" t="str">
        <f>_xll.BDP("121385ZW Muni","COUNTY_LOCATION_ISSUER")</f>
        <v>#N/A Requesting Data...</v>
      </c>
      <c r="F642" t="str">
        <f>_xll.BDP("121385ZW Muni","DUR_ADJ_MID")</f>
        <v>#N/A Requesting Data...</v>
      </c>
      <c r="G642" t="str">
        <f>_xll.BDP("121385ZW Muni","SPREAD_AT_ISSUANCE_TO_WORST")</f>
        <v>#N/A Requesting Data...</v>
      </c>
      <c r="H642" t="str">
        <f>_xll.BDP("121385ZW Muni","ISSUE_DT")</f>
        <v>#N/A Requesting Data...</v>
      </c>
      <c r="I642" t="str">
        <f>_xll.BDS("121385ZW Muni","MUNI_PURPOSE_SCHED", "aggregate=y")</f>
        <v>#N/A Review</v>
      </c>
      <c r="J642" t="str">
        <f>_xll.BDP("121385ZW Muni","CPN")</f>
        <v>#N/A Requesting Data...</v>
      </c>
      <c r="K642" t="str">
        <f>_xll.BDP("121385ZW Muni","MATURITY")</f>
        <v>#N/A Requesting Data...</v>
      </c>
      <c r="L642">
        <v>415000</v>
      </c>
      <c r="M642" t="str">
        <f>_xll.BDP("121385ZW Muni","YIELD_ON_ISSUE_DATE")</f>
        <v>#N/A Requesting Data...</v>
      </c>
      <c r="N642" t="str">
        <f>_xll.BDP("121385ZW Muni","YTW_SPREAD_TO_MATURITY_AT_ISSU")</f>
        <v>#N/A Requesting Data...</v>
      </c>
      <c r="O642" t="str">
        <f>_xll.BDP("121385ZW Muni","BVAL_MID_YTM")</f>
        <v>#N/A Requesting Data...</v>
      </c>
      <c r="P642" t="str">
        <f>_xll.BDP("121385ZW Muni","MUNI_TAX_PROV")</f>
        <v>#N/A Requesting Data...</v>
      </c>
      <c r="Q642" t="str">
        <f>_xll.BDP("121385ZW Muni","MUNI_FED_TAX")</f>
        <v>#N/A Requesting Data...</v>
      </c>
      <c r="R642" t="str">
        <f>_xll.BDP("121385ZW Muni","MUNI_MSRB_VOLUME")</f>
        <v>#N/A Requesting Data...</v>
      </c>
      <c r="S642" t="str">
        <f>_xll.BDP("121385ZW Muni","BB_COMPOSITE")</f>
        <v>#N/A Requesting Data...</v>
      </c>
      <c r="T642" t="str">
        <f>_xll.BDP("121385ZW Muni","LQA_LIQUIDITY_SCORE")</f>
        <v>#N/A Requesting Data...</v>
      </c>
    </row>
    <row r="643" spans="1:20" x14ac:dyDescent="0.25">
      <c r="A643" t="str">
        <f>_xll.BDP("121385ZX Muni","ID_CUSIP")</f>
        <v>#N/A Requesting Data...</v>
      </c>
      <c r="B643" t="s">
        <v>255</v>
      </c>
      <c r="C643" t="str">
        <f>_xll.BDP("121385ZX Muni","INSURANCE_STATUS")</f>
        <v>#N/A Requesting Data...</v>
      </c>
      <c r="D643" t="str">
        <f>_xll.BDP("121385ZX Muni","STATE_CODE")</f>
        <v>#N/A Requesting Data...</v>
      </c>
      <c r="E643" t="str">
        <f>_xll.BDP("121385ZX Muni","COUNTY_LOCATION_ISSUER")</f>
        <v>#N/A Requesting Data...</v>
      </c>
      <c r="F643" t="str">
        <f>_xll.BDP("121385ZX Muni","DUR_ADJ_MID")</f>
        <v>#N/A Requesting Data...</v>
      </c>
      <c r="G643" t="str">
        <f>_xll.BDP("121385ZX Muni","SPREAD_AT_ISSUANCE_TO_WORST")</f>
        <v>#N/A Requesting Data...</v>
      </c>
      <c r="H643" t="str">
        <f>_xll.BDP("121385ZX Muni","ISSUE_DT")</f>
        <v>#N/A Requesting Data...</v>
      </c>
      <c r="I643" t="str">
        <f>_xll.BDS("121385ZX Muni","MUNI_PURPOSE_SCHED", "aggregate=y")</f>
        <v>#N/A Review</v>
      </c>
      <c r="J643" t="str">
        <f>_xll.BDP("121385ZX Muni","CPN")</f>
        <v>#N/A Requesting Data...</v>
      </c>
      <c r="K643" t="str">
        <f>_xll.BDP("121385ZX Muni","MATURITY")</f>
        <v>#N/A Requesting Data...</v>
      </c>
      <c r="L643">
        <v>440000</v>
      </c>
      <c r="M643" t="str">
        <f>_xll.BDP("121385ZX Muni","YIELD_ON_ISSUE_DATE")</f>
        <v>#N/A Requesting Data...</v>
      </c>
      <c r="N643" t="str">
        <f>_xll.BDP("121385ZX Muni","YTW_SPREAD_TO_MATURITY_AT_ISSU")</f>
        <v>#N/A Requesting Data...</v>
      </c>
      <c r="O643" t="str">
        <f>_xll.BDP("121385ZX Muni","BVAL_MID_YTM")</f>
        <v>#N/A Requesting Data...</v>
      </c>
      <c r="P643" t="str">
        <f>_xll.BDP("121385ZX Muni","MUNI_TAX_PROV")</f>
        <v>#N/A Requesting Data...</v>
      </c>
      <c r="Q643" t="str">
        <f>_xll.BDP("121385ZX Muni","MUNI_FED_TAX")</f>
        <v>#N/A Requesting Data...</v>
      </c>
      <c r="R643" t="str">
        <f>_xll.BDP("121385ZX Muni","MUNI_MSRB_VOLUME")</f>
        <v>#N/A Requesting Data...</v>
      </c>
      <c r="S643" t="str">
        <f>_xll.BDP("121385ZX Muni","BB_COMPOSITE")</f>
        <v>#N/A Requesting Data...</v>
      </c>
      <c r="T643" t="str">
        <f>_xll.BDP("121385ZX Muni","LQA_LIQUIDITY_SCORE")</f>
        <v>#N/A Requesting Data...</v>
      </c>
    </row>
    <row r="644" spans="1:20" x14ac:dyDescent="0.25">
      <c r="A644" t="str">
        <f>_xll.BDP("121385ZY Muni","ID_CUSIP")</f>
        <v>#N/A Requesting Data...</v>
      </c>
      <c r="B644" t="s">
        <v>255</v>
      </c>
      <c r="C644" t="str">
        <f>_xll.BDP("121385ZY Muni","INSURANCE_STATUS")</f>
        <v>#N/A Requesting Data...</v>
      </c>
      <c r="D644" t="str">
        <f>_xll.BDP("121385ZY Muni","STATE_CODE")</f>
        <v>#N/A Requesting Data...</v>
      </c>
      <c r="E644" t="str">
        <f>_xll.BDP("121385ZY Muni","COUNTY_LOCATION_ISSUER")</f>
        <v>#N/A Requesting Data...</v>
      </c>
      <c r="F644" t="str">
        <f>_xll.BDP("121385ZY Muni","DUR_ADJ_MID")</f>
        <v>#N/A Requesting Data...</v>
      </c>
      <c r="G644" t="str">
        <f>_xll.BDP("121385ZY Muni","SPREAD_AT_ISSUANCE_TO_WORST")</f>
        <v>#N/A Requesting Data...</v>
      </c>
      <c r="H644" t="str">
        <f>_xll.BDP("121385ZY Muni","ISSUE_DT")</f>
        <v>#N/A Requesting Data...</v>
      </c>
      <c r="I644" t="str">
        <f>_xll.BDS("121385ZY Muni","MUNI_PURPOSE_SCHED", "aggregate=y")</f>
        <v>#N/A Review</v>
      </c>
      <c r="J644" t="str">
        <f>_xll.BDP("121385ZY Muni","CPN")</f>
        <v>#N/A Requesting Data...</v>
      </c>
      <c r="K644" t="str">
        <f>_xll.BDP("121385ZY Muni","MATURITY")</f>
        <v>#N/A Requesting Data...</v>
      </c>
      <c r="L644">
        <v>460000</v>
      </c>
      <c r="M644" t="str">
        <f>_xll.BDP("121385ZY Muni","YIELD_ON_ISSUE_DATE")</f>
        <v>#N/A Requesting Data...</v>
      </c>
      <c r="N644" t="str">
        <f>_xll.BDP("121385ZY Muni","YTW_SPREAD_TO_MATURITY_AT_ISSU")</f>
        <v>#N/A Requesting Data...</v>
      </c>
      <c r="O644" t="str">
        <f>_xll.BDP("121385ZY Muni","BVAL_MID_YTM")</f>
        <v>#N/A Requesting Data...</v>
      </c>
      <c r="P644" t="str">
        <f>_xll.BDP("121385ZY Muni","MUNI_TAX_PROV")</f>
        <v>#N/A Requesting Data...</v>
      </c>
      <c r="Q644" t="str">
        <f>_xll.BDP("121385ZY Muni","MUNI_FED_TAX")</f>
        <v>#N/A Requesting Data...</v>
      </c>
      <c r="R644" t="str">
        <f>_xll.BDP("121385ZY Muni","MUNI_MSRB_VOLUME")</f>
        <v>#N/A Requesting Data...</v>
      </c>
      <c r="S644" t="str">
        <f>_xll.BDP("121385ZY Muni","BB_COMPOSITE")</f>
        <v>#N/A Requesting Data...</v>
      </c>
      <c r="T644" t="str">
        <f>_xll.BDP("121385ZY Muni","LQA_LIQUIDITY_SCORE")</f>
        <v>#N/A Requesting Data...</v>
      </c>
    </row>
    <row r="645" spans="1:20" x14ac:dyDescent="0.25">
      <c r="A645" t="str">
        <f>_xll.BDP("033893FF Muni","ID_CUSIP")</f>
        <v>#N/A Requesting Data...</v>
      </c>
      <c r="B645" t="s">
        <v>166</v>
      </c>
      <c r="C645" t="str">
        <f>_xll.BDP("033893FF Muni","INSURANCE_STATUS")</f>
        <v>#N/A Requesting Data...</v>
      </c>
      <c r="D645" t="str">
        <f>_xll.BDP("033893FF Muni","STATE_CODE")</f>
        <v>#N/A Requesting Data...</v>
      </c>
      <c r="E645" t="str">
        <f>_xll.BDP("033893FF Muni","COUNTY_LOCATION_ISSUER")</f>
        <v>#N/A Requesting Data...</v>
      </c>
      <c r="F645" t="str">
        <f>_xll.BDP("033893FF Muni","DUR_ADJ_MID")</f>
        <v>#N/A Requesting Data...</v>
      </c>
      <c r="G645" t="str">
        <f>_xll.BDP("033893FF Muni","SPREAD_AT_ISSUANCE_TO_WORST")</f>
        <v>#N/A Requesting Data...</v>
      </c>
      <c r="H645" t="str">
        <f>_xll.BDP("033893FF Muni","ISSUE_DT")</f>
        <v>#N/A Requesting Data...</v>
      </c>
      <c r="I645" t="str">
        <f>_xll.BDS("033893FF Muni","MUNI_PURPOSE_SCHED", "aggregate=y")</f>
        <v>#N/A Review</v>
      </c>
      <c r="J645" t="str">
        <f>_xll.BDP("033893FF Muni","CPN")</f>
        <v>#N/A Requesting Data...</v>
      </c>
      <c r="K645" t="str">
        <f>_xll.BDP("033893FF Muni","MATURITY")</f>
        <v>#N/A Requesting Data...</v>
      </c>
      <c r="L645">
        <v>500000</v>
      </c>
      <c r="M645" t="str">
        <f>_xll.BDP("033893FF Muni","YIELD_ON_ISSUE_DATE")</f>
        <v>#N/A Requesting Data...</v>
      </c>
      <c r="N645" t="str">
        <f>_xll.BDP("033893FF Muni","YTW_SPREAD_TO_MATURITY_AT_ISSU")</f>
        <v>#N/A Requesting Data...</v>
      </c>
      <c r="O645" t="str">
        <f>_xll.BDP("033893FF Muni","BVAL_MID_YTM")</f>
        <v>#N/A Requesting Data...</v>
      </c>
      <c r="P645" t="str">
        <f>_xll.BDP("033893FF Muni","MUNI_TAX_PROV")</f>
        <v>#N/A Requesting Data...</v>
      </c>
      <c r="Q645" t="str">
        <f>_xll.BDP("033893FF Muni","MUNI_FED_TAX")</f>
        <v>#N/A Requesting Data...</v>
      </c>
      <c r="R645" t="str">
        <f>_xll.BDP("033893FF Muni","MUNI_MSRB_VOLUME")</f>
        <v>#N/A Requesting Data...</v>
      </c>
      <c r="S645" t="str">
        <f>_xll.BDP("033893FF Muni","BB_COMPOSITE")</f>
        <v>#N/A Requesting Data...</v>
      </c>
      <c r="T645" t="str">
        <f>_xll.BDP("033893FF Muni","LQA_LIQUIDITY_SCORE")</f>
        <v>#N/A Requesting Data...</v>
      </c>
    </row>
    <row r="646" spans="1:20" x14ac:dyDescent="0.25">
      <c r="A646" t="str">
        <f>_xll.BDP("033893FJ Muni","ID_CUSIP")</f>
        <v>#N/A Requesting Data...</v>
      </c>
      <c r="B646" t="s">
        <v>166</v>
      </c>
      <c r="C646" t="str">
        <f>_xll.BDP("033893FJ Muni","INSURANCE_STATUS")</f>
        <v>#N/A Requesting Data...</v>
      </c>
      <c r="D646" t="str">
        <f>_xll.BDP("033893FJ Muni","STATE_CODE")</f>
        <v>#N/A Requesting Data...</v>
      </c>
      <c r="E646" t="str">
        <f>_xll.BDP("033893FJ Muni","COUNTY_LOCATION_ISSUER")</f>
        <v>#N/A Requesting Data...</v>
      </c>
      <c r="F646" t="str">
        <f>_xll.BDP("033893FJ Muni","DUR_ADJ_MID")</f>
        <v>#N/A Requesting Data...</v>
      </c>
      <c r="G646" t="str">
        <f>_xll.BDP("033893FJ Muni","SPREAD_AT_ISSUANCE_TO_WORST")</f>
        <v>#N/A Requesting Data...</v>
      </c>
      <c r="H646" t="str">
        <f>_xll.BDP("033893FJ Muni","ISSUE_DT")</f>
        <v>#N/A Requesting Data...</v>
      </c>
      <c r="I646" t="str">
        <f>_xll.BDS("033893FJ Muni","MUNI_PURPOSE_SCHED", "aggregate=y")</f>
        <v>#N/A Review</v>
      </c>
      <c r="J646" t="str">
        <f>_xll.BDP("033893FJ Muni","CPN")</f>
        <v>#N/A Requesting Data...</v>
      </c>
      <c r="K646" t="str">
        <f>_xll.BDP("033893FJ Muni","MATURITY")</f>
        <v>#N/A Requesting Data...</v>
      </c>
      <c r="L646">
        <v>550000</v>
      </c>
      <c r="M646" t="str">
        <f>_xll.BDP("033893FJ Muni","YIELD_ON_ISSUE_DATE")</f>
        <v>#N/A Requesting Data...</v>
      </c>
      <c r="N646" t="str">
        <f>_xll.BDP("033893FJ Muni","YTW_SPREAD_TO_MATURITY_AT_ISSU")</f>
        <v>#N/A Requesting Data...</v>
      </c>
      <c r="O646" t="str">
        <f>_xll.BDP("033893FJ Muni","BVAL_MID_YTM")</f>
        <v>#N/A Requesting Data...</v>
      </c>
      <c r="P646" t="str">
        <f>_xll.BDP("033893FJ Muni","MUNI_TAX_PROV")</f>
        <v>#N/A Requesting Data...</v>
      </c>
      <c r="Q646" t="str">
        <f>_xll.BDP("033893FJ Muni","MUNI_FED_TAX")</f>
        <v>#N/A Requesting Data...</v>
      </c>
      <c r="R646" t="str">
        <f>_xll.BDP("033893FJ Muni","MUNI_MSRB_VOLUME")</f>
        <v>#N/A Requesting Data...</v>
      </c>
      <c r="S646" t="str">
        <f>_xll.BDP("033893FJ Muni","BB_COMPOSITE")</f>
        <v>#N/A Requesting Data...</v>
      </c>
      <c r="T646" t="str">
        <f>_xll.BDP("033893FJ Muni","LQA_LIQUIDITY_SCORE")</f>
        <v>#N/A Requesting Data...</v>
      </c>
    </row>
    <row r="647" spans="1:20" x14ac:dyDescent="0.25">
      <c r="A647" t="str">
        <f>_xll.BDP("034033DE Muni","ID_CUSIP")</f>
        <v>#N/A Requesting Data...</v>
      </c>
      <c r="B647" t="s">
        <v>46</v>
      </c>
      <c r="C647" t="str">
        <f>_xll.BDP("034033DE Muni","INSURANCE_STATUS")</f>
        <v>#N/A Requesting Data...</v>
      </c>
      <c r="D647" t="str">
        <f>_xll.BDP("034033DE Muni","STATE_CODE")</f>
        <v>#N/A Requesting Data...</v>
      </c>
      <c r="E647" t="str">
        <f>_xll.BDP("034033DE Muni","COUNTY_LOCATION_ISSUER")</f>
        <v>#N/A Requesting Data...</v>
      </c>
      <c r="F647" t="str">
        <f>_xll.BDP("034033DE Muni","DUR_ADJ_MID")</f>
        <v>#N/A Requesting Data...</v>
      </c>
      <c r="G647" t="str">
        <f>_xll.BDP("034033DE Muni","SPREAD_AT_ISSUANCE_TO_WORST")</f>
        <v>#N/A Requesting Data...</v>
      </c>
      <c r="H647" t="str">
        <f>_xll.BDP("034033DE Muni","ISSUE_DT")</f>
        <v>#N/A Requesting Data...</v>
      </c>
      <c r="I647" t="str">
        <f>_xll.BDS("034033DE Muni","MUNI_PURPOSE_SCHED", "aggregate=y")</f>
        <v>#N/A Review</v>
      </c>
      <c r="J647" t="str">
        <f>_xll.BDP("034033DE Muni","CPN")</f>
        <v>#N/A Requesting Data...</v>
      </c>
      <c r="K647" t="str">
        <f>_xll.BDP("034033DE Muni","MATURITY")</f>
        <v>#N/A Requesting Data...</v>
      </c>
      <c r="L647">
        <v>665000</v>
      </c>
      <c r="M647" t="str">
        <f>_xll.BDP("034033DE Muni","YIELD_ON_ISSUE_DATE")</f>
        <v>#N/A Requesting Data...</v>
      </c>
      <c r="N647" t="str">
        <f>_xll.BDP("034033DE Muni","YTW_SPREAD_TO_MATURITY_AT_ISSU")</f>
        <v>#N/A Requesting Data...</v>
      </c>
      <c r="O647" t="str">
        <f>_xll.BDP("034033DE Muni","BVAL_MID_YTM")</f>
        <v>#N/A Requesting Data...</v>
      </c>
      <c r="P647" t="str">
        <f>_xll.BDP("034033DE Muni","MUNI_TAX_PROV")</f>
        <v>#N/A Requesting Data...</v>
      </c>
      <c r="Q647" t="str">
        <f>_xll.BDP("034033DE Muni","MUNI_FED_TAX")</f>
        <v>#N/A Requesting Data...</v>
      </c>
      <c r="R647" t="str">
        <f>_xll.BDP("034033DE Muni","MUNI_MSRB_VOLUME")</f>
        <v>#N/A Requesting Data...</v>
      </c>
      <c r="S647" t="str">
        <f>_xll.BDP("034033DE Muni","BB_COMPOSITE")</f>
        <v>#N/A Requesting Data...</v>
      </c>
      <c r="T647" t="str">
        <f>_xll.BDP("034033DE Muni","LQA_LIQUIDITY_SCORE")</f>
        <v>#N/A Requesting Data...</v>
      </c>
    </row>
    <row r="648" spans="1:20" x14ac:dyDescent="0.25">
      <c r="A648" t="str">
        <f>_xll.BDP("034033DF Muni","ID_CUSIP")</f>
        <v>#N/A Requesting Data...</v>
      </c>
      <c r="B648" t="s">
        <v>46</v>
      </c>
      <c r="C648" t="str">
        <f>_xll.BDP("034033DF Muni","INSURANCE_STATUS")</f>
        <v>#N/A Requesting Data...</v>
      </c>
      <c r="D648" t="str">
        <f>_xll.BDP("034033DF Muni","STATE_CODE")</f>
        <v>#N/A Requesting Data...</v>
      </c>
      <c r="E648" t="str">
        <f>_xll.BDP("034033DF Muni","COUNTY_LOCATION_ISSUER")</f>
        <v>#N/A Requesting Data...</v>
      </c>
      <c r="F648" t="str">
        <f>_xll.BDP("034033DF Muni","DUR_ADJ_MID")</f>
        <v>#N/A Requesting Data...</v>
      </c>
      <c r="G648" t="str">
        <f>_xll.BDP("034033DF Muni","SPREAD_AT_ISSUANCE_TO_WORST")</f>
        <v>#N/A Requesting Data...</v>
      </c>
      <c r="H648" t="str">
        <f>_xll.BDP("034033DF Muni","ISSUE_DT")</f>
        <v>#N/A Requesting Data...</v>
      </c>
      <c r="I648" t="str">
        <f>_xll.BDS("034033DF Muni","MUNI_PURPOSE_SCHED", "aggregate=y")</f>
        <v>#N/A Review</v>
      </c>
      <c r="J648" t="str">
        <f>_xll.BDP("034033DF Muni","CPN")</f>
        <v>#N/A Requesting Data...</v>
      </c>
      <c r="K648" t="str">
        <f>_xll.BDP("034033DF Muni","MATURITY")</f>
        <v>#N/A Requesting Data...</v>
      </c>
      <c r="L648">
        <v>680000</v>
      </c>
      <c r="M648" t="str">
        <f>_xll.BDP("034033DF Muni","YIELD_ON_ISSUE_DATE")</f>
        <v>#N/A Requesting Data...</v>
      </c>
      <c r="N648" t="str">
        <f>_xll.BDP("034033DF Muni","YTW_SPREAD_TO_MATURITY_AT_ISSU")</f>
        <v>#N/A Requesting Data...</v>
      </c>
      <c r="O648" t="str">
        <f>_xll.BDP("034033DF Muni","BVAL_MID_YTM")</f>
        <v>#N/A Requesting Data...</v>
      </c>
      <c r="P648" t="str">
        <f>_xll.BDP("034033DF Muni","MUNI_TAX_PROV")</f>
        <v>#N/A Requesting Data...</v>
      </c>
      <c r="Q648" t="str">
        <f>_xll.BDP("034033DF Muni","MUNI_FED_TAX")</f>
        <v>#N/A Requesting Data...</v>
      </c>
      <c r="R648" t="str">
        <f>_xll.BDP("034033DF Muni","MUNI_MSRB_VOLUME")</f>
        <v>#N/A Requesting Data...</v>
      </c>
      <c r="S648" t="str">
        <f>_xll.BDP("034033DF Muni","BB_COMPOSITE")</f>
        <v>#N/A Requesting Data...</v>
      </c>
      <c r="T648" t="str">
        <f>_xll.BDP("034033DF Muni","LQA_LIQUIDITY_SCORE")</f>
        <v>#N/A Requesting Data...</v>
      </c>
    </row>
    <row r="649" spans="1:20" x14ac:dyDescent="0.25">
      <c r="A649" t="str">
        <f>_xll.BDP("161069P7 Muni","ID_CUSIP")</f>
        <v>#N/A Requesting Data...</v>
      </c>
      <c r="B649" t="s">
        <v>101</v>
      </c>
      <c r="C649" t="str">
        <f>_xll.BDP("161069P7 Muni","INSURANCE_STATUS")</f>
        <v>#N/A Requesting Data...</v>
      </c>
      <c r="D649" t="str">
        <f>_xll.BDP("161069P7 Muni","STATE_CODE")</f>
        <v>#N/A Requesting Data...</v>
      </c>
      <c r="E649" t="str">
        <f>_xll.BDP("161069P7 Muni","COUNTY_LOCATION_ISSUER")</f>
        <v>#N/A Requesting Data...</v>
      </c>
      <c r="F649" t="str">
        <f>_xll.BDP("161069P7 Muni","DUR_ADJ_MID")</f>
        <v>#N/A Requesting Data...</v>
      </c>
      <c r="G649" t="str">
        <f>_xll.BDP("161069P7 Muni","SPREAD_AT_ISSUANCE_TO_WORST")</f>
        <v>#N/A Requesting Data...</v>
      </c>
      <c r="H649" t="str">
        <f>_xll.BDP("161069P7 Muni","ISSUE_DT")</f>
        <v>#N/A Requesting Data...</v>
      </c>
      <c r="I649" t="str">
        <f>_xll.BDS("161069P7 Muni","MUNI_PURPOSE_SCHED", "aggregate=y")</f>
        <v>#N/A Review</v>
      </c>
      <c r="J649" t="str">
        <f>_xll.BDP("161069P7 Muni","CPN")</f>
        <v>#N/A Requesting Data...</v>
      </c>
      <c r="K649" t="str">
        <f>_xll.BDP("161069P7 Muni","MATURITY")</f>
        <v>#N/A Requesting Data...</v>
      </c>
      <c r="L649">
        <v>405000</v>
      </c>
      <c r="M649" t="str">
        <f>_xll.BDP("161069P7 Muni","YIELD_ON_ISSUE_DATE")</f>
        <v>#N/A Requesting Data...</v>
      </c>
      <c r="N649" t="str">
        <f>_xll.BDP("161069P7 Muni","YTW_SPREAD_TO_MATURITY_AT_ISSU")</f>
        <v>#N/A Requesting Data...</v>
      </c>
      <c r="O649" t="str">
        <f>_xll.BDP("161069P7 Muni","BVAL_MID_YTM")</f>
        <v>#N/A Requesting Data...</v>
      </c>
      <c r="P649" t="str">
        <f>_xll.BDP("161069P7 Muni","MUNI_TAX_PROV")</f>
        <v>#N/A Requesting Data...</v>
      </c>
      <c r="Q649" t="str">
        <f>_xll.BDP("161069P7 Muni","MUNI_FED_TAX")</f>
        <v>#N/A Requesting Data...</v>
      </c>
      <c r="R649" t="str">
        <f>_xll.BDP("161069P7 Muni","MUNI_MSRB_VOLUME")</f>
        <v>#N/A Requesting Data...</v>
      </c>
      <c r="S649" t="str">
        <f>_xll.BDP("161069P7 Muni","BB_COMPOSITE")</f>
        <v>#N/A Requesting Data...</v>
      </c>
      <c r="T649" t="str">
        <f>_xll.BDP("161069P7 Muni","LQA_LIQUIDITY_SCORE")</f>
        <v>#N/A Requesting Data...</v>
      </c>
    </row>
    <row r="650" spans="1:20" x14ac:dyDescent="0.25">
      <c r="A650" t="str">
        <f>_xll.BDP("161069P8 Muni","ID_CUSIP")</f>
        <v>#N/A Requesting Data...</v>
      </c>
      <c r="B650" t="s">
        <v>101</v>
      </c>
      <c r="C650" t="str">
        <f>_xll.BDP("161069P8 Muni","INSURANCE_STATUS")</f>
        <v>#N/A Requesting Data...</v>
      </c>
      <c r="D650" t="str">
        <f>_xll.BDP("161069P8 Muni","STATE_CODE")</f>
        <v>#N/A Requesting Data...</v>
      </c>
      <c r="E650" t="str">
        <f>_xll.BDP("161069P8 Muni","COUNTY_LOCATION_ISSUER")</f>
        <v>#N/A Requesting Data...</v>
      </c>
      <c r="F650" t="str">
        <f>_xll.BDP("161069P8 Muni","DUR_ADJ_MID")</f>
        <v>#N/A Requesting Data...</v>
      </c>
      <c r="G650" t="str">
        <f>_xll.BDP("161069P8 Muni","SPREAD_AT_ISSUANCE_TO_WORST")</f>
        <v>#N/A Requesting Data...</v>
      </c>
      <c r="H650" t="str">
        <f>_xll.BDP("161069P8 Muni","ISSUE_DT")</f>
        <v>#N/A Requesting Data...</v>
      </c>
      <c r="I650" t="str">
        <f>_xll.BDS("161069P8 Muni","MUNI_PURPOSE_SCHED", "aggregate=y")</f>
        <v>#N/A Review</v>
      </c>
      <c r="J650" t="str">
        <f>_xll.BDP("161069P8 Muni","CPN")</f>
        <v>#N/A Requesting Data...</v>
      </c>
      <c r="K650" t="str">
        <f>_xll.BDP("161069P8 Muni","MATURITY")</f>
        <v>#N/A Requesting Data...</v>
      </c>
      <c r="L650">
        <v>1040000</v>
      </c>
      <c r="M650" t="str">
        <f>_xll.BDP("161069P8 Muni","YIELD_ON_ISSUE_DATE")</f>
        <v>#N/A Requesting Data...</v>
      </c>
      <c r="N650" t="str">
        <f>_xll.BDP("161069P8 Muni","YTW_SPREAD_TO_MATURITY_AT_ISSU")</f>
        <v>#N/A Requesting Data...</v>
      </c>
      <c r="O650" t="str">
        <f>_xll.BDP("161069P8 Muni","BVAL_MID_YTM")</f>
        <v>#N/A Requesting Data...</v>
      </c>
      <c r="P650" t="str">
        <f>_xll.BDP("161069P8 Muni","MUNI_TAX_PROV")</f>
        <v>#N/A Requesting Data...</v>
      </c>
      <c r="Q650" t="str">
        <f>_xll.BDP("161069P8 Muni","MUNI_FED_TAX")</f>
        <v>#N/A Requesting Data...</v>
      </c>
      <c r="R650" t="str">
        <f>_xll.BDP("161069P8 Muni","MUNI_MSRB_VOLUME")</f>
        <v>#N/A Requesting Data...</v>
      </c>
      <c r="S650" t="str">
        <f>_xll.BDP("161069P8 Muni","BB_COMPOSITE")</f>
        <v>#N/A Requesting Data...</v>
      </c>
      <c r="T650" t="str">
        <f>_xll.BDP("161069P8 Muni","LQA_LIQUIDITY_SCORE")</f>
        <v>#N/A Requesting Data...</v>
      </c>
    </row>
    <row r="651" spans="1:20" x14ac:dyDescent="0.25">
      <c r="A651" t="str">
        <f>_xll.BDP("161069Q2 Muni","ID_CUSIP")</f>
        <v>#N/A Requesting Data...</v>
      </c>
      <c r="B651" t="s">
        <v>101</v>
      </c>
      <c r="C651" t="str">
        <f>_xll.BDP("161069Q2 Muni","INSURANCE_STATUS")</f>
        <v>#N/A Requesting Data...</v>
      </c>
      <c r="D651" t="str">
        <f>_xll.BDP("161069Q2 Muni","STATE_CODE")</f>
        <v>#N/A Requesting Data...</v>
      </c>
      <c r="E651" t="str">
        <f>_xll.BDP("161069Q2 Muni","COUNTY_LOCATION_ISSUER")</f>
        <v>#N/A Requesting Data...</v>
      </c>
      <c r="F651" t="str">
        <f>_xll.BDP("161069Q2 Muni","DUR_ADJ_MID")</f>
        <v>#N/A Requesting Data...</v>
      </c>
      <c r="G651" t="str">
        <f>_xll.BDP("161069Q2 Muni","SPREAD_AT_ISSUANCE_TO_WORST")</f>
        <v>#N/A Requesting Data...</v>
      </c>
      <c r="H651" t="str">
        <f>_xll.BDP("161069Q2 Muni","ISSUE_DT")</f>
        <v>#N/A Requesting Data...</v>
      </c>
      <c r="I651" t="str">
        <f>_xll.BDS("161069Q2 Muni","MUNI_PURPOSE_SCHED", "aggregate=y")</f>
        <v>#N/A Review</v>
      </c>
      <c r="J651" t="str">
        <f>_xll.BDP("161069Q2 Muni","CPN")</f>
        <v>#N/A Requesting Data...</v>
      </c>
      <c r="K651" t="str">
        <f>_xll.BDP("161069Q2 Muni","MATURITY")</f>
        <v>#N/A Requesting Data...</v>
      </c>
      <c r="L651">
        <v>1040000</v>
      </c>
      <c r="M651" t="str">
        <f>_xll.BDP("161069Q2 Muni","YIELD_ON_ISSUE_DATE")</f>
        <v>#N/A Requesting Data...</v>
      </c>
      <c r="N651" t="str">
        <f>_xll.BDP("161069Q2 Muni","YTW_SPREAD_TO_MATURITY_AT_ISSU")</f>
        <v>#N/A Requesting Data...</v>
      </c>
      <c r="O651" t="str">
        <f>_xll.BDP("161069Q2 Muni","BVAL_MID_YTM")</f>
        <v>#N/A Requesting Data...</v>
      </c>
      <c r="P651" t="str">
        <f>_xll.BDP("161069Q2 Muni","MUNI_TAX_PROV")</f>
        <v>#N/A Requesting Data...</v>
      </c>
      <c r="Q651" t="str">
        <f>_xll.BDP("161069Q2 Muni","MUNI_FED_TAX")</f>
        <v>#N/A Requesting Data...</v>
      </c>
      <c r="R651" t="str">
        <f>_xll.BDP("161069Q2 Muni","MUNI_MSRB_VOLUME")</f>
        <v>#N/A Requesting Data...</v>
      </c>
      <c r="S651" t="str">
        <f>_xll.BDP("161069Q2 Muni","BB_COMPOSITE")</f>
        <v>#N/A Requesting Data...</v>
      </c>
      <c r="T651" t="str">
        <f>_xll.BDP("161069Q2 Muni","LQA_LIQUIDITY_SCORE")</f>
        <v>#N/A Requesting Data...</v>
      </c>
    </row>
    <row r="652" spans="1:20" x14ac:dyDescent="0.25">
      <c r="A652" t="str">
        <f>_xll.BDP("161069Q3 Muni","ID_CUSIP")</f>
        <v>#N/A Requesting Data...</v>
      </c>
      <c r="B652" t="s">
        <v>101</v>
      </c>
      <c r="C652" t="str">
        <f>_xll.BDP("161069Q3 Muni","INSURANCE_STATUS")</f>
        <v>#N/A Requesting Data...</v>
      </c>
      <c r="D652" t="str">
        <f>_xll.BDP("161069Q3 Muni","STATE_CODE")</f>
        <v>#N/A Requesting Data...</v>
      </c>
      <c r="E652" t="str">
        <f>_xll.BDP("161069Q3 Muni","COUNTY_LOCATION_ISSUER")</f>
        <v>#N/A Requesting Data...</v>
      </c>
      <c r="F652" t="str">
        <f>_xll.BDP("161069Q3 Muni","DUR_ADJ_MID")</f>
        <v>#N/A Requesting Data...</v>
      </c>
      <c r="G652" t="str">
        <f>_xll.BDP("161069Q3 Muni","SPREAD_AT_ISSUANCE_TO_WORST")</f>
        <v>#N/A Requesting Data...</v>
      </c>
      <c r="H652" t="str">
        <f>_xll.BDP("161069Q3 Muni","ISSUE_DT")</f>
        <v>#N/A Requesting Data...</v>
      </c>
      <c r="I652" t="str">
        <f>_xll.BDS("161069Q3 Muni","MUNI_PURPOSE_SCHED", "aggregate=y")</f>
        <v>#N/A Review</v>
      </c>
      <c r="J652" t="str">
        <f>_xll.BDP("161069Q3 Muni","CPN")</f>
        <v>#N/A Requesting Data...</v>
      </c>
      <c r="K652" t="str">
        <f>_xll.BDP("161069Q3 Muni","MATURITY")</f>
        <v>#N/A Requesting Data...</v>
      </c>
      <c r="L652">
        <v>1035000</v>
      </c>
      <c r="M652" t="str">
        <f>_xll.BDP("161069Q3 Muni","YIELD_ON_ISSUE_DATE")</f>
        <v>#N/A Requesting Data...</v>
      </c>
      <c r="N652" t="str">
        <f>_xll.BDP("161069Q3 Muni","YTW_SPREAD_TO_MATURITY_AT_ISSU")</f>
        <v>#N/A Requesting Data...</v>
      </c>
      <c r="O652" t="str">
        <f>_xll.BDP("161069Q3 Muni","BVAL_MID_YTM")</f>
        <v>#N/A Requesting Data...</v>
      </c>
      <c r="P652" t="str">
        <f>_xll.BDP("161069Q3 Muni","MUNI_TAX_PROV")</f>
        <v>#N/A Requesting Data...</v>
      </c>
      <c r="Q652" t="str">
        <f>_xll.BDP("161069Q3 Muni","MUNI_FED_TAX")</f>
        <v>#N/A Requesting Data...</v>
      </c>
      <c r="R652" t="str">
        <f>_xll.BDP("161069Q3 Muni","MUNI_MSRB_VOLUME")</f>
        <v>#N/A Requesting Data...</v>
      </c>
      <c r="S652" t="str">
        <f>_xll.BDP("161069Q3 Muni","BB_COMPOSITE")</f>
        <v>#N/A Requesting Data...</v>
      </c>
      <c r="T652" t="str">
        <f>_xll.BDP("161069Q3 Muni","LQA_LIQUIDITY_SCORE")</f>
        <v>#N/A Requesting Data...</v>
      </c>
    </row>
    <row r="653" spans="1:20" x14ac:dyDescent="0.25">
      <c r="A653" t="str">
        <f>_xll.BDP("164465KM Muni","ID_CUSIP")</f>
        <v>#N/A Requesting Data...</v>
      </c>
      <c r="B653" t="s">
        <v>256</v>
      </c>
      <c r="C653" t="str">
        <f>_xll.BDP("164465KM Muni","INSURANCE_STATUS")</f>
        <v>#N/A Requesting Data...</v>
      </c>
      <c r="D653" t="str">
        <f>_xll.BDP("164465KM Muni","STATE_CODE")</f>
        <v>#N/A Requesting Data...</v>
      </c>
      <c r="E653" t="str">
        <f>_xll.BDP("164465KM Muni","COUNTY_LOCATION_ISSUER")</f>
        <v>#N/A Requesting Data...</v>
      </c>
      <c r="F653" t="str">
        <f>_xll.BDP("164465KM Muni","DUR_ADJ_MID")</f>
        <v>#N/A Requesting Data...</v>
      </c>
      <c r="G653" t="str">
        <f>_xll.BDP("164465KM Muni","SPREAD_AT_ISSUANCE_TO_WORST")</f>
        <v>#N/A Requesting Data...</v>
      </c>
      <c r="H653" t="str">
        <f>_xll.BDP("164465KM Muni","ISSUE_DT")</f>
        <v>#N/A Requesting Data...</v>
      </c>
      <c r="I653" t="str">
        <f>_xll.BDS("164465KM Muni","MUNI_PURPOSE_SCHED", "aggregate=y")</f>
        <v>#N/A Review</v>
      </c>
      <c r="J653" t="str">
        <f>_xll.BDP("164465KM Muni","CPN")</f>
        <v>#N/A Requesting Data...</v>
      </c>
      <c r="K653" t="str">
        <f>_xll.BDP("164465KM Muni","MATURITY")</f>
        <v>#N/A Requesting Data...</v>
      </c>
      <c r="L653">
        <v>180000</v>
      </c>
      <c r="M653" t="str">
        <f>_xll.BDP("164465KM Muni","YIELD_ON_ISSUE_DATE")</f>
        <v>#N/A Requesting Data...</v>
      </c>
      <c r="N653" t="str">
        <f>_xll.BDP("164465KM Muni","YTW_SPREAD_TO_MATURITY_AT_ISSU")</f>
        <v>#N/A Requesting Data...</v>
      </c>
      <c r="O653" t="str">
        <f>_xll.BDP("164465KM Muni","BVAL_MID_YTM")</f>
        <v>#N/A Requesting Data...</v>
      </c>
      <c r="P653" t="str">
        <f>_xll.BDP("164465KM Muni","MUNI_TAX_PROV")</f>
        <v>#N/A Requesting Data...</v>
      </c>
      <c r="Q653" t="str">
        <f>_xll.BDP("164465KM Muni","MUNI_FED_TAX")</f>
        <v>#N/A Requesting Data...</v>
      </c>
      <c r="R653" t="str">
        <f>_xll.BDP("164465KM Muni","MUNI_MSRB_VOLUME")</f>
        <v>#N/A Requesting Data...</v>
      </c>
      <c r="S653" t="str">
        <f>_xll.BDP("164465KM Muni","BB_COMPOSITE")</f>
        <v>#N/A Requesting Data...</v>
      </c>
      <c r="T653" t="str">
        <f>_xll.BDP("164465KM Muni","LQA_LIQUIDITY_SCORE")</f>
        <v>#N/A Requesting Data...</v>
      </c>
    </row>
    <row r="654" spans="1:20" x14ac:dyDescent="0.25">
      <c r="A654" t="str">
        <f>_xll.BDP("164825CK Muni","ID_CUSIP")</f>
        <v>#N/A Requesting Data...</v>
      </c>
      <c r="B654" t="s">
        <v>257</v>
      </c>
      <c r="C654" t="str">
        <f>_xll.BDP("164825CK Muni","INSURANCE_STATUS")</f>
        <v>#N/A Requesting Data...</v>
      </c>
      <c r="D654" t="str">
        <f>_xll.BDP("164825CK Muni","STATE_CODE")</f>
        <v>#N/A Requesting Data...</v>
      </c>
      <c r="E654" t="str">
        <f>_xll.BDP("164825CK Muni","COUNTY_LOCATION_ISSUER")</f>
        <v>#N/A Requesting Data...</v>
      </c>
      <c r="F654" t="str">
        <f>_xll.BDP("164825CK Muni","DUR_ADJ_MID")</f>
        <v>#N/A Requesting Data...</v>
      </c>
      <c r="G654" t="str">
        <f>_xll.BDP("164825CK Muni","SPREAD_AT_ISSUANCE_TO_WORST")</f>
        <v>#N/A Requesting Data...</v>
      </c>
      <c r="H654" t="str">
        <f>_xll.BDP("164825CK Muni","ISSUE_DT")</f>
        <v>#N/A Requesting Data...</v>
      </c>
      <c r="I654" t="str">
        <f>_xll.BDS("164825CK Muni","MUNI_PURPOSE_SCHED", "aggregate=y")</f>
        <v>#N/A Review</v>
      </c>
      <c r="J654" t="str">
        <f>_xll.BDP("164825CK Muni","CPN")</f>
        <v>#N/A Requesting Data...</v>
      </c>
      <c r="K654" t="str">
        <f>_xll.BDP("164825CK Muni","MATURITY")</f>
        <v>#N/A Requesting Data...</v>
      </c>
      <c r="L654">
        <v>155000</v>
      </c>
      <c r="M654" t="str">
        <f>_xll.BDP("164825CK Muni","YIELD_ON_ISSUE_DATE")</f>
        <v>#N/A Requesting Data...</v>
      </c>
      <c r="N654" t="str">
        <f>_xll.BDP("164825CK Muni","YTW_SPREAD_TO_MATURITY_AT_ISSU")</f>
        <v>#N/A Requesting Data...</v>
      </c>
      <c r="O654" t="str">
        <f>_xll.BDP("164825CK Muni","BVAL_MID_YTM")</f>
        <v>#N/A Requesting Data...</v>
      </c>
      <c r="P654" t="str">
        <f>_xll.BDP("164825CK Muni","MUNI_TAX_PROV")</f>
        <v>#N/A Requesting Data...</v>
      </c>
      <c r="Q654" t="str">
        <f>_xll.BDP("164825CK Muni","MUNI_FED_TAX")</f>
        <v>#N/A Requesting Data...</v>
      </c>
      <c r="R654" t="str">
        <f>_xll.BDP("164825CK Muni","MUNI_MSRB_VOLUME")</f>
        <v>#N/A Requesting Data...</v>
      </c>
      <c r="S654" t="str">
        <f>_xll.BDP("164825CK Muni","BB_COMPOSITE")</f>
        <v>#N/A Requesting Data...</v>
      </c>
      <c r="T654" t="str">
        <f>_xll.BDP("164825CK Muni","LQA_LIQUIDITY_SCORE")</f>
        <v>#N/A Requesting Data...</v>
      </c>
    </row>
    <row r="655" spans="1:20" x14ac:dyDescent="0.25">
      <c r="A655" t="str">
        <f>_xll.BDP("164825CL Muni","ID_CUSIP")</f>
        <v>#N/A Requesting Data...</v>
      </c>
      <c r="B655" t="s">
        <v>257</v>
      </c>
      <c r="C655" t="str">
        <f>_xll.BDP("164825CL Muni","INSURANCE_STATUS")</f>
        <v>#N/A Requesting Data...</v>
      </c>
      <c r="D655" t="str">
        <f>_xll.BDP("164825CL Muni","STATE_CODE")</f>
        <v>#N/A Requesting Data...</v>
      </c>
      <c r="E655" t="str">
        <f>_xll.BDP("164825CL Muni","COUNTY_LOCATION_ISSUER")</f>
        <v>#N/A Requesting Data...</v>
      </c>
      <c r="F655" t="str">
        <f>_xll.BDP("164825CL Muni","DUR_ADJ_MID")</f>
        <v>#N/A Requesting Data...</v>
      </c>
      <c r="G655" t="str">
        <f>_xll.BDP("164825CL Muni","SPREAD_AT_ISSUANCE_TO_WORST")</f>
        <v>#N/A Requesting Data...</v>
      </c>
      <c r="H655" t="str">
        <f>_xll.BDP("164825CL Muni","ISSUE_DT")</f>
        <v>#N/A Requesting Data...</v>
      </c>
      <c r="I655" t="str">
        <f>_xll.BDS("164825CL Muni","MUNI_PURPOSE_SCHED", "aggregate=y")</f>
        <v>#N/A Review</v>
      </c>
      <c r="J655" t="str">
        <f>_xll.BDP("164825CL Muni","CPN")</f>
        <v>#N/A Requesting Data...</v>
      </c>
      <c r="K655" t="str">
        <f>_xll.BDP("164825CL Muni","MATURITY")</f>
        <v>#N/A Requesting Data...</v>
      </c>
      <c r="L655">
        <v>165000</v>
      </c>
      <c r="M655" t="str">
        <f>_xll.BDP("164825CL Muni","YIELD_ON_ISSUE_DATE")</f>
        <v>#N/A Requesting Data...</v>
      </c>
      <c r="N655" t="str">
        <f>_xll.BDP("164825CL Muni","YTW_SPREAD_TO_MATURITY_AT_ISSU")</f>
        <v>#N/A Requesting Data...</v>
      </c>
      <c r="O655" t="str">
        <f>_xll.BDP("164825CL Muni","BVAL_MID_YTM")</f>
        <v>#N/A Requesting Data...</v>
      </c>
      <c r="P655" t="str">
        <f>_xll.BDP("164825CL Muni","MUNI_TAX_PROV")</f>
        <v>#N/A Requesting Data...</v>
      </c>
      <c r="Q655" t="str">
        <f>_xll.BDP("164825CL Muni","MUNI_FED_TAX")</f>
        <v>#N/A Requesting Data...</v>
      </c>
      <c r="R655" t="str">
        <f>_xll.BDP("164825CL Muni","MUNI_MSRB_VOLUME")</f>
        <v>#N/A Requesting Data...</v>
      </c>
      <c r="S655" t="str">
        <f>_xll.BDP("164825CL Muni","BB_COMPOSITE")</f>
        <v>#N/A Requesting Data...</v>
      </c>
      <c r="T655" t="str">
        <f>_xll.BDP("164825CL Muni","LQA_LIQUIDITY_SCORE")</f>
        <v>#N/A Requesting Data...</v>
      </c>
    </row>
    <row r="656" spans="1:20" x14ac:dyDescent="0.25">
      <c r="A656" t="str">
        <f>_xll.BDP("164825CM Muni","ID_CUSIP")</f>
        <v>#N/A Requesting Data...</v>
      </c>
      <c r="B656" t="s">
        <v>257</v>
      </c>
      <c r="C656" t="str">
        <f>_xll.BDP("164825CM Muni","INSURANCE_STATUS")</f>
        <v>#N/A Requesting Data...</v>
      </c>
      <c r="D656" t="str">
        <f>_xll.BDP("164825CM Muni","STATE_CODE")</f>
        <v>#N/A Requesting Data...</v>
      </c>
      <c r="E656" t="str">
        <f>_xll.BDP("164825CM Muni","COUNTY_LOCATION_ISSUER")</f>
        <v>#N/A Requesting Data...</v>
      </c>
      <c r="F656" t="str">
        <f>_xll.BDP("164825CM Muni","DUR_ADJ_MID")</f>
        <v>#N/A Requesting Data...</v>
      </c>
      <c r="G656" t="str">
        <f>_xll.BDP("164825CM Muni","SPREAD_AT_ISSUANCE_TO_WORST")</f>
        <v>#N/A Requesting Data...</v>
      </c>
      <c r="H656" t="str">
        <f>_xll.BDP("164825CM Muni","ISSUE_DT")</f>
        <v>#N/A Requesting Data...</v>
      </c>
      <c r="I656" t="str">
        <f>_xll.BDS("164825CM Muni","MUNI_PURPOSE_SCHED", "aggregate=y")</f>
        <v>#N/A Review</v>
      </c>
      <c r="J656" t="str">
        <f>_xll.BDP("164825CM Muni","CPN")</f>
        <v>#N/A Requesting Data...</v>
      </c>
      <c r="K656" t="str">
        <f>_xll.BDP("164825CM Muni","MATURITY")</f>
        <v>#N/A Requesting Data...</v>
      </c>
      <c r="L656">
        <v>165000</v>
      </c>
      <c r="M656" t="str">
        <f>_xll.BDP("164825CM Muni","YIELD_ON_ISSUE_DATE")</f>
        <v>#N/A Requesting Data...</v>
      </c>
      <c r="N656" t="str">
        <f>_xll.BDP("164825CM Muni","YTW_SPREAD_TO_MATURITY_AT_ISSU")</f>
        <v>#N/A Requesting Data...</v>
      </c>
      <c r="O656" t="str">
        <f>_xll.BDP("164825CM Muni","BVAL_MID_YTM")</f>
        <v>#N/A Requesting Data...</v>
      </c>
      <c r="P656" t="str">
        <f>_xll.BDP("164825CM Muni","MUNI_TAX_PROV")</f>
        <v>#N/A Requesting Data...</v>
      </c>
      <c r="Q656" t="str">
        <f>_xll.BDP("164825CM Muni","MUNI_FED_TAX")</f>
        <v>#N/A Requesting Data...</v>
      </c>
      <c r="R656" t="str">
        <f>_xll.BDP("164825CM Muni","MUNI_MSRB_VOLUME")</f>
        <v>#N/A Requesting Data...</v>
      </c>
      <c r="S656" t="str">
        <f>_xll.BDP("164825CM Muni","BB_COMPOSITE")</f>
        <v>#N/A Requesting Data...</v>
      </c>
      <c r="T656" t="str">
        <f>_xll.BDP("164825CM Muni","LQA_LIQUIDITY_SCORE")</f>
        <v>#N/A Requesting Data...</v>
      </c>
    </row>
    <row r="657" spans="1:20" x14ac:dyDescent="0.25">
      <c r="A657" t="str">
        <f>_xll.BDP("113835M5 Muni","ID_CUSIP")</f>
        <v>#N/A Requesting Data...</v>
      </c>
      <c r="B657" t="s">
        <v>258</v>
      </c>
      <c r="C657" t="str">
        <f>_xll.BDP("113835M5 Muni","INSURANCE_STATUS")</f>
        <v>#N/A Requesting Data...</v>
      </c>
      <c r="D657" t="str">
        <f>_xll.BDP("113835M5 Muni","STATE_CODE")</f>
        <v>#N/A Requesting Data...</v>
      </c>
      <c r="E657" t="str">
        <f>_xll.BDP("113835M5 Muni","COUNTY_LOCATION_ISSUER")</f>
        <v>#N/A Requesting Data...</v>
      </c>
      <c r="F657" t="str">
        <f>_xll.BDP("113835M5 Muni","DUR_ADJ_MID")</f>
        <v>#N/A Requesting Data...</v>
      </c>
      <c r="G657" t="str">
        <f>_xll.BDP("113835M5 Muni","SPREAD_AT_ISSUANCE_TO_WORST")</f>
        <v>#N/A Requesting Data...</v>
      </c>
      <c r="H657" t="str">
        <f>_xll.BDP("113835M5 Muni","ISSUE_DT")</f>
        <v>#N/A Requesting Data...</v>
      </c>
      <c r="I657" t="str">
        <f>_xll.BDS("113835M5 Muni","MUNI_PURPOSE_SCHED", "aggregate=y")</f>
        <v>#N/A Review</v>
      </c>
      <c r="J657" t="str">
        <f>_xll.BDP("113835M5 Muni","CPN")</f>
        <v>#N/A Requesting Data...</v>
      </c>
      <c r="K657" t="str">
        <f>_xll.BDP("113835M5 Muni","MATURITY")</f>
        <v>#N/A Requesting Data...</v>
      </c>
      <c r="L657">
        <v>550000</v>
      </c>
      <c r="M657" t="str">
        <f>_xll.BDP("113835M5 Muni","YIELD_ON_ISSUE_DATE")</f>
        <v>#N/A Requesting Data...</v>
      </c>
      <c r="N657" t="str">
        <f>_xll.BDP("113835M5 Muni","YTW_SPREAD_TO_MATURITY_AT_ISSU")</f>
        <v>#N/A Requesting Data...</v>
      </c>
      <c r="O657" t="str">
        <f>_xll.BDP("113835M5 Muni","BVAL_MID_YTM")</f>
        <v>#N/A Requesting Data...</v>
      </c>
      <c r="P657" t="str">
        <f>_xll.BDP("113835M5 Muni","MUNI_TAX_PROV")</f>
        <v>#N/A Requesting Data...</v>
      </c>
      <c r="Q657" t="str">
        <f>_xll.BDP("113835M5 Muni","MUNI_FED_TAX")</f>
        <v>#N/A Requesting Data...</v>
      </c>
      <c r="R657" t="str">
        <f>_xll.BDP("113835M5 Muni","MUNI_MSRB_VOLUME")</f>
        <v>#N/A Requesting Data...</v>
      </c>
      <c r="S657" t="str">
        <f>_xll.BDP("113835M5 Muni","BB_COMPOSITE")</f>
        <v>#N/A Requesting Data...</v>
      </c>
      <c r="T657" t="str">
        <f>_xll.BDP("113835M5 Muni","LQA_LIQUIDITY_SCORE")</f>
        <v>#N/A Requesting Data...</v>
      </c>
    </row>
    <row r="658" spans="1:20" x14ac:dyDescent="0.25">
      <c r="A658" t="str">
        <f>_xll.BDP("113835M6 Muni","ID_CUSIP")</f>
        <v>#N/A Requesting Data...</v>
      </c>
      <c r="B658" t="s">
        <v>258</v>
      </c>
      <c r="C658" t="str">
        <f>_xll.BDP("113835M6 Muni","INSURANCE_STATUS")</f>
        <v>#N/A Requesting Data...</v>
      </c>
      <c r="D658" t="str">
        <f>_xll.BDP("113835M6 Muni","STATE_CODE")</f>
        <v>#N/A Requesting Data...</v>
      </c>
      <c r="E658" t="str">
        <f>_xll.BDP("113835M6 Muni","COUNTY_LOCATION_ISSUER")</f>
        <v>#N/A Requesting Data...</v>
      </c>
      <c r="F658" t="str">
        <f>_xll.BDP("113835M6 Muni","DUR_ADJ_MID")</f>
        <v>#N/A Requesting Data...</v>
      </c>
      <c r="G658" t="str">
        <f>_xll.BDP("113835M6 Muni","SPREAD_AT_ISSUANCE_TO_WORST")</f>
        <v>#N/A Requesting Data...</v>
      </c>
      <c r="H658" t="str">
        <f>_xll.BDP("113835M6 Muni","ISSUE_DT")</f>
        <v>#N/A Requesting Data...</v>
      </c>
      <c r="I658" t="str">
        <f>_xll.BDS("113835M6 Muni","MUNI_PURPOSE_SCHED", "aggregate=y")</f>
        <v>#N/A Review</v>
      </c>
      <c r="J658" t="str">
        <f>_xll.BDP("113835M6 Muni","CPN")</f>
        <v>#N/A Requesting Data...</v>
      </c>
      <c r="K658" t="str">
        <f>_xll.BDP("113835M6 Muni","MATURITY")</f>
        <v>#N/A Requesting Data...</v>
      </c>
      <c r="L658">
        <v>565000</v>
      </c>
      <c r="M658" t="str">
        <f>_xll.BDP("113835M6 Muni","YIELD_ON_ISSUE_DATE")</f>
        <v>#N/A Requesting Data...</v>
      </c>
      <c r="N658" t="str">
        <f>_xll.BDP("113835M6 Muni","YTW_SPREAD_TO_MATURITY_AT_ISSU")</f>
        <v>#N/A Requesting Data...</v>
      </c>
      <c r="O658" t="str">
        <f>_xll.BDP("113835M6 Muni","BVAL_MID_YTM")</f>
        <v>#N/A Requesting Data...</v>
      </c>
      <c r="P658" t="str">
        <f>_xll.BDP("113835M6 Muni","MUNI_TAX_PROV")</f>
        <v>#N/A Requesting Data...</v>
      </c>
      <c r="Q658" t="str">
        <f>_xll.BDP("113835M6 Muni","MUNI_FED_TAX")</f>
        <v>#N/A Requesting Data...</v>
      </c>
      <c r="R658" t="str">
        <f>_xll.BDP("113835M6 Muni","MUNI_MSRB_VOLUME")</f>
        <v>#N/A Requesting Data...</v>
      </c>
      <c r="S658" t="str">
        <f>_xll.BDP("113835M6 Muni","BB_COMPOSITE")</f>
        <v>#N/A Requesting Data...</v>
      </c>
      <c r="T658" t="str">
        <f>_xll.BDP("113835M6 Muni","LQA_LIQUIDITY_SCORE")</f>
        <v>#N/A Requesting Data...</v>
      </c>
    </row>
    <row r="659" spans="1:20" x14ac:dyDescent="0.25">
      <c r="A659" t="str">
        <f>_xll.BDP("113835M7 Muni","ID_CUSIP")</f>
        <v>#N/A Requesting Data...</v>
      </c>
      <c r="B659" t="s">
        <v>258</v>
      </c>
      <c r="C659" t="str">
        <f>_xll.BDP("113835M7 Muni","INSURANCE_STATUS")</f>
        <v>#N/A Requesting Data...</v>
      </c>
      <c r="D659" t="str">
        <f>_xll.BDP("113835M7 Muni","STATE_CODE")</f>
        <v>#N/A Requesting Data...</v>
      </c>
      <c r="E659" t="str">
        <f>_xll.BDP("113835M7 Muni","COUNTY_LOCATION_ISSUER")</f>
        <v>#N/A Requesting Data...</v>
      </c>
      <c r="F659" t="str">
        <f>_xll.BDP("113835M7 Muni","DUR_ADJ_MID")</f>
        <v>#N/A Requesting Data...</v>
      </c>
      <c r="G659" t="str">
        <f>_xll.BDP("113835M7 Muni","SPREAD_AT_ISSUANCE_TO_WORST")</f>
        <v>#N/A Requesting Data...</v>
      </c>
      <c r="H659" t="str">
        <f>_xll.BDP("113835M7 Muni","ISSUE_DT")</f>
        <v>#N/A Requesting Data...</v>
      </c>
      <c r="I659" t="str">
        <f>_xll.BDS("113835M7 Muni","MUNI_PURPOSE_SCHED", "aggregate=y")</f>
        <v>#N/A Review</v>
      </c>
      <c r="J659" t="str">
        <f>_xll.BDP("113835M7 Muni","CPN")</f>
        <v>#N/A Requesting Data...</v>
      </c>
      <c r="K659" t="str">
        <f>_xll.BDP("113835M7 Muni","MATURITY")</f>
        <v>#N/A Requesting Data...</v>
      </c>
      <c r="L659">
        <v>570000</v>
      </c>
      <c r="M659" t="str">
        <f>_xll.BDP("113835M7 Muni","YIELD_ON_ISSUE_DATE")</f>
        <v>#N/A Requesting Data...</v>
      </c>
      <c r="N659" t="str">
        <f>_xll.BDP("113835M7 Muni","YTW_SPREAD_TO_MATURITY_AT_ISSU")</f>
        <v>#N/A Requesting Data...</v>
      </c>
      <c r="O659" t="str">
        <f>_xll.BDP("113835M7 Muni","BVAL_MID_YTM")</f>
        <v>#N/A Requesting Data...</v>
      </c>
      <c r="P659" t="str">
        <f>_xll.BDP("113835M7 Muni","MUNI_TAX_PROV")</f>
        <v>#N/A Requesting Data...</v>
      </c>
      <c r="Q659" t="str">
        <f>_xll.BDP("113835M7 Muni","MUNI_FED_TAX")</f>
        <v>#N/A Requesting Data...</v>
      </c>
      <c r="R659" t="str">
        <f>_xll.BDP("113835M7 Muni","MUNI_MSRB_VOLUME")</f>
        <v>#N/A Requesting Data...</v>
      </c>
      <c r="S659" t="str">
        <f>_xll.BDP("113835M7 Muni","BB_COMPOSITE")</f>
        <v>#N/A Requesting Data...</v>
      </c>
      <c r="T659" t="str">
        <f>_xll.BDP("113835M7 Muni","LQA_LIQUIDITY_SCORE")</f>
        <v>#N/A Requesting Data...</v>
      </c>
    </row>
    <row r="660" spans="1:20" x14ac:dyDescent="0.25">
      <c r="A660" t="str">
        <f>_xll.BDP("143287CJ Muni","ID_CUSIP")</f>
        <v>#N/A Requesting Data...</v>
      </c>
      <c r="B660" t="s">
        <v>81</v>
      </c>
      <c r="C660" t="str">
        <f>_xll.BDP("143287CJ Muni","INSURANCE_STATUS")</f>
        <v>#N/A Requesting Data...</v>
      </c>
      <c r="D660" t="str">
        <f>_xll.BDP("143287CJ Muni","STATE_CODE")</f>
        <v>#N/A Requesting Data...</v>
      </c>
      <c r="E660" t="str">
        <f>_xll.BDP("143287CJ Muni","COUNTY_LOCATION_ISSUER")</f>
        <v>#N/A Requesting Data...</v>
      </c>
      <c r="F660" t="str">
        <f>_xll.BDP("143287CJ Muni","DUR_ADJ_MID")</f>
        <v>#N/A Requesting Data...</v>
      </c>
      <c r="G660" t="str">
        <f>_xll.BDP("143287CJ Muni","SPREAD_AT_ISSUANCE_TO_WORST")</f>
        <v>#N/A Requesting Data...</v>
      </c>
      <c r="H660" t="str">
        <f>_xll.BDP("143287CJ Muni","ISSUE_DT")</f>
        <v>#N/A Requesting Data...</v>
      </c>
      <c r="I660" t="str">
        <f>_xll.BDS("143287CJ Muni","MUNI_PURPOSE_SCHED", "aggregate=y")</f>
        <v>#N/A Review</v>
      </c>
      <c r="J660" t="str">
        <f>_xll.BDP("143287CJ Muni","CPN")</f>
        <v>#N/A Requesting Data...</v>
      </c>
      <c r="K660" t="str">
        <f>_xll.BDP("143287CJ Muni","MATURITY")</f>
        <v>#N/A Requesting Data...</v>
      </c>
      <c r="L660">
        <v>3635000</v>
      </c>
      <c r="M660" t="str">
        <f>_xll.BDP("143287CJ Muni","YIELD_ON_ISSUE_DATE")</f>
        <v>#N/A Requesting Data...</v>
      </c>
      <c r="N660" t="str">
        <f>_xll.BDP("143287CJ Muni","YTW_SPREAD_TO_MATURITY_AT_ISSU")</f>
        <v>#N/A Requesting Data...</v>
      </c>
      <c r="O660" t="str">
        <f>_xll.BDP("143287CJ Muni","BVAL_MID_YTM")</f>
        <v>#N/A Requesting Data...</v>
      </c>
      <c r="P660" t="str">
        <f>_xll.BDP("143287CJ Muni","MUNI_TAX_PROV")</f>
        <v>#N/A Requesting Data...</v>
      </c>
      <c r="Q660" t="str">
        <f>_xll.BDP("143287CJ Muni","MUNI_FED_TAX")</f>
        <v>#N/A Requesting Data...</v>
      </c>
      <c r="R660" t="str">
        <f>_xll.BDP("143287CJ Muni","MUNI_MSRB_VOLUME")</f>
        <v>#N/A Requesting Data...</v>
      </c>
      <c r="S660" t="str">
        <f>_xll.BDP("143287CJ Muni","BB_COMPOSITE")</f>
        <v>#N/A Requesting Data...</v>
      </c>
      <c r="T660" t="str">
        <f>_xll.BDP("143287CJ Muni","LQA_LIQUIDITY_SCORE")</f>
        <v>#N/A Requesting Data...</v>
      </c>
    </row>
    <row r="661" spans="1:20" x14ac:dyDescent="0.25">
      <c r="A661" t="str">
        <f>_xll.BDP("143287CK Muni","ID_CUSIP")</f>
        <v>#N/A Requesting Data...</v>
      </c>
      <c r="B661" t="s">
        <v>81</v>
      </c>
      <c r="C661" t="str">
        <f>_xll.BDP("143287CK Muni","INSURANCE_STATUS")</f>
        <v>#N/A Requesting Data...</v>
      </c>
      <c r="D661" t="str">
        <f>_xll.BDP("143287CK Muni","STATE_CODE")</f>
        <v>#N/A Requesting Data...</v>
      </c>
      <c r="E661" t="str">
        <f>_xll.BDP("143287CK Muni","COUNTY_LOCATION_ISSUER")</f>
        <v>#N/A Requesting Data...</v>
      </c>
      <c r="F661" t="str">
        <f>_xll.BDP("143287CK Muni","DUR_ADJ_MID")</f>
        <v>#N/A Requesting Data...</v>
      </c>
      <c r="G661" t="str">
        <f>_xll.BDP("143287CK Muni","SPREAD_AT_ISSUANCE_TO_WORST")</f>
        <v>#N/A Requesting Data...</v>
      </c>
      <c r="H661" t="str">
        <f>_xll.BDP("143287CK Muni","ISSUE_DT")</f>
        <v>#N/A Requesting Data...</v>
      </c>
      <c r="I661" t="str">
        <f>_xll.BDS("143287CK Muni","MUNI_PURPOSE_SCHED", "aggregate=y")</f>
        <v>#N/A Review</v>
      </c>
      <c r="J661" t="str">
        <f>_xll.BDP("143287CK Muni","CPN")</f>
        <v>#N/A Requesting Data...</v>
      </c>
      <c r="K661" t="str">
        <f>_xll.BDP("143287CK Muni","MATURITY")</f>
        <v>#N/A Requesting Data...</v>
      </c>
      <c r="L661">
        <v>5235000</v>
      </c>
      <c r="M661" t="str">
        <f>_xll.BDP("143287CK Muni","YIELD_ON_ISSUE_DATE")</f>
        <v>#N/A Requesting Data...</v>
      </c>
      <c r="N661" t="str">
        <f>_xll.BDP("143287CK Muni","YTW_SPREAD_TO_MATURITY_AT_ISSU")</f>
        <v>#N/A Requesting Data...</v>
      </c>
      <c r="O661" t="str">
        <f>_xll.BDP("143287CK Muni","BVAL_MID_YTM")</f>
        <v>#N/A Requesting Data...</v>
      </c>
      <c r="P661" t="str">
        <f>_xll.BDP("143287CK Muni","MUNI_TAX_PROV")</f>
        <v>#N/A Requesting Data...</v>
      </c>
      <c r="Q661" t="str">
        <f>_xll.BDP("143287CK Muni","MUNI_FED_TAX")</f>
        <v>#N/A Requesting Data...</v>
      </c>
      <c r="R661" t="str">
        <f>_xll.BDP("143287CK Muni","MUNI_MSRB_VOLUME")</f>
        <v>#N/A Requesting Data...</v>
      </c>
      <c r="S661" t="str">
        <f>_xll.BDP("143287CK Muni","BB_COMPOSITE")</f>
        <v>#N/A Requesting Data...</v>
      </c>
      <c r="T661" t="str">
        <f>_xll.BDP("143287CK Muni","LQA_LIQUIDITY_SCORE")</f>
        <v>#N/A Requesting Data...</v>
      </c>
    </row>
    <row r="662" spans="1:20" x14ac:dyDescent="0.25">
      <c r="A662" t="str">
        <f>_xll.BDP("143287CL Muni","ID_CUSIP")</f>
        <v>#N/A Requesting Data...</v>
      </c>
      <c r="B662" t="s">
        <v>81</v>
      </c>
      <c r="C662" t="str">
        <f>_xll.BDP("143287CL Muni","INSURANCE_STATUS")</f>
        <v>#N/A Requesting Data...</v>
      </c>
      <c r="D662" t="str">
        <f>_xll.BDP("143287CL Muni","STATE_CODE")</f>
        <v>#N/A Requesting Data...</v>
      </c>
      <c r="E662" t="str">
        <f>_xll.BDP("143287CL Muni","COUNTY_LOCATION_ISSUER")</f>
        <v>#N/A Requesting Data...</v>
      </c>
      <c r="F662" t="str">
        <f>_xll.BDP("143287CL Muni","DUR_ADJ_MID")</f>
        <v>#N/A Requesting Data...</v>
      </c>
      <c r="G662" t="str">
        <f>_xll.BDP("143287CL Muni","SPREAD_AT_ISSUANCE_TO_WORST")</f>
        <v>#N/A Requesting Data...</v>
      </c>
      <c r="H662" t="str">
        <f>_xll.BDP("143287CL Muni","ISSUE_DT")</f>
        <v>#N/A Requesting Data...</v>
      </c>
      <c r="I662" t="str">
        <f>_xll.BDS("143287CL Muni","MUNI_PURPOSE_SCHED", "aggregate=y")</f>
        <v>#N/A Review</v>
      </c>
      <c r="J662" t="str">
        <f>_xll.BDP("143287CL Muni","CPN")</f>
        <v>#N/A Requesting Data...</v>
      </c>
      <c r="K662" t="str">
        <f>_xll.BDP("143287CL Muni","MATURITY")</f>
        <v>#N/A Requesting Data...</v>
      </c>
      <c r="L662">
        <v>5895000</v>
      </c>
      <c r="M662" t="str">
        <f>_xll.BDP("143287CL Muni","YIELD_ON_ISSUE_DATE")</f>
        <v>#N/A Requesting Data...</v>
      </c>
      <c r="N662" t="str">
        <f>_xll.BDP("143287CL Muni","YTW_SPREAD_TO_MATURITY_AT_ISSU")</f>
        <v>#N/A Requesting Data...</v>
      </c>
      <c r="O662" t="str">
        <f>_xll.BDP("143287CL Muni","BVAL_MID_YTM")</f>
        <v>#N/A Requesting Data...</v>
      </c>
      <c r="P662" t="str">
        <f>_xll.BDP("143287CL Muni","MUNI_TAX_PROV")</f>
        <v>#N/A Requesting Data...</v>
      </c>
      <c r="Q662" t="str">
        <f>_xll.BDP("143287CL Muni","MUNI_FED_TAX")</f>
        <v>#N/A Requesting Data...</v>
      </c>
      <c r="R662" t="str">
        <f>_xll.BDP("143287CL Muni","MUNI_MSRB_VOLUME")</f>
        <v>#N/A Requesting Data...</v>
      </c>
      <c r="S662" t="str">
        <f>_xll.BDP("143287CL Muni","BB_COMPOSITE")</f>
        <v>#N/A Requesting Data...</v>
      </c>
      <c r="T662" t="str">
        <f>_xll.BDP("143287CL Muni","LQA_LIQUIDITY_SCORE")</f>
        <v>#N/A Requesting Data...</v>
      </c>
    </row>
    <row r="663" spans="1:20" x14ac:dyDescent="0.25">
      <c r="A663" t="str">
        <f>_xll.BDP("143813AG Muni","ID_CUSIP")</f>
        <v>#N/A Requesting Data...</v>
      </c>
      <c r="B663" t="s">
        <v>106</v>
      </c>
      <c r="C663" t="str">
        <f>_xll.BDP("143813AG Muni","INSURANCE_STATUS")</f>
        <v>#N/A Requesting Data...</v>
      </c>
      <c r="D663" t="str">
        <f>_xll.BDP("143813AG Muni","STATE_CODE")</f>
        <v>#N/A Requesting Data...</v>
      </c>
      <c r="E663" t="str">
        <f>_xll.BDP("143813AG Muni","COUNTY_LOCATION_ISSUER")</f>
        <v>#N/A Requesting Data...</v>
      </c>
      <c r="F663" t="str">
        <f>_xll.BDP("143813AG Muni","DUR_ADJ_MID")</f>
        <v>#N/A Requesting Data...</v>
      </c>
      <c r="G663" t="str">
        <f>_xll.BDP("143813AG Muni","SPREAD_AT_ISSUANCE_TO_WORST")</f>
        <v>#N/A Requesting Data...</v>
      </c>
      <c r="H663" t="str">
        <f>_xll.BDP("143813AG Muni","ISSUE_DT")</f>
        <v>#N/A Requesting Data...</v>
      </c>
      <c r="I663" t="str">
        <f>_xll.BDS("143813AG Muni","MUNI_PURPOSE_SCHED", "aggregate=y")</f>
        <v>#N/A Review</v>
      </c>
      <c r="J663" t="str">
        <f>_xll.BDP("143813AG Muni","CPN")</f>
        <v>#N/A Requesting Data...</v>
      </c>
      <c r="K663" t="str">
        <f>_xll.BDP("143813AG Muni","MATURITY")</f>
        <v>#N/A Requesting Data...</v>
      </c>
      <c r="L663">
        <v>1150000</v>
      </c>
      <c r="M663" t="str">
        <f>_xll.BDP("143813AG Muni","YIELD_ON_ISSUE_DATE")</f>
        <v>#N/A Requesting Data...</v>
      </c>
      <c r="N663" t="str">
        <f>_xll.BDP("143813AG Muni","YTW_SPREAD_TO_MATURITY_AT_ISSU")</f>
        <v>#N/A Requesting Data...</v>
      </c>
      <c r="O663" t="str">
        <f>_xll.BDP("143813AG Muni","BVAL_MID_YTM")</f>
        <v>#N/A Requesting Data...</v>
      </c>
      <c r="P663" t="str">
        <f>_xll.BDP("143813AG Muni","MUNI_TAX_PROV")</f>
        <v>#N/A Requesting Data...</v>
      </c>
      <c r="Q663" t="str">
        <f>_xll.BDP("143813AG Muni","MUNI_FED_TAX")</f>
        <v>#N/A Requesting Data...</v>
      </c>
      <c r="R663" t="str">
        <f>_xll.BDP("143813AG Muni","MUNI_MSRB_VOLUME")</f>
        <v>#N/A Requesting Data...</v>
      </c>
      <c r="S663" t="str">
        <f>_xll.BDP("143813AG Muni","BB_COMPOSITE")</f>
        <v>#N/A Requesting Data...</v>
      </c>
      <c r="T663" t="str">
        <f>_xll.BDP("143813AG Muni","LQA_LIQUIDITY_SCORE")</f>
        <v>#N/A Requesting Data...</v>
      </c>
    </row>
    <row r="664" spans="1:20" x14ac:dyDescent="0.25">
      <c r="A664" t="str">
        <f>_xll.BDP("143813AH Muni","ID_CUSIP")</f>
        <v>#N/A Requesting Data...</v>
      </c>
      <c r="B664" t="s">
        <v>106</v>
      </c>
      <c r="C664" t="str">
        <f>_xll.BDP("143813AH Muni","INSURANCE_STATUS")</f>
        <v>#N/A Requesting Data...</v>
      </c>
      <c r="D664" t="str">
        <f>_xll.BDP("143813AH Muni","STATE_CODE")</f>
        <v>#N/A Requesting Data...</v>
      </c>
      <c r="E664" t="str">
        <f>_xll.BDP("143813AH Muni","COUNTY_LOCATION_ISSUER")</f>
        <v>#N/A Requesting Data...</v>
      </c>
      <c r="F664" t="str">
        <f>_xll.BDP("143813AH Muni","DUR_ADJ_MID")</f>
        <v>#N/A Requesting Data...</v>
      </c>
      <c r="G664" t="str">
        <f>_xll.BDP("143813AH Muni","SPREAD_AT_ISSUANCE_TO_WORST")</f>
        <v>#N/A Requesting Data...</v>
      </c>
      <c r="H664" t="str">
        <f>_xll.BDP("143813AH Muni","ISSUE_DT")</f>
        <v>#N/A Requesting Data...</v>
      </c>
      <c r="I664" t="str">
        <f>_xll.BDS("143813AH Muni","MUNI_PURPOSE_SCHED", "aggregate=y")</f>
        <v>#N/A Review</v>
      </c>
      <c r="J664" t="str">
        <f>_xll.BDP("143813AH Muni","CPN")</f>
        <v>#N/A Requesting Data...</v>
      </c>
      <c r="K664" t="str">
        <f>_xll.BDP("143813AH Muni","MATURITY")</f>
        <v>#N/A Requesting Data...</v>
      </c>
      <c r="L664">
        <v>1200000</v>
      </c>
      <c r="M664" t="str">
        <f>_xll.BDP("143813AH Muni","YIELD_ON_ISSUE_DATE")</f>
        <v>#N/A Requesting Data...</v>
      </c>
      <c r="N664" t="str">
        <f>_xll.BDP("143813AH Muni","YTW_SPREAD_TO_MATURITY_AT_ISSU")</f>
        <v>#N/A Requesting Data...</v>
      </c>
      <c r="O664" t="str">
        <f>_xll.BDP("143813AH Muni","BVAL_MID_YTM")</f>
        <v>#N/A Requesting Data...</v>
      </c>
      <c r="P664" t="str">
        <f>_xll.BDP("143813AH Muni","MUNI_TAX_PROV")</f>
        <v>#N/A Requesting Data...</v>
      </c>
      <c r="Q664" t="str">
        <f>_xll.BDP("143813AH Muni","MUNI_FED_TAX")</f>
        <v>#N/A Requesting Data...</v>
      </c>
      <c r="R664" t="str">
        <f>_xll.BDP("143813AH Muni","MUNI_MSRB_VOLUME")</f>
        <v>#N/A Requesting Data...</v>
      </c>
      <c r="S664" t="str">
        <f>_xll.BDP("143813AH Muni","BB_COMPOSITE")</f>
        <v>#N/A Requesting Data...</v>
      </c>
      <c r="T664" t="str">
        <f>_xll.BDP("143813AH Muni","LQA_LIQUIDITY_SCORE")</f>
        <v>#N/A Requesting Data...</v>
      </c>
    </row>
    <row r="665" spans="1:20" x14ac:dyDescent="0.25">
      <c r="A665" t="str">
        <f>_xll.BDP("143813AK Muni","ID_CUSIP")</f>
        <v>#N/A Requesting Data...</v>
      </c>
      <c r="B665" t="s">
        <v>106</v>
      </c>
      <c r="C665" t="str">
        <f>_xll.BDP("143813AK Muni","INSURANCE_STATUS")</f>
        <v>#N/A Requesting Data...</v>
      </c>
      <c r="D665" t="str">
        <f>_xll.BDP("143813AK Muni","STATE_CODE")</f>
        <v>#N/A Requesting Data...</v>
      </c>
      <c r="E665" t="str">
        <f>_xll.BDP("143813AK Muni","COUNTY_LOCATION_ISSUER")</f>
        <v>#N/A Requesting Data...</v>
      </c>
      <c r="F665" t="str">
        <f>_xll.BDP("143813AK Muni","DUR_ADJ_MID")</f>
        <v>#N/A Requesting Data...</v>
      </c>
      <c r="G665" t="str">
        <f>_xll.BDP("143813AK Muni","SPREAD_AT_ISSUANCE_TO_WORST")</f>
        <v>#N/A Requesting Data...</v>
      </c>
      <c r="H665" t="str">
        <f>_xll.BDP("143813AK Muni","ISSUE_DT")</f>
        <v>#N/A Requesting Data...</v>
      </c>
      <c r="I665" t="str">
        <f>_xll.BDS("143813AK Muni","MUNI_PURPOSE_SCHED", "aggregate=y")</f>
        <v>#N/A Review</v>
      </c>
      <c r="J665" t="str">
        <f>_xll.BDP("143813AK Muni","CPN")</f>
        <v>#N/A Requesting Data...</v>
      </c>
      <c r="K665" t="str">
        <f>_xll.BDP("143813AK Muni","MATURITY")</f>
        <v>#N/A Requesting Data...</v>
      </c>
      <c r="L665">
        <v>1200000</v>
      </c>
      <c r="M665" t="str">
        <f>_xll.BDP("143813AK Muni","YIELD_ON_ISSUE_DATE")</f>
        <v>#N/A Requesting Data...</v>
      </c>
      <c r="N665" t="str">
        <f>_xll.BDP("143813AK Muni","YTW_SPREAD_TO_MATURITY_AT_ISSU")</f>
        <v>#N/A Requesting Data...</v>
      </c>
      <c r="O665" t="str">
        <f>_xll.BDP("143813AK Muni","BVAL_MID_YTM")</f>
        <v>#N/A Requesting Data...</v>
      </c>
      <c r="P665" t="str">
        <f>_xll.BDP("143813AK Muni","MUNI_TAX_PROV")</f>
        <v>#N/A Requesting Data...</v>
      </c>
      <c r="Q665" t="str">
        <f>_xll.BDP("143813AK Muni","MUNI_FED_TAX")</f>
        <v>#N/A Requesting Data...</v>
      </c>
      <c r="R665" t="str">
        <f>_xll.BDP("143813AK Muni","MUNI_MSRB_VOLUME")</f>
        <v>#N/A Requesting Data...</v>
      </c>
      <c r="S665" t="str">
        <f>_xll.BDP("143813AK Muni","BB_COMPOSITE")</f>
        <v>#N/A Requesting Data...</v>
      </c>
      <c r="T665" t="str">
        <f>_xll.BDP("143813AK Muni","LQA_LIQUIDITY_SCORE")</f>
        <v>#N/A Requesting Data...</v>
      </c>
    </row>
    <row r="666" spans="1:20" x14ac:dyDescent="0.25">
      <c r="A666" t="str">
        <f>_xll.BDP("071474BY Muni","ID_CUSIP")</f>
        <v>#N/A Requesting Data...</v>
      </c>
      <c r="B666" t="s">
        <v>135</v>
      </c>
      <c r="C666" t="str">
        <f>_xll.BDP("071474BY Muni","INSURANCE_STATUS")</f>
        <v>#N/A Requesting Data...</v>
      </c>
      <c r="D666" t="str">
        <f>_xll.BDP("071474BY Muni","STATE_CODE")</f>
        <v>#N/A Requesting Data...</v>
      </c>
      <c r="E666" t="str">
        <f>_xll.BDP("071474BY Muni","COUNTY_LOCATION_ISSUER")</f>
        <v>#N/A Requesting Data...</v>
      </c>
      <c r="F666" t="str">
        <f>_xll.BDP("071474BY Muni","DUR_ADJ_MID")</f>
        <v>#N/A Requesting Data...</v>
      </c>
      <c r="G666" t="str">
        <f>_xll.BDP("071474BY Muni","SPREAD_AT_ISSUANCE_TO_WORST")</f>
        <v>#N/A Requesting Data...</v>
      </c>
      <c r="H666" t="str">
        <f>_xll.BDP("071474BY Muni","ISSUE_DT")</f>
        <v>#N/A Requesting Data...</v>
      </c>
      <c r="I666" t="str">
        <f>_xll.BDS("071474BY Muni","MUNI_PURPOSE_SCHED", "aggregate=y")</f>
        <v>#N/A Review</v>
      </c>
      <c r="J666" t="str">
        <f>_xll.BDP("071474BY Muni","CPN")</f>
        <v>#N/A Requesting Data...</v>
      </c>
      <c r="K666" t="str">
        <f>_xll.BDP("071474BY Muni","MATURITY")</f>
        <v>#N/A Requesting Data...</v>
      </c>
      <c r="L666">
        <v>320000</v>
      </c>
      <c r="M666" t="str">
        <f>_xll.BDP("071474BY Muni","YIELD_ON_ISSUE_DATE")</f>
        <v>#N/A Requesting Data...</v>
      </c>
      <c r="N666" t="str">
        <f>_xll.BDP("071474BY Muni","YTW_SPREAD_TO_MATURITY_AT_ISSU")</f>
        <v>#N/A Requesting Data...</v>
      </c>
      <c r="O666" t="str">
        <f>_xll.BDP("071474BY Muni","BVAL_MID_YTM")</f>
        <v>#N/A Requesting Data...</v>
      </c>
      <c r="P666" t="str">
        <f>_xll.BDP("071474BY Muni","MUNI_TAX_PROV")</f>
        <v>#N/A Requesting Data...</v>
      </c>
      <c r="Q666" t="str">
        <f>_xll.BDP("071474BY Muni","MUNI_FED_TAX")</f>
        <v>#N/A Requesting Data...</v>
      </c>
      <c r="R666" t="str">
        <f>_xll.BDP("071474BY Muni","MUNI_MSRB_VOLUME")</f>
        <v>#N/A Requesting Data...</v>
      </c>
      <c r="S666" t="str">
        <f>_xll.BDP("071474BY Muni","BB_COMPOSITE")</f>
        <v>#N/A Requesting Data...</v>
      </c>
      <c r="T666" t="str">
        <f>_xll.BDP("071474BY Muni","LQA_LIQUIDITY_SCORE")</f>
        <v>#N/A Requesting Data...</v>
      </c>
    </row>
    <row r="667" spans="1:20" x14ac:dyDescent="0.25">
      <c r="A667" t="str">
        <f>_xll.BDP("071474BZ Muni","ID_CUSIP")</f>
        <v>#N/A Requesting Data...</v>
      </c>
      <c r="B667" t="s">
        <v>135</v>
      </c>
      <c r="C667" t="str">
        <f>_xll.BDP("071474BZ Muni","INSURANCE_STATUS")</f>
        <v>#N/A Requesting Data...</v>
      </c>
      <c r="D667" t="str">
        <f>_xll.BDP("071474BZ Muni","STATE_CODE")</f>
        <v>#N/A Requesting Data...</v>
      </c>
      <c r="E667" t="str">
        <f>_xll.BDP("071474BZ Muni","COUNTY_LOCATION_ISSUER")</f>
        <v>#N/A Requesting Data...</v>
      </c>
      <c r="F667" t="str">
        <f>_xll.BDP("071474BZ Muni","DUR_ADJ_MID")</f>
        <v>#N/A Requesting Data...</v>
      </c>
      <c r="G667" t="str">
        <f>_xll.BDP("071474BZ Muni","SPREAD_AT_ISSUANCE_TO_WORST")</f>
        <v>#N/A Requesting Data...</v>
      </c>
      <c r="H667" t="str">
        <f>_xll.BDP("071474BZ Muni","ISSUE_DT")</f>
        <v>#N/A Requesting Data...</v>
      </c>
      <c r="I667" t="str">
        <f>_xll.BDS("071474BZ Muni","MUNI_PURPOSE_SCHED", "aggregate=y")</f>
        <v>#N/A Review</v>
      </c>
      <c r="J667" t="str">
        <f>_xll.BDP("071474BZ Muni","CPN")</f>
        <v>#N/A Requesting Data...</v>
      </c>
      <c r="K667" t="str">
        <f>_xll.BDP("071474BZ Muni","MATURITY")</f>
        <v>#N/A Requesting Data...</v>
      </c>
      <c r="L667">
        <v>335000</v>
      </c>
      <c r="M667" t="str">
        <f>_xll.BDP("071474BZ Muni","YIELD_ON_ISSUE_DATE")</f>
        <v>#N/A Requesting Data...</v>
      </c>
      <c r="N667" t="str">
        <f>_xll.BDP("071474BZ Muni","YTW_SPREAD_TO_MATURITY_AT_ISSU")</f>
        <v>#N/A Requesting Data...</v>
      </c>
      <c r="O667" t="str">
        <f>_xll.BDP("071474BZ Muni","BVAL_MID_YTM")</f>
        <v>#N/A Requesting Data...</v>
      </c>
      <c r="P667" t="str">
        <f>_xll.BDP("071474BZ Muni","MUNI_TAX_PROV")</f>
        <v>#N/A Requesting Data...</v>
      </c>
      <c r="Q667" t="str">
        <f>_xll.BDP("071474BZ Muni","MUNI_FED_TAX")</f>
        <v>#N/A Requesting Data...</v>
      </c>
      <c r="R667" t="str">
        <f>_xll.BDP("071474BZ Muni","MUNI_MSRB_VOLUME")</f>
        <v>#N/A Requesting Data...</v>
      </c>
      <c r="S667" t="str">
        <f>_xll.BDP("071474BZ Muni","BB_COMPOSITE")</f>
        <v>#N/A Requesting Data...</v>
      </c>
      <c r="T667" t="str">
        <f>_xll.BDP("071474BZ Muni","LQA_LIQUIDITY_SCORE")</f>
        <v>#N/A Requesting Data...</v>
      </c>
    </row>
    <row r="668" spans="1:20" x14ac:dyDescent="0.25">
      <c r="A668" t="str">
        <f>_xll.BDP("071474CA Muni","ID_CUSIP")</f>
        <v>#N/A Requesting Data...</v>
      </c>
      <c r="B668" t="s">
        <v>135</v>
      </c>
      <c r="C668" t="str">
        <f>_xll.BDP("071474CA Muni","INSURANCE_STATUS")</f>
        <v>#N/A Requesting Data...</v>
      </c>
      <c r="D668" t="str">
        <f>_xll.BDP("071474CA Muni","STATE_CODE")</f>
        <v>#N/A Requesting Data...</v>
      </c>
      <c r="E668" t="str">
        <f>_xll.BDP("071474CA Muni","COUNTY_LOCATION_ISSUER")</f>
        <v>#N/A Requesting Data...</v>
      </c>
      <c r="F668" t="str">
        <f>_xll.BDP("071474CA Muni","DUR_ADJ_MID")</f>
        <v>#N/A Requesting Data...</v>
      </c>
      <c r="G668" t="str">
        <f>_xll.BDP("071474CA Muni","SPREAD_AT_ISSUANCE_TO_WORST")</f>
        <v>#N/A Requesting Data...</v>
      </c>
      <c r="H668" t="str">
        <f>_xll.BDP("071474CA Muni","ISSUE_DT")</f>
        <v>#N/A Requesting Data...</v>
      </c>
      <c r="I668" t="str">
        <f>_xll.BDS("071474CA Muni","MUNI_PURPOSE_SCHED", "aggregate=y")</f>
        <v>#N/A Review</v>
      </c>
      <c r="J668" t="str">
        <f>_xll.BDP("071474CA Muni","CPN")</f>
        <v>#N/A Requesting Data...</v>
      </c>
      <c r="K668" t="str">
        <f>_xll.BDP("071474CA Muni","MATURITY")</f>
        <v>#N/A Requesting Data...</v>
      </c>
      <c r="L668">
        <v>350000</v>
      </c>
      <c r="M668" t="str">
        <f>_xll.BDP("071474CA Muni","YIELD_ON_ISSUE_DATE")</f>
        <v>#N/A Requesting Data...</v>
      </c>
      <c r="N668" t="str">
        <f>_xll.BDP("071474CA Muni","YTW_SPREAD_TO_MATURITY_AT_ISSU")</f>
        <v>#N/A Requesting Data...</v>
      </c>
      <c r="O668" t="str">
        <f>_xll.BDP("071474CA Muni","BVAL_MID_YTM")</f>
        <v>#N/A Requesting Data...</v>
      </c>
      <c r="P668" t="str">
        <f>_xll.BDP("071474CA Muni","MUNI_TAX_PROV")</f>
        <v>#N/A Requesting Data...</v>
      </c>
      <c r="Q668" t="str">
        <f>_xll.BDP("071474CA Muni","MUNI_FED_TAX")</f>
        <v>#N/A Requesting Data...</v>
      </c>
      <c r="R668" t="str">
        <f>_xll.BDP("071474CA Muni","MUNI_MSRB_VOLUME")</f>
        <v>#N/A Requesting Data...</v>
      </c>
      <c r="S668" t="str">
        <f>_xll.BDP("071474CA Muni","BB_COMPOSITE")</f>
        <v>#N/A Requesting Data...</v>
      </c>
      <c r="T668" t="str">
        <f>_xll.BDP("071474CA Muni","LQA_LIQUIDITY_SCORE")</f>
        <v>#N/A Requesting Data...</v>
      </c>
    </row>
    <row r="669" spans="1:20" x14ac:dyDescent="0.25">
      <c r="A669" t="str">
        <f>_xll.BDP("071474CT Muni","ID_CUSIP")</f>
        <v>#N/A Requesting Data...</v>
      </c>
      <c r="B669" t="s">
        <v>135</v>
      </c>
      <c r="C669" t="str">
        <f>_xll.BDP("071474CT Muni","INSURANCE_STATUS")</f>
        <v>#N/A Requesting Data...</v>
      </c>
      <c r="D669" t="str">
        <f>_xll.BDP("071474CT Muni","STATE_CODE")</f>
        <v>#N/A Requesting Data...</v>
      </c>
      <c r="E669" t="str">
        <f>_xll.BDP("071474CT Muni","COUNTY_LOCATION_ISSUER")</f>
        <v>#N/A Requesting Data...</v>
      </c>
      <c r="F669" t="str">
        <f>_xll.BDP("071474CT Muni","DUR_ADJ_MID")</f>
        <v>#N/A Requesting Data...</v>
      </c>
      <c r="G669" t="str">
        <f>_xll.BDP("071474CT Muni","SPREAD_AT_ISSUANCE_TO_WORST")</f>
        <v>#N/A Requesting Data...</v>
      </c>
      <c r="H669" t="str">
        <f>_xll.BDP("071474CT Muni","ISSUE_DT")</f>
        <v>#N/A Requesting Data...</v>
      </c>
      <c r="I669" t="str">
        <f>_xll.BDS("071474CT Muni","MUNI_PURPOSE_SCHED", "aggregate=y")</f>
        <v>#N/A Review</v>
      </c>
      <c r="J669" t="str">
        <f>_xll.BDP("071474CT Muni","CPN")</f>
        <v>#N/A Requesting Data...</v>
      </c>
      <c r="K669" t="str">
        <f>_xll.BDP("071474CT Muni","MATURITY")</f>
        <v>#N/A Requesting Data...</v>
      </c>
      <c r="L669">
        <v>430000</v>
      </c>
      <c r="M669" t="str">
        <f>_xll.BDP("071474CT Muni","YIELD_ON_ISSUE_DATE")</f>
        <v>#N/A Requesting Data...</v>
      </c>
      <c r="N669" t="str">
        <f>_xll.BDP("071474CT Muni","YTW_SPREAD_TO_MATURITY_AT_ISSU")</f>
        <v>#N/A Requesting Data...</v>
      </c>
      <c r="O669" t="str">
        <f>_xll.BDP("071474CT Muni","BVAL_MID_YTM")</f>
        <v>#N/A Requesting Data...</v>
      </c>
      <c r="P669" t="str">
        <f>_xll.BDP("071474CT Muni","MUNI_TAX_PROV")</f>
        <v>#N/A Requesting Data...</v>
      </c>
      <c r="Q669" t="str">
        <f>_xll.BDP("071474CT Muni","MUNI_FED_TAX")</f>
        <v>#N/A Requesting Data...</v>
      </c>
      <c r="R669" t="str">
        <f>_xll.BDP("071474CT Muni","MUNI_MSRB_VOLUME")</f>
        <v>#N/A Requesting Data...</v>
      </c>
      <c r="S669" t="str">
        <f>_xll.BDP("071474CT Muni","BB_COMPOSITE")</f>
        <v>#N/A Requesting Data...</v>
      </c>
      <c r="T669" t="str">
        <f>_xll.BDP("071474CT Muni","LQA_LIQUIDITY_SCORE")</f>
        <v>#N/A Requesting Data...</v>
      </c>
    </row>
    <row r="670" spans="1:20" x14ac:dyDescent="0.25">
      <c r="A670" t="str">
        <f>_xll.BDP("071474CU Muni","ID_CUSIP")</f>
        <v>#N/A Requesting Data...</v>
      </c>
      <c r="B670" t="s">
        <v>135</v>
      </c>
      <c r="C670" t="str">
        <f>_xll.BDP("071474CU Muni","INSURANCE_STATUS")</f>
        <v>#N/A Requesting Data...</v>
      </c>
      <c r="D670" t="str">
        <f>_xll.BDP("071474CU Muni","STATE_CODE")</f>
        <v>#N/A Requesting Data...</v>
      </c>
      <c r="E670" t="str">
        <f>_xll.BDP("071474CU Muni","COUNTY_LOCATION_ISSUER")</f>
        <v>#N/A Requesting Data...</v>
      </c>
      <c r="F670" t="str">
        <f>_xll.BDP("071474CU Muni","DUR_ADJ_MID")</f>
        <v>#N/A Requesting Data...</v>
      </c>
      <c r="G670" t="str">
        <f>_xll.BDP("071474CU Muni","SPREAD_AT_ISSUANCE_TO_WORST")</f>
        <v>#N/A Requesting Data...</v>
      </c>
      <c r="H670" t="str">
        <f>_xll.BDP("071474CU Muni","ISSUE_DT")</f>
        <v>#N/A Requesting Data...</v>
      </c>
      <c r="I670" t="str">
        <f>_xll.BDS("071474CU Muni","MUNI_PURPOSE_SCHED", "aggregate=y")</f>
        <v>#N/A Review</v>
      </c>
      <c r="J670" t="str">
        <f>_xll.BDP("071474CU Muni","CPN")</f>
        <v>#N/A Requesting Data...</v>
      </c>
      <c r="K670" t="str">
        <f>_xll.BDP("071474CU Muni","MATURITY")</f>
        <v>#N/A Requesting Data...</v>
      </c>
      <c r="L670">
        <v>430000</v>
      </c>
      <c r="M670" t="str">
        <f>_xll.BDP("071474CU Muni","YIELD_ON_ISSUE_DATE")</f>
        <v>#N/A Requesting Data...</v>
      </c>
      <c r="N670" t="str">
        <f>_xll.BDP("071474CU Muni","YTW_SPREAD_TO_MATURITY_AT_ISSU")</f>
        <v>#N/A Requesting Data...</v>
      </c>
      <c r="O670" t="str">
        <f>_xll.BDP("071474CU Muni","BVAL_MID_YTM")</f>
        <v>#N/A Requesting Data...</v>
      </c>
      <c r="P670" t="str">
        <f>_xll.BDP("071474CU Muni","MUNI_TAX_PROV")</f>
        <v>#N/A Requesting Data...</v>
      </c>
      <c r="Q670" t="str">
        <f>_xll.BDP("071474CU Muni","MUNI_FED_TAX")</f>
        <v>#N/A Requesting Data...</v>
      </c>
      <c r="R670" t="str">
        <f>_xll.BDP("071474CU Muni","MUNI_MSRB_VOLUME")</f>
        <v>#N/A Requesting Data...</v>
      </c>
      <c r="S670" t="str">
        <f>_xll.BDP("071474CU Muni","BB_COMPOSITE")</f>
        <v>#N/A Requesting Data...</v>
      </c>
      <c r="T670" t="str">
        <f>_xll.BDP("071474CU Muni","LQA_LIQUIDITY_SCORE")</f>
        <v>#N/A Requesting Data...</v>
      </c>
    </row>
    <row r="671" spans="1:20" x14ac:dyDescent="0.25">
      <c r="A671" t="str">
        <f>_xll.BDP("071474CV Muni","ID_CUSIP")</f>
        <v>#N/A Requesting Data...</v>
      </c>
      <c r="B671" t="s">
        <v>135</v>
      </c>
      <c r="C671" t="str">
        <f>_xll.BDP("071474CV Muni","INSURANCE_STATUS")</f>
        <v>#N/A Requesting Data...</v>
      </c>
      <c r="D671" t="str">
        <f>_xll.BDP("071474CV Muni","STATE_CODE")</f>
        <v>#N/A Requesting Data...</v>
      </c>
      <c r="E671" t="str">
        <f>_xll.BDP("071474CV Muni","COUNTY_LOCATION_ISSUER")</f>
        <v>#N/A Requesting Data...</v>
      </c>
      <c r="F671" t="str">
        <f>_xll.BDP("071474CV Muni","DUR_ADJ_MID")</f>
        <v>#N/A Requesting Data...</v>
      </c>
      <c r="G671" t="str">
        <f>_xll.BDP("071474CV Muni","SPREAD_AT_ISSUANCE_TO_WORST")</f>
        <v>#N/A Requesting Data...</v>
      </c>
      <c r="H671" t="str">
        <f>_xll.BDP("071474CV Muni","ISSUE_DT")</f>
        <v>#N/A Requesting Data...</v>
      </c>
      <c r="I671" t="str">
        <f>_xll.BDS("071474CV Muni","MUNI_PURPOSE_SCHED", "aggregate=y")</f>
        <v>#N/A Review</v>
      </c>
      <c r="J671" t="str">
        <f>_xll.BDP("071474CV Muni","CPN")</f>
        <v>#N/A Requesting Data...</v>
      </c>
      <c r="K671" t="str">
        <f>_xll.BDP("071474CV Muni","MATURITY")</f>
        <v>#N/A Requesting Data...</v>
      </c>
      <c r="L671">
        <v>430000</v>
      </c>
      <c r="M671" t="str">
        <f>_xll.BDP("071474CV Muni","YIELD_ON_ISSUE_DATE")</f>
        <v>#N/A Requesting Data...</v>
      </c>
      <c r="N671" t="str">
        <f>_xll.BDP("071474CV Muni","YTW_SPREAD_TO_MATURITY_AT_ISSU")</f>
        <v>#N/A Requesting Data...</v>
      </c>
      <c r="O671" t="str">
        <f>_xll.BDP("071474CV Muni","BVAL_MID_YTM")</f>
        <v>#N/A Requesting Data...</v>
      </c>
      <c r="P671" t="str">
        <f>_xll.BDP("071474CV Muni","MUNI_TAX_PROV")</f>
        <v>#N/A Requesting Data...</v>
      </c>
      <c r="Q671" t="str">
        <f>_xll.BDP("071474CV Muni","MUNI_FED_TAX")</f>
        <v>#N/A Requesting Data...</v>
      </c>
      <c r="R671" t="str">
        <f>_xll.BDP("071474CV Muni","MUNI_MSRB_VOLUME")</f>
        <v>#N/A Requesting Data...</v>
      </c>
      <c r="S671" t="str">
        <f>_xll.BDP("071474CV Muni","BB_COMPOSITE")</f>
        <v>#N/A Requesting Data...</v>
      </c>
      <c r="T671" t="str">
        <f>_xll.BDP("071474CV Muni","LQA_LIQUIDITY_SCORE")</f>
        <v>#N/A Requesting Data...</v>
      </c>
    </row>
    <row r="672" spans="1:20" x14ac:dyDescent="0.25">
      <c r="A672" t="str">
        <f>_xll.BDP("071474CW Muni","ID_CUSIP")</f>
        <v>#N/A Requesting Data...</v>
      </c>
      <c r="B672" t="s">
        <v>135</v>
      </c>
      <c r="C672" t="str">
        <f>_xll.BDP("071474CW Muni","INSURANCE_STATUS")</f>
        <v>#N/A Requesting Data...</v>
      </c>
      <c r="D672" t="str">
        <f>_xll.BDP("071474CW Muni","STATE_CODE")</f>
        <v>#N/A Requesting Data...</v>
      </c>
      <c r="E672" t="str">
        <f>_xll.BDP("071474CW Muni","COUNTY_LOCATION_ISSUER")</f>
        <v>#N/A Requesting Data...</v>
      </c>
      <c r="F672" t="str">
        <f>_xll.BDP("071474CW Muni","DUR_ADJ_MID")</f>
        <v>#N/A Requesting Data...</v>
      </c>
      <c r="G672" t="str">
        <f>_xll.BDP("071474CW Muni","SPREAD_AT_ISSUANCE_TO_WORST")</f>
        <v>#N/A Requesting Data...</v>
      </c>
      <c r="H672" t="str">
        <f>_xll.BDP("071474CW Muni","ISSUE_DT")</f>
        <v>#N/A Requesting Data...</v>
      </c>
      <c r="I672" t="str">
        <f>_xll.BDS("071474CW Muni","MUNI_PURPOSE_SCHED", "aggregate=y")</f>
        <v>#N/A Review</v>
      </c>
      <c r="J672" t="str">
        <f>_xll.BDP("071474CW Muni","CPN")</f>
        <v>#N/A Requesting Data...</v>
      </c>
      <c r="K672" t="str">
        <f>_xll.BDP("071474CW Muni","MATURITY")</f>
        <v>#N/A Requesting Data...</v>
      </c>
      <c r="L672">
        <v>430000</v>
      </c>
      <c r="M672" t="str">
        <f>_xll.BDP("071474CW Muni","YIELD_ON_ISSUE_DATE")</f>
        <v>#N/A Requesting Data...</v>
      </c>
      <c r="N672" t="str">
        <f>_xll.BDP("071474CW Muni","YTW_SPREAD_TO_MATURITY_AT_ISSU")</f>
        <v>#N/A Requesting Data...</v>
      </c>
      <c r="O672" t="str">
        <f>_xll.BDP("071474CW Muni","BVAL_MID_YTM")</f>
        <v>#N/A Requesting Data...</v>
      </c>
      <c r="P672" t="str">
        <f>_xll.BDP("071474CW Muni","MUNI_TAX_PROV")</f>
        <v>#N/A Requesting Data...</v>
      </c>
      <c r="Q672" t="str">
        <f>_xll.BDP("071474CW Muni","MUNI_FED_TAX")</f>
        <v>#N/A Requesting Data...</v>
      </c>
      <c r="R672" t="str">
        <f>_xll.BDP("071474CW Muni","MUNI_MSRB_VOLUME")</f>
        <v>#N/A Requesting Data...</v>
      </c>
      <c r="S672" t="str">
        <f>_xll.BDP("071474CW Muni","BB_COMPOSITE")</f>
        <v>#N/A Requesting Data...</v>
      </c>
      <c r="T672" t="str">
        <f>_xll.BDP("071474CW Muni","LQA_LIQUIDITY_SCORE")</f>
        <v>#N/A Requesting Data...</v>
      </c>
    </row>
    <row r="673" spans="1:20" x14ac:dyDescent="0.25">
      <c r="A673" t="str">
        <f>_xll.BDP("36422PBH Muni","ID_CUSIP")</f>
        <v>#N/A Requesting Data...</v>
      </c>
      <c r="B673" t="s">
        <v>259</v>
      </c>
      <c r="C673" t="str">
        <f>_xll.BDP("36422PBH Muni","INSURANCE_STATUS")</f>
        <v>#N/A Requesting Data...</v>
      </c>
      <c r="D673" t="str">
        <f>_xll.BDP("36422PBH Muni","STATE_CODE")</f>
        <v>#N/A Requesting Data...</v>
      </c>
      <c r="E673" t="str">
        <f>_xll.BDP("36422PBH Muni","COUNTY_LOCATION_ISSUER")</f>
        <v>#N/A Requesting Data...</v>
      </c>
      <c r="F673" t="str">
        <f>_xll.BDP("36422PBH Muni","DUR_ADJ_MID")</f>
        <v>#N/A Requesting Data...</v>
      </c>
      <c r="G673" t="str">
        <f>_xll.BDP("36422PBH Muni","SPREAD_AT_ISSUANCE_TO_WORST")</f>
        <v>#N/A Requesting Data...</v>
      </c>
      <c r="H673" t="str">
        <f>_xll.BDP("36422PBH Muni","ISSUE_DT")</f>
        <v>#N/A Requesting Data...</v>
      </c>
      <c r="I673" t="str">
        <f>_xll.BDS("36422PBH Muni","MUNI_PURPOSE_SCHED", "aggregate=y")</f>
        <v>#N/A Review</v>
      </c>
      <c r="J673" t="str">
        <f>_xll.BDP("36422PBH Muni","CPN")</f>
        <v>#N/A Requesting Data...</v>
      </c>
      <c r="K673" t="str">
        <f>_xll.BDP("36422PBH Muni","MATURITY")</f>
        <v>#N/A Requesting Data...</v>
      </c>
      <c r="L673">
        <v>90000</v>
      </c>
      <c r="M673" t="str">
        <f>_xll.BDP("36422PBH Muni","YIELD_ON_ISSUE_DATE")</f>
        <v>#N/A Requesting Data...</v>
      </c>
      <c r="N673" t="str">
        <f>_xll.BDP("36422PBH Muni","YTW_SPREAD_TO_MATURITY_AT_ISSU")</f>
        <v>#N/A Requesting Data...</v>
      </c>
      <c r="O673" t="str">
        <f>_xll.BDP("36422PBH Muni","BVAL_MID_YTM")</f>
        <v>#N/A Requesting Data...</v>
      </c>
      <c r="P673" t="str">
        <f>_xll.BDP("36422PBH Muni","MUNI_TAX_PROV")</f>
        <v>#N/A Requesting Data...</v>
      </c>
      <c r="Q673" t="str">
        <f>_xll.BDP("36422PBH Muni","MUNI_FED_TAX")</f>
        <v>#N/A Requesting Data...</v>
      </c>
      <c r="R673" t="str">
        <f>_xll.BDP("36422PBH Muni","MUNI_MSRB_VOLUME")</f>
        <v>#N/A Requesting Data...</v>
      </c>
      <c r="S673" t="str">
        <f>_xll.BDP("36422PBH Muni","BB_COMPOSITE")</f>
        <v>#N/A Requesting Data...</v>
      </c>
      <c r="T673" t="str">
        <f>_xll.BDP("36422PBH Muni","LQA_LIQUIDITY_SCORE")</f>
        <v>#N/A Requesting Data...</v>
      </c>
    </row>
    <row r="674" spans="1:20" x14ac:dyDescent="0.25">
      <c r="A674" t="str">
        <f>_xll.BDP("36422WCH Muni","ID_CUSIP")</f>
        <v>#N/A Requesting Data...</v>
      </c>
      <c r="B674" t="s">
        <v>260</v>
      </c>
      <c r="C674" t="str">
        <f>_xll.BDP("36422WCH Muni","INSURANCE_STATUS")</f>
        <v>#N/A Requesting Data...</v>
      </c>
      <c r="D674" t="str">
        <f>_xll.BDP("36422WCH Muni","STATE_CODE")</f>
        <v>#N/A Requesting Data...</v>
      </c>
      <c r="E674" t="str">
        <f>_xll.BDP("36422WCH Muni","COUNTY_LOCATION_ISSUER")</f>
        <v>#N/A Requesting Data...</v>
      </c>
      <c r="F674" t="str">
        <f>_xll.BDP("36422WCH Muni","DUR_ADJ_MID")</f>
        <v>#N/A Requesting Data...</v>
      </c>
      <c r="G674" t="str">
        <f>_xll.BDP("36422WCH Muni","SPREAD_AT_ISSUANCE_TO_WORST")</f>
        <v>#N/A Requesting Data...</v>
      </c>
      <c r="H674" t="str">
        <f>_xll.BDP("36422WCH Muni","ISSUE_DT")</f>
        <v>#N/A Requesting Data...</v>
      </c>
      <c r="I674" t="str">
        <f>_xll.BDS("36422WCH Muni","MUNI_PURPOSE_SCHED", "aggregate=y")</f>
        <v>#N/A Review</v>
      </c>
      <c r="J674" t="str">
        <f>_xll.BDP("36422WCH Muni","CPN")</f>
        <v>#N/A Requesting Data...</v>
      </c>
      <c r="K674" t="str">
        <f>_xll.BDP("36422WCH Muni","MATURITY")</f>
        <v>#N/A Requesting Data...</v>
      </c>
      <c r="L674">
        <v>80000</v>
      </c>
      <c r="M674" t="str">
        <f>_xll.BDP("36422WCH Muni","YIELD_ON_ISSUE_DATE")</f>
        <v>#N/A Requesting Data...</v>
      </c>
      <c r="N674" t="str">
        <f>_xll.BDP("36422WCH Muni","YTW_SPREAD_TO_MATURITY_AT_ISSU")</f>
        <v>#N/A Requesting Data...</v>
      </c>
      <c r="O674" t="str">
        <f>_xll.BDP("36422WCH Muni","BVAL_MID_YTM")</f>
        <v>#N/A Requesting Data...</v>
      </c>
      <c r="P674" t="str">
        <f>_xll.BDP("36422WCH Muni","MUNI_TAX_PROV")</f>
        <v>#N/A Requesting Data...</v>
      </c>
      <c r="Q674" t="str">
        <f>_xll.BDP("36422WCH Muni","MUNI_FED_TAX")</f>
        <v>#N/A Requesting Data...</v>
      </c>
      <c r="R674" t="str">
        <f>_xll.BDP("36422WCH Muni","MUNI_MSRB_VOLUME")</f>
        <v>#N/A Requesting Data...</v>
      </c>
      <c r="S674" t="str">
        <f>_xll.BDP("36422WCH Muni","BB_COMPOSITE")</f>
        <v>#N/A Requesting Data...</v>
      </c>
      <c r="T674" t="str">
        <f>_xll.BDP("36422WCH Muni","LQA_LIQUIDITY_SCORE")</f>
        <v>#N/A Requesting Data...</v>
      </c>
    </row>
    <row r="675" spans="1:20" x14ac:dyDescent="0.25">
      <c r="A675" t="str">
        <f>_xll.BDP("36422XCG Muni","ID_CUSIP")</f>
        <v>#N/A Requesting Data...</v>
      </c>
      <c r="B675" t="s">
        <v>261</v>
      </c>
      <c r="C675" t="str">
        <f>_xll.BDP("36422XCG Muni","INSURANCE_STATUS")</f>
        <v>#N/A Requesting Data...</v>
      </c>
      <c r="D675" t="str">
        <f>_xll.BDP("36422XCG Muni","STATE_CODE")</f>
        <v>#N/A Requesting Data...</v>
      </c>
      <c r="E675" t="str">
        <f>_xll.BDP("36422XCG Muni","COUNTY_LOCATION_ISSUER")</f>
        <v>#N/A Requesting Data...</v>
      </c>
      <c r="F675" t="str">
        <f>_xll.BDP("36422XCG Muni","DUR_ADJ_MID")</f>
        <v>#N/A Requesting Data...</v>
      </c>
      <c r="G675" t="str">
        <f>_xll.BDP("36422XCG Muni","SPREAD_AT_ISSUANCE_TO_WORST")</f>
        <v>#N/A Requesting Data...</v>
      </c>
      <c r="H675" t="str">
        <f>_xll.BDP("36422XCG Muni","ISSUE_DT")</f>
        <v>#N/A Requesting Data...</v>
      </c>
      <c r="I675" t="str">
        <f>_xll.BDS("36422XCG Muni","MUNI_PURPOSE_SCHED", "aggregate=y")</f>
        <v>#N/A Review</v>
      </c>
      <c r="J675" t="str">
        <f>_xll.BDP("36422XCG Muni","CPN")</f>
        <v>#N/A Requesting Data...</v>
      </c>
      <c r="K675" t="str">
        <f>_xll.BDP("36422XCG Muni","MATURITY")</f>
        <v>#N/A Requesting Data...</v>
      </c>
      <c r="L675">
        <v>25000</v>
      </c>
      <c r="M675" t="str">
        <f>_xll.BDP("36422XCG Muni","YIELD_ON_ISSUE_DATE")</f>
        <v>#N/A Requesting Data...</v>
      </c>
      <c r="N675" t="str">
        <f>_xll.BDP("36422XCG Muni","YTW_SPREAD_TO_MATURITY_AT_ISSU")</f>
        <v>#N/A Requesting Data...</v>
      </c>
      <c r="O675" t="str">
        <f>_xll.BDP("36422XCG Muni","BVAL_MID_YTM")</f>
        <v>#N/A Requesting Data...</v>
      </c>
      <c r="P675" t="str">
        <f>_xll.BDP("36422XCG Muni","MUNI_TAX_PROV")</f>
        <v>#N/A Requesting Data...</v>
      </c>
      <c r="Q675" t="str">
        <f>_xll.BDP("36422XCG Muni","MUNI_FED_TAX")</f>
        <v>#N/A Requesting Data...</v>
      </c>
      <c r="R675" t="str">
        <f>_xll.BDP("36422XCG Muni","MUNI_MSRB_VOLUME")</f>
        <v>#N/A Requesting Data...</v>
      </c>
      <c r="S675" t="str">
        <f>_xll.BDP("36422XCG Muni","BB_COMPOSITE")</f>
        <v>#N/A Requesting Data...</v>
      </c>
      <c r="T675" t="str">
        <f>_xll.BDP("36422XCG Muni","LQA_LIQUIDITY_SCORE")</f>
        <v>#N/A Requesting Data...</v>
      </c>
    </row>
    <row r="676" spans="1:20" x14ac:dyDescent="0.25">
      <c r="A676" t="str">
        <f>_xll.BDP("36422XCH Muni","ID_CUSIP")</f>
        <v>#N/A Requesting Data...</v>
      </c>
      <c r="B676" t="s">
        <v>261</v>
      </c>
      <c r="C676" t="str">
        <f>_xll.BDP("36422XCH Muni","INSURANCE_STATUS")</f>
        <v>#N/A Requesting Data...</v>
      </c>
      <c r="D676" t="str">
        <f>_xll.BDP("36422XCH Muni","STATE_CODE")</f>
        <v>#N/A Requesting Data...</v>
      </c>
      <c r="E676" t="str">
        <f>_xll.BDP("36422XCH Muni","COUNTY_LOCATION_ISSUER")</f>
        <v>#N/A Requesting Data...</v>
      </c>
      <c r="F676" t="str">
        <f>_xll.BDP("36422XCH Muni","DUR_ADJ_MID")</f>
        <v>#N/A Requesting Data...</v>
      </c>
      <c r="G676" t="str">
        <f>_xll.BDP("36422XCH Muni","SPREAD_AT_ISSUANCE_TO_WORST")</f>
        <v>#N/A Requesting Data...</v>
      </c>
      <c r="H676" t="str">
        <f>_xll.BDP("36422XCH Muni","ISSUE_DT")</f>
        <v>#N/A Requesting Data...</v>
      </c>
      <c r="I676" t="str">
        <f>_xll.BDS("36422XCH Muni","MUNI_PURPOSE_SCHED", "aggregate=y")</f>
        <v>#N/A Review</v>
      </c>
      <c r="J676" t="str">
        <f>_xll.BDP("36422XCH Muni","CPN")</f>
        <v>#N/A Requesting Data...</v>
      </c>
      <c r="K676" t="str">
        <f>_xll.BDP("36422XCH Muni","MATURITY")</f>
        <v>#N/A Requesting Data...</v>
      </c>
      <c r="L676">
        <v>25000</v>
      </c>
      <c r="M676" t="str">
        <f>_xll.BDP("36422XCH Muni","YIELD_ON_ISSUE_DATE")</f>
        <v>#N/A Requesting Data...</v>
      </c>
      <c r="N676" t="str">
        <f>_xll.BDP("36422XCH Muni","YTW_SPREAD_TO_MATURITY_AT_ISSU")</f>
        <v>#N/A Requesting Data...</v>
      </c>
      <c r="O676" t="str">
        <f>_xll.BDP("36422XCH Muni","BVAL_MID_YTM")</f>
        <v>#N/A Requesting Data...</v>
      </c>
      <c r="P676" t="str">
        <f>_xll.BDP("36422XCH Muni","MUNI_TAX_PROV")</f>
        <v>#N/A Requesting Data...</v>
      </c>
      <c r="Q676" t="str">
        <f>_xll.BDP("36422XCH Muni","MUNI_FED_TAX")</f>
        <v>#N/A Requesting Data...</v>
      </c>
      <c r="R676" t="str">
        <f>_xll.BDP("36422XCH Muni","MUNI_MSRB_VOLUME")</f>
        <v>#N/A Requesting Data...</v>
      </c>
      <c r="S676" t="str">
        <f>_xll.BDP("36422XCH Muni","BB_COMPOSITE")</f>
        <v>#N/A Requesting Data...</v>
      </c>
      <c r="T676" t="str">
        <f>_xll.BDP("36422XCH Muni","LQA_LIQUIDITY_SCORE")</f>
        <v>#N/A Requesting Data...</v>
      </c>
    </row>
    <row r="677" spans="1:20" x14ac:dyDescent="0.25">
      <c r="A677" t="str">
        <f>_xll.BDP("36422XCJ Muni","ID_CUSIP")</f>
        <v>#N/A Requesting Data...</v>
      </c>
      <c r="B677" t="s">
        <v>261</v>
      </c>
      <c r="C677" t="str">
        <f>_xll.BDP("36422XCJ Muni","INSURANCE_STATUS")</f>
        <v>#N/A Requesting Data...</v>
      </c>
      <c r="D677" t="str">
        <f>_xll.BDP("36422XCJ Muni","STATE_CODE")</f>
        <v>#N/A Requesting Data...</v>
      </c>
      <c r="E677" t="str">
        <f>_xll.BDP("36422XCJ Muni","COUNTY_LOCATION_ISSUER")</f>
        <v>#N/A Requesting Data...</v>
      </c>
      <c r="F677" t="str">
        <f>_xll.BDP("36422XCJ Muni","DUR_ADJ_MID")</f>
        <v>#N/A Requesting Data...</v>
      </c>
      <c r="G677" t="str">
        <f>_xll.BDP("36422XCJ Muni","SPREAD_AT_ISSUANCE_TO_WORST")</f>
        <v>#N/A Requesting Data...</v>
      </c>
      <c r="H677" t="str">
        <f>_xll.BDP("36422XCJ Muni","ISSUE_DT")</f>
        <v>#N/A Requesting Data...</v>
      </c>
      <c r="I677" t="str">
        <f>_xll.BDS("36422XCJ Muni","MUNI_PURPOSE_SCHED", "aggregate=y")</f>
        <v>#N/A Review</v>
      </c>
      <c r="J677" t="str">
        <f>_xll.BDP("36422XCJ Muni","CPN")</f>
        <v>#N/A Requesting Data...</v>
      </c>
      <c r="K677" t="str">
        <f>_xll.BDP("36422XCJ Muni","MATURITY")</f>
        <v>#N/A Requesting Data...</v>
      </c>
      <c r="L677">
        <v>30000</v>
      </c>
      <c r="M677" t="str">
        <f>_xll.BDP("36422XCJ Muni","YIELD_ON_ISSUE_DATE")</f>
        <v>#N/A Requesting Data...</v>
      </c>
      <c r="N677" t="str">
        <f>_xll.BDP("36422XCJ Muni","YTW_SPREAD_TO_MATURITY_AT_ISSU")</f>
        <v>#N/A Requesting Data...</v>
      </c>
      <c r="O677" t="str">
        <f>_xll.BDP("36422XCJ Muni","BVAL_MID_YTM")</f>
        <v>#N/A Requesting Data...</v>
      </c>
      <c r="P677" t="str">
        <f>_xll.BDP("36422XCJ Muni","MUNI_TAX_PROV")</f>
        <v>#N/A Requesting Data...</v>
      </c>
      <c r="Q677" t="str">
        <f>_xll.BDP("36422XCJ Muni","MUNI_FED_TAX")</f>
        <v>#N/A Requesting Data...</v>
      </c>
      <c r="R677" t="str">
        <f>_xll.BDP("36422XCJ Muni","MUNI_MSRB_VOLUME")</f>
        <v>#N/A Requesting Data...</v>
      </c>
      <c r="S677" t="str">
        <f>_xll.BDP("36422XCJ Muni","BB_COMPOSITE")</f>
        <v>#N/A Requesting Data...</v>
      </c>
      <c r="T677" t="str">
        <f>_xll.BDP("36422XCJ Muni","LQA_LIQUIDITY_SCORE")</f>
        <v>#N/A Requesting Data...</v>
      </c>
    </row>
    <row r="678" spans="1:20" x14ac:dyDescent="0.25">
      <c r="A678" t="str">
        <f>_xll.BDP("36422XCK Muni","ID_CUSIP")</f>
        <v>#N/A Requesting Data...</v>
      </c>
      <c r="B678" t="s">
        <v>261</v>
      </c>
      <c r="C678" t="str">
        <f>_xll.BDP("36422XCK Muni","INSURANCE_STATUS")</f>
        <v>#N/A Requesting Data...</v>
      </c>
      <c r="D678" t="str">
        <f>_xll.BDP("36422XCK Muni","STATE_CODE")</f>
        <v>#N/A Requesting Data...</v>
      </c>
      <c r="E678" t="str">
        <f>_xll.BDP("36422XCK Muni","COUNTY_LOCATION_ISSUER")</f>
        <v>#N/A Requesting Data...</v>
      </c>
      <c r="F678" t="str">
        <f>_xll.BDP("36422XCK Muni","DUR_ADJ_MID")</f>
        <v>#N/A Requesting Data...</v>
      </c>
      <c r="G678" t="str">
        <f>_xll.BDP("36422XCK Muni","SPREAD_AT_ISSUANCE_TO_WORST")</f>
        <v>#N/A Requesting Data...</v>
      </c>
      <c r="H678" t="str">
        <f>_xll.BDP("36422XCK Muni","ISSUE_DT")</f>
        <v>#N/A Requesting Data...</v>
      </c>
      <c r="I678" t="str">
        <f>_xll.BDS("36422XCK Muni","MUNI_PURPOSE_SCHED", "aggregate=y")</f>
        <v>#N/A Review</v>
      </c>
      <c r="J678" t="str">
        <f>_xll.BDP("36422XCK Muni","CPN")</f>
        <v>#N/A Requesting Data...</v>
      </c>
      <c r="K678" t="str">
        <f>_xll.BDP("36422XCK Muni","MATURITY")</f>
        <v>#N/A Requesting Data...</v>
      </c>
      <c r="L678">
        <v>30000</v>
      </c>
      <c r="M678" t="str">
        <f>_xll.BDP("36422XCK Muni","YIELD_ON_ISSUE_DATE")</f>
        <v>#N/A Requesting Data...</v>
      </c>
      <c r="N678" t="str">
        <f>_xll.BDP("36422XCK Muni","YTW_SPREAD_TO_MATURITY_AT_ISSU")</f>
        <v>#N/A Requesting Data...</v>
      </c>
      <c r="O678" t="str">
        <f>_xll.BDP("36422XCK Muni","BVAL_MID_YTM")</f>
        <v>#N/A Requesting Data...</v>
      </c>
      <c r="P678" t="str">
        <f>_xll.BDP("36422XCK Muni","MUNI_TAX_PROV")</f>
        <v>#N/A Requesting Data...</v>
      </c>
      <c r="Q678" t="str">
        <f>_xll.BDP("36422XCK Muni","MUNI_FED_TAX")</f>
        <v>#N/A Requesting Data...</v>
      </c>
      <c r="R678" t="str">
        <f>_xll.BDP("36422XCK Muni","MUNI_MSRB_VOLUME")</f>
        <v>#N/A Requesting Data...</v>
      </c>
      <c r="S678" t="str">
        <f>_xll.BDP("36422XCK Muni","BB_COMPOSITE")</f>
        <v>#N/A Requesting Data...</v>
      </c>
      <c r="T678" t="str">
        <f>_xll.BDP("36422XCK Muni","LQA_LIQUIDITY_SCORE")</f>
        <v>#N/A Requesting Data...</v>
      </c>
    </row>
    <row r="679" spans="1:20" x14ac:dyDescent="0.25">
      <c r="A679" t="str">
        <f>_xll.BDP("36422YLX Muni","ID_CUSIP")</f>
        <v>#N/A Requesting Data...</v>
      </c>
      <c r="B679" t="s">
        <v>262</v>
      </c>
      <c r="C679" t="str">
        <f>_xll.BDP("36422YLX Muni","INSURANCE_STATUS")</f>
        <v>#N/A Requesting Data...</v>
      </c>
      <c r="D679" t="str">
        <f>_xll.BDP("36422YLX Muni","STATE_CODE")</f>
        <v>#N/A Requesting Data...</v>
      </c>
      <c r="E679" t="str">
        <f>_xll.BDP("36422YLX Muni","COUNTY_LOCATION_ISSUER")</f>
        <v>#N/A Requesting Data...</v>
      </c>
      <c r="F679" t="str">
        <f>_xll.BDP("36422YLX Muni","DUR_ADJ_MID")</f>
        <v>#N/A Requesting Data...</v>
      </c>
      <c r="G679" t="str">
        <f>_xll.BDP("36422YLX Muni","SPREAD_AT_ISSUANCE_TO_WORST")</f>
        <v>#N/A Requesting Data...</v>
      </c>
      <c r="H679" t="str">
        <f>_xll.BDP("36422YLX Muni","ISSUE_DT")</f>
        <v>#N/A Requesting Data...</v>
      </c>
      <c r="I679" t="str">
        <f>_xll.BDS("36422YLX Muni","MUNI_PURPOSE_SCHED", "aggregate=y")</f>
        <v>#N/A Review</v>
      </c>
      <c r="J679" t="str">
        <f>_xll.BDP("36422YLX Muni","CPN")</f>
        <v>#N/A Requesting Data...</v>
      </c>
      <c r="K679" t="str">
        <f>_xll.BDP("36422YLX Muni","MATURITY")</f>
        <v>#N/A Requesting Data...</v>
      </c>
      <c r="L679">
        <v>375000</v>
      </c>
      <c r="M679" t="str">
        <f>_xll.BDP("36422YLX Muni","YIELD_ON_ISSUE_DATE")</f>
        <v>#N/A Requesting Data...</v>
      </c>
      <c r="N679" t="str">
        <f>_xll.BDP("36422YLX Muni","YTW_SPREAD_TO_MATURITY_AT_ISSU")</f>
        <v>#N/A Requesting Data...</v>
      </c>
      <c r="O679" t="str">
        <f>_xll.BDP("36422YLX Muni","BVAL_MID_YTM")</f>
        <v>#N/A Requesting Data...</v>
      </c>
      <c r="P679" t="str">
        <f>_xll.BDP("36422YLX Muni","MUNI_TAX_PROV")</f>
        <v>#N/A Requesting Data...</v>
      </c>
      <c r="Q679" t="str">
        <f>_xll.BDP("36422YLX Muni","MUNI_FED_TAX")</f>
        <v>#N/A Requesting Data...</v>
      </c>
      <c r="R679" t="str">
        <f>_xll.BDP("36422YLX Muni","MUNI_MSRB_VOLUME")</f>
        <v>#N/A Requesting Data...</v>
      </c>
      <c r="S679" t="str">
        <f>_xll.BDP("36422YLX Muni","BB_COMPOSITE")</f>
        <v>#N/A Requesting Data...</v>
      </c>
      <c r="T679" t="str">
        <f>_xll.BDP("36422YLX Muni","LQA_LIQUIDITY_SCORE")</f>
        <v>#N/A Requesting Data...</v>
      </c>
    </row>
    <row r="680" spans="1:20" x14ac:dyDescent="0.25">
      <c r="A680" t="str">
        <f>_xll.BDP("36422YLY Muni","ID_CUSIP")</f>
        <v>#N/A Requesting Data...</v>
      </c>
      <c r="B680" t="s">
        <v>262</v>
      </c>
      <c r="C680" t="str">
        <f>_xll.BDP("36422YLY Muni","INSURANCE_STATUS")</f>
        <v>#N/A Requesting Data...</v>
      </c>
      <c r="D680" t="str">
        <f>_xll.BDP("36422YLY Muni","STATE_CODE")</f>
        <v>#N/A Requesting Data...</v>
      </c>
      <c r="E680" t="str">
        <f>_xll.BDP("36422YLY Muni","COUNTY_LOCATION_ISSUER")</f>
        <v>#N/A Requesting Data...</v>
      </c>
      <c r="F680" t="str">
        <f>_xll.BDP("36422YLY Muni","DUR_ADJ_MID")</f>
        <v>#N/A Requesting Data...</v>
      </c>
      <c r="G680" t="str">
        <f>_xll.BDP("36422YLY Muni","SPREAD_AT_ISSUANCE_TO_WORST")</f>
        <v>#N/A Requesting Data...</v>
      </c>
      <c r="H680" t="str">
        <f>_xll.BDP("36422YLY Muni","ISSUE_DT")</f>
        <v>#N/A Requesting Data...</v>
      </c>
      <c r="I680" t="str">
        <f>_xll.BDS("36422YLY Muni","MUNI_PURPOSE_SCHED", "aggregate=y")</f>
        <v>#N/A Review</v>
      </c>
      <c r="J680" t="str">
        <f>_xll.BDP("36422YLY Muni","CPN")</f>
        <v>#N/A Requesting Data...</v>
      </c>
      <c r="K680" t="str">
        <f>_xll.BDP("36422YLY Muni","MATURITY")</f>
        <v>#N/A Requesting Data...</v>
      </c>
      <c r="L680">
        <v>375000</v>
      </c>
      <c r="M680" t="str">
        <f>_xll.BDP("36422YLY Muni","YIELD_ON_ISSUE_DATE")</f>
        <v>#N/A Requesting Data...</v>
      </c>
      <c r="N680" t="str">
        <f>_xll.BDP("36422YLY Muni","YTW_SPREAD_TO_MATURITY_AT_ISSU")</f>
        <v>#N/A Requesting Data...</v>
      </c>
      <c r="O680" t="str">
        <f>_xll.BDP("36422YLY Muni","BVAL_MID_YTM")</f>
        <v>#N/A Requesting Data...</v>
      </c>
      <c r="P680" t="str">
        <f>_xll.BDP("36422YLY Muni","MUNI_TAX_PROV")</f>
        <v>#N/A Requesting Data...</v>
      </c>
      <c r="Q680" t="str">
        <f>_xll.BDP("36422YLY Muni","MUNI_FED_TAX")</f>
        <v>#N/A Requesting Data...</v>
      </c>
      <c r="R680" t="str">
        <f>_xll.BDP("36422YLY Muni","MUNI_MSRB_VOLUME")</f>
        <v>#N/A Requesting Data...</v>
      </c>
      <c r="S680" t="str">
        <f>_xll.BDP("36422YLY Muni","BB_COMPOSITE")</f>
        <v>#N/A Requesting Data...</v>
      </c>
      <c r="T680" t="str">
        <f>_xll.BDP("36422YLY Muni","LQA_LIQUIDITY_SCORE")</f>
        <v>#N/A Requesting Data...</v>
      </c>
    </row>
    <row r="681" spans="1:20" x14ac:dyDescent="0.25">
      <c r="A681" t="str">
        <f>_xll.BDP("36423EBK Muni","ID_CUSIP")</f>
        <v>#N/A Requesting Data...</v>
      </c>
      <c r="B681" t="s">
        <v>263</v>
      </c>
      <c r="C681" t="str">
        <f>_xll.BDP("36423EBK Muni","INSURANCE_STATUS")</f>
        <v>#N/A Requesting Data...</v>
      </c>
      <c r="D681" t="str">
        <f>_xll.BDP("36423EBK Muni","STATE_CODE")</f>
        <v>#N/A Requesting Data...</v>
      </c>
      <c r="E681" t="str">
        <f>_xll.BDP("36423EBK Muni","COUNTY_LOCATION_ISSUER")</f>
        <v>#N/A Requesting Data...</v>
      </c>
      <c r="F681" t="str">
        <f>_xll.BDP("36423EBK Muni","DUR_ADJ_MID")</f>
        <v>#N/A Requesting Data...</v>
      </c>
      <c r="G681" t="str">
        <f>_xll.BDP("36423EBK Muni","SPREAD_AT_ISSUANCE_TO_WORST")</f>
        <v>#N/A Requesting Data...</v>
      </c>
      <c r="H681" t="str">
        <f>_xll.BDP("36423EBK Muni","ISSUE_DT")</f>
        <v>#N/A Requesting Data...</v>
      </c>
      <c r="I681" t="str">
        <f>_xll.BDS("36423EBK Muni","MUNI_PURPOSE_SCHED", "aggregate=y")</f>
        <v>#N/A Review</v>
      </c>
      <c r="J681" t="str">
        <f>_xll.BDP("36423EBK Muni","CPN")</f>
        <v>#N/A Requesting Data...</v>
      </c>
      <c r="K681" t="str">
        <f>_xll.BDP("36423EBK Muni","MATURITY")</f>
        <v>#N/A Requesting Data...</v>
      </c>
      <c r="L681">
        <v>265000</v>
      </c>
      <c r="M681" t="str">
        <f>_xll.BDP("36423EBK Muni","YIELD_ON_ISSUE_DATE")</f>
        <v>#N/A Requesting Data...</v>
      </c>
      <c r="N681" t="str">
        <f>_xll.BDP("36423EBK Muni","YTW_SPREAD_TO_MATURITY_AT_ISSU")</f>
        <v>#N/A Requesting Data...</v>
      </c>
      <c r="O681" t="str">
        <f>_xll.BDP("36423EBK Muni","BVAL_MID_YTM")</f>
        <v>#N/A Requesting Data...</v>
      </c>
      <c r="P681" t="str">
        <f>_xll.BDP("36423EBK Muni","MUNI_TAX_PROV")</f>
        <v>#N/A Requesting Data...</v>
      </c>
      <c r="Q681" t="str">
        <f>_xll.BDP("36423EBK Muni","MUNI_FED_TAX")</f>
        <v>#N/A Requesting Data...</v>
      </c>
      <c r="R681" t="str">
        <f>_xll.BDP("36423EBK Muni","MUNI_MSRB_VOLUME")</f>
        <v>#N/A Requesting Data...</v>
      </c>
      <c r="S681" t="str">
        <f>_xll.BDP("36423EBK Muni","BB_COMPOSITE")</f>
        <v>#N/A Requesting Data...</v>
      </c>
      <c r="T681" t="str">
        <f>_xll.BDP("36423EBK Muni","LQA_LIQUIDITY_SCORE")</f>
        <v>#N/A Requesting Data...</v>
      </c>
    </row>
    <row r="682" spans="1:20" x14ac:dyDescent="0.25">
      <c r="A682" t="str">
        <f>_xll.BDP("36423EBL Muni","ID_CUSIP")</f>
        <v>#N/A Requesting Data...</v>
      </c>
      <c r="B682" t="s">
        <v>263</v>
      </c>
      <c r="C682" t="str">
        <f>_xll.BDP("36423EBL Muni","INSURANCE_STATUS")</f>
        <v>#N/A Requesting Data...</v>
      </c>
      <c r="D682" t="str">
        <f>_xll.BDP("36423EBL Muni","STATE_CODE")</f>
        <v>#N/A Requesting Data...</v>
      </c>
      <c r="E682" t="str">
        <f>_xll.BDP("36423EBL Muni","COUNTY_LOCATION_ISSUER")</f>
        <v>#N/A Requesting Data...</v>
      </c>
      <c r="F682" t="str">
        <f>_xll.BDP("36423EBL Muni","DUR_ADJ_MID")</f>
        <v>#N/A Requesting Data...</v>
      </c>
      <c r="G682" t="str">
        <f>_xll.BDP("36423EBL Muni","SPREAD_AT_ISSUANCE_TO_WORST")</f>
        <v>#N/A Requesting Data...</v>
      </c>
      <c r="H682" t="str">
        <f>_xll.BDP("36423EBL Muni","ISSUE_DT")</f>
        <v>#N/A Requesting Data...</v>
      </c>
      <c r="I682" t="str">
        <f>_xll.BDS("36423EBL Muni","MUNI_PURPOSE_SCHED", "aggregate=y")</f>
        <v>#N/A Review</v>
      </c>
      <c r="J682" t="str">
        <f>_xll.BDP("36423EBL Muni","CPN")</f>
        <v>#N/A Requesting Data...</v>
      </c>
      <c r="K682" t="str">
        <f>_xll.BDP("36423EBL Muni","MATURITY")</f>
        <v>#N/A Requesting Data...</v>
      </c>
      <c r="L682">
        <v>270000</v>
      </c>
      <c r="M682" t="str">
        <f>_xll.BDP("36423EBL Muni","YIELD_ON_ISSUE_DATE")</f>
        <v>#N/A Requesting Data...</v>
      </c>
      <c r="N682" t="str">
        <f>_xll.BDP("36423EBL Muni","YTW_SPREAD_TO_MATURITY_AT_ISSU")</f>
        <v>#N/A Requesting Data...</v>
      </c>
      <c r="O682" t="str">
        <f>_xll.BDP("36423EBL Muni","BVAL_MID_YTM")</f>
        <v>#N/A Requesting Data...</v>
      </c>
      <c r="P682" t="str">
        <f>_xll.BDP("36423EBL Muni","MUNI_TAX_PROV")</f>
        <v>#N/A Requesting Data...</v>
      </c>
      <c r="Q682" t="str">
        <f>_xll.BDP("36423EBL Muni","MUNI_FED_TAX")</f>
        <v>#N/A Requesting Data...</v>
      </c>
      <c r="R682" t="str">
        <f>_xll.BDP("36423EBL Muni","MUNI_MSRB_VOLUME")</f>
        <v>#N/A Requesting Data...</v>
      </c>
      <c r="S682" t="str">
        <f>_xll.BDP("36423EBL Muni","BB_COMPOSITE")</f>
        <v>#N/A Requesting Data...</v>
      </c>
      <c r="T682" t="str">
        <f>_xll.BDP("36423EBL Muni","LQA_LIQUIDITY_SCORE")</f>
        <v>#N/A Requesting Data...</v>
      </c>
    </row>
    <row r="683" spans="1:20" x14ac:dyDescent="0.25">
      <c r="A683" t="str">
        <f>_xll.BDP("36423EBM Muni","ID_CUSIP")</f>
        <v>#N/A Requesting Data...</v>
      </c>
      <c r="B683" t="s">
        <v>263</v>
      </c>
      <c r="C683" t="str">
        <f>_xll.BDP("36423EBM Muni","INSURANCE_STATUS")</f>
        <v>#N/A Requesting Data...</v>
      </c>
      <c r="D683" t="str">
        <f>_xll.BDP("36423EBM Muni","STATE_CODE")</f>
        <v>#N/A Requesting Data...</v>
      </c>
      <c r="E683" t="str">
        <f>_xll.BDP("36423EBM Muni","COUNTY_LOCATION_ISSUER")</f>
        <v>#N/A Requesting Data...</v>
      </c>
      <c r="F683" t="str">
        <f>_xll.BDP("36423EBM Muni","DUR_ADJ_MID")</f>
        <v>#N/A Requesting Data...</v>
      </c>
      <c r="G683" t="str">
        <f>_xll.BDP("36423EBM Muni","SPREAD_AT_ISSUANCE_TO_WORST")</f>
        <v>#N/A Requesting Data...</v>
      </c>
      <c r="H683" t="str">
        <f>_xll.BDP("36423EBM Muni","ISSUE_DT")</f>
        <v>#N/A Requesting Data...</v>
      </c>
      <c r="I683" t="str">
        <f>_xll.BDS("36423EBM Muni","MUNI_PURPOSE_SCHED", "aggregate=y")</f>
        <v>#N/A Review</v>
      </c>
      <c r="J683" t="str">
        <f>_xll.BDP("36423EBM Muni","CPN")</f>
        <v>#N/A Requesting Data...</v>
      </c>
      <c r="K683" t="str">
        <f>_xll.BDP("36423EBM Muni","MATURITY")</f>
        <v>#N/A Requesting Data...</v>
      </c>
      <c r="L683">
        <v>280000</v>
      </c>
      <c r="M683" t="str">
        <f>_xll.BDP("36423EBM Muni","YIELD_ON_ISSUE_DATE")</f>
        <v>#N/A Requesting Data...</v>
      </c>
      <c r="N683" t="str">
        <f>_xll.BDP("36423EBM Muni","YTW_SPREAD_TO_MATURITY_AT_ISSU")</f>
        <v>#N/A Requesting Data...</v>
      </c>
      <c r="O683" t="str">
        <f>_xll.BDP("36423EBM Muni","BVAL_MID_YTM")</f>
        <v>#N/A Requesting Data...</v>
      </c>
      <c r="P683" t="str">
        <f>_xll.BDP("36423EBM Muni","MUNI_TAX_PROV")</f>
        <v>#N/A Requesting Data...</v>
      </c>
      <c r="Q683" t="str">
        <f>_xll.BDP("36423EBM Muni","MUNI_FED_TAX")</f>
        <v>#N/A Requesting Data...</v>
      </c>
      <c r="R683" t="str">
        <f>_xll.BDP("36423EBM Muni","MUNI_MSRB_VOLUME")</f>
        <v>#N/A Requesting Data...</v>
      </c>
      <c r="S683" t="str">
        <f>_xll.BDP("36423EBM Muni","BB_COMPOSITE")</f>
        <v>#N/A Requesting Data...</v>
      </c>
      <c r="T683" t="str">
        <f>_xll.BDP("36423EBM Muni","LQA_LIQUIDITY_SCORE")</f>
        <v>#N/A Requesting Data...</v>
      </c>
    </row>
    <row r="684" spans="1:20" x14ac:dyDescent="0.25">
      <c r="A684" t="str">
        <f>_xll.BDP("365154QG Muni","ID_CUSIP")</f>
        <v>#N/A Requesting Data...</v>
      </c>
      <c r="B684" t="s">
        <v>264</v>
      </c>
      <c r="C684" t="str">
        <f>_xll.BDP("365154QG Muni","INSURANCE_STATUS")</f>
        <v>#N/A Requesting Data...</v>
      </c>
      <c r="D684" t="str">
        <f>_xll.BDP("365154QG Muni","STATE_CODE")</f>
        <v>#N/A Requesting Data...</v>
      </c>
      <c r="E684" t="str">
        <f>_xll.BDP("365154QG Muni","COUNTY_LOCATION_ISSUER")</f>
        <v>#N/A Requesting Data...</v>
      </c>
      <c r="F684" t="str">
        <f>_xll.BDP("365154QG Muni","DUR_ADJ_MID")</f>
        <v>#N/A Requesting Data...</v>
      </c>
      <c r="G684" t="str">
        <f>_xll.BDP("365154QG Muni","SPREAD_AT_ISSUANCE_TO_WORST")</f>
        <v>#N/A Requesting Data...</v>
      </c>
      <c r="H684" t="str">
        <f>_xll.BDP("365154QG Muni","ISSUE_DT")</f>
        <v>#N/A Requesting Data...</v>
      </c>
      <c r="I684" t="str">
        <f>_xll.BDS("365154QG Muni","MUNI_PURPOSE_SCHED", "aggregate=y")</f>
        <v>#N/A Review</v>
      </c>
      <c r="J684" t="str">
        <f>_xll.BDP("365154QG Muni","CPN")</f>
        <v>#N/A Requesting Data...</v>
      </c>
      <c r="K684" t="str">
        <f>_xll.BDP("365154QG Muni","MATURITY")</f>
        <v>#N/A Requesting Data...</v>
      </c>
      <c r="L684">
        <v>530000</v>
      </c>
      <c r="M684" t="str">
        <f>_xll.BDP("365154QG Muni","YIELD_ON_ISSUE_DATE")</f>
        <v>#N/A Requesting Data...</v>
      </c>
      <c r="N684" t="str">
        <f>_xll.BDP("365154QG Muni","YTW_SPREAD_TO_MATURITY_AT_ISSU")</f>
        <v>#N/A Requesting Data...</v>
      </c>
      <c r="O684" t="str">
        <f>_xll.BDP("365154QG Muni","BVAL_MID_YTM")</f>
        <v>#N/A Requesting Data...</v>
      </c>
      <c r="P684" t="str">
        <f>_xll.BDP("365154QG Muni","MUNI_TAX_PROV")</f>
        <v>#N/A Requesting Data...</v>
      </c>
      <c r="Q684" t="str">
        <f>_xll.BDP("365154QG Muni","MUNI_FED_TAX")</f>
        <v>#N/A Requesting Data...</v>
      </c>
      <c r="R684" t="str">
        <f>_xll.BDP("365154QG Muni","MUNI_MSRB_VOLUME")</f>
        <v>#N/A Requesting Data...</v>
      </c>
      <c r="S684" t="str">
        <f>_xll.BDP("365154QG Muni","BB_COMPOSITE")</f>
        <v>#N/A Requesting Data...</v>
      </c>
      <c r="T684" t="str">
        <f>_xll.BDP("365154QG Muni","LQA_LIQUIDITY_SCORE")</f>
        <v>#N/A Requesting Data...</v>
      </c>
    </row>
    <row r="685" spans="1:20" x14ac:dyDescent="0.25">
      <c r="A685" t="str">
        <f>_xll.BDP("365154QH Muni","ID_CUSIP")</f>
        <v>#N/A Requesting Data...</v>
      </c>
      <c r="B685" t="s">
        <v>264</v>
      </c>
      <c r="C685" t="str">
        <f>_xll.BDP("365154QH Muni","INSURANCE_STATUS")</f>
        <v>#N/A Requesting Data...</v>
      </c>
      <c r="D685" t="str">
        <f>_xll.BDP("365154QH Muni","STATE_CODE")</f>
        <v>#N/A Requesting Data...</v>
      </c>
      <c r="E685" t="str">
        <f>_xll.BDP("365154QH Muni","COUNTY_LOCATION_ISSUER")</f>
        <v>#N/A Requesting Data...</v>
      </c>
      <c r="F685" t="str">
        <f>_xll.BDP("365154QH Muni","DUR_ADJ_MID")</f>
        <v>#N/A Requesting Data...</v>
      </c>
      <c r="G685" t="str">
        <f>_xll.BDP("365154QH Muni","SPREAD_AT_ISSUANCE_TO_WORST")</f>
        <v>#N/A Requesting Data...</v>
      </c>
      <c r="H685" t="str">
        <f>_xll.BDP("365154QH Muni","ISSUE_DT")</f>
        <v>#N/A Requesting Data...</v>
      </c>
      <c r="I685" t="str">
        <f>_xll.BDS("365154QH Muni","MUNI_PURPOSE_SCHED", "aggregate=y")</f>
        <v>#N/A Review</v>
      </c>
      <c r="J685" t="str">
        <f>_xll.BDP("365154QH Muni","CPN")</f>
        <v>#N/A Requesting Data...</v>
      </c>
      <c r="K685" t="str">
        <f>_xll.BDP("365154QH Muni","MATURITY")</f>
        <v>#N/A Requesting Data...</v>
      </c>
      <c r="L685">
        <v>545000</v>
      </c>
      <c r="M685" t="str">
        <f>_xll.BDP("365154QH Muni","YIELD_ON_ISSUE_DATE")</f>
        <v>#N/A Requesting Data...</v>
      </c>
      <c r="N685" t="str">
        <f>_xll.BDP("365154QH Muni","YTW_SPREAD_TO_MATURITY_AT_ISSU")</f>
        <v>#N/A Requesting Data...</v>
      </c>
      <c r="O685" t="str">
        <f>_xll.BDP("365154QH Muni","BVAL_MID_YTM")</f>
        <v>#N/A Requesting Data...</v>
      </c>
      <c r="P685" t="str">
        <f>_xll.BDP("365154QH Muni","MUNI_TAX_PROV")</f>
        <v>#N/A Requesting Data...</v>
      </c>
      <c r="Q685" t="str">
        <f>_xll.BDP("365154QH Muni","MUNI_FED_TAX")</f>
        <v>#N/A Requesting Data...</v>
      </c>
      <c r="R685" t="str">
        <f>_xll.BDP("365154QH Muni","MUNI_MSRB_VOLUME")</f>
        <v>#N/A Requesting Data...</v>
      </c>
      <c r="S685" t="str">
        <f>_xll.BDP("365154QH Muni","BB_COMPOSITE")</f>
        <v>#N/A Requesting Data...</v>
      </c>
      <c r="T685" t="str">
        <f>_xll.BDP("365154QH Muni","LQA_LIQUIDITY_SCORE")</f>
        <v>#N/A Requesting Data...</v>
      </c>
    </row>
    <row r="686" spans="1:20" x14ac:dyDescent="0.25">
      <c r="A686" t="str">
        <f>_xll.BDP("365154QJ Muni","ID_CUSIP")</f>
        <v>#N/A Requesting Data...</v>
      </c>
      <c r="B686" t="s">
        <v>264</v>
      </c>
      <c r="C686" t="str">
        <f>_xll.BDP("365154QJ Muni","INSURANCE_STATUS")</f>
        <v>#N/A Requesting Data...</v>
      </c>
      <c r="D686" t="str">
        <f>_xll.BDP("365154QJ Muni","STATE_CODE")</f>
        <v>#N/A Requesting Data...</v>
      </c>
      <c r="E686" t="str">
        <f>_xll.BDP("365154QJ Muni","COUNTY_LOCATION_ISSUER")</f>
        <v>#N/A Requesting Data...</v>
      </c>
      <c r="F686" t="str">
        <f>_xll.BDP("365154QJ Muni","DUR_ADJ_MID")</f>
        <v>#N/A Requesting Data...</v>
      </c>
      <c r="G686" t="str">
        <f>_xll.BDP("365154QJ Muni","SPREAD_AT_ISSUANCE_TO_WORST")</f>
        <v>#N/A Requesting Data...</v>
      </c>
      <c r="H686" t="str">
        <f>_xll.BDP("365154QJ Muni","ISSUE_DT")</f>
        <v>#N/A Requesting Data...</v>
      </c>
      <c r="I686" t="str">
        <f>_xll.BDS("365154QJ Muni","MUNI_PURPOSE_SCHED", "aggregate=y")</f>
        <v>#N/A Review</v>
      </c>
      <c r="J686" t="str">
        <f>_xll.BDP("365154QJ Muni","CPN")</f>
        <v>#N/A Requesting Data...</v>
      </c>
      <c r="K686" t="str">
        <f>_xll.BDP("365154QJ Muni","MATURITY")</f>
        <v>#N/A Requesting Data...</v>
      </c>
      <c r="L686">
        <v>565000</v>
      </c>
      <c r="M686" t="str">
        <f>_xll.BDP("365154QJ Muni","YIELD_ON_ISSUE_DATE")</f>
        <v>#N/A Requesting Data...</v>
      </c>
      <c r="N686" t="str">
        <f>_xll.BDP("365154QJ Muni","YTW_SPREAD_TO_MATURITY_AT_ISSU")</f>
        <v>#N/A Requesting Data...</v>
      </c>
      <c r="O686" t="str">
        <f>_xll.BDP("365154QJ Muni","BVAL_MID_YTM")</f>
        <v>#N/A Requesting Data...</v>
      </c>
      <c r="P686" t="str">
        <f>_xll.BDP("365154QJ Muni","MUNI_TAX_PROV")</f>
        <v>#N/A Requesting Data...</v>
      </c>
      <c r="Q686" t="str">
        <f>_xll.BDP("365154QJ Muni","MUNI_FED_TAX")</f>
        <v>#N/A Requesting Data...</v>
      </c>
      <c r="R686" t="str">
        <f>_xll.BDP("365154QJ Muni","MUNI_MSRB_VOLUME")</f>
        <v>#N/A Requesting Data...</v>
      </c>
      <c r="S686" t="str">
        <f>_xll.BDP("365154QJ Muni","BB_COMPOSITE")</f>
        <v>#N/A Requesting Data...</v>
      </c>
      <c r="T686" t="str">
        <f>_xll.BDP("365154QJ Muni","LQA_LIQUIDITY_SCORE")</f>
        <v>#N/A Requesting Data...</v>
      </c>
    </row>
    <row r="687" spans="1:20" x14ac:dyDescent="0.25">
      <c r="A687" t="str">
        <f>_xll.BDP("46600LAG Muni","ID_CUSIP")</f>
        <v>#N/A Requesting Data...</v>
      </c>
      <c r="B687" t="s">
        <v>265</v>
      </c>
      <c r="C687" t="str">
        <f>_xll.BDP("46600LAG Muni","INSURANCE_STATUS")</f>
        <v>#N/A Requesting Data...</v>
      </c>
      <c r="D687" t="str">
        <f>_xll.BDP("46600LAG Muni","STATE_CODE")</f>
        <v>#N/A Requesting Data...</v>
      </c>
      <c r="E687" t="str">
        <f>_xll.BDP("46600LAG Muni","COUNTY_LOCATION_ISSUER")</f>
        <v>#N/A Requesting Data...</v>
      </c>
      <c r="F687" t="str">
        <f>_xll.BDP("46600LAG Muni","DUR_ADJ_MID")</f>
        <v>#N/A Requesting Data...</v>
      </c>
      <c r="G687" t="str">
        <f>_xll.BDP("46600LAG Muni","SPREAD_AT_ISSUANCE_TO_WORST")</f>
        <v>#N/A Requesting Data...</v>
      </c>
      <c r="H687" t="str">
        <f>_xll.BDP("46600LAG Muni","ISSUE_DT")</f>
        <v>#N/A Requesting Data...</v>
      </c>
      <c r="I687" t="str">
        <f>_xll.BDS("46600LAG Muni","MUNI_PURPOSE_SCHED", "aggregate=y")</f>
        <v>#N/A Review</v>
      </c>
      <c r="J687" t="str">
        <f>_xll.BDP("46600LAG Muni","CPN")</f>
        <v>#N/A Requesting Data...</v>
      </c>
      <c r="K687" t="str">
        <f>_xll.BDP("46600LAG Muni","MATURITY")</f>
        <v>#N/A Requesting Data...</v>
      </c>
      <c r="L687">
        <v>250000</v>
      </c>
      <c r="M687" t="str">
        <f>_xll.BDP("46600LAG Muni","YIELD_ON_ISSUE_DATE")</f>
        <v>#N/A Requesting Data...</v>
      </c>
      <c r="N687" t="str">
        <f>_xll.BDP("46600LAG Muni","YTW_SPREAD_TO_MATURITY_AT_ISSU")</f>
        <v>#N/A Requesting Data...</v>
      </c>
      <c r="O687" t="str">
        <f>_xll.BDP("46600LAG Muni","BVAL_MID_YTM")</f>
        <v>#N/A Requesting Data...</v>
      </c>
      <c r="P687" t="str">
        <f>_xll.BDP("46600LAG Muni","MUNI_TAX_PROV")</f>
        <v>#N/A Requesting Data...</v>
      </c>
      <c r="Q687" t="str">
        <f>_xll.BDP("46600LAG Muni","MUNI_FED_TAX")</f>
        <v>#N/A Requesting Data...</v>
      </c>
      <c r="R687" t="str">
        <f>_xll.BDP("46600LAG Muni","MUNI_MSRB_VOLUME")</f>
        <v>#N/A Requesting Data...</v>
      </c>
      <c r="S687" t="str">
        <f>_xll.BDP("46600LAG Muni","BB_COMPOSITE")</f>
        <v>#N/A Requesting Data...</v>
      </c>
      <c r="T687" t="str">
        <f>_xll.BDP("46600LAG Muni","LQA_LIQUIDITY_SCORE")</f>
        <v>#N/A Requesting Data...</v>
      </c>
    </row>
    <row r="688" spans="1:20" x14ac:dyDescent="0.25">
      <c r="A688" t="str">
        <f>_xll.BDP("46600LAH Muni","ID_CUSIP")</f>
        <v>#N/A Requesting Data...</v>
      </c>
      <c r="B688" t="s">
        <v>265</v>
      </c>
      <c r="C688" t="str">
        <f>_xll.BDP("46600LAH Muni","INSURANCE_STATUS")</f>
        <v>#N/A Requesting Data...</v>
      </c>
      <c r="D688" t="str">
        <f>_xll.BDP("46600LAH Muni","STATE_CODE")</f>
        <v>#N/A Requesting Data...</v>
      </c>
      <c r="E688" t="str">
        <f>_xll.BDP("46600LAH Muni","COUNTY_LOCATION_ISSUER")</f>
        <v>#N/A Requesting Data...</v>
      </c>
      <c r="F688" t="str">
        <f>_xll.BDP("46600LAH Muni","DUR_ADJ_MID")</f>
        <v>#N/A Requesting Data...</v>
      </c>
      <c r="G688" t="str">
        <f>_xll.BDP("46600LAH Muni","SPREAD_AT_ISSUANCE_TO_WORST")</f>
        <v>#N/A Requesting Data...</v>
      </c>
      <c r="H688" t="str">
        <f>_xll.BDP("46600LAH Muni","ISSUE_DT")</f>
        <v>#N/A Requesting Data...</v>
      </c>
      <c r="I688" t="str">
        <f>_xll.BDS("46600LAH Muni","MUNI_PURPOSE_SCHED", "aggregate=y")</f>
        <v>#N/A Review</v>
      </c>
      <c r="J688" t="str">
        <f>_xll.BDP("46600LAH Muni","CPN")</f>
        <v>#N/A Requesting Data...</v>
      </c>
      <c r="K688" t="str">
        <f>_xll.BDP("46600LAH Muni","MATURITY")</f>
        <v>#N/A Requesting Data...</v>
      </c>
      <c r="L688">
        <v>265000</v>
      </c>
      <c r="M688" t="str">
        <f>_xll.BDP("46600LAH Muni","YIELD_ON_ISSUE_DATE")</f>
        <v>#N/A Requesting Data...</v>
      </c>
      <c r="N688" t="str">
        <f>_xll.BDP("46600LAH Muni","YTW_SPREAD_TO_MATURITY_AT_ISSU")</f>
        <v>#N/A Requesting Data...</v>
      </c>
      <c r="O688" t="str">
        <f>_xll.BDP("46600LAH Muni","BVAL_MID_YTM")</f>
        <v>#N/A Requesting Data...</v>
      </c>
      <c r="P688" t="str">
        <f>_xll.BDP("46600LAH Muni","MUNI_TAX_PROV")</f>
        <v>#N/A Requesting Data...</v>
      </c>
      <c r="Q688" t="str">
        <f>_xll.BDP("46600LAH Muni","MUNI_FED_TAX")</f>
        <v>#N/A Requesting Data...</v>
      </c>
      <c r="R688" t="str">
        <f>_xll.BDP("46600LAH Muni","MUNI_MSRB_VOLUME")</f>
        <v>#N/A Requesting Data...</v>
      </c>
      <c r="S688" t="str">
        <f>_xll.BDP("46600LAH Muni","BB_COMPOSITE")</f>
        <v>#N/A Requesting Data...</v>
      </c>
      <c r="T688" t="str">
        <f>_xll.BDP("46600LAH Muni","LQA_LIQUIDITY_SCORE")</f>
        <v>#N/A Requesting Data...</v>
      </c>
    </row>
    <row r="689" spans="1:20" x14ac:dyDescent="0.25">
      <c r="A689" t="str">
        <f>_xll.BDP("46600LAJ Muni","ID_CUSIP")</f>
        <v>#N/A Requesting Data...</v>
      </c>
      <c r="B689" t="s">
        <v>265</v>
      </c>
      <c r="C689" t="str">
        <f>_xll.BDP("46600LAJ Muni","INSURANCE_STATUS")</f>
        <v>#N/A Requesting Data...</v>
      </c>
      <c r="D689" t="str">
        <f>_xll.BDP("46600LAJ Muni","STATE_CODE")</f>
        <v>#N/A Requesting Data...</v>
      </c>
      <c r="E689" t="str">
        <f>_xll.BDP("46600LAJ Muni","COUNTY_LOCATION_ISSUER")</f>
        <v>#N/A Requesting Data...</v>
      </c>
      <c r="F689" t="str">
        <f>_xll.BDP("46600LAJ Muni","DUR_ADJ_MID")</f>
        <v>#N/A Requesting Data...</v>
      </c>
      <c r="G689" t="str">
        <f>_xll.BDP("46600LAJ Muni","SPREAD_AT_ISSUANCE_TO_WORST")</f>
        <v>#N/A Requesting Data...</v>
      </c>
      <c r="H689" t="str">
        <f>_xll.BDP("46600LAJ Muni","ISSUE_DT")</f>
        <v>#N/A Requesting Data...</v>
      </c>
      <c r="I689" t="str">
        <f>_xll.BDS("46600LAJ Muni","MUNI_PURPOSE_SCHED", "aggregate=y")</f>
        <v>#N/A Review</v>
      </c>
      <c r="J689" t="str">
        <f>_xll.BDP("46600LAJ Muni","CPN")</f>
        <v>#N/A Requesting Data...</v>
      </c>
      <c r="K689" t="str">
        <f>_xll.BDP("46600LAJ Muni","MATURITY")</f>
        <v>#N/A Requesting Data...</v>
      </c>
      <c r="L689">
        <v>275000</v>
      </c>
      <c r="M689" t="str">
        <f>_xll.BDP("46600LAJ Muni","YIELD_ON_ISSUE_DATE")</f>
        <v>#N/A Requesting Data...</v>
      </c>
      <c r="N689" t="str">
        <f>_xll.BDP("46600LAJ Muni","YTW_SPREAD_TO_MATURITY_AT_ISSU")</f>
        <v>#N/A Requesting Data...</v>
      </c>
      <c r="O689" t="str">
        <f>_xll.BDP("46600LAJ Muni","BVAL_MID_YTM")</f>
        <v>#N/A Requesting Data...</v>
      </c>
      <c r="P689" t="str">
        <f>_xll.BDP("46600LAJ Muni","MUNI_TAX_PROV")</f>
        <v>#N/A Requesting Data...</v>
      </c>
      <c r="Q689" t="str">
        <f>_xll.BDP("46600LAJ Muni","MUNI_FED_TAX")</f>
        <v>#N/A Requesting Data...</v>
      </c>
      <c r="R689" t="str">
        <f>_xll.BDP("46600LAJ Muni","MUNI_MSRB_VOLUME")</f>
        <v>#N/A Requesting Data...</v>
      </c>
      <c r="S689" t="str">
        <f>_xll.BDP("46600LAJ Muni","BB_COMPOSITE")</f>
        <v>#N/A Requesting Data...</v>
      </c>
      <c r="T689" t="str">
        <f>_xll.BDP("46600LAJ Muni","LQA_LIQUIDITY_SCORE")</f>
        <v>#N/A Requesting Data...</v>
      </c>
    </row>
    <row r="690" spans="1:20" x14ac:dyDescent="0.25">
      <c r="A690" t="str">
        <f>_xll.BDP("46600LAK Muni","ID_CUSIP")</f>
        <v>#N/A Requesting Data...</v>
      </c>
      <c r="B690" t="s">
        <v>265</v>
      </c>
      <c r="C690" t="str">
        <f>_xll.BDP("46600LAK Muni","INSURANCE_STATUS")</f>
        <v>#N/A Requesting Data...</v>
      </c>
      <c r="D690" t="str">
        <f>_xll.BDP("46600LAK Muni","STATE_CODE")</f>
        <v>#N/A Requesting Data...</v>
      </c>
      <c r="E690" t="str">
        <f>_xll.BDP("46600LAK Muni","COUNTY_LOCATION_ISSUER")</f>
        <v>#N/A Requesting Data...</v>
      </c>
      <c r="F690" t="str">
        <f>_xll.BDP("46600LAK Muni","DUR_ADJ_MID")</f>
        <v>#N/A Requesting Data...</v>
      </c>
      <c r="G690" t="str">
        <f>_xll.BDP("46600LAK Muni","SPREAD_AT_ISSUANCE_TO_WORST")</f>
        <v>#N/A Requesting Data...</v>
      </c>
      <c r="H690" t="str">
        <f>_xll.BDP("46600LAK Muni","ISSUE_DT")</f>
        <v>#N/A Requesting Data...</v>
      </c>
      <c r="I690" t="str">
        <f>_xll.BDS("46600LAK Muni","MUNI_PURPOSE_SCHED", "aggregate=y")</f>
        <v>#N/A Review</v>
      </c>
      <c r="J690" t="str">
        <f>_xll.BDP("46600LAK Muni","CPN")</f>
        <v>#N/A Requesting Data...</v>
      </c>
      <c r="K690" t="str">
        <f>_xll.BDP("46600LAK Muni","MATURITY")</f>
        <v>#N/A Requesting Data...</v>
      </c>
      <c r="L690">
        <v>290000</v>
      </c>
      <c r="M690" t="str">
        <f>_xll.BDP("46600LAK Muni","YIELD_ON_ISSUE_DATE")</f>
        <v>#N/A Requesting Data...</v>
      </c>
      <c r="N690" t="str">
        <f>_xll.BDP("46600LAK Muni","YTW_SPREAD_TO_MATURITY_AT_ISSU")</f>
        <v>#N/A Requesting Data...</v>
      </c>
      <c r="O690" t="str">
        <f>_xll.BDP("46600LAK Muni","BVAL_MID_YTM")</f>
        <v>#N/A Requesting Data...</v>
      </c>
      <c r="P690" t="str">
        <f>_xll.BDP("46600LAK Muni","MUNI_TAX_PROV")</f>
        <v>#N/A Requesting Data...</v>
      </c>
      <c r="Q690" t="str">
        <f>_xll.BDP("46600LAK Muni","MUNI_FED_TAX")</f>
        <v>#N/A Requesting Data...</v>
      </c>
      <c r="R690" t="str">
        <f>_xll.BDP("46600LAK Muni","MUNI_MSRB_VOLUME")</f>
        <v>#N/A Requesting Data...</v>
      </c>
      <c r="S690" t="str">
        <f>_xll.BDP("46600LAK Muni","BB_COMPOSITE")</f>
        <v>#N/A Requesting Data...</v>
      </c>
      <c r="T690" t="str">
        <f>_xll.BDP("46600LAK Muni","LQA_LIQUIDITY_SCORE")</f>
        <v>#N/A Requesting Data...</v>
      </c>
    </row>
    <row r="691" spans="1:20" x14ac:dyDescent="0.25">
      <c r="A691" t="str">
        <f>_xll.BDP("46600LAL Muni","ID_CUSIP")</f>
        <v>#N/A Requesting Data...</v>
      </c>
      <c r="B691" t="s">
        <v>265</v>
      </c>
      <c r="C691" t="str">
        <f>_xll.BDP("46600LAL Muni","INSURANCE_STATUS")</f>
        <v>#N/A Requesting Data...</v>
      </c>
      <c r="D691" t="str">
        <f>_xll.BDP("46600LAL Muni","STATE_CODE")</f>
        <v>#N/A Requesting Data...</v>
      </c>
      <c r="E691" t="str">
        <f>_xll.BDP("46600LAL Muni","COUNTY_LOCATION_ISSUER")</f>
        <v>#N/A Requesting Data...</v>
      </c>
      <c r="F691" t="str">
        <f>_xll.BDP("46600LAL Muni","DUR_ADJ_MID")</f>
        <v>#N/A Requesting Data...</v>
      </c>
      <c r="G691" t="str">
        <f>_xll.BDP("46600LAL Muni","SPREAD_AT_ISSUANCE_TO_WORST")</f>
        <v>#N/A Requesting Data...</v>
      </c>
      <c r="H691" t="str">
        <f>_xll.BDP("46600LAL Muni","ISSUE_DT")</f>
        <v>#N/A Requesting Data...</v>
      </c>
      <c r="I691" t="str">
        <f>_xll.BDS("46600LAL Muni","MUNI_PURPOSE_SCHED", "aggregate=y")</f>
        <v>#N/A Review</v>
      </c>
      <c r="J691" t="str">
        <f>_xll.BDP("46600LAL Muni","CPN")</f>
        <v>#N/A Requesting Data...</v>
      </c>
      <c r="K691" t="str">
        <f>_xll.BDP("46600LAL Muni","MATURITY")</f>
        <v>#N/A Requesting Data...</v>
      </c>
      <c r="L691">
        <v>300000</v>
      </c>
      <c r="M691" t="str">
        <f>_xll.BDP("46600LAL Muni","YIELD_ON_ISSUE_DATE")</f>
        <v>#N/A Requesting Data...</v>
      </c>
      <c r="N691" t="str">
        <f>_xll.BDP("46600LAL Muni","YTW_SPREAD_TO_MATURITY_AT_ISSU")</f>
        <v>#N/A Requesting Data...</v>
      </c>
      <c r="O691" t="str">
        <f>_xll.BDP("46600LAL Muni","BVAL_MID_YTM")</f>
        <v>#N/A Requesting Data...</v>
      </c>
      <c r="P691" t="str">
        <f>_xll.BDP("46600LAL Muni","MUNI_TAX_PROV")</f>
        <v>#N/A Requesting Data...</v>
      </c>
      <c r="Q691" t="str">
        <f>_xll.BDP("46600LAL Muni","MUNI_FED_TAX")</f>
        <v>#N/A Requesting Data...</v>
      </c>
      <c r="R691" t="str">
        <f>_xll.BDP("46600LAL Muni","MUNI_MSRB_VOLUME")</f>
        <v>#N/A Requesting Data...</v>
      </c>
      <c r="S691" t="str">
        <f>_xll.BDP("46600LAL Muni","BB_COMPOSITE")</f>
        <v>#N/A Requesting Data...</v>
      </c>
      <c r="T691" t="str">
        <f>_xll.BDP("46600LAL Muni","LQA_LIQUIDITY_SCORE")</f>
        <v>#N/A Requesting Data...</v>
      </c>
    </row>
    <row r="692" spans="1:20" x14ac:dyDescent="0.25">
      <c r="A692" t="str">
        <f>_xll.BDP("467319AF Muni","ID_CUSIP")</f>
        <v>#N/A Requesting Data...</v>
      </c>
      <c r="B692" t="s">
        <v>266</v>
      </c>
      <c r="C692" t="str">
        <f>_xll.BDP("467319AF Muni","INSURANCE_STATUS")</f>
        <v>#N/A Requesting Data...</v>
      </c>
      <c r="D692" t="str">
        <f>_xll.BDP("467319AF Muni","STATE_CODE")</f>
        <v>#N/A Requesting Data...</v>
      </c>
      <c r="E692" t="str">
        <f>_xll.BDP("467319AF Muni","COUNTY_LOCATION_ISSUER")</f>
        <v>#N/A Requesting Data...</v>
      </c>
      <c r="F692" t="str">
        <f>_xll.BDP("467319AF Muni","DUR_ADJ_MID")</f>
        <v>#N/A Requesting Data...</v>
      </c>
      <c r="G692" t="str">
        <f>_xll.BDP("467319AF Muni","SPREAD_AT_ISSUANCE_TO_WORST")</f>
        <v>#N/A Requesting Data...</v>
      </c>
      <c r="H692" t="str">
        <f>_xll.BDP("467319AF Muni","ISSUE_DT")</f>
        <v>#N/A Requesting Data...</v>
      </c>
      <c r="I692" t="str">
        <f>_xll.BDS("467319AF Muni","MUNI_PURPOSE_SCHED", "aggregate=y")</f>
        <v>#N/A Review</v>
      </c>
      <c r="J692" t="str">
        <f>_xll.BDP("467319AF Muni","CPN")</f>
        <v>#N/A Requesting Data...</v>
      </c>
      <c r="K692" t="str">
        <f>_xll.BDP("467319AF Muni","MATURITY")</f>
        <v>#N/A Requesting Data...</v>
      </c>
      <c r="L692">
        <v>935000</v>
      </c>
      <c r="M692" t="str">
        <f>_xll.BDP("467319AF Muni","YIELD_ON_ISSUE_DATE")</f>
        <v>#N/A Requesting Data...</v>
      </c>
      <c r="N692" t="str">
        <f>_xll.BDP("467319AF Muni","YTW_SPREAD_TO_MATURITY_AT_ISSU")</f>
        <v>#N/A Requesting Data...</v>
      </c>
      <c r="O692" t="str">
        <f>_xll.BDP("467319AF Muni","BVAL_MID_YTM")</f>
        <v>#N/A Requesting Data...</v>
      </c>
      <c r="P692" t="str">
        <f>_xll.BDP("467319AF Muni","MUNI_TAX_PROV")</f>
        <v>#N/A Requesting Data...</v>
      </c>
      <c r="Q692" t="str">
        <f>_xll.BDP("467319AF Muni","MUNI_FED_TAX")</f>
        <v>#N/A Requesting Data...</v>
      </c>
      <c r="R692" t="str">
        <f>_xll.BDP("467319AF Muni","MUNI_MSRB_VOLUME")</f>
        <v>#N/A Requesting Data...</v>
      </c>
      <c r="S692" t="str">
        <f>_xll.BDP("467319AF Muni","BB_COMPOSITE")</f>
        <v>#N/A Requesting Data...</v>
      </c>
      <c r="T692" t="str">
        <f>_xll.BDP("467319AF Muni","LQA_LIQUIDITY_SCORE")</f>
        <v>#N/A Requesting Data...</v>
      </c>
    </row>
    <row r="693" spans="1:20" x14ac:dyDescent="0.25">
      <c r="A693" t="str">
        <f>_xll.BDP("467319AG Muni","ID_CUSIP")</f>
        <v>#N/A Requesting Data...</v>
      </c>
      <c r="B693" t="s">
        <v>266</v>
      </c>
      <c r="C693" t="str">
        <f>_xll.BDP("467319AG Muni","INSURANCE_STATUS")</f>
        <v>#N/A Requesting Data...</v>
      </c>
      <c r="D693" t="str">
        <f>_xll.BDP("467319AG Muni","STATE_CODE")</f>
        <v>#N/A Requesting Data...</v>
      </c>
      <c r="E693" t="str">
        <f>_xll.BDP("467319AG Muni","COUNTY_LOCATION_ISSUER")</f>
        <v>#N/A Requesting Data...</v>
      </c>
      <c r="F693" t="str">
        <f>_xll.BDP("467319AG Muni","DUR_ADJ_MID")</f>
        <v>#N/A Requesting Data...</v>
      </c>
      <c r="G693" t="str">
        <f>_xll.BDP("467319AG Muni","SPREAD_AT_ISSUANCE_TO_WORST")</f>
        <v>#N/A Requesting Data...</v>
      </c>
      <c r="H693" t="str">
        <f>_xll.BDP("467319AG Muni","ISSUE_DT")</f>
        <v>#N/A Requesting Data...</v>
      </c>
      <c r="I693" t="str">
        <f>_xll.BDS("467319AG Muni","MUNI_PURPOSE_SCHED", "aggregate=y")</f>
        <v>#N/A Review</v>
      </c>
      <c r="J693" t="str">
        <f>_xll.BDP("467319AG Muni","CPN")</f>
        <v>#N/A Requesting Data...</v>
      </c>
      <c r="K693" t="str">
        <f>_xll.BDP("467319AG Muni","MATURITY")</f>
        <v>#N/A Requesting Data...</v>
      </c>
      <c r="L693">
        <v>950000</v>
      </c>
      <c r="M693" t="str">
        <f>_xll.BDP("467319AG Muni","YIELD_ON_ISSUE_DATE")</f>
        <v>#N/A Requesting Data...</v>
      </c>
      <c r="N693" t="str">
        <f>_xll.BDP("467319AG Muni","YTW_SPREAD_TO_MATURITY_AT_ISSU")</f>
        <v>#N/A Requesting Data...</v>
      </c>
      <c r="O693" t="str">
        <f>_xll.BDP("467319AG Muni","BVAL_MID_YTM")</f>
        <v>#N/A Requesting Data...</v>
      </c>
      <c r="P693" t="str">
        <f>_xll.BDP("467319AG Muni","MUNI_TAX_PROV")</f>
        <v>#N/A Requesting Data...</v>
      </c>
      <c r="Q693" t="str">
        <f>_xll.BDP("467319AG Muni","MUNI_FED_TAX")</f>
        <v>#N/A Requesting Data...</v>
      </c>
      <c r="R693" t="str">
        <f>_xll.BDP("467319AG Muni","MUNI_MSRB_VOLUME")</f>
        <v>#N/A Requesting Data...</v>
      </c>
      <c r="S693" t="str">
        <f>_xll.BDP("467319AG Muni","BB_COMPOSITE")</f>
        <v>#N/A Requesting Data...</v>
      </c>
      <c r="T693" t="str">
        <f>_xll.BDP("467319AG Muni","LQA_LIQUIDITY_SCORE")</f>
        <v>#N/A Requesting Data...</v>
      </c>
    </row>
    <row r="694" spans="1:20" x14ac:dyDescent="0.25">
      <c r="A694" t="str">
        <f>_xll.BDP("467319AH Muni","ID_CUSIP")</f>
        <v>#N/A Requesting Data...</v>
      </c>
      <c r="B694" t="s">
        <v>266</v>
      </c>
      <c r="C694" t="str">
        <f>_xll.BDP("467319AH Muni","INSURANCE_STATUS")</f>
        <v>#N/A Requesting Data...</v>
      </c>
      <c r="D694" t="str">
        <f>_xll.BDP("467319AH Muni","STATE_CODE")</f>
        <v>#N/A Requesting Data...</v>
      </c>
      <c r="E694" t="str">
        <f>_xll.BDP("467319AH Muni","COUNTY_LOCATION_ISSUER")</f>
        <v>#N/A Requesting Data...</v>
      </c>
      <c r="F694" t="str">
        <f>_xll.BDP("467319AH Muni","DUR_ADJ_MID")</f>
        <v>#N/A Requesting Data...</v>
      </c>
      <c r="G694" t="str">
        <f>_xll.BDP("467319AH Muni","SPREAD_AT_ISSUANCE_TO_WORST")</f>
        <v>#N/A Requesting Data...</v>
      </c>
      <c r="H694" t="str">
        <f>_xll.BDP("467319AH Muni","ISSUE_DT")</f>
        <v>#N/A Requesting Data...</v>
      </c>
      <c r="I694" t="str">
        <f>_xll.BDS("467319AH Muni","MUNI_PURPOSE_SCHED", "aggregate=y")</f>
        <v>#N/A Review</v>
      </c>
      <c r="J694" t="str">
        <f>_xll.BDP("467319AH Muni","CPN")</f>
        <v>#N/A Requesting Data...</v>
      </c>
      <c r="K694" t="str">
        <f>_xll.BDP("467319AH Muni","MATURITY")</f>
        <v>#N/A Requesting Data...</v>
      </c>
      <c r="L694">
        <v>970000</v>
      </c>
      <c r="M694" t="str">
        <f>_xll.BDP("467319AH Muni","YIELD_ON_ISSUE_DATE")</f>
        <v>#N/A Requesting Data...</v>
      </c>
      <c r="N694" t="str">
        <f>_xll.BDP("467319AH Muni","YTW_SPREAD_TO_MATURITY_AT_ISSU")</f>
        <v>#N/A Requesting Data...</v>
      </c>
      <c r="O694" t="str">
        <f>_xll.BDP("467319AH Muni","BVAL_MID_YTM")</f>
        <v>#N/A Requesting Data...</v>
      </c>
      <c r="P694" t="str">
        <f>_xll.BDP("467319AH Muni","MUNI_TAX_PROV")</f>
        <v>#N/A Requesting Data...</v>
      </c>
      <c r="Q694" t="str">
        <f>_xll.BDP("467319AH Muni","MUNI_FED_TAX")</f>
        <v>#N/A Requesting Data...</v>
      </c>
      <c r="R694" t="str">
        <f>_xll.BDP("467319AH Muni","MUNI_MSRB_VOLUME")</f>
        <v>#N/A Requesting Data...</v>
      </c>
      <c r="S694" t="str">
        <f>_xll.BDP("467319AH Muni","BB_COMPOSITE")</f>
        <v>#N/A Requesting Data...</v>
      </c>
      <c r="T694" t="str">
        <f>_xll.BDP("467319AH Muni","LQA_LIQUIDITY_SCORE")</f>
        <v>#N/A Requesting Data...</v>
      </c>
    </row>
    <row r="695" spans="1:20" x14ac:dyDescent="0.25">
      <c r="A695" t="str">
        <f>_xll.BDP("467319AJ Muni","ID_CUSIP")</f>
        <v>#N/A Requesting Data...</v>
      </c>
      <c r="B695" t="s">
        <v>266</v>
      </c>
      <c r="C695" t="str">
        <f>_xll.BDP("467319AJ Muni","INSURANCE_STATUS")</f>
        <v>#N/A Requesting Data...</v>
      </c>
      <c r="D695" t="str">
        <f>_xll.BDP("467319AJ Muni","STATE_CODE")</f>
        <v>#N/A Requesting Data...</v>
      </c>
      <c r="E695" t="str">
        <f>_xll.BDP("467319AJ Muni","COUNTY_LOCATION_ISSUER")</f>
        <v>#N/A Requesting Data...</v>
      </c>
      <c r="F695" t="str">
        <f>_xll.BDP("467319AJ Muni","DUR_ADJ_MID")</f>
        <v>#N/A Requesting Data...</v>
      </c>
      <c r="G695" t="str">
        <f>_xll.BDP("467319AJ Muni","SPREAD_AT_ISSUANCE_TO_WORST")</f>
        <v>#N/A Requesting Data...</v>
      </c>
      <c r="H695" t="str">
        <f>_xll.BDP("467319AJ Muni","ISSUE_DT")</f>
        <v>#N/A Requesting Data...</v>
      </c>
      <c r="I695" t="str">
        <f>_xll.BDS("467319AJ Muni","MUNI_PURPOSE_SCHED", "aggregate=y")</f>
        <v>#N/A Review</v>
      </c>
      <c r="J695" t="str">
        <f>_xll.BDP("467319AJ Muni","CPN")</f>
        <v>#N/A Requesting Data...</v>
      </c>
      <c r="K695" t="str">
        <f>_xll.BDP("467319AJ Muni","MATURITY")</f>
        <v>#N/A Requesting Data...</v>
      </c>
      <c r="L695">
        <v>1010000</v>
      </c>
      <c r="M695" t="str">
        <f>_xll.BDP("467319AJ Muni","YIELD_ON_ISSUE_DATE")</f>
        <v>#N/A Requesting Data...</v>
      </c>
      <c r="N695" t="str">
        <f>_xll.BDP("467319AJ Muni","YTW_SPREAD_TO_MATURITY_AT_ISSU")</f>
        <v>#N/A Requesting Data...</v>
      </c>
      <c r="O695" t="str">
        <f>_xll.BDP("467319AJ Muni","BVAL_MID_YTM")</f>
        <v>#N/A Requesting Data...</v>
      </c>
      <c r="P695" t="str">
        <f>_xll.BDP("467319AJ Muni","MUNI_TAX_PROV")</f>
        <v>#N/A Requesting Data...</v>
      </c>
      <c r="Q695" t="str">
        <f>_xll.BDP("467319AJ Muni","MUNI_FED_TAX")</f>
        <v>#N/A Requesting Data...</v>
      </c>
      <c r="R695" t="str">
        <f>_xll.BDP("467319AJ Muni","MUNI_MSRB_VOLUME")</f>
        <v>#N/A Requesting Data...</v>
      </c>
      <c r="S695" t="str">
        <f>_xll.BDP("467319AJ Muni","BB_COMPOSITE")</f>
        <v>#N/A Requesting Data...</v>
      </c>
      <c r="T695" t="str">
        <f>_xll.BDP("467319AJ Muni","LQA_LIQUIDITY_SCORE")</f>
        <v>#N/A Requesting Data...</v>
      </c>
    </row>
    <row r="696" spans="1:20" x14ac:dyDescent="0.25">
      <c r="A696" t="str">
        <f>_xll.BDP("414641BL Muni","ID_CUSIP")</f>
        <v>#N/A Requesting Data...</v>
      </c>
      <c r="B696" t="s">
        <v>267</v>
      </c>
      <c r="C696" t="str">
        <f>_xll.BDP("414641BL Muni","INSURANCE_STATUS")</f>
        <v>#N/A Requesting Data...</v>
      </c>
      <c r="D696" t="str">
        <f>_xll.BDP("414641BL Muni","STATE_CODE")</f>
        <v>#N/A Requesting Data...</v>
      </c>
      <c r="E696" t="str">
        <f>_xll.BDP("414641BL Muni","COUNTY_LOCATION_ISSUER")</f>
        <v>#N/A Requesting Data...</v>
      </c>
      <c r="F696" t="str">
        <f>_xll.BDP("414641BL Muni","DUR_ADJ_MID")</f>
        <v>#N/A Requesting Data...</v>
      </c>
      <c r="G696" t="str">
        <f>_xll.BDP("414641BL Muni","SPREAD_AT_ISSUANCE_TO_WORST")</f>
        <v>#N/A Requesting Data...</v>
      </c>
      <c r="H696" t="str">
        <f>_xll.BDP("414641BL Muni","ISSUE_DT")</f>
        <v>#N/A Requesting Data...</v>
      </c>
      <c r="I696" t="str">
        <f>_xll.BDS("414641BL Muni","MUNI_PURPOSE_SCHED", "aggregate=y")</f>
        <v>#N/A Review</v>
      </c>
      <c r="J696" t="str">
        <f>_xll.BDP("414641BL Muni","CPN")</f>
        <v>#N/A Requesting Data...</v>
      </c>
      <c r="K696" t="str">
        <f>_xll.BDP("414641BL Muni","MATURITY")</f>
        <v>#N/A Requesting Data...</v>
      </c>
      <c r="L696">
        <v>40000</v>
      </c>
      <c r="M696" t="str">
        <f>_xll.BDP("414641BL Muni","YIELD_ON_ISSUE_DATE")</f>
        <v>#N/A Requesting Data...</v>
      </c>
      <c r="N696" t="str">
        <f>_xll.BDP("414641BL Muni","YTW_SPREAD_TO_MATURITY_AT_ISSU")</f>
        <v>#N/A Requesting Data...</v>
      </c>
      <c r="O696" t="str">
        <f>_xll.BDP("414641BL Muni","BVAL_MID_YTM")</f>
        <v>#N/A Requesting Data...</v>
      </c>
      <c r="P696" t="str">
        <f>_xll.BDP("414641BL Muni","MUNI_TAX_PROV")</f>
        <v>#N/A Requesting Data...</v>
      </c>
      <c r="Q696" t="str">
        <f>_xll.BDP("414641BL Muni","MUNI_FED_TAX")</f>
        <v>#N/A Requesting Data...</v>
      </c>
      <c r="R696" t="str">
        <f>_xll.BDP("414641BL Muni","MUNI_MSRB_VOLUME")</f>
        <v>#N/A Requesting Data...</v>
      </c>
      <c r="S696" t="str">
        <f>_xll.BDP("414641BL Muni","BB_COMPOSITE")</f>
        <v>#N/A Requesting Data...</v>
      </c>
      <c r="T696" t="str">
        <f>_xll.BDP("414641BL Muni","LQA_LIQUIDITY_SCORE")</f>
        <v>#N/A Requesting Data...</v>
      </c>
    </row>
    <row r="697" spans="1:20" x14ac:dyDescent="0.25">
      <c r="A697" t="str">
        <f>_xll.BDP("414641BM Muni","ID_CUSIP")</f>
        <v>#N/A Requesting Data...</v>
      </c>
      <c r="B697" t="s">
        <v>267</v>
      </c>
      <c r="C697" t="str">
        <f>_xll.BDP("414641BM Muni","INSURANCE_STATUS")</f>
        <v>#N/A Requesting Data...</v>
      </c>
      <c r="D697" t="str">
        <f>_xll.BDP("414641BM Muni","STATE_CODE")</f>
        <v>#N/A Requesting Data...</v>
      </c>
      <c r="E697" t="str">
        <f>_xll.BDP("414641BM Muni","COUNTY_LOCATION_ISSUER")</f>
        <v>#N/A Requesting Data...</v>
      </c>
      <c r="F697" t="str">
        <f>_xll.BDP("414641BM Muni","DUR_ADJ_MID")</f>
        <v>#N/A Requesting Data...</v>
      </c>
      <c r="G697" t="str">
        <f>_xll.BDP("414641BM Muni","SPREAD_AT_ISSUANCE_TO_WORST")</f>
        <v>#N/A Requesting Data...</v>
      </c>
      <c r="H697" t="str">
        <f>_xll.BDP("414641BM Muni","ISSUE_DT")</f>
        <v>#N/A Requesting Data...</v>
      </c>
      <c r="I697" t="str">
        <f>_xll.BDS("414641BM Muni","MUNI_PURPOSE_SCHED", "aggregate=y")</f>
        <v>#N/A Review</v>
      </c>
      <c r="J697" t="str">
        <f>_xll.BDP("414641BM Muni","CPN")</f>
        <v>#N/A Requesting Data...</v>
      </c>
      <c r="K697" t="str">
        <f>_xll.BDP("414641BM Muni","MATURITY")</f>
        <v>#N/A Requesting Data...</v>
      </c>
      <c r="L697">
        <v>45000</v>
      </c>
      <c r="M697" t="str">
        <f>_xll.BDP("414641BM Muni","YIELD_ON_ISSUE_DATE")</f>
        <v>#N/A Requesting Data...</v>
      </c>
      <c r="N697" t="str">
        <f>_xll.BDP("414641BM Muni","YTW_SPREAD_TO_MATURITY_AT_ISSU")</f>
        <v>#N/A Requesting Data...</v>
      </c>
      <c r="O697" t="str">
        <f>_xll.BDP("414641BM Muni","BVAL_MID_YTM")</f>
        <v>#N/A Requesting Data...</v>
      </c>
      <c r="P697" t="str">
        <f>_xll.BDP("414641BM Muni","MUNI_TAX_PROV")</f>
        <v>#N/A Requesting Data...</v>
      </c>
      <c r="Q697" t="str">
        <f>_xll.BDP("414641BM Muni","MUNI_FED_TAX")</f>
        <v>#N/A Requesting Data...</v>
      </c>
      <c r="R697" t="str">
        <f>_xll.BDP("414641BM Muni","MUNI_MSRB_VOLUME")</f>
        <v>#N/A Requesting Data...</v>
      </c>
      <c r="S697" t="str">
        <f>_xll.BDP("414641BM Muni","BB_COMPOSITE")</f>
        <v>#N/A Requesting Data...</v>
      </c>
      <c r="T697" t="str">
        <f>_xll.BDP("414641BM Muni","LQA_LIQUIDITY_SCORE")</f>
        <v>#N/A Requesting Data...</v>
      </c>
    </row>
    <row r="698" spans="1:20" x14ac:dyDescent="0.25">
      <c r="A698" t="str">
        <f>_xll.BDP("414945HD Muni","ID_CUSIP")</f>
        <v>#N/A Requesting Data...</v>
      </c>
      <c r="B698" t="s">
        <v>268</v>
      </c>
      <c r="C698" t="str">
        <f>_xll.BDP("414945HD Muni","INSURANCE_STATUS")</f>
        <v>#N/A Requesting Data...</v>
      </c>
      <c r="D698" t="str">
        <f>_xll.BDP("414945HD Muni","STATE_CODE")</f>
        <v>#N/A Requesting Data...</v>
      </c>
      <c r="E698" t="str">
        <f>_xll.BDP("414945HD Muni","COUNTY_LOCATION_ISSUER")</f>
        <v>#N/A Requesting Data...</v>
      </c>
      <c r="F698" t="str">
        <f>_xll.BDP("414945HD Muni","DUR_ADJ_MID")</f>
        <v>#N/A Requesting Data...</v>
      </c>
      <c r="G698" t="str">
        <f>_xll.BDP("414945HD Muni","SPREAD_AT_ISSUANCE_TO_WORST")</f>
        <v>#N/A Requesting Data...</v>
      </c>
      <c r="H698" t="str">
        <f>_xll.BDP("414945HD Muni","ISSUE_DT")</f>
        <v>#N/A Requesting Data...</v>
      </c>
      <c r="I698" t="str">
        <f>_xll.BDS("414945HD Muni","MUNI_PURPOSE_SCHED", "aggregate=y")</f>
        <v>#N/A Review</v>
      </c>
      <c r="J698" t="str">
        <f>_xll.BDP("414945HD Muni","CPN")</f>
        <v>#N/A Requesting Data...</v>
      </c>
      <c r="K698" t="str">
        <f>_xll.BDP("414945HD Muni","MATURITY")</f>
        <v>#N/A Requesting Data...</v>
      </c>
      <c r="L698">
        <v>265000</v>
      </c>
      <c r="M698" t="str">
        <f>_xll.BDP("414945HD Muni","YIELD_ON_ISSUE_DATE")</f>
        <v>#N/A Requesting Data...</v>
      </c>
      <c r="N698" t="str">
        <f>_xll.BDP("414945HD Muni","YTW_SPREAD_TO_MATURITY_AT_ISSU")</f>
        <v>#N/A Requesting Data...</v>
      </c>
      <c r="O698" t="str">
        <f>_xll.BDP("414945HD Muni","BVAL_MID_YTM")</f>
        <v>#N/A Requesting Data...</v>
      </c>
      <c r="P698" t="str">
        <f>_xll.BDP("414945HD Muni","MUNI_TAX_PROV")</f>
        <v>#N/A Requesting Data...</v>
      </c>
      <c r="Q698" t="str">
        <f>_xll.BDP("414945HD Muni","MUNI_FED_TAX")</f>
        <v>#N/A Requesting Data...</v>
      </c>
      <c r="R698" t="str">
        <f>_xll.BDP("414945HD Muni","MUNI_MSRB_VOLUME")</f>
        <v>#N/A Requesting Data...</v>
      </c>
      <c r="S698" t="str">
        <f>_xll.BDP("414945HD Muni","BB_COMPOSITE")</f>
        <v>#N/A Requesting Data...</v>
      </c>
      <c r="T698" t="str">
        <f>_xll.BDP("414945HD Muni","LQA_LIQUIDITY_SCORE")</f>
        <v>#N/A Requesting Data...</v>
      </c>
    </row>
    <row r="699" spans="1:20" x14ac:dyDescent="0.25">
      <c r="A699" t="str">
        <f>_xll.BDP("414945HE Muni","ID_CUSIP")</f>
        <v>#N/A Requesting Data...</v>
      </c>
      <c r="B699" t="s">
        <v>268</v>
      </c>
      <c r="C699" t="str">
        <f>_xll.BDP("414945HE Muni","INSURANCE_STATUS")</f>
        <v>#N/A Requesting Data...</v>
      </c>
      <c r="D699" t="str">
        <f>_xll.BDP("414945HE Muni","STATE_CODE")</f>
        <v>#N/A Requesting Data...</v>
      </c>
      <c r="E699" t="str">
        <f>_xll.BDP("414945HE Muni","COUNTY_LOCATION_ISSUER")</f>
        <v>#N/A Requesting Data...</v>
      </c>
      <c r="F699" t="str">
        <f>_xll.BDP("414945HE Muni","DUR_ADJ_MID")</f>
        <v>#N/A Requesting Data...</v>
      </c>
      <c r="G699" t="str">
        <f>_xll.BDP("414945HE Muni","SPREAD_AT_ISSUANCE_TO_WORST")</f>
        <v>#N/A Requesting Data...</v>
      </c>
      <c r="H699" t="str">
        <f>_xll.BDP("414945HE Muni","ISSUE_DT")</f>
        <v>#N/A Requesting Data...</v>
      </c>
      <c r="I699" t="str">
        <f>_xll.BDS("414945HE Muni","MUNI_PURPOSE_SCHED", "aggregate=y")</f>
        <v>#N/A Review</v>
      </c>
      <c r="J699" t="str">
        <f>_xll.BDP("414945HE Muni","CPN")</f>
        <v>#N/A Requesting Data...</v>
      </c>
      <c r="K699" t="str">
        <f>_xll.BDP("414945HE Muni","MATURITY")</f>
        <v>#N/A Requesting Data...</v>
      </c>
      <c r="L699">
        <v>275000</v>
      </c>
      <c r="M699" t="str">
        <f>_xll.BDP("414945HE Muni","YIELD_ON_ISSUE_DATE")</f>
        <v>#N/A Requesting Data...</v>
      </c>
      <c r="N699" t="str">
        <f>_xll.BDP("414945HE Muni","YTW_SPREAD_TO_MATURITY_AT_ISSU")</f>
        <v>#N/A Requesting Data...</v>
      </c>
      <c r="O699" t="str">
        <f>_xll.BDP("414945HE Muni","BVAL_MID_YTM")</f>
        <v>#N/A Requesting Data...</v>
      </c>
      <c r="P699" t="str">
        <f>_xll.BDP("414945HE Muni","MUNI_TAX_PROV")</f>
        <v>#N/A Requesting Data...</v>
      </c>
      <c r="Q699" t="str">
        <f>_xll.BDP("414945HE Muni","MUNI_FED_TAX")</f>
        <v>#N/A Requesting Data...</v>
      </c>
      <c r="R699" t="str">
        <f>_xll.BDP("414945HE Muni","MUNI_MSRB_VOLUME")</f>
        <v>#N/A Requesting Data...</v>
      </c>
      <c r="S699" t="str">
        <f>_xll.BDP("414945HE Muni","BB_COMPOSITE")</f>
        <v>#N/A Requesting Data...</v>
      </c>
      <c r="T699" t="str">
        <f>_xll.BDP("414945HE Muni","LQA_LIQUIDITY_SCORE")</f>
        <v>#N/A Requesting Data...</v>
      </c>
    </row>
    <row r="700" spans="1:20" x14ac:dyDescent="0.25">
      <c r="A700" t="str">
        <f>_xll.BDP("414967HL Muni","ID_CUSIP")</f>
        <v>#N/A Requesting Data...</v>
      </c>
      <c r="B700" t="s">
        <v>269</v>
      </c>
      <c r="C700" t="str">
        <f>_xll.BDP("414967HL Muni","INSURANCE_STATUS")</f>
        <v>#N/A Requesting Data...</v>
      </c>
      <c r="D700" t="str">
        <f>_xll.BDP("414967HL Muni","STATE_CODE")</f>
        <v>#N/A Requesting Data...</v>
      </c>
      <c r="E700" t="str">
        <f>_xll.BDP("414967HL Muni","COUNTY_LOCATION_ISSUER")</f>
        <v>#N/A Requesting Data...</v>
      </c>
      <c r="F700" t="str">
        <f>_xll.BDP("414967HL Muni","DUR_ADJ_MID")</f>
        <v>#N/A Requesting Data...</v>
      </c>
      <c r="G700" t="str">
        <f>_xll.BDP("414967HL Muni","SPREAD_AT_ISSUANCE_TO_WORST")</f>
        <v>#N/A Requesting Data...</v>
      </c>
      <c r="H700" t="str">
        <f>_xll.BDP("414967HL Muni","ISSUE_DT")</f>
        <v>#N/A Requesting Data...</v>
      </c>
      <c r="I700" t="str">
        <f>_xll.BDS("414967HL Muni","MUNI_PURPOSE_SCHED", "aggregate=y")</f>
        <v>#N/A Review</v>
      </c>
      <c r="J700" t="str">
        <f>_xll.BDP("414967HL Muni","CPN")</f>
        <v>#N/A Requesting Data...</v>
      </c>
      <c r="K700" t="str">
        <f>_xll.BDP("414967HL Muni","MATURITY")</f>
        <v>#N/A Requesting Data...</v>
      </c>
      <c r="L700">
        <v>85000</v>
      </c>
      <c r="M700" t="str">
        <f>_xll.BDP("414967HL Muni","YIELD_ON_ISSUE_DATE")</f>
        <v>#N/A Requesting Data...</v>
      </c>
      <c r="N700" t="str">
        <f>_xll.BDP("414967HL Muni","YTW_SPREAD_TO_MATURITY_AT_ISSU")</f>
        <v>#N/A Requesting Data...</v>
      </c>
      <c r="O700" t="str">
        <f>_xll.BDP("414967HL Muni","BVAL_MID_YTM")</f>
        <v>#N/A Requesting Data...</v>
      </c>
      <c r="P700" t="str">
        <f>_xll.BDP("414967HL Muni","MUNI_TAX_PROV")</f>
        <v>#N/A Requesting Data...</v>
      </c>
      <c r="Q700" t="str">
        <f>_xll.BDP("414967HL Muni","MUNI_FED_TAX")</f>
        <v>#N/A Requesting Data...</v>
      </c>
      <c r="R700" t="str">
        <f>_xll.BDP("414967HL Muni","MUNI_MSRB_VOLUME")</f>
        <v>#N/A Requesting Data...</v>
      </c>
      <c r="S700" t="str">
        <f>_xll.BDP("414967HL Muni","BB_COMPOSITE")</f>
        <v>#N/A Requesting Data...</v>
      </c>
      <c r="T700" t="str">
        <f>_xll.BDP("414967HL Muni","LQA_LIQUIDITY_SCORE")</f>
        <v>#N/A Requesting Data...</v>
      </c>
    </row>
    <row r="701" spans="1:20" x14ac:dyDescent="0.25">
      <c r="A701" t="str">
        <f>_xll.BDP("414967HM Muni","ID_CUSIP")</f>
        <v>#N/A Requesting Data...</v>
      </c>
      <c r="B701" t="s">
        <v>269</v>
      </c>
      <c r="C701" t="str">
        <f>_xll.BDP("414967HM Muni","INSURANCE_STATUS")</f>
        <v>#N/A Requesting Data...</v>
      </c>
      <c r="D701" t="str">
        <f>_xll.BDP("414967HM Muni","STATE_CODE")</f>
        <v>#N/A Requesting Data...</v>
      </c>
      <c r="E701" t="str">
        <f>_xll.BDP("414967HM Muni","COUNTY_LOCATION_ISSUER")</f>
        <v>#N/A Requesting Data...</v>
      </c>
      <c r="F701" t="str">
        <f>_xll.BDP("414967HM Muni","DUR_ADJ_MID")</f>
        <v>#N/A Requesting Data...</v>
      </c>
      <c r="G701" t="str">
        <f>_xll.BDP("414967HM Muni","SPREAD_AT_ISSUANCE_TO_WORST")</f>
        <v>#N/A Requesting Data...</v>
      </c>
      <c r="H701" t="str">
        <f>_xll.BDP("414967HM Muni","ISSUE_DT")</f>
        <v>#N/A Requesting Data...</v>
      </c>
      <c r="I701" t="str">
        <f>_xll.BDS("414967HM Muni","MUNI_PURPOSE_SCHED", "aggregate=y")</f>
        <v>#N/A Review</v>
      </c>
      <c r="J701" t="str">
        <f>_xll.BDP("414967HM Muni","CPN")</f>
        <v>#N/A Requesting Data...</v>
      </c>
      <c r="K701" t="str">
        <f>_xll.BDP("414967HM Muni","MATURITY")</f>
        <v>#N/A Requesting Data...</v>
      </c>
      <c r="L701">
        <v>90000</v>
      </c>
      <c r="M701" t="str">
        <f>_xll.BDP("414967HM Muni","YIELD_ON_ISSUE_DATE")</f>
        <v>#N/A Requesting Data...</v>
      </c>
      <c r="N701" t="str">
        <f>_xll.BDP("414967HM Muni","YTW_SPREAD_TO_MATURITY_AT_ISSU")</f>
        <v>#N/A Requesting Data...</v>
      </c>
      <c r="O701" t="str">
        <f>_xll.BDP("414967HM Muni","BVAL_MID_YTM")</f>
        <v>#N/A Requesting Data...</v>
      </c>
      <c r="P701" t="str">
        <f>_xll.BDP("414967HM Muni","MUNI_TAX_PROV")</f>
        <v>#N/A Requesting Data...</v>
      </c>
      <c r="Q701" t="str">
        <f>_xll.BDP("414967HM Muni","MUNI_FED_TAX")</f>
        <v>#N/A Requesting Data...</v>
      </c>
      <c r="R701" t="str">
        <f>_xll.BDP("414967HM Muni","MUNI_MSRB_VOLUME")</f>
        <v>#N/A Requesting Data...</v>
      </c>
      <c r="S701" t="str">
        <f>_xll.BDP("414967HM Muni","BB_COMPOSITE")</f>
        <v>#N/A Requesting Data...</v>
      </c>
      <c r="T701" t="str">
        <f>_xll.BDP("414967HM Muni","LQA_LIQUIDITY_SCORE")</f>
        <v>#N/A Requesting Data...</v>
      </c>
    </row>
    <row r="702" spans="1:20" x14ac:dyDescent="0.25">
      <c r="A702" t="str">
        <f>_xll.BDP("414967HN Muni","ID_CUSIP")</f>
        <v>#N/A Requesting Data...</v>
      </c>
      <c r="B702" t="s">
        <v>269</v>
      </c>
      <c r="C702" t="str">
        <f>_xll.BDP("414967HN Muni","INSURANCE_STATUS")</f>
        <v>#N/A Requesting Data...</v>
      </c>
      <c r="D702" t="str">
        <f>_xll.BDP("414967HN Muni","STATE_CODE")</f>
        <v>#N/A Requesting Data...</v>
      </c>
      <c r="E702" t="str">
        <f>_xll.BDP("414967HN Muni","COUNTY_LOCATION_ISSUER")</f>
        <v>#N/A Requesting Data...</v>
      </c>
      <c r="F702" t="str">
        <f>_xll.BDP("414967HN Muni","DUR_ADJ_MID")</f>
        <v>#N/A Requesting Data...</v>
      </c>
      <c r="G702" t="str">
        <f>_xll.BDP("414967HN Muni","SPREAD_AT_ISSUANCE_TO_WORST")</f>
        <v>#N/A Requesting Data...</v>
      </c>
      <c r="H702" t="str">
        <f>_xll.BDP("414967HN Muni","ISSUE_DT")</f>
        <v>#N/A Requesting Data...</v>
      </c>
      <c r="I702" t="str">
        <f>_xll.BDS("414967HN Muni","MUNI_PURPOSE_SCHED", "aggregate=y")</f>
        <v>#N/A Review</v>
      </c>
      <c r="J702" t="str">
        <f>_xll.BDP("414967HN Muni","CPN")</f>
        <v>#N/A Requesting Data...</v>
      </c>
      <c r="K702" t="str">
        <f>_xll.BDP("414967HN Muni","MATURITY")</f>
        <v>#N/A Requesting Data...</v>
      </c>
      <c r="L702">
        <v>95000</v>
      </c>
      <c r="M702" t="str">
        <f>_xll.BDP("414967HN Muni","YIELD_ON_ISSUE_DATE")</f>
        <v>#N/A Requesting Data...</v>
      </c>
      <c r="N702" t="str">
        <f>_xll.BDP("414967HN Muni","YTW_SPREAD_TO_MATURITY_AT_ISSU")</f>
        <v>#N/A Requesting Data...</v>
      </c>
      <c r="O702" t="str">
        <f>_xll.BDP("414967HN Muni","BVAL_MID_YTM")</f>
        <v>#N/A Requesting Data...</v>
      </c>
      <c r="P702" t="str">
        <f>_xll.BDP("414967HN Muni","MUNI_TAX_PROV")</f>
        <v>#N/A Requesting Data...</v>
      </c>
      <c r="Q702" t="str">
        <f>_xll.BDP("414967HN Muni","MUNI_FED_TAX")</f>
        <v>#N/A Requesting Data...</v>
      </c>
      <c r="R702" t="str">
        <f>_xll.BDP("414967HN Muni","MUNI_MSRB_VOLUME")</f>
        <v>#N/A Requesting Data...</v>
      </c>
      <c r="S702" t="str">
        <f>_xll.BDP("414967HN Muni","BB_COMPOSITE")</f>
        <v>#N/A Requesting Data...</v>
      </c>
      <c r="T702" t="str">
        <f>_xll.BDP("414967HN Muni","LQA_LIQUIDITY_SCORE")</f>
        <v>#N/A Requesting Data...</v>
      </c>
    </row>
    <row r="703" spans="1:20" x14ac:dyDescent="0.25">
      <c r="A703" t="str">
        <f>_xll.BDP("414967HP Muni","ID_CUSIP")</f>
        <v>#N/A Requesting Data...</v>
      </c>
      <c r="B703" t="s">
        <v>269</v>
      </c>
      <c r="C703" t="str">
        <f>_xll.BDP("414967HP Muni","INSURANCE_STATUS")</f>
        <v>#N/A Requesting Data...</v>
      </c>
      <c r="D703" t="str">
        <f>_xll.BDP("414967HP Muni","STATE_CODE")</f>
        <v>#N/A Requesting Data...</v>
      </c>
      <c r="E703" t="str">
        <f>_xll.BDP("414967HP Muni","COUNTY_LOCATION_ISSUER")</f>
        <v>#N/A Requesting Data...</v>
      </c>
      <c r="F703" t="str">
        <f>_xll.BDP("414967HP Muni","DUR_ADJ_MID")</f>
        <v>#N/A Requesting Data...</v>
      </c>
      <c r="G703" t="str">
        <f>_xll.BDP("414967HP Muni","SPREAD_AT_ISSUANCE_TO_WORST")</f>
        <v>#N/A Requesting Data...</v>
      </c>
      <c r="H703" t="str">
        <f>_xll.BDP("414967HP Muni","ISSUE_DT")</f>
        <v>#N/A Requesting Data...</v>
      </c>
      <c r="I703" t="str">
        <f>_xll.BDS("414967HP Muni","MUNI_PURPOSE_SCHED", "aggregate=y")</f>
        <v>#N/A Review</v>
      </c>
      <c r="J703" t="str">
        <f>_xll.BDP("414967HP Muni","CPN")</f>
        <v>#N/A Requesting Data...</v>
      </c>
      <c r="K703" t="str">
        <f>_xll.BDP("414967HP Muni","MATURITY")</f>
        <v>#N/A Requesting Data...</v>
      </c>
      <c r="L703">
        <v>95000</v>
      </c>
      <c r="M703" t="str">
        <f>_xll.BDP("414967HP Muni","YIELD_ON_ISSUE_DATE")</f>
        <v>#N/A Requesting Data...</v>
      </c>
      <c r="N703" t="str">
        <f>_xll.BDP("414967HP Muni","YTW_SPREAD_TO_MATURITY_AT_ISSU")</f>
        <v>#N/A Requesting Data...</v>
      </c>
      <c r="O703" t="str">
        <f>_xll.BDP("414967HP Muni","BVAL_MID_YTM")</f>
        <v>#N/A Requesting Data...</v>
      </c>
      <c r="P703" t="str">
        <f>_xll.BDP("414967HP Muni","MUNI_TAX_PROV")</f>
        <v>#N/A Requesting Data...</v>
      </c>
      <c r="Q703" t="str">
        <f>_xll.BDP("414967HP Muni","MUNI_FED_TAX")</f>
        <v>#N/A Requesting Data...</v>
      </c>
      <c r="R703" t="str">
        <f>_xll.BDP("414967HP Muni","MUNI_MSRB_VOLUME")</f>
        <v>#N/A Requesting Data...</v>
      </c>
      <c r="S703" t="str">
        <f>_xll.BDP("414967HP Muni","BB_COMPOSITE")</f>
        <v>#N/A Requesting Data...</v>
      </c>
      <c r="T703" t="str">
        <f>_xll.BDP("414967HP Muni","LQA_LIQUIDITY_SCORE")</f>
        <v>#N/A Requesting Data...</v>
      </c>
    </row>
    <row r="704" spans="1:20" x14ac:dyDescent="0.25">
      <c r="A704" t="str">
        <f>_xll.BDP("345757ED Muni","ID_CUSIP")</f>
        <v>#N/A Requesting Data...</v>
      </c>
      <c r="B704" t="s">
        <v>270</v>
      </c>
      <c r="C704" t="str">
        <f>_xll.BDP("345757ED Muni","INSURANCE_STATUS")</f>
        <v>#N/A Requesting Data...</v>
      </c>
      <c r="D704" t="str">
        <f>_xll.BDP("345757ED Muni","STATE_CODE")</f>
        <v>#N/A Requesting Data...</v>
      </c>
      <c r="E704" t="str">
        <f>_xll.BDP("345757ED Muni","COUNTY_LOCATION_ISSUER")</f>
        <v>#N/A Requesting Data...</v>
      </c>
      <c r="F704" t="str">
        <f>_xll.BDP("345757ED Muni","DUR_ADJ_MID")</f>
        <v>#N/A Requesting Data...</v>
      </c>
      <c r="G704" t="str">
        <f>_xll.BDP("345757ED Muni","SPREAD_AT_ISSUANCE_TO_WORST")</f>
        <v>#N/A Requesting Data...</v>
      </c>
      <c r="H704" t="str">
        <f>_xll.BDP("345757ED Muni","ISSUE_DT")</f>
        <v>#N/A Requesting Data...</v>
      </c>
      <c r="I704" t="str">
        <f>_xll.BDS("345757ED Muni","MUNI_PURPOSE_SCHED", "aggregate=y")</f>
        <v>#N/A Review</v>
      </c>
      <c r="J704" t="str">
        <f>_xll.BDP("345757ED Muni","CPN")</f>
        <v>#N/A Requesting Data...</v>
      </c>
      <c r="K704" t="str">
        <f>_xll.BDP("345757ED Muni","MATURITY")</f>
        <v>#N/A Requesting Data...</v>
      </c>
      <c r="L704">
        <v>25000</v>
      </c>
      <c r="M704" t="str">
        <f>_xll.BDP("345757ED Muni","YIELD_ON_ISSUE_DATE")</f>
        <v>#N/A Requesting Data...</v>
      </c>
      <c r="N704" t="str">
        <f>_xll.BDP("345757ED Muni","YTW_SPREAD_TO_MATURITY_AT_ISSU")</f>
        <v>#N/A Requesting Data...</v>
      </c>
      <c r="O704" t="str">
        <f>_xll.BDP("345757ED Muni","BVAL_MID_YTM")</f>
        <v>#N/A Requesting Data...</v>
      </c>
      <c r="P704" t="str">
        <f>_xll.BDP("345757ED Muni","MUNI_TAX_PROV")</f>
        <v>#N/A Requesting Data...</v>
      </c>
      <c r="Q704" t="str">
        <f>_xll.BDP("345757ED Muni","MUNI_FED_TAX")</f>
        <v>#N/A Requesting Data...</v>
      </c>
      <c r="R704" t="str">
        <f>_xll.BDP("345757ED Muni","MUNI_MSRB_VOLUME")</f>
        <v>#N/A Requesting Data...</v>
      </c>
      <c r="S704" t="str">
        <f>_xll.BDP("345757ED Muni","BB_COMPOSITE")</f>
        <v>#N/A Requesting Data...</v>
      </c>
      <c r="T704" t="str">
        <f>_xll.BDP("345757ED Muni","LQA_LIQUIDITY_SCORE")</f>
        <v>#N/A Requesting Data...</v>
      </c>
    </row>
    <row r="705" spans="1:20" x14ac:dyDescent="0.25">
      <c r="A705" t="str">
        <f>_xll.BDP("345757EE Muni","ID_CUSIP")</f>
        <v>#N/A Requesting Data...</v>
      </c>
      <c r="B705" t="s">
        <v>270</v>
      </c>
      <c r="C705" t="str">
        <f>_xll.BDP("345757EE Muni","INSURANCE_STATUS")</f>
        <v>#N/A Requesting Data...</v>
      </c>
      <c r="D705" t="str">
        <f>_xll.BDP("345757EE Muni","STATE_CODE")</f>
        <v>#N/A Requesting Data...</v>
      </c>
      <c r="E705" t="str">
        <f>_xll.BDP("345757EE Muni","COUNTY_LOCATION_ISSUER")</f>
        <v>#N/A Requesting Data...</v>
      </c>
      <c r="F705" t="str">
        <f>_xll.BDP("345757EE Muni","DUR_ADJ_MID")</f>
        <v>#N/A Requesting Data...</v>
      </c>
      <c r="G705" t="str">
        <f>_xll.BDP("345757EE Muni","SPREAD_AT_ISSUANCE_TO_WORST")</f>
        <v>#N/A Requesting Data...</v>
      </c>
      <c r="H705" t="str">
        <f>_xll.BDP("345757EE Muni","ISSUE_DT")</f>
        <v>#N/A Requesting Data...</v>
      </c>
      <c r="I705" t="str">
        <f>_xll.BDS("345757EE Muni","MUNI_PURPOSE_SCHED", "aggregate=y")</f>
        <v>#N/A Review</v>
      </c>
      <c r="J705" t="str">
        <f>_xll.BDP("345757EE Muni","CPN")</f>
        <v>#N/A Requesting Data...</v>
      </c>
      <c r="K705" t="str">
        <f>_xll.BDP("345757EE Muni","MATURITY")</f>
        <v>#N/A Requesting Data...</v>
      </c>
      <c r="L705">
        <v>25000</v>
      </c>
      <c r="M705" t="str">
        <f>_xll.BDP("345757EE Muni","YIELD_ON_ISSUE_DATE")</f>
        <v>#N/A Requesting Data...</v>
      </c>
      <c r="N705" t="str">
        <f>_xll.BDP("345757EE Muni","YTW_SPREAD_TO_MATURITY_AT_ISSU")</f>
        <v>#N/A Requesting Data...</v>
      </c>
      <c r="O705" t="str">
        <f>_xll.BDP("345757EE Muni","BVAL_MID_YTM")</f>
        <v>#N/A Requesting Data...</v>
      </c>
      <c r="P705" t="str">
        <f>_xll.BDP("345757EE Muni","MUNI_TAX_PROV")</f>
        <v>#N/A Requesting Data...</v>
      </c>
      <c r="Q705" t="str">
        <f>_xll.BDP("345757EE Muni","MUNI_FED_TAX")</f>
        <v>#N/A Requesting Data...</v>
      </c>
      <c r="R705" t="str">
        <f>_xll.BDP("345757EE Muni","MUNI_MSRB_VOLUME")</f>
        <v>#N/A Requesting Data...</v>
      </c>
      <c r="S705" t="str">
        <f>_xll.BDP("345757EE Muni","BB_COMPOSITE")</f>
        <v>#N/A Requesting Data...</v>
      </c>
      <c r="T705" t="str">
        <f>_xll.BDP("345757EE Muni","LQA_LIQUIDITY_SCORE")</f>
        <v>#N/A Requesting Data...</v>
      </c>
    </row>
    <row r="706" spans="1:20" x14ac:dyDescent="0.25">
      <c r="A706" t="str">
        <f>_xll.BDP("564378ES Muni","ID_CUSIP")</f>
        <v>#N/A Requesting Data...</v>
      </c>
      <c r="B706" t="s">
        <v>271</v>
      </c>
      <c r="C706" t="str">
        <f>_xll.BDP("564378ES Muni","INSURANCE_STATUS")</f>
        <v>#N/A Requesting Data...</v>
      </c>
      <c r="D706" t="str">
        <f>_xll.BDP("564378ES Muni","STATE_CODE")</f>
        <v>#N/A Requesting Data...</v>
      </c>
      <c r="E706" t="str">
        <f>_xll.BDP("564378ES Muni","COUNTY_LOCATION_ISSUER")</f>
        <v>#N/A Requesting Data...</v>
      </c>
      <c r="F706" t="str">
        <f>_xll.BDP("564378ES Muni","DUR_ADJ_MID")</f>
        <v>#N/A Requesting Data...</v>
      </c>
      <c r="G706" t="str">
        <f>_xll.BDP("564378ES Muni","SPREAD_AT_ISSUANCE_TO_WORST")</f>
        <v>#N/A Requesting Data...</v>
      </c>
      <c r="H706" t="str">
        <f>_xll.BDP("564378ES Muni","ISSUE_DT")</f>
        <v>#N/A Requesting Data...</v>
      </c>
      <c r="I706" t="str">
        <f>_xll.BDS("564378ES Muni","MUNI_PURPOSE_SCHED", "aggregate=y")</f>
        <v>#N/A Review</v>
      </c>
      <c r="J706" t="str">
        <f>_xll.BDP("564378ES Muni","CPN")</f>
        <v>#N/A Requesting Data...</v>
      </c>
      <c r="K706" t="str">
        <f>_xll.BDP("564378ES Muni","MATURITY")</f>
        <v>#N/A Requesting Data...</v>
      </c>
      <c r="L706">
        <v>105000</v>
      </c>
      <c r="M706" t="str">
        <f>_xll.BDP("564378ES Muni","YIELD_ON_ISSUE_DATE")</f>
        <v>#N/A Requesting Data...</v>
      </c>
      <c r="N706" t="str">
        <f>_xll.BDP("564378ES Muni","YTW_SPREAD_TO_MATURITY_AT_ISSU")</f>
        <v>#N/A Requesting Data...</v>
      </c>
      <c r="O706" t="str">
        <f>_xll.BDP("564378ES Muni","BVAL_MID_YTM")</f>
        <v>#N/A Requesting Data...</v>
      </c>
      <c r="P706" t="str">
        <f>_xll.BDP("564378ES Muni","MUNI_TAX_PROV")</f>
        <v>#N/A Requesting Data...</v>
      </c>
      <c r="Q706" t="str">
        <f>_xll.BDP("564378ES Muni","MUNI_FED_TAX")</f>
        <v>#N/A Requesting Data...</v>
      </c>
      <c r="R706" t="str">
        <f>_xll.BDP("564378ES Muni","MUNI_MSRB_VOLUME")</f>
        <v>#N/A Requesting Data...</v>
      </c>
      <c r="S706" t="str">
        <f>_xll.BDP("564378ES Muni","BB_COMPOSITE")</f>
        <v>#N/A Requesting Data...</v>
      </c>
      <c r="T706" t="str">
        <f>_xll.BDP("564378ES Muni","LQA_LIQUIDITY_SCORE")</f>
        <v>#N/A Requesting Data...</v>
      </c>
    </row>
    <row r="707" spans="1:20" x14ac:dyDescent="0.25">
      <c r="A707" t="str">
        <f>_xll.BDP("56501MCF Muni","ID_CUSIP")</f>
        <v>#N/A Requesting Data...</v>
      </c>
      <c r="B707" t="s">
        <v>272</v>
      </c>
      <c r="C707" t="str">
        <f>_xll.BDP("56501MCF Muni","INSURANCE_STATUS")</f>
        <v>#N/A Requesting Data...</v>
      </c>
      <c r="D707" t="str">
        <f>_xll.BDP("56501MCF Muni","STATE_CODE")</f>
        <v>#N/A Requesting Data...</v>
      </c>
      <c r="E707" t="str">
        <f>_xll.BDP("56501MCF Muni","COUNTY_LOCATION_ISSUER")</f>
        <v>#N/A Requesting Data...</v>
      </c>
      <c r="F707" t="str">
        <f>_xll.BDP("56501MCF Muni","DUR_ADJ_MID")</f>
        <v>#N/A Requesting Data...</v>
      </c>
      <c r="G707" t="str">
        <f>_xll.BDP("56501MCF Muni","SPREAD_AT_ISSUANCE_TO_WORST")</f>
        <v>#N/A Requesting Data...</v>
      </c>
      <c r="H707" t="str">
        <f>_xll.BDP("56501MCF Muni","ISSUE_DT")</f>
        <v>#N/A Requesting Data...</v>
      </c>
      <c r="I707" t="str">
        <f>_xll.BDS("56501MCF Muni","MUNI_PURPOSE_SCHED", "aggregate=y")</f>
        <v>#N/A Review</v>
      </c>
      <c r="J707" t="str">
        <f>_xll.BDP("56501MCF Muni","CPN")</f>
        <v>#N/A Requesting Data...</v>
      </c>
      <c r="K707" t="str">
        <f>_xll.BDP("56501MCF Muni","MATURITY")</f>
        <v>#N/A Requesting Data...</v>
      </c>
      <c r="L707">
        <v>230000</v>
      </c>
      <c r="M707" t="str">
        <f>_xll.BDP("56501MCF Muni","YIELD_ON_ISSUE_DATE")</f>
        <v>#N/A Requesting Data...</v>
      </c>
      <c r="N707" t="str">
        <f>_xll.BDP("56501MCF Muni","YTW_SPREAD_TO_MATURITY_AT_ISSU")</f>
        <v>#N/A Requesting Data...</v>
      </c>
      <c r="O707" t="str">
        <f>_xll.BDP("56501MCF Muni","BVAL_MID_YTM")</f>
        <v>#N/A Requesting Data...</v>
      </c>
      <c r="P707" t="str">
        <f>_xll.BDP("56501MCF Muni","MUNI_TAX_PROV")</f>
        <v>#N/A Requesting Data...</v>
      </c>
      <c r="Q707" t="str">
        <f>_xll.BDP("56501MCF Muni","MUNI_FED_TAX")</f>
        <v>#N/A Requesting Data...</v>
      </c>
      <c r="R707" t="str">
        <f>_xll.BDP("56501MCF Muni","MUNI_MSRB_VOLUME")</f>
        <v>#N/A Requesting Data...</v>
      </c>
      <c r="S707" t="str">
        <f>_xll.BDP("56501MCF Muni","BB_COMPOSITE")</f>
        <v>#N/A Requesting Data...</v>
      </c>
      <c r="T707" t="str">
        <f>_xll.BDP("56501MCF Muni","LQA_LIQUIDITY_SCORE")</f>
        <v>#N/A Requesting Data...</v>
      </c>
    </row>
    <row r="708" spans="1:20" x14ac:dyDescent="0.25">
      <c r="A708" t="str">
        <f>_xll.BDP("56501MCG Muni","ID_CUSIP")</f>
        <v>#N/A Requesting Data...</v>
      </c>
      <c r="B708" t="s">
        <v>272</v>
      </c>
      <c r="C708" t="str">
        <f>_xll.BDP("56501MCG Muni","INSURANCE_STATUS")</f>
        <v>#N/A Requesting Data...</v>
      </c>
      <c r="D708" t="str">
        <f>_xll.BDP("56501MCG Muni","STATE_CODE")</f>
        <v>#N/A Requesting Data...</v>
      </c>
      <c r="E708" t="str">
        <f>_xll.BDP("56501MCG Muni","COUNTY_LOCATION_ISSUER")</f>
        <v>#N/A Requesting Data...</v>
      </c>
      <c r="F708" t="str">
        <f>_xll.BDP("56501MCG Muni","DUR_ADJ_MID")</f>
        <v>#N/A Requesting Data...</v>
      </c>
      <c r="G708" t="str">
        <f>_xll.BDP("56501MCG Muni","SPREAD_AT_ISSUANCE_TO_WORST")</f>
        <v>#N/A Requesting Data...</v>
      </c>
      <c r="H708" t="str">
        <f>_xll.BDP("56501MCG Muni","ISSUE_DT")</f>
        <v>#N/A Requesting Data...</v>
      </c>
      <c r="I708" t="str">
        <f>_xll.BDS("56501MCG Muni","MUNI_PURPOSE_SCHED", "aggregate=y")</f>
        <v>#N/A Review</v>
      </c>
      <c r="J708" t="str">
        <f>_xll.BDP("56501MCG Muni","CPN")</f>
        <v>#N/A Requesting Data...</v>
      </c>
      <c r="K708" t="str">
        <f>_xll.BDP("56501MCG Muni","MATURITY")</f>
        <v>#N/A Requesting Data...</v>
      </c>
      <c r="L708">
        <v>230000</v>
      </c>
      <c r="M708" t="str">
        <f>_xll.BDP("56501MCG Muni","YIELD_ON_ISSUE_DATE")</f>
        <v>#N/A Requesting Data...</v>
      </c>
      <c r="N708" t="str">
        <f>_xll.BDP("56501MCG Muni","YTW_SPREAD_TO_MATURITY_AT_ISSU")</f>
        <v>#N/A Requesting Data...</v>
      </c>
      <c r="O708" t="str">
        <f>_xll.BDP("56501MCG Muni","BVAL_MID_YTM")</f>
        <v>#N/A Requesting Data...</v>
      </c>
      <c r="P708" t="str">
        <f>_xll.BDP("56501MCG Muni","MUNI_TAX_PROV")</f>
        <v>#N/A Requesting Data...</v>
      </c>
      <c r="Q708" t="str">
        <f>_xll.BDP("56501MCG Muni","MUNI_FED_TAX")</f>
        <v>#N/A Requesting Data...</v>
      </c>
      <c r="R708" t="str">
        <f>_xll.BDP("56501MCG Muni","MUNI_MSRB_VOLUME")</f>
        <v>#N/A Requesting Data...</v>
      </c>
      <c r="S708" t="str">
        <f>_xll.BDP("56501MCG Muni","BB_COMPOSITE")</f>
        <v>#N/A Requesting Data...</v>
      </c>
      <c r="T708" t="str">
        <f>_xll.BDP("56501MCG Muni","LQA_LIQUIDITY_SCORE")</f>
        <v>#N/A Requesting Data...</v>
      </c>
    </row>
    <row r="709" spans="1:20" x14ac:dyDescent="0.25">
      <c r="A709" t="str">
        <f>_xll.BDP("56501MCH Muni","ID_CUSIP")</f>
        <v>#N/A Requesting Data...</v>
      </c>
      <c r="B709" t="s">
        <v>272</v>
      </c>
      <c r="C709" t="str">
        <f>_xll.BDP("56501MCH Muni","INSURANCE_STATUS")</f>
        <v>#N/A Requesting Data...</v>
      </c>
      <c r="D709" t="str">
        <f>_xll.BDP("56501MCH Muni","STATE_CODE")</f>
        <v>#N/A Requesting Data...</v>
      </c>
      <c r="E709" t="str">
        <f>_xll.BDP("56501MCH Muni","COUNTY_LOCATION_ISSUER")</f>
        <v>#N/A Requesting Data...</v>
      </c>
      <c r="F709" t="str">
        <f>_xll.BDP("56501MCH Muni","DUR_ADJ_MID")</f>
        <v>#N/A Requesting Data...</v>
      </c>
      <c r="G709" t="str">
        <f>_xll.BDP("56501MCH Muni","SPREAD_AT_ISSUANCE_TO_WORST")</f>
        <v>#N/A Requesting Data...</v>
      </c>
      <c r="H709" t="str">
        <f>_xll.BDP("56501MCH Muni","ISSUE_DT")</f>
        <v>#N/A Requesting Data...</v>
      </c>
      <c r="I709" t="str">
        <f>_xll.BDS("56501MCH Muni","MUNI_PURPOSE_SCHED", "aggregate=y")</f>
        <v>#N/A Review</v>
      </c>
      <c r="J709" t="str">
        <f>_xll.BDP("56501MCH Muni","CPN")</f>
        <v>#N/A Requesting Data...</v>
      </c>
      <c r="K709" t="str">
        <f>_xll.BDP("56501MCH Muni","MATURITY")</f>
        <v>#N/A Requesting Data...</v>
      </c>
      <c r="L709">
        <v>230000</v>
      </c>
      <c r="M709" t="str">
        <f>_xll.BDP("56501MCH Muni","YIELD_ON_ISSUE_DATE")</f>
        <v>#N/A Requesting Data...</v>
      </c>
      <c r="N709" t="str">
        <f>_xll.BDP("56501MCH Muni","YTW_SPREAD_TO_MATURITY_AT_ISSU")</f>
        <v>#N/A Requesting Data...</v>
      </c>
      <c r="O709" t="str">
        <f>_xll.BDP("56501MCH Muni","BVAL_MID_YTM")</f>
        <v>#N/A Requesting Data...</v>
      </c>
      <c r="P709" t="str">
        <f>_xll.BDP("56501MCH Muni","MUNI_TAX_PROV")</f>
        <v>#N/A Requesting Data...</v>
      </c>
      <c r="Q709" t="str">
        <f>_xll.BDP("56501MCH Muni","MUNI_FED_TAX")</f>
        <v>#N/A Requesting Data...</v>
      </c>
      <c r="R709" t="str">
        <f>_xll.BDP("56501MCH Muni","MUNI_MSRB_VOLUME")</f>
        <v>#N/A Requesting Data...</v>
      </c>
      <c r="S709" t="str">
        <f>_xll.BDP("56501MCH Muni","BB_COMPOSITE")</f>
        <v>#N/A Requesting Data...</v>
      </c>
      <c r="T709" t="str">
        <f>_xll.BDP("56501MCH Muni","LQA_LIQUIDITY_SCORE")</f>
        <v>#N/A Requesting Data...</v>
      </c>
    </row>
    <row r="710" spans="1:20" x14ac:dyDescent="0.25">
      <c r="A710" t="str">
        <f>_xll.BDP("56501MCJ Muni","ID_CUSIP")</f>
        <v>#N/A Requesting Data...</v>
      </c>
      <c r="B710" t="s">
        <v>272</v>
      </c>
      <c r="C710" t="str">
        <f>_xll.BDP("56501MCJ Muni","INSURANCE_STATUS")</f>
        <v>#N/A Requesting Data...</v>
      </c>
      <c r="D710" t="str">
        <f>_xll.BDP("56501MCJ Muni","STATE_CODE")</f>
        <v>#N/A Requesting Data...</v>
      </c>
      <c r="E710" t="str">
        <f>_xll.BDP("56501MCJ Muni","COUNTY_LOCATION_ISSUER")</f>
        <v>#N/A Requesting Data...</v>
      </c>
      <c r="F710" t="str">
        <f>_xll.BDP("56501MCJ Muni","DUR_ADJ_MID")</f>
        <v>#N/A Requesting Data...</v>
      </c>
      <c r="G710" t="str">
        <f>_xll.BDP("56501MCJ Muni","SPREAD_AT_ISSUANCE_TO_WORST")</f>
        <v>#N/A Requesting Data...</v>
      </c>
      <c r="H710" t="str">
        <f>_xll.BDP("56501MCJ Muni","ISSUE_DT")</f>
        <v>#N/A Requesting Data...</v>
      </c>
      <c r="I710" t="str">
        <f>_xll.BDS("56501MCJ Muni","MUNI_PURPOSE_SCHED", "aggregate=y")</f>
        <v>#N/A Review</v>
      </c>
      <c r="J710" t="str">
        <f>_xll.BDP("56501MCJ Muni","CPN")</f>
        <v>#N/A Requesting Data...</v>
      </c>
      <c r="K710" t="str">
        <f>_xll.BDP("56501MCJ Muni","MATURITY")</f>
        <v>#N/A Requesting Data...</v>
      </c>
      <c r="L710">
        <v>230000</v>
      </c>
      <c r="M710" t="str">
        <f>_xll.BDP("56501MCJ Muni","YIELD_ON_ISSUE_DATE")</f>
        <v>#N/A Requesting Data...</v>
      </c>
      <c r="N710" t="str">
        <f>_xll.BDP("56501MCJ Muni","YTW_SPREAD_TO_MATURITY_AT_ISSU")</f>
        <v>#N/A Requesting Data...</v>
      </c>
      <c r="O710" t="str">
        <f>_xll.BDP("56501MCJ Muni","BVAL_MID_YTM")</f>
        <v>#N/A Requesting Data...</v>
      </c>
      <c r="P710" t="str">
        <f>_xll.BDP("56501MCJ Muni","MUNI_TAX_PROV")</f>
        <v>#N/A Requesting Data...</v>
      </c>
      <c r="Q710" t="str">
        <f>_xll.BDP("56501MCJ Muni","MUNI_FED_TAX")</f>
        <v>#N/A Requesting Data...</v>
      </c>
      <c r="R710" t="str">
        <f>_xll.BDP("56501MCJ Muni","MUNI_MSRB_VOLUME")</f>
        <v>#N/A Requesting Data...</v>
      </c>
      <c r="S710" t="str">
        <f>_xll.BDP("56501MCJ Muni","BB_COMPOSITE")</f>
        <v>#N/A Requesting Data...</v>
      </c>
      <c r="T710" t="str">
        <f>_xll.BDP("56501MCJ Muni","LQA_LIQUIDITY_SCORE")</f>
        <v>#N/A Requesting Data...</v>
      </c>
    </row>
    <row r="711" spans="1:20" x14ac:dyDescent="0.25">
      <c r="A711" t="str">
        <f>_xll.BDP("566022RE Muni","ID_CUSIP")</f>
        <v>#N/A Requesting Data...</v>
      </c>
      <c r="B711" t="s">
        <v>136</v>
      </c>
      <c r="C711" t="str">
        <f>_xll.BDP("566022RE Muni","INSURANCE_STATUS")</f>
        <v>#N/A Requesting Data...</v>
      </c>
      <c r="D711" t="str">
        <f>_xll.BDP("566022RE Muni","STATE_CODE")</f>
        <v>#N/A Requesting Data...</v>
      </c>
      <c r="E711" t="str">
        <f>_xll.BDP("566022RE Muni","COUNTY_LOCATION_ISSUER")</f>
        <v>#N/A Requesting Data...</v>
      </c>
      <c r="F711" t="str">
        <f>_xll.BDP("566022RE Muni","DUR_ADJ_MID")</f>
        <v>#N/A Requesting Data...</v>
      </c>
      <c r="G711" t="str">
        <f>_xll.BDP("566022RE Muni","SPREAD_AT_ISSUANCE_TO_WORST")</f>
        <v>#N/A Requesting Data...</v>
      </c>
      <c r="H711" t="str">
        <f>_xll.BDP("566022RE Muni","ISSUE_DT")</f>
        <v>#N/A Requesting Data...</v>
      </c>
      <c r="I711" t="str">
        <f>_xll.BDS("566022RE Muni","MUNI_PURPOSE_SCHED", "aggregate=y")</f>
        <v>#N/A Review</v>
      </c>
      <c r="J711" t="str">
        <f>_xll.BDP("566022RE Muni","CPN")</f>
        <v>#N/A Requesting Data...</v>
      </c>
      <c r="K711" t="str">
        <f>_xll.BDP("566022RE Muni","MATURITY")</f>
        <v>#N/A Requesting Data...</v>
      </c>
      <c r="L711">
        <v>385000</v>
      </c>
      <c r="M711" t="str">
        <f>_xll.BDP("566022RE Muni","YIELD_ON_ISSUE_DATE")</f>
        <v>#N/A Requesting Data...</v>
      </c>
      <c r="N711" t="str">
        <f>_xll.BDP("566022RE Muni","YTW_SPREAD_TO_MATURITY_AT_ISSU")</f>
        <v>#N/A Requesting Data...</v>
      </c>
      <c r="O711" t="str">
        <f>_xll.BDP("566022RE Muni","BVAL_MID_YTM")</f>
        <v>#N/A Requesting Data...</v>
      </c>
      <c r="P711" t="str">
        <f>_xll.BDP("566022RE Muni","MUNI_TAX_PROV")</f>
        <v>#N/A Requesting Data...</v>
      </c>
      <c r="Q711" t="str">
        <f>_xll.BDP("566022RE Muni","MUNI_FED_TAX")</f>
        <v>#N/A Requesting Data...</v>
      </c>
      <c r="R711" t="str">
        <f>_xll.BDP("566022RE Muni","MUNI_MSRB_VOLUME")</f>
        <v>#N/A Requesting Data...</v>
      </c>
      <c r="S711" t="str">
        <f>_xll.BDP("566022RE Muni","BB_COMPOSITE")</f>
        <v>#N/A Requesting Data...</v>
      </c>
      <c r="T711" t="str">
        <f>_xll.BDP("566022RE Muni","LQA_LIQUIDITY_SCORE")</f>
        <v>#N/A Requesting Data...</v>
      </c>
    </row>
    <row r="712" spans="1:20" x14ac:dyDescent="0.25">
      <c r="A712" t="str">
        <f>_xll.BDP("566022RF Muni","ID_CUSIP")</f>
        <v>#N/A Requesting Data...</v>
      </c>
      <c r="B712" t="s">
        <v>136</v>
      </c>
      <c r="C712" t="str">
        <f>_xll.BDP("566022RF Muni","INSURANCE_STATUS")</f>
        <v>#N/A Requesting Data...</v>
      </c>
      <c r="D712" t="str">
        <f>_xll.BDP("566022RF Muni","STATE_CODE")</f>
        <v>#N/A Requesting Data...</v>
      </c>
      <c r="E712" t="str">
        <f>_xll.BDP("566022RF Muni","COUNTY_LOCATION_ISSUER")</f>
        <v>#N/A Requesting Data...</v>
      </c>
      <c r="F712" t="str">
        <f>_xll.BDP("566022RF Muni","DUR_ADJ_MID")</f>
        <v>#N/A Requesting Data...</v>
      </c>
      <c r="G712" t="str">
        <f>_xll.BDP("566022RF Muni","SPREAD_AT_ISSUANCE_TO_WORST")</f>
        <v>#N/A Requesting Data...</v>
      </c>
      <c r="H712" t="str">
        <f>_xll.BDP("566022RF Muni","ISSUE_DT")</f>
        <v>#N/A Requesting Data...</v>
      </c>
      <c r="I712" t="str">
        <f>_xll.BDS("566022RF Muni","MUNI_PURPOSE_SCHED", "aggregate=y")</f>
        <v>#N/A Review</v>
      </c>
      <c r="J712" t="str">
        <f>_xll.BDP("566022RF Muni","CPN")</f>
        <v>#N/A Requesting Data...</v>
      </c>
      <c r="K712" t="str">
        <f>_xll.BDP("566022RF Muni","MATURITY")</f>
        <v>#N/A Requesting Data...</v>
      </c>
      <c r="L712">
        <v>390000</v>
      </c>
      <c r="M712" t="str">
        <f>_xll.BDP("566022RF Muni","YIELD_ON_ISSUE_DATE")</f>
        <v>#N/A Requesting Data...</v>
      </c>
      <c r="N712" t="str">
        <f>_xll.BDP("566022RF Muni","YTW_SPREAD_TO_MATURITY_AT_ISSU")</f>
        <v>#N/A Requesting Data...</v>
      </c>
      <c r="O712" t="str">
        <f>_xll.BDP("566022RF Muni","BVAL_MID_YTM")</f>
        <v>#N/A Requesting Data...</v>
      </c>
      <c r="P712" t="str">
        <f>_xll.BDP("566022RF Muni","MUNI_TAX_PROV")</f>
        <v>#N/A Requesting Data...</v>
      </c>
      <c r="Q712" t="str">
        <f>_xll.BDP("566022RF Muni","MUNI_FED_TAX")</f>
        <v>#N/A Requesting Data...</v>
      </c>
      <c r="R712" t="str">
        <f>_xll.BDP("566022RF Muni","MUNI_MSRB_VOLUME")</f>
        <v>#N/A Requesting Data...</v>
      </c>
      <c r="S712" t="str">
        <f>_xll.BDP("566022RF Muni","BB_COMPOSITE")</f>
        <v>#N/A Requesting Data...</v>
      </c>
      <c r="T712" t="str">
        <f>_xll.BDP("566022RF Muni","LQA_LIQUIDITY_SCORE")</f>
        <v>#N/A Requesting Data...</v>
      </c>
    </row>
    <row r="713" spans="1:20" x14ac:dyDescent="0.25">
      <c r="A713" t="str">
        <f>_xll.BDP("566022RG Muni","ID_CUSIP")</f>
        <v>#N/A Requesting Data...</v>
      </c>
      <c r="B713" t="s">
        <v>136</v>
      </c>
      <c r="C713" t="str">
        <f>_xll.BDP("566022RG Muni","INSURANCE_STATUS")</f>
        <v>#N/A Requesting Data...</v>
      </c>
      <c r="D713" t="str">
        <f>_xll.BDP("566022RG Muni","STATE_CODE")</f>
        <v>#N/A Requesting Data...</v>
      </c>
      <c r="E713" t="str">
        <f>_xll.BDP("566022RG Muni","COUNTY_LOCATION_ISSUER")</f>
        <v>#N/A Requesting Data...</v>
      </c>
      <c r="F713" t="str">
        <f>_xll.BDP("566022RG Muni","DUR_ADJ_MID")</f>
        <v>#N/A Requesting Data...</v>
      </c>
      <c r="G713" t="str">
        <f>_xll.BDP("566022RG Muni","SPREAD_AT_ISSUANCE_TO_WORST")</f>
        <v>#N/A Requesting Data...</v>
      </c>
      <c r="H713" t="str">
        <f>_xll.BDP("566022RG Muni","ISSUE_DT")</f>
        <v>#N/A Requesting Data...</v>
      </c>
      <c r="I713" t="str">
        <f>_xll.BDS("566022RG Muni","MUNI_PURPOSE_SCHED", "aggregate=y")</f>
        <v>#N/A Review</v>
      </c>
      <c r="J713" t="str">
        <f>_xll.BDP("566022RG Muni","CPN")</f>
        <v>#N/A Requesting Data...</v>
      </c>
      <c r="K713" t="str">
        <f>_xll.BDP("566022RG Muni","MATURITY")</f>
        <v>#N/A Requesting Data...</v>
      </c>
      <c r="L713">
        <v>410000</v>
      </c>
      <c r="M713" t="str">
        <f>_xll.BDP("566022RG Muni","YIELD_ON_ISSUE_DATE")</f>
        <v>#N/A Requesting Data...</v>
      </c>
      <c r="N713" t="str">
        <f>_xll.BDP("566022RG Muni","YTW_SPREAD_TO_MATURITY_AT_ISSU")</f>
        <v>#N/A Requesting Data...</v>
      </c>
      <c r="O713" t="str">
        <f>_xll.BDP("566022RG Muni","BVAL_MID_YTM")</f>
        <v>#N/A Requesting Data...</v>
      </c>
      <c r="P713" t="str">
        <f>_xll.BDP("566022RG Muni","MUNI_TAX_PROV")</f>
        <v>#N/A Requesting Data...</v>
      </c>
      <c r="Q713" t="str">
        <f>_xll.BDP("566022RG Muni","MUNI_FED_TAX")</f>
        <v>#N/A Requesting Data...</v>
      </c>
      <c r="R713" t="str">
        <f>_xll.BDP("566022RG Muni","MUNI_MSRB_VOLUME")</f>
        <v>#N/A Requesting Data...</v>
      </c>
      <c r="S713" t="str">
        <f>_xll.BDP("566022RG Muni","BB_COMPOSITE")</f>
        <v>#N/A Requesting Data...</v>
      </c>
      <c r="T713" t="str">
        <f>_xll.BDP("566022RG Muni","LQA_LIQUIDITY_SCORE")</f>
        <v>#N/A Requesting Data...</v>
      </c>
    </row>
    <row r="714" spans="1:20" x14ac:dyDescent="0.25">
      <c r="A714" t="str">
        <f>_xll.BDP("509851BF Muni","ID_CUSIP")</f>
        <v>#N/A Requesting Data...</v>
      </c>
      <c r="B714" t="s">
        <v>273</v>
      </c>
      <c r="C714" t="str">
        <f>_xll.BDP("509851BF Muni","INSURANCE_STATUS")</f>
        <v>#N/A Requesting Data...</v>
      </c>
      <c r="D714" t="str">
        <f>_xll.BDP("509851BF Muni","STATE_CODE")</f>
        <v>#N/A Requesting Data...</v>
      </c>
      <c r="E714" t="str">
        <f>_xll.BDP("509851BF Muni","COUNTY_LOCATION_ISSUER")</f>
        <v>#N/A Requesting Data...</v>
      </c>
      <c r="F714" t="str">
        <f>_xll.BDP("509851BF Muni","DUR_ADJ_MID")</f>
        <v>#N/A Requesting Data...</v>
      </c>
      <c r="G714" t="str">
        <f>_xll.BDP("509851BF Muni","SPREAD_AT_ISSUANCE_TO_WORST")</f>
        <v>#N/A Requesting Data...</v>
      </c>
      <c r="H714" t="str">
        <f>_xll.BDP("509851BF Muni","ISSUE_DT")</f>
        <v>#N/A Requesting Data...</v>
      </c>
      <c r="I714" t="str">
        <f>_xll.BDS("509851BF Muni","MUNI_PURPOSE_SCHED", "aggregate=y")</f>
        <v>#N/A Review</v>
      </c>
      <c r="J714" t="str">
        <f>_xll.BDP("509851BF Muni","CPN")</f>
        <v>#N/A Requesting Data...</v>
      </c>
      <c r="K714" t="str">
        <f>_xll.BDP("509851BF Muni","MATURITY")</f>
        <v>#N/A Requesting Data...</v>
      </c>
      <c r="L714">
        <v>440000</v>
      </c>
      <c r="M714" t="str">
        <f>_xll.BDP("509851BF Muni","YIELD_ON_ISSUE_DATE")</f>
        <v>#N/A Requesting Data...</v>
      </c>
      <c r="N714" t="str">
        <f>_xll.BDP("509851BF Muni","YTW_SPREAD_TO_MATURITY_AT_ISSU")</f>
        <v>#N/A Requesting Data...</v>
      </c>
      <c r="O714" t="str">
        <f>_xll.BDP("509851BF Muni","BVAL_MID_YTM")</f>
        <v>#N/A Requesting Data...</v>
      </c>
      <c r="P714" t="str">
        <f>_xll.BDP("509851BF Muni","MUNI_TAX_PROV")</f>
        <v>#N/A Requesting Data...</v>
      </c>
      <c r="Q714" t="str">
        <f>_xll.BDP("509851BF Muni","MUNI_FED_TAX")</f>
        <v>#N/A Requesting Data...</v>
      </c>
      <c r="R714" t="str">
        <f>_xll.BDP("509851BF Muni","MUNI_MSRB_VOLUME")</f>
        <v>#N/A Requesting Data...</v>
      </c>
      <c r="S714" t="str">
        <f>_xll.BDP("509851BF Muni","BB_COMPOSITE")</f>
        <v>#N/A Requesting Data...</v>
      </c>
      <c r="T714" t="str">
        <f>_xll.BDP("509851BF Muni","LQA_LIQUIDITY_SCORE")</f>
        <v>#N/A Requesting Data...</v>
      </c>
    </row>
    <row r="715" spans="1:20" x14ac:dyDescent="0.25">
      <c r="A715" t="str">
        <f>_xll.BDP("509851BG Muni","ID_CUSIP")</f>
        <v>#N/A Requesting Data...</v>
      </c>
      <c r="B715" t="s">
        <v>273</v>
      </c>
      <c r="C715" t="str">
        <f>_xll.BDP("509851BG Muni","INSURANCE_STATUS")</f>
        <v>#N/A Requesting Data...</v>
      </c>
      <c r="D715" t="str">
        <f>_xll.BDP("509851BG Muni","STATE_CODE")</f>
        <v>#N/A Requesting Data...</v>
      </c>
      <c r="E715" t="str">
        <f>_xll.BDP("509851BG Muni","COUNTY_LOCATION_ISSUER")</f>
        <v>#N/A Requesting Data...</v>
      </c>
      <c r="F715" t="str">
        <f>_xll.BDP("509851BG Muni","DUR_ADJ_MID")</f>
        <v>#N/A Requesting Data...</v>
      </c>
      <c r="G715" t="str">
        <f>_xll.BDP("509851BG Muni","SPREAD_AT_ISSUANCE_TO_WORST")</f>
        <v>#N/A Requesting Data...</v>
      </c>
      <c r="H715" t="str">
        <f>_xll.BDP("509851BG Muni","ISSUE_DT")</f>
        <v>#N/A Requesting Data...</v>
      </c>
      <c r="I715" t="str">
        <f>_xll.BDS("509851BG Muni","MUNI_PURPOSE_SCHED", "aggregate=y")</f>
        <v>#N/A Review</v>
      </c>
      <c r="J715" t="str">
        <f>_xll.BDP("509851BG Muni","CPN")</f>
        <v>#N/A Requesting Data...</v>
      </c>
      <c r="K715" t="str">
        <f>_xll.BDP("509851BG Muni","MATURITY")</f>
        <v>#N/A Requesting Data...</v>
      </c>
      <c r="L715">
        <v>445000</v>
      </c>
      <c r="M715" t="str">
        <f>_xll.BDP("509851BG Muni","YIELD_ON_ISSUE_DATE")</f>
        <v>#N/A Requesting Data...</v>
      </c>
      <c r="N715" t="str">
        <f>_xll.BDP("509851BG Muni","YTW_SPREAD_TO_MATURITY_AT_ISSU")</f>
        <v>#N/A Requesting Data...</v>
      </c>
      <c r="O715" t="str">
        <f>_xll.BDP("509851BG Muni","BVAL_MID_YTM")</f>
        <v>#N/A Requesting Data...</v>
      </c>
      <c r="P715" t="str">
        <f>_xll.BDP("509851BG Muni","MUNI_TAX_PROV")</f>
        <v>#N/A Requesting Data...</v>
      </c>
      <c r="Q715" t="str">
        <f>_xll.BDP("509851BG Muni","MUNI_FED_TAX")</f>
        <v>#N/A Requesting Data...</v>
      </c>
      <c r="R715" t="str">
        <f>_xll.BDP("509851BG Muni","MUNI_MSRB_VOLUME")</f>
        <v>#N/A Requesting Data...</v>
      </c>
      <c r="S715" t="str">
        <f>_xll.BDP("509851BG Muni","BB_COMPOSITE")</f>
        <v>#N/A Requesting Data...</v>
      </c>
      <c r="T715" t="str">
        <f>_xll.BDP("509851BG Muni","LQA_LIQUIDITY_SCORE")</f>
        <v>#N/A Requesting Data...</v>
      </c>
    </row>
    <row r="716" spans="1:20" x14ac:dyDescent="0.25">
      <c r="A716" t="str">
        <f>_xll.BDP("509851BH Muni","ID_CUSIP")</f>
        <v>#N/A Requesting Data...</v>
      </c>
      <c r="B716" t="s">
        <v>273</v>
      </c>
      <c r="C716" t="str">
        <f>_xll.BDP("509851BH Muni","INSURANCE_STATUS")</f>
        <v>#N/A Requesting Data...</v>
      </c>
      <c r="D716" t="str">
        <f>_xll.BDP("509851BH Muni","STATE_CODE")</f>
        <v>#N/A Requesting Data...</v>
      </c>
      <c r="E716" t="str">
        <f>_xll.BDP("509851BH Muni","COUNTY_LOCATION_ISSUER")</f>
        <v>#N/A Requesting Data...</v>
      </c>
      <c r="F716" t="str">
        <f>_xll.BDP("509851BH Muni","DUR_ADJ_MID")</f>
        <v>#N/A Requesting Data...</v>
      </c>
      <c r="G716" t="str">
        <f>_xll.BDP("509851BH Muni","SPREAD_AT_ISSUANCE_TO_WORST")</f>
        <v>#N/A Requesting Data...</v>
      </c>
      <c r="H716" t="str">
        <f>_xll.BDP("509851BH Muni","ISSUE_DT")</f>
        <v>#N/A Requesting Data...</v>
      </c>
      <c r="I716" t="str">
        <f>_xll.BDS("509851BH Muni","MUNI_PURPOSE_SCHED", "aggregate=y")</f>
        <v>#N/A Review</v>
      </c>
      <c r="J716" t="str">
        <f>_xll.BDP("509851BH Muni","CPN")</f>
        <v>#N/A Requesting Data...</v>
      </c>
      <c r="K716" t="str">
        <f>_xll.BDP("509851BH Muni","MATURITY")</f>
        <v>#N/A Requesting Data...</v>
      </c>
      <c r="L716">
        <v>455000</v>
      </c>
      <c r="M716" t="str">
        <f>_xll.BDP("509851BH Muni","YIELD_ON_ISSUE_DATE")</f>
        <v>#N/A Requesting Data...</v>
      </c>
      <c r="N716" t="str">
        <f>_xll.BDP("509851BH Muni","YTW_SPREAD_TO_MATURITY_AT_ISSU")</f>
        <v>#N/A Requesting Data...</v>
      </c>
      <c r="O716" t="str">
        <f>_xll.BDP("509851BH Muni","BVAL_MID_YTM")</f>
        <v>#N/A Requesting Data...</v>
      </c>
      <c r="P716" t="str">
        <f>_xll.BDP("509851BH Muni","MUNI_TAX_PROV")</f>
        <v>#N/A Requesting Data...</v>
      </c>
      <c r="Q716" t="str">
        <f>_xll.BDP("509851BH Muni","MUNI_FED_TAX")</f>
        <v>#N/A Requesting Data...</v>
      </c>
      <c r="R716" t="str">
        <f>_xll.BDP("509851BH Muni","MUNI_MSRB_VOLUME")</f>
        <v>#N/A Requesting Data...</v>
      </c>
      <c r="S716" t="str">
        <f>_xll.BDP("509851BH Muni","BB_COMPOSITE")</f>
        <v>#N/A Requesting Data...</v>
      </c>
      <c r="T716" t="str">
        <f>_xll.BDP("509851BH Muni","LQA_LIQUIDITY_SCORE")</f>
        <v>#N/A Requesting Data...</v>
      </c>
    </row>
    <row r="717" spans="1:20" x14ac:dyDescent="0.25">
      <c r="A717" t="str">
        <f>_xll.BDP("510048D7 Muni","ID_CUSIP")</f>
        <v>#N/A Requesting Data...</v>
      </c>
      <c r="B717" t="s">
        <v>274</v>
      </c>
      <c r="C717" t="str">
        <f>_xll.BDP("510048D7 Muni","INSURANCE_STATUS")</f>
        <v>#N/A Requesting Data...</v>
      </c>
      <c r="D717" t="str">
        <f>_xll.BDP("510048D7 Muni","STATE_CODE")</f>
        <v>#N/A Requesting Data...</v>
      </c>
      <c r="E717" t="str">
        <f>_xll.BDP("510048D7 Muni","COUNTY_LOCATION_ISSUER")</f>
        <v>#N/A Requesting Data...</v>
      </c>
      <c r="F717" t="str">
        <f>_xll.BDP("510048D7 Muni","DUR_ADJ_MID")</f>
        <v>#N/A Requesting Data...</v>
      </c>
      <c r="G717" t="str">
        <f>_xll.BDP("510048D7 Muni","SPREAD_AT_ISSUANCE_TO_WORST")</f>
        <v>#N/A Requesting Data...</v>
      </c>
      <c r="H717" t="str">
        <f>_xll.BDP("510048D7 Muni","ISSUE_DT")</f>
        <v>#N/A Requesting Data...</v>
      </c>
      <c r="I717" t="str">
        <f>_xll.BDS("510048D7 Muni","MUNI_PURPOSE_SCHED", "aggregate=y")</f>
        <v>#N/A Review</v>
      </c>
      <c r="J717" t="str">
        <f>_xll.BDP("510048D7 Muni","CPN")</f>
        <v>#N/A Requesting Data...</v>
      </c>
      <c r="K717" t="str">
        <f>_xll.BDP("510048D7 Muni","MATURITY")</f>
        <v>#N/A Requesting Data...</v>
      </c>
      <c r="L717">
        <v>270000</v>
      </c>
      <c r="M717" t="str">
        <f>_xll.BDP("510048D7 Muni","YIELD_ON_ISSUE_DATE")</f>
        <v>#N/A Requesting Data...</v>
      </c>
      <c r="N717" t="str">
        <f>_xll.BDP("510048D7 Muni","YTW_SPREAD_TO_MATURITY_AT_ISSU")</f>
        <v>#N/A Requesting Data...</v>
      </c>
      <c r="O717" t="str">
        <f>_xll.BDP("510048D7 Muni","BVAL_MID_YTM")</f>
        <v>#N/A Requesting Data...</v>
      </c>
      <c r="P717" t="str">
        <f>_xll.BDP("510048D7 Muni","MUNI_TAX_PROV")</f>
        <v>#N/A Requesting Data...</v>
      </c>
      <c r="Q717" t="str">
        <f>_xll.BDP("510048D7 Muni","MUNI_FED_TAX")</f>
        <v>#N/A Requesting Data...</v>
      </c>
      <c r="R717" t="str">
        <f>_xll.BDP("510048D7 Muni","MUNI_MSRB_VOLUME")</f>
        <v>#N/A Requesting Data...</v>
      </c>
      <c r="S717" t="str">
        <f>_xll.BDP("510048D7 Muni","BB_COMPOSITE")</f>
        <v>#N/A Requesting Data...</v>
      </c>
      <c r="T717" t="str">
        <f>_xll.BDP("510048D7 Muni","LQA_LIQUIDITY_SCORE")</f>
        <v>#N/A Requesting Data...</v>
      </c>
    </row>
    <row r="718" spans="1:20" x14ac:dyDescent="0.25">
      <c r="A718" t="str">
        <f>_xll.BDP("510048D8 Muni","ID_CUSIP")</f>
        <v>#N/A Requesting Data...</v>
      </c>
      <c r="B718" t="s">
        <v>274</v>
      </c>
      <c r="C718" t="str">
        <f>_xll.BDP("510048D8 Muni","INSURANCE_STATUS")</f>
        <v>#N/A Requesting Data...</v>
      </c>
      <c r="D718" t="str">
        <f>_xll.BDP("510048D8 Muni","STATE_CODE")</f>
        <v>#N/A Requesting Data...</v>
      </c>
      <c r="E718" t="str">
        <f>_xll.BDP("510048D8 Muni","COUNTY_LOCATION_ISSUER")</f>
        <v>#N/A Requesting Data...</v>
      </c>
      <c r="F718" t="str">
        <f>_xll.BDP("510048D8 Muni","DUR_ADJ_MID")</f>
        <v>#N/A Requesting Data...</v>
      </c>
      <c r="G718" t="str">
        <f>_xll.BDP("510048D8 Muni","SPREAD_AT_ISSUANCE_TO_WORST")</f>
        <v>#N/A Requesting Data...</v>
      </c>
      <c r="H718" t="str">
        <f>_xll.BDP("510048D8 Muni","ISSUE_DT")</f>
        <v>#N/A Requesting Data...</v>
      </c>
      <c r="I718" t="str">
        <f>_xll.BDS("510048D8 Muni","MUNI_PURPOSE_SCHED", "aggregate=y")</f>
        <v>#N/A Review</v>
      </c>
      <c r="J718" t="str">
        <f>_xll.BDP("510048D8 Muni","CPN")</f>
        <v>#N/A Requesting Data...</v>
      </c>
      <c r="K718" t="str">
        <f>_xll.BDP("510048D8 Muni","MATURITY")</f>
        <v>#N/A Requesting Data...</v>
      </c>
      <c r="L718">
        <v>270000</v>
      </c>
      <c r="M718" t="str">
        <f>_xll.BDP("510048D8 Muni","YIELD_ON_ISSUE_DATE")</f>
        <v>#N/A Requesting Data...</v>
      </c>
      <c r="N718" t="str">
        <f>_xll.BDP("510048D8 Muni","YTW_SPREAD_TO_MATURITY_AT_ISSU")</f>
        <v>#N/A Requesting Data...</v>
      </c>
      <c r="O718" t="str">
        <f>_xll.BDP("510048D8 Muni","BVAL_MID_YTM")</f>
        <v>#N/A Requesting Data...</v>
      </c>
      <c r="P718" t="str">
        <f>_xll.BDP("510048D8 Muni","MUNI_TAX_PROV")</f>
        <v>#N/A Requesting Data...</v>
      </c>
      <c r="Q718" t="str">
        <f>_xll.BDP("510048D8 Muni","MUNI_FED_TAX")</f>
        <v>#N/A Requesting Data...</v>
      </c>
      <c r="R718" t="str">
        <f>_xll.BDP("510048D8 Muni","MUNI_MSRB_VOLUME")</f>
        <v>#N/A Requesting Data...</v>
      </c>
      <c r="S718" t="str">
        <f>_xll.BDP("510048D8 Muni","BB_COMPOSITE")</f>
        <v>#N/A Requesting Data...</v>
      </c>
      <c r="T718" t="str">
        <f>_xll.BDP("510048D8 Muni","LQA_LIQUIDITY_SCORE")</f>
        <v>#N/A Requesting Data...</v>
      </c>
    </row>
    <row r="719" spans="1:20" x14ac:dyDescent="0.25">
      <c r="A719" t="str">
        <f>_xll.BDP("510048D9 Muni","ID_CUSIP")</f>
        <v>#N/A Requesting Data...</v>
      </c>
      <c r="B719" t="s">
        <v>274</v>
      </c>
      <c r="C719" t="str">
        <f>_xll.BDP("510048D9 Muni","INSURANCE_STATUS")</f>
        <v>#N/A Requesting Data...</v>
      </c>
      <c r="D719" t="str">
        <f>_xll.BDP("510048D9 Muni","STATE_CODE")</f>
        <v>#N/A Requesting Data...</v>
      </c>
      <c r="E719" t="str">
        <f>_xll.BDP("510048D9 Muni","COUNTY_LOCATION_ISSUER")</f>
        <v>#N/A Requesting Data...</v>
      </c>
      <c r="F719" t="str">
        <f>_xll.BDP("510048D9 Muni","DUR_ADJ_MID")</f>
        <v>#N/A Requesting Data...</v>
      </c>
      <c r="G719" t="str">
        <f>_xll.BDP("510048D9 Muni","SPREAD_AT_ISSUANCE_TO_WORST")</f>
        <v>#N/A Requesting Data...</v>
      </c>
      <c r="H719" t="str">
        <f>_xll.BDP("510048D9 Muni","ISSUE_DT")</f>
        <v>#N/A Requesting Data...</v>
      </c>
      <c r="I719" t="str">
        <f>_xll.BDS("510048D9 Muni","MUNI_PURPOSE_SCHED", "aggregate=y")</f>
        <v>#N/A Review</v>
      </c>
      <c r="J719" t="str">
        <f>_xll.BDP("510048D9 Muni","CPN")</f>
        <v>#N/A Requesting Data...</v>
      </c>
      <c r="K719" t="str">
        <f>_xll.BDP("510048D9 Muni","MATURITY")</f>
        <v>#N/A Requesting Data...</v>
      </c>
      <c r="L719">
        <v>270000</v>
      </c>
      <c r="M719" t="str">
        <f>_xll.BDP("510048D9 Muni","YIELD_ON_ISSUE_DATE")</f>
        <v>#N/A Requesting Data...</v>
      </c>
      <c r="N719" t="str">
        <f>_xll.BDP("510048D9 Muni","YTW_SPREAD_TO_MATURITY_AT_ISSU")</f>
        <v>#N/A Requesting Data...</v>
      </c>
      <c r="O719" t="str">
        <f>_xll.BDP("510048D9 Muni","BVAL_MID_YTM")</f>
        <v>#N/A Requesting Data...</v>
      </c>
      <c r="P719" t="str">
        <f>_xll.BDP("510048D9 Muni","MUNI_TAX_PROV")</f>
        <v>#N/A Requesting Data...</v>
      </c>
      <c r="Q719" t="str">
        <f>_xll.BDP("510048D9 Muni","MUNI_FED_TAX")</f>
        <v>#N/A Requesting Data...</v>
      </c>
      <c r="R719" t="str">
        <f>_xll.BDP("510048D9 Muni","MUNI_MSRB_VOLUME")</f>
        <v>#N/A Requesting Data...</v>
      </c>
      <c r="S719" t="str">
        <f>_xll.BDP("510048D9 Muni","BB_COMPOSITE")</f>
        <v>#N/A Requesting Data...</v>
      </c>
      <c r="T719" t="str">
        <f>_xll.BDP("510048D9 Muni","LQA_LIQUIDITY_SCORE")</f>
        <v>#N/A Requesting Data...</v>
      </c>
    </row>
    <row r="720" spans="1:20" x14ac:dyDescent="0.25">
      <c r="A720" t="str">
        <f>_xll.BDP("510066PP Muni","ID_CUSIP")</f>
        <v>#N/A Requesting Data...</v>
      </c>
      <c r="B720" t="s">
        <v>275</v>
      </c>
      <c r="C720" t="str">
        <f>_xll.BDP("510066PP Muni","INSURANCE_STATUS")</f>
        <v>#N/A Requesting Data...</v>
      </c>
      <c r="D720" t="str">
        <f>_xll.BDP("510066PP Muni","STATE_CODE")</f>
        <v>#N/A Requesting Data...</v>
      </c>
      <c r="E720" t="str">
        <f>_xll.BDP("510066PP Muni","COUNTY_LOCATION_ISSUER")</f>
        <v>#N/A Requesting Data...</v>
      </c>
      <c r="F720" t="str">
        <f>_xll.BDP("510066PP Muni","DUR_ADJ_MID")</f>
        <v>#N/A Requesting Data...</v>
      </c>
      <c r="G720" t="str">
        <f>_xll.BDP("510066PP Muni","SPREAD_AT_ISSUANCE_TO_WORST")</f>
        <v>#N/A Requesting Data...</v>
      </c>
      <c r="H720" t="str">
        <f>_xll.BDP("510066PP Muni","ISSUE_DT")</f>
        <v>#N/A Requesting Data...</v>
      </c>
      <c r="I720" t="str">
        <f>_xll.BDS("510066PP Muni","MUNI_PURPOSE_SCHED", "aggregate=y")</f>
        <v>#N/A Review</v>
      </c>
      <c r="J720" t="str">
        <f>_xll.BDP("510066PP Muni","CPN")</f>
        <v>#N/A Requesting Data...</v>
      </c>
      <c r="K720" t="str">
        <f>_xll.BDP("510066PP Muni","MATURITY")</f>
        <v>#N/A Requesting Data...</v>
      </c>
      <c r="L720">
        <v>245000</v>
      </c>
      <c r="M720" t="str">
        <f>_xll.BDP("510066PP Muni","YIELD_ON_ISSUE_DATE")</f>
        <v>#N/A Requesting Data...</v>
      </c>
      <c r="N720" t="str">
        <f>_xll.BDP("510066PP Muni","YTW_SPREAD_TO_MATURITY_AT_ISSU")</f>
        <v>#N/A Requesting Data...</v>
      </c>
      <c r="O720" t="str">
        <f>_xll.BDP("510066PP Muni","BVAL_MID_YTM")</f>
        <v>#N/A Requesting Data...</v>
      </c>
      <c r="P720" t="str">
        <f>_xll.BDP("510066PP Muni","MUNI_TAX_PROV")</f>
        <v>#N/A Requesting Data...</v>
      </c>
      <c r="Q720" t="str">
        <f>_xll.BDP("510066PP Muni","MUNI_FED_TAX")</f>
        <v>#N/A Requesting Data...</v>
      </c>
      <c r="R720" t="str">
        <f>_xll.BDP("510066PP Muni","MUNI_MSRB_VOLUME")</f>
        <v>#N/A Requesting Data...</v>
      </c>
      <c r="S720" t="str">
        <f>_xll.BDP("510066PP Muni","BB_COMPOSITE")</f>
        <v>#N/A Requesting Data...</v>
      </c>
      <c r="T720" t="str">
        <f>_xll.BDP("510066PP Muni","LQA_LIQUIDITY_SCORE")</f>
        <v>#N/A Requesting Data...</v>
      </c>
    </row>
    <row r="721" spans="1:20" x14ac:dyDescent="0.25">
      <c r="A721" t="str">
        <f>_xll.BDP("510066PQ Muni","ID_CUSIP")</f>
        <v>#N/A Requesting Data...</v>
      </c>
      <c r="B721" t="s">
        <v>275</v>
      </c>
      <c r="C721" t="str">
        <f>_xll.BDP("510066PQ Muni","INSURANCE_STATUS")</f>
        <v>#N/A Requesting Data...</v>
      </c>
      <c r="D721" t="str">
        <f>_xll.BDP("510066PQ Muni","STATE_CODE")</f>
        <v>#N/A Requesting Data...</v>
      </c>
      <c r="E721" t="str">
        <f>_xll.BDP("510066PQ Muni","COUNTY_LOCATION_ISSUER")</f>
        <v>#N/A Requesting Data...</v>
      </c>
      <c r="F721" t="str">
        <f>_xll.BDP("510066PQ Muni","DUR_ADJ_MID")</f>
        <v>#N/A Requesting Data...</v>
      </c>
      <c r="G721" t="str">
        <f>_xll.BDP("510066PQ Muni","SPREAD_AT_ISSUANCE_TO_WORST")</f>
        <v>#N/A Requesting Data...</v>
      </c>
      <c r="H721" t="str">
        <f>_xll.BDP("510066PQ Muni","ISSUE_DT")</f>
        <v>#N/A Requesting Data...</v>
      </c>
      <c r="I721" t="str">
        <f>_xll.BDS("510066PQ Muni","MUNI_PURPOSE_SCHED", "aggregate=y")</f>
        <v>#N/A Review</v>
      </c>
      <c r="J721" t="str">
        <f>_xll.BDP("510066PQ Muni","CPN")</f>
        <v>#N/A Requesting Data...</v>
      </c>
      <c r="K721" t="str">
        <f>_xll.BDP("510066PQ Muni","MATURITY")</f>
        <v>#N/A Requesting Data...</v>
      </c>
      <c r="L721">
        <v>245000</v>
      </c>
      <c r="M721" t="str">
        <f>_xll.BDP("510066PQ Muni","YIELD_ON_ISSUE_DATE")</f>
        <v>#N/A Requesting Data...</v>
      </c>
      <c r="N721" t="str">
        <f>_xll.BDP("510066PQ Muni","YTW_SPREAD_TO_MATURITY_AT_ISSU")</f>
        <v>#N/A Requesting Data...</v>
      </c>
      <c r="O721" t="str">
        <f>_xll.BDP("510066PQ Muni","BVAL_MID_YTM")</f>
        <v>#N/A Requesting Data...</v>
      </c>
      <c r="P721" t="str">
        <f>_xll.BDP("510066PQ Muni","MUNI_TAX_PROV")</f>
        <v>#N/A Requesting Data...</v>
      </c>
      <c r="Q721" t="str">
        <f>_xll.BDP("510066PQ Muni","MUNI_FED_TAX")</f>
        <v>#N/A Requesting Data...</v>
      </c>
      <c r="R721" t="str">
        <f>_xll.BDP("510066PQ Muni","MUNI_MSRB_VOLUME")</f>
        <v>#N/A Requesting Data...</v>
      </c>
      <c r="S721" t="str">
        <f>_xll.BDP("510066PQ Muni","BB_COMPOSITE")</f>
        <v>#N/A Requesting Data...</v>
      </c>
      <c r="T721" t="str">
        <f>_xll.BDP("510066PQ Muni","LQA_LIQUIDITY_SCORE")</f>
        <v>#N/A Requesting Data...</v>
      </c>
    </row>
    <row r="722" spans="1:20" x14ac:dyDescent="0.25">
      <c r="A722" t="str">
        <f>_xll.BDP("510066PR Muni","ID_CUSIP")</f>
        <v>#N/A Requesting Data...</v>
      </c>
      <c r="B722" t="s">
        <v>275</v>
      </c>
      <c r="C722" t="str">
        <f>_xll.BDP("510066PR Muni","INSURANCE_STATUS")</f>
        <v>#N/A Requesting Data...</v>
      </c>
      <c r="D722" t="str">
        <f>_xll.BDP("510066PR Muni","STATE_CODE")</f>
        <v>#N/A Requesting Data...</v>
      </c>
      <c r="E722" t="str">
        <f>_xll.BDP("510066PR Muni","COUNTY_LOCATION_ISSUER")</f>
        <v>#N/A Requesting Data...</v>
      </c>
      <c r="F722" t="str">
        <f>_xll.BDP("510066PR Muni","DUR_ADJ_MID")</f>
        <v>#N/A Requesting Data...</v>
      </c>
      <c r="G722" t="str">
        <f>_xll.BDP("510066PR Muni","SPREAD_AT_ISSUANCE_TO_WORST")</f>
        <v>#N/A Requesting Data...</v>
      </c>
      <c r="H722" t="str">
        <f>_xll.BDP("510066PR Muni","ISSUE_DT")</f>
        <v>#N/A Requesting Data...</v>
      </c>
      <c r="I722" t="str">
        <f>_xll.BDS("510066PR Muni","MUNI_PURPOSE_SCHED", "aggregate=y")</f>
        <v>#N/A Review</v>
      </c>
      <c r="J722" t="str">
        <f>_xll.BDP("510066PR Muni","CPN")</f>
        <v>#N/A Requesting Data...</v>
      </c>
      <c r="K722" t="str">
        <f>_xll.BDP("510066PR Muni","MATURITY")</f>
        <v>#N/A Requesting Data...</v>
      </c>
      <c r="L722">
        <v>245000</v>
      </c>
      <c r="M722" t="str">
        <f>_xll.BDP("510066PR Muni","YIELD_ON_ISSUE_DATE")</f>
        <v>#N/A Requesting Data...</v>
      </c>
      <c r="N722" t="str">
        <f>_xll.BDP("510066PR Muni","YTW_SPREAD_TO_MATURITY_AT_ISSU")</f>
        <v>#N/A Requesting Data...</v>
      </c>
      <c r="O722" t="str">
        <f>_xll.BDP("510066PR Muni","BVAL_MID_YTM")</f>
        <v>#N/A Requesting Data...</v>
      </c>
      <c r="P722" t="str">
        <f>_xll.BDP("510066PR Muni","MUNI_TAX_PROV")</f>
        <v>#N/A Requesting Data...</v>
      </c>
      <c r="Q722" t="str">
        <f>_xll.BDP("510066PR Muni","MUNI_FED_TAX")</f>
        <v>#N/A Requesting Data...</v>
      </c>
      <c r="R722" t="str">
        <f>_xll.BDP("510066PR Muni","MUNI_MSRB_VOLUME")</f>
        <v>#N/A Requesting Data...</v>
      </c>
      <c r="S722" t="str">
        <f>_xll.BDP("510066PR Muni","BB_COMPOSITE")</f>
        <v>#N/A Requesting Data...</v>
      </c>
      <c r="T722" t="str">
        <f>_xll.BDP("510066PR Muni","LQA_LIQUIDITY_SCORE")</f>
        <v>#N/A Requesting Data...</v>
      </c>
    </row>
    <row r="723" spans="1:20" x14ac:dyDescent="0.25">
      <c r="A723" t="str">
        <f>_xll.BDP("511115AE Muni","ID_CUSIP")</f>
        <v>#N/A Requesting Data...</v>
      </c>
      <c r="B723" t="s">
        <v>276</v>
      </c>
      <c r="C723" t="str">
        <f>_xll.BDP("511115AE Muni","INSURANCE_STATUS")</f>
        <v>#N/A Requesting Data...</v>
      </c>
      <c r="D723" t="str">
        <f>_xll.BDP("511115AE Muni","STATE_CODE")</f>
        <v>#N/A Requesting Data...</v>
      </c>
      <c r="E723" t="str">
        <f>_xll.BDP("511115AE Muni","COUNTY_LOCATION_ISSUER")</f>
        <v>#N/A Requesting Data...</v>
      </c>
      <c r="F723" t="str">
        <f>_xll.BDP("511115AE Muni","DUR_ADJ_MID")</f>
        <v>#N/A Requesting Data...</v>
      </c>
      <c r="G723" t="str">
        <f>_xll.BDP("511115AE Muni","SPREAD_AT_ISSUANCE_TO_WORST")</f>
        <v>#N/A Requesting Data...</v>
      </c>
      <c r="H723" t="str">
        <f>_xll.BDP("511115AE Muni","ISSUE_DT")</f>
        <v>#N/A Requesting Data...</v>
      </c>
      <c r="I723" t="str">
        <f>_xll.BDS("511115AE Muni","MUNI_PURPOSE_SCHED", "aggregate=y")</f>
        <v>#N/A Review</v>
      </c>
      <c r="J723" t="str">
        <f>_xll.BDP("511115AE Muni","CPN")</f>
        <v>#N/A Requesting Data...</v>
      </c>
      <c r="K723" t="str">
        <f>_xll.BDP("511115AE Muni","MATURITY")</f>
        <v>#N/A Requesting Data...</v>
      </c>
      <c r="L723">
        <v>285000</v>
      </c>
      <c r="M723" t="str">
        <f>_xll.BDP("511115AE Muni","YIELD_ON_ISSUE_DATE")</f>
        <v>#N/A Requesting Data...</v>
      </c>
      <c r="N723" t="str">
        <f>_xll.BDP("511115AE Muni","YTW_SPREAD_TO_MATURITY_AT_ISSU")</f>
        <v>#N/A Requesting Data...</v>
      </c>
      <c r="O723" t="str">
        <f>_xll.BDP("511115AE Muni","BVAL_MID_YTM")</f>
        <v>#N/A Requesting Data...</v>
      </c>
      <c r="P723" t="str">
        <f>_xll.BDP("511115AE Muni","MUNI_TAX_PROV")</f>
        <v>#N/A Requesting Data...</v>
      </c>
      <c r="Q723" t="str">
        <f>_xll.BDP("511115AE Muni","MUNI_FED_TAX")</f>
        <v>#N/A Requesting Data...</v>
      </c>
      <c r="R723" t="str">
        <f>_xll.BDP("511115AE Muni","MUNI_MSRB_VOLUME")</f>
        <v>#N/A Requesting Data...</v>
      </c>
      <c r="S723" t="str">
        <f>_xll.BDP("511115AE Muni","BB_COMPOSITE")</f>
        <v>#N/A Requesting Data...</v>
      </c>
      <c r="T723" t="str">
        <f>_xll.BDP("511115AE Muni","LQA_LIQUIDITY_SCORE")</f>
        <v>#N/A Requesting Data...</v>
      </c>
    </row>
    <row r="724" spans="1:20" x14ac:dyDescent="0.25">
      <c r="A724" t="str">
        <f>_xll.BDP("511115AF Muni","ID_CUSIP")</f>
        <v>#N/A Requesting Data...</v>
      </c>
      <c r="B724" t="s">
        <v>276</v>
      </c>
      <c r="C724" t="str">
        <f>_xll.BDP("511115AF Muni","INSURANCE_STATUS")</f>
        <v>#N/A Requesting Data...</v>
      </c>
      <c r="D724" t="str">
        <f>_xll.BDP("511115AF Muni","STATE_CODE")</f>
        <v>#N/A Requesting Data...</v>
      </c>
      <c r="E724" t="str">
        <f>_xll.BDP("511115AF Muni","COUNTY_LOCATION_ISSUER")</f>
        <v>#N/A Requesting Data...</v>
      </c>
      <c r="F724" t="str">
        <f>_xll.BDP("511115AF Muni","DUR_ADJ_MID")</f>
        <v>#N/A Requesting Data...</v>
      </c>
      <c r="G724" t="str">
        <f>_xll.BDP("511115AF Muni","SPREAD_AT_ISSUANCE_TO_WORST")</f>
        <v>#N/A Requesting Data...</v>
      </c>
      <c r="H724" t="str">
        <f>_xll.BDP("511115AF Muni","ISSUE_DT")</f>
        <v>#N/A Requesting Data...</v>
      </c>
      <c r="I724" t="str">
        <f>_xll.BDS("511115AF Muni","MUNI_PURPOSE_SCHED", "aggregate=y")</f>
        <v>#N/A Review</v>
      </c>
      <c r="J724" t="str">
        <f>_xll.BDP("511115AF Muni","CPN")</f>
        <v>#N/A Requesting Data...</v>
      </c>
      <c r="K724" t="str">
        <f>_xll.BDP("511115AF Muni","MATURITY")</f>
        <v>#N/A Requesting Data...</v>
      </c>
      <c r="L724">
        <v>290000</v>
      </c>
      <c r="M724" t="str">
        <f>_xll.BDP("511115AF Muni","YIELD_ON_ISSUE_DATE")</f>
        <v>#N/A Requesting Data...</v>
      </c>
      <c r="N724" t="str">
        <f>_xll.BDP("511115AF Muni","YTW_SPREAD_TO_MATURITY_AT_ISSU")</f>
        <v>#N/A Requesting Data...</v>
      </c>
      <c r="O724" t="str">
        <f>_xll.BDP("511115AF Muni","BVAL_MID_YTM")</f>
        <v>#N/A Requesting Data...</v>
      </c>
      <c r="P724" t="str">
        <f>_xll.BDP("511115AF Muni","MUNI_TAX_PROV")</f>
        <v>#N/A Requesting Data...</v>
      </c>
      <c r="Q724" t="str">
        <f>_xll.BDP("511115AF Muni","MUNI_FED_TAX")</f>
        <v>#N/A Requesting Data...</v>
      </c>
      <c r="R724" t="str">
        <f>_xll.BDP("511115AF Muni","MUNI_MSRB_VOLUME")</f>
        <v>#N/A Requesting Data...</v>
      </c>
      <c r="S724" t="str">
        <f>_xll.BDP("511115AF Muni","BB_COMPOSITE")</f>
        <v>#N/A Requesting Data...</v>
      </c>
      <c r="T724" t="str">
        <f>_xll.BDP("511115AF Muni","LQA_LIQUIDITY_SCORE")</f>
        <v>#N/A Requesting Data...</v>
      </c>
    </row>
    <row r="725" spans="1:20" x14ac:dyDescent="0.25">
      <c r="A725" t="str">
        <f>_xll.BDP("511444RS Muni","ID_CUSIP")</f>
        <v>#N/A Requesting Data...</v>
      </c>
      <c r="B725" t="s">
        <v>277</v>
      </c>
      <c r="C725" t="str">
        <f>_xll.BDP("511444RS Muni","INSURANCE_STATUS")</f>
        <v>#N/A Requesting Data...</v>
      </c>
      <c r="D725" t="str">
        <f>_xll.BDP("511444RS Muni","STATE_CODE")</f>
        <v>#N/A Requesting Data...</v>
      </c>
      <c r="E725" t="str">
        <f>_xll.BDP("511444RS Muni","COUNTY_LOCATION_ISSUER")</f>
        <v>#N/A Requesting Data...</v>
      </c>
      <c r="F725" t="str">
        <f>_xll.BDP("511444RS Muni","DUR_ADJ_MID")</f>
        <v>#N/A Requesting Data...</v>
      </c>
      <c r="G725" t="str">
        <f>_xll.BDP("511444RS Muni","SPREAD_AT_ISSUANCE_TO_WORST")</f>
        <v>#N/A Requesting Data...</v>
      </c>
      <c r="H725" t="str">
        <f>_xll.BDP("511444RS Muni","ISSUE_DT")</f>
        <v>#N/A Requesting Data...</v>
      </c>
      <c r="I725" t="str">
        <f>_xll.BDS("511444RS Muni","MUNI_PURPOSE_SCHED", "aggregate=y")</f>
        <v>#N/A Review</v>
      </c>
      <c r="J725" t="str">
        <f>_xll.BDP("511444RS Muni","CPN")</f>
        <v>#N/A Requesting Data...</v>
      </c>
      <c r="K725" t="str">
        <f>_xll.BDP("511444RS Muni","MATURITY")</f>
        <v>#N/A Requesting Data...</v>
      </c>
      <c r="L725">
        <v>100000</v>
      </c>
      <c r="M725" t="str">
        <f>_xll.BDP("511444RS Muni","YIELD_ON_ISSUE_DATE")</f>
        <v>#N/A Requesting Data...</v>
      </c>
      <c r="N725" t="str">
        <f>_xll.BDP("511444RS Muni","YTW_SPREAD_TO_MATURITY_AT_ISSU")</f>
        <v>#N/A Requesting Data...</v>
      </c>
      <c r="O725" t="str">
        <f>_xll.BDP("511444RS Muni","BVAL_MID_YTM")</f>
        <v>#N/A Requesting Data...</v>
      </c>
      <c r="P725" t="str">
        <f>_xll.BDP("511444RS Muni","MUNI_TAX_PROV")</f>
        <v>#N/A Requesting Data...</v>
      </c>
      <c r="Q725" t="str">
        <f>_xll.BDP("511444RS Muni","MUNI_FED_TAX")</f>
        <v>#N/A Requesting Data...</v>
      </c>
      <c r="R725" t="str">
        <f>_xll.BDP("511444RS Muni","MUNI_MSRB_VOLUME")</f>
        <v>#N/A Requesting Data...</v>
      </c>
      <c r="S725" t="str">
        <f>_xll.BDP("511444RS Muni","BB_COMPOSITE")</f>
        <v>#N/A Requesting Data...</v>
      </c>
      <c r="T725" t="str">
        <f>_xll.BDP("511444RS Muni","LQA_LIQUIDITY_SCORE")</f>
        <v>#N/A Requesting Data...</v>
      </c>
    </row>
    <row r="726" spans="1:20" x14ac:dyDescent="0.25">
      <c r="A726" t="str">
        <f>_xll.BDP("511444RT Muni","ID_CUSIP")</f>
        <v>#N/A Requesting Data...</v>
      </c>
      <c r="B726" t="s">
        <v>277</v>
      </c>
      <c r="C726" t="str">
        <f>_xll.BDP("511444RT Muni","INSURANCE_STATUS")</f>
        <v>#N/A Requesting Data...</v>
      </c>
      <c r="D726" t="str">
        <f>_xll.BDP("511444RT Muni","STATE_CODE")</f>
        <v>#N/A Requesting Data...</v>
      </c>
      <c r="E726" t="str">
        <f>_xll.BDP("511444RT Muni","COUNTY_LOCATION_ISSUER")</f>
        <v>#N/A Requesting Data...</v>
      </c>
      <c r="F726" t="str">
        <f>_xll.BDP("511444RT Muni","DUR_ADJ_MID")</f>
        <v>#N/A Requesting Data...</v>
      </c>
      <c r="G726" t="str">
        <f>_xll.BDP("511444RT Muni","SPREAD_AT_ISSUANCE_TO_WORST")</f>
        <v>#N/A Requesting Data...</v>
      </c>
      <c r="H726" t="str">
        <f>_xll.BDP("511444RT Muni","ISSUE_DT")</f>
        <v>#N/A Requesting Data...</v>
      </c>
      <c r="I726" t="str">
        <f>_xll.BDS("511444RT Muni","MUNI_PURPOSE_SCHED", "aggregate=y")</f>
        <v>#N/A Review</v>
      </c>
      <c r="J726" t="str">
        <f>_xll.BDP("511444RT Muni","CPN")</f>
        <v>#N/A Requesting Data...</v>
      </c>
      <c r="K726" t="str">
        <f>_xll.BDP("511444RT Muni","MATURITY")</f>
        <v>#N/A Requesting Data...</v>
      </c>
      <c r="L726">
        <v>100000</v>
      </c>
      <c r="M726" t="str">
        <f>_xll.BDP("511444RT Muni","YIELD_ON_ISSUE_DATE")</f>
        <v>#N/A Requesting Data...</v>
      </c>
      <c r="N726" t="str">
        <f>_xll.BDP("511444RT Muni","YTW_SPREAD_TO_MATURITY_AT_ISSU")</f>
        <v>#N/A Requesting Data...</v>
      </c>
      <c r="O726" t="str">
        <f>_xll.BDP("511444RT Muni","BVAL_MID_YTM")</f>
        <v>#N/A Requesting Data...</v>
      </c>
      <c r="P726" t="str">
        <f>_xll.BDP("511444RT Muni","MUNI_TAX_PROV")</f>
        <v>#N/A Requesting Data...</v>
      </c>
      <c r="Q726" t="str">
        <f>_xll.BDP("511444RT Muni","MUNI_FED_TAX")</f>
        <v>#N/A Requesting Data...</v>
      </c>
      <c r="R726" t="str">
        <f>_xll.BDP("511444RT Muni","MUNI_MSRB_VOLUME")</f>
        <v>#N/A Requesting Data...</v>
      </c>
      <c r="S726" t="str">
        <f>_xll.BDP("511444RT Muni","BB_COMPOSITE")</f>
        <v>#N/A Requesting Data...</v>
      </c>
      <c r="T726" t="str">
        <f>_xll.BDP("511444RT Muni","LQA_LIQUIDITY_SCORE")</f>
        <v>#N/A Requesting Data...</v>
      </c>
    </row>
    <row r="727" spans="1:20" x14ac:dyDescent="0.25">
      <c r="A727" t="str">
        <f>_xll.BDP("511444RU Muni","ID_CUSIP")</f>
        <v>#N/A Requesting Data...</v>
      </c>
      <c r="B727" t="s">
        <v>277</v>
      </c>
      <c r="C727" t="str">
        <f>_xll.BDP("511444RU Muni","INSURANCE_STATUS")</f>
        <v>#N/A Requesting Data...</v>
      </c>
      <c r="D727" t="str">
        <f>_xll.BDP("511444RU Muni","STATE_CODE")</f>
        <v>#N/A Requesting Data...</v>
      </c>
      <c r="E727" t="str">
        <f>_xll.BDP("511444RU Muni","COUNTY_LOCATION_ISSUER")</f>
        <v>#N/A Requesting Data...</v>
      </c>
      <c r="F727" t="str">
        <f>_xll.BDP("511444RU Muni","DUR_ADJ_MID")</f>
        <v>#N/A Requesting Data...</v>
      </c>
      <c r="G727" t="str">
        <f>_xll.BDP("511444RU Muni","SPREAD_AT_ISSUANCE_TO_WORST")</f>
        <v>#N/A Requesting Data...</v>
      </c>
      <c r="H727" t="str">
        <f>_xll.BDP("511444RU Muni","ISSUE_DT")</f>
        <v>#N/A Requesting Data...</v>
      </c>
      <c r="I727" t="str">
        <f>_xll.BDS("511444RU Muni","MUNI_PURPOSE_SCHED", "aggregate=y")</f>
        <v>#N/A Review</v>
      </c>
      <c r="J727" t="str">
        <f>_xll.BDP("511444RU Muni","CPN")</f>
        <v>#N/A Requesting Data...</v>
      </c>
      <c r="K727" t="str">
        <f>_xll.BDP("511444RU Muni","MATURITY")</f>
        <v>#N/A Requesting Data...</v>
      </c>
      <c r="L727">
        <v>105000</v>
      </c>
      <c r="M727" t="str">
        <f>_xll.BDP("511444RU Muni","YIELD_ON_ISSUE_DATE")</f>
        <v>#N/A Requesting Data...</v>
      </c>
      <c r="N727" t="str">
        <f>_xll.BDP("511444RU Muni","YTW_SPREAD_TO_MATURITY_AT_ISSU")</f>
        <v>#N/A Requesting Data...</v>
      </c>
      <c r="O727" t="str">
        <f>_xll.BDP("511444RU Muni","BVAL_MID_YTM")</f>
        <v>#N/A Requesting Data...</v>
      </c>
      <c r="P727" t="str">
        <f>_xll.BDP("511444RU Muni","MUNI_TAX_PROV")</f>
        <v>#N/A Requesting Data...</v>
      </c>
      <c r="Q727" t="str">
        <f>_xll.BDP("511444RU Muni","MUNI_FED_TAX")</f>
        <v>#N/A Requesting Data...</v>
      </c>
      <c r="R727" t="str">
        <f>_xll.BDP("511444RU Muni","MUNI_MSRB_VOLUME")</f>
        <v>#N/A Requesting Data...</v>
      </c>
      <c r="S727" t="str">
        <f>_xll.BDP("511444RU Muni","BB_COMPOSITE")</f>
        <v>#N/A Requesting Data...</v>
      </c>
      <c r="T727" t="str">
        <f>_xll.BDP("511444RU Muni","LQA_LIQUIDITY_SCORE")</f>
        <v>#N/A Requesting Data...</v>
      </c>
    </row>
    <row r="728" spans="1:20" x14ac:dyDescent="0.25">
      <c r="A728" t="str">
        <f>_xll.BDP("511444RV Muni","ID_CUSIP")</f>
        <v>#N/A Requesting Data...</v>
      </c>
      <c r="B728" t="s">
        <v>277</v>
      </c>
      <c r="C728" t="str">
        <f>_xll.BDP("511444RV Muni","INSURANCE_STATUS")</f>
        <v>#N/A Requesting Data...</v>
      </c>
      <c r="D728" t="str">
        <f>_xll.BDP("511444RV Muni","STATE_CODE")</f>
        <v>#N/A Requesting Data...</v>
      </c>
      <c r="E728" t="str">
        <f>_xll.BDP("511444RV Muni","COUNTY_LOCATION_ISSUER")</f>
        <v>#N/A Requesting Data...</v>
      </c>
      <c r="F728" t="str">
        <f>_xll.BDP("511444RV Muni","DUR_ADJ_MID")</f>
        <v>#N/A Requesting Data...</v>
      </c>
      <c r="G728" t="str">
        <f>_xll.BDP("511444RV Muni","SPREAD_AT_ISSUANCE_TO_WORST")</f>
        <v>#N/A Requesting Data...</v>
      </c>
      <c r="H728" t="str">
        <f>_xll.BDP("511444RV Muni","ISSUE_DT")</f>
        <v>#N/A Requesting Data...</v>
      </c>
      <c r="I728" t="str">
        <f>_xll.BDS("511444RV Muni","MUNI_PURPOSE_SCHED", "aggregate=y")</f>
        <v>#N/A Review</v>
      </c>
      <c r="J728" t="str">
        <f>_xll.BDP("511444RV Muni","CPN")</f>
        <v>#N/A Requesting Data...</v>
      </c>
      <c r="K728" t="str">
        <f>_xll.BDP("511444RV Muni","MATURITY")</f>
        <v>#N/A Requesting Data...</v>
      </c>
      <c r="L728">
        <v>105000</v>
      </c>
      <c r="M728" t="str">
        <f>_xll.BDP("511444RV Muni","YIELD_ON_ISSUE_DATE")</f>
        <v>#N/A Requesting Data...</v>
      </c>
      <c r="N728" t="str">
        <f>_xll.BDP("511444RV Muni","YTW_SPREAD_TO_MATURITY_AT_ISSU")</f>
        <v>#N/A Requesting Data...</v>
      </c>
      <c r="O728" t="str">
        <f>_xll.BDP("511444RV Muni","BVAL_MID_YTM")</f>
        <v>#N/A Requesting Data...</v>
      </c>
      <c r="P728" t="str">
        <f>_xll.BDP("511444RV Muni","MUNI_TAX_PROV")</f>
        <v>#N/A Requesting Data...</v>
      </c>
      <c r="Q728" t="str">
        <f>_xll.BDP("511444RV Muni","MUNI_FED_TAX")</f>
        <v>#N/A Requesting Data...</v>
      </c>
      <c r="R728" t="str">
        <f>_xll.BDP("511444RV Muni","MUNI_MSRB_VOLUME")</f>
        <v>#N/A Requesting Data...</v>
      </c>
      <c r="S728" t="str">
        <f>_xll.BDP("511444RV Muni","BB_COMPOSITE")</f>
        <v>#N/A Requesting Data...</v>
      </c>
      <c r="T728" t="str">
        <f>_xll.BDP("511444RV Muni","LQA_LIQUIDITY_SCORE")</f>
        <v>#N/A Requesting Data...</v>
      </c>
    </row>
    <row r="729" spans="1:20" x14ac:dyDescent="0.25">
      <c r="A729" t="str">
        <f>_xll.BDP("511444RW Muni","ID_CUSIP")</f>
        <v>#N/A Requesting Data...</v>
      </c>
      <c r="B729" t="s">
        <v>277</v>
      </c>
      <c r="C729" t="str">
        <f>_xll.BDP("511444RW Muni","INSURANCE_STATUS")</f>
        <v>#N/A Requesting Data...</v>
      </c>
      <c r="D729" t="str">
        <f>_xll.BDP("511444RW Muni","STATE_CODE")</f>
        <v>#N/A Requesting Data...</v>
      </c>
      <c r="E729" t="str">
        <f>_xll.BDP("511444RW Muni","COUNTY_LOCATION_ISSUER")</f>
        <v>#N/A Requesting Data...</v>
      </c>
      <c r="F729" t="str">
        <f>_xll.BDP("511444RW Muni","DUR_ADJ_MID")</f>
        <v>#N/A Requesting Data...</v>
      </c>
      <c r="G729" t="str">
        <f>_xll.BDP("511444RW Muni","SPREAD_AT_ISSUANCE_TO_WORST")</f>
        <v>#N/A Requesting Data...</v>
      </c>
      <c r="H729" t="str">
        <f>_xll.BDP("511444RW Muni","ISSUE_DT")</f>
        <v>#N/A Requesting Data...</v>
      </c>
      <c r="I729" t="str">
        <f>_xll.BDS("511444RW Muni","MUNI_PURPOSE_SCHED", "aggregate=y")</f>
        <v>#N/A Review</v>
      </c>
      <c r="J729" t="str">
        <f>_xll.BDP("511444RW Muni","CPN")</f>
        <v>#N/A Requesting Data...</v>
      </c>
      <c r="K729" t="str">
        <f>_xll.BDP("511444RW Muni","MATURITY")</f>
        <v>#N/A Requesting Data...</v>
      </c>
      <c r="L729">
        <v>110000</v>
      </c>
      <c r="M729" t="str">
        <f>_xll.BDP("511444RW Muni","YIELD_ON_ISSUE_DATE")</f>
        <v>#N/A Requesting Data...</v>
      </c>
      <c r="N729" t="str">
        <f>_xll.BDP("511444RW Muni","YTW_SPREAD_TO_MATURITY_AT_ISSU")</f>
        <v>#N/A Requesting Data...</v>
      </c>
      <c r="O729" t="str">
        <f>_xll.BDP("511444RW Muni","BVAL_MID_YTM")</f>
        <v>#N/A Requesting Data...</v>
      </c>
      <c r="P729" t="str">
        <f>_xll.BDP("511444RW Muni","MUNI_TAX_PROV")</f>
        <v>#N/A Requesting Data...</v>
      </c>
      <c r="Q729" t="str">
        <f>_xll.BDP("511444RW Muni","MUNI_FED_TAX")</f>
        <v>#N/A Requesting Data...</v>
      </c>
      <c r="R729" t="str">
        <f>_xll.BDP("511444RW Muni","MUNI_MSRB_VOLUME")</f>
        <v>#N/A Requesting Data...</v>
      </c>
      <c r="S729" t="str">
        <f>_xll.BDP("511444RW Muni","BB_COMPOSITE")</f>
        <v>#N/A Requesting Data...</v>
      </c>
      <c r="T729" t="str">
        <f>_xll.BDP("511444RW Muni","LQA_LIQUIDITY_SCORE")</f>
        <v>#N/A Requesting Data...</v>
      </c>
    </row>
    <row r="730" spans="1:20" x14ac:dyDescent="0.25">
      <c r="A730" t="str">
        <f>_xll.BDP("512185FK Muni","ID_CUSIP")</f>
        <v>#N/A Requesting Data...</v>
      </c>
      <c r="B730" t="s">
        <v>278</v>
      </c>
      <c r="C730" t="str">
        <f>_xll.BDP("512185FK Muni","INSURANCE_STATUS")</f>
        <v>#N/A Requesting Data...</v>
      </c>
      <c r="D730" t="str">
        <f>_xll.BDP("512185FK Muni","STATE_CODE")</f>
        <v>#N/A Requesting Data...</v>
      </c>
      <c r="E730" t="str">
        <f>_xll.BDP("512185FK Muni","COUNTY_LOCATION_ISSUER")</f>
        <v>#N/A Requesting Data...</v>
      </c>
      <c r="F730" t="str">
        <f>_xll.BDP("512185FK Muni","DUR_ADJ_MID")</f>
        <v>#N/A Requesting Data...</v>
      </c>
      <c r="G730" t="str">
        <f>_xll.BDP("512185FK Muni","SPREAD_AT_ISSUANCE_TO_WORST")</f>
        <v>#N/A Requesting Data...</v>
      </c>
      <c r="H730" t="str">
        <f>_xll.BDP("512185FK Muni","ISSUE_DT")</f>
        <v>#N/A Requesting Data...</v>
      </c>
      <c r="I730" t="str">
        <f>_xll.BDS("512185FK Muni","MUNI_PURPOSE_SCHED", "aggregate=y")</f>
        <v>#N/A Review</v>
      </c>
      <c r="J730" t="str">
        <f>_xll.BDP("512185FK Muni","CPN")</f>
        <v>#N/A Requesting Data...</v>
      </c>
      <c r="K730" t="str">
        <f>_xll.BDP("512185FK Muni","MATURITY")</f>
        <v>#N/A Requesting Data...</v>
      </c>
      <c r="L730">
        <v>175000</v>
      </c>
      <c r="M730" t="str">
        <f>_xll.BDP("512185FK Muni","YIELD_ON_ISSUE_DATE")</f>
        <v>#N/A Requesting Data...</v>
      </c>
      <c r="N730" t="str">
        <f>_xll.BDP("512185FK Muni","YTW_SPREAD_TO_MATURITY_AT_ISSU")</f>
        <v>#N/A Requesting Data...</v>
      </c>
      <c r="O730" t="str">
        <f>_xll.BDP("512185FK Muni","BVAL_MID_YTM")</f>
        <v>#N/A Requesting Data...</v>
      </c>
      <c r="P730" t="str">
        <f>_xll.BDP("512185FK Muni","MUNI_TAX_PROV")</f>
        <v>#N/A Requesting Data...</v>
      </c>
      <c r="Q730" t="str">
        <f>_xll.BDP("512185FK Muni","MUNI_FED_TAX")</f>
        <v>#N/A Requesting Data...</v>
      </c>
      <c r="R730" t="str">
        <f>_xll.BDP("512185FK Muni","MUNI_MSRB_VOLUME")</f>
        <v>#N/A Requesting Data...</v>
      </c>
      <c r="S730" t="str">
        <f>_xll.BDP("512185FK Muni","BB_COMPOSITE")</f>
        <v>#N/A Requesting Data...</v>
      </c>
      <c r="T730" t="str">
        <f>_xll.BDP("512185FK Muni","LQA_LIQUIDITY_SCORE")</f>
        <v>#N/A Requesting Data...</v>
      </c>
    </row>
    <row r="731" spans="1:20" x14ac:dyDescent="0.25">
      <c r="A731" t="str">
        <f>_xll.BDP("51219LFM Muni","ID_CUSIP")</f>
        <v>#N/A Requesting Data...</v>
      </c>
      <c r="B731" t="s">
        <v>279</v>
      </c>
      <c r="C731" t="str">
        <f>_xll.BDP("51219LFM Muni","INSURANCE_STATUS")</f>
        <v>#N/A Requesting Data...</v>
      </c>
      <c r="D731" t="str">
        <f>_xll.BDP("51219LFM Muni","STATE_CODE")</f>
        <v>#N/A Requesting Data...</v>
      </c>
      <c r="E731" t="str">
        <f>_xll.BDP("51219LFM Muni","COUNTY_LOCATION_ISSUER")</f>
        <v>#N/A Requesting Data...</v>
      </c>
      <c r="F731" t="str">
        <f>_xll.BDP("51219LFM Muni","DUR_ADJ_MID")</f>
        <v>#N/A Requesting Data...</v>
      </c>
      <c r="G731" t="str">
        <f>_xll.BDP("51219LFM Muni","SPREAD_AT_ISSUANCE_TO_WORST")</f>
        <v>#N/A Requesting Data...</v>
      </c>
      <c r="H731" t="str">
        <f>_xll.BDP("51219LFM Muni","ISSUE_DT")</f>
        <v>#N/A Requesting Data...</v>
      </c>
      <c r="I731" t="str">
        <f>_xll.BDS("51219LFM Muni","MUNI_PURPOSE_SCHED", "aggregate=y")</f>
        <v>#N/A Review</v>
      </c>
      <c r="J731" t="str">
        <f>_xll.BDP("51219LFM Muni","CPN")</f>
        <v>#N/A Requesting Data...</v>
      </c>
      <c r="K731" t="str">
        <f>_xll.BDP("51219LFM Muni","MATURITY")</f>
        <v>#N/A Requesting Data...</v>
      </c>
      <c r="L731">
        <v>50000</v>
      </c>
      <c r="M731" t="str">
        <f>_xll.BDP("51219LFM Muni","YIELD_ON_ISSUE_DATE")</f>
        <v>#N/A Requesting Data...</v>
      </c>
      <c r="N731" t="str">
        <f>_xll.BDP("51219LFM Muni","YTW_SPREAD_TO_MATURITY_AT_ISSU")</f>
        <v>#N/A Requesting Data...</v>
      </c>
      <c r="O731" t="str">
        <f>_xll.BDP("51219LFM Muni","BVAL_MID_YTM")</f>
        <v>#N/A Requesting Data...</v>
      </c>
      <c r="P731" t="str">
        <f>_xll.BDP("51219LFM Muni","MUNI_TAX_PROV")</f>
        <v>#N/A Requesting Data...</v>
      </c>
      <c r="Q731" t="str">
        <f>_xll.BDP("51219LFM Muni","MUNI_FED_TAX")</f>
        <v>#N/A Requesting Data...</v>
      </c>
      <c r="R731" t="str">
        <f>_xll.BDP("51219LFM Muni","MUNI_MSRB_VOLUME")</f>
        <v>#N/A Requesting Data...</v>
      </c>
      <c r="S731" t="str">
        <f>_xll.BDP("51219LFM Muni","BB_COMPOSITE")</f>
        <v>#N/A Requesting Data...</v>
      </c>
      <c r="T731" t="str">
        <f>_xll.BDP("51219LFM Muni","LQA_LIQUIDITY_SCORE")</f>
        <v>#N/A Requesting Data...</v>
      </c>
    </row>
    <row r="732" spans="1:20" x14ac:dyDescent="0.25">
      <c r="A732" t="str">
        <f>_xll.BDP("51219LFN Muni","ID_CUSIP")</f>
        <v>#N/A Requesting Data...</v>
      </c>
      <c r="B732" t="s">
        <v>279</v>
      </c>
      <c r="C732" t="str">
        <f>_xll.BDP("51219LFN Muni","INSURANCE_STATUS")</f>
        <v>#N/A Requesting Data...</v>
      </c>
      <c r="D732" t="str">
        <f>_xll.BDP("51219LFN Muni","STATE_CODE")</f>
        <v>#N/A Requesting Data...</v>
      </c>
      <c r="E732" t="str">
        <f>_xll.BDP("51219LFN Muni","COUNTY_LOCATION_ISSUER")</f>
        <v>#N/A Requesting Data...</v>
      </c>
      <c r="F732" t="str">
        <f>_xll.BDP("51219LFN Muni","DUR_ADJ_MID")</f>
        <v>#N/A Requesting Data...</v>
      </c>
      <c r="G732" t="str">
        <f>_xll.BDP("51219LFN Muni","SPREAD_AT_ISSUANCE_TO_WORST")</f>
        <v>#N/A Requesting Data...</v>
      </c>
      <c r="H732" t="str">
        <f>_xll.BDP("51219LFN Muni","ISSUE_DT")</f>
        <v>#N/A Requesting Data...</v>
      </c>
      <c r="I732" t="str">
        <f>_xll.BDS("51219LFN Muni","MUNI_PURPOSE_SCHED", "aggregate=y")</f>
        <v>#N/A Review</v>
      </c>
      <c r="J732" t="str">
        <f>_xll.BDP("51219LFN Muni","CPN")</f>
        <v>#N/A Requesting Data...</v>
      </c>
      <c r="K732" t="str">
        <f>_xll.BDP("51219LFN Muni","MATURITY")</f>
        <v>#N/A Requesting Data...</v>
      </c>
      <c r="L732">
        <v>50000</v>
      </c>
      <c r="M732" t="str">
        <f>_xll.BDP("51219LFN Muni","YIELD_ON_ISSUE_DATE")</f>
        <v>#N/A Requesting Data...</v>
      </c>
      <c r="N732" t="str">
        <f>_xll.BDP("51219LFN Muni","YTW_SPREAD_TO_MATURITY_AT_ISSU")</f>
        <v>#N/A Requesting Data...</v>
      </c>
      <c r="O732" t="str">
        <f>_xll.BDP("51219LFN Muni","BVAL_MID_YTM")</f>
        <v>#N/A Requesting Data...</v>
      </c>
      <c r="P732" t="str">
        <f>_xll.BDP("51219LFN Muni","MUNI_TAX_PROV")</f>
        <v>#N/A Requesting Data...</v>
      </c>
      <c r="Q732" t="str">
        <f>_xll.BDP("51219LFN Muni","MUNI_FED_TAX")</f>
        <v>#N/A Requesting Data...</v>
      </c>
      <c r="R732" t="str">
        <f>_xll.BDP("51219LFN Muni","MUNI_MSRB_VOLUME")</f>
        <v>#N/A Requesting Data...</v>
      </c>
      <c r="S732" t="str">
        <f>_xll.BDP("51219LFN Muni","BB_COMPOSITE")</f>
        <v>#N/A Requesting Data...</v>
      </c>
      <c r="T732" t="str">
        <f>_xll.BDP("51219LFN Muni","LQA_LIQUIDITY_SCORE")</f>
        <v>#N/A Requesting Data...</v>
      </c>
    </row>
    <row r="733" spans="1:20" x14ac:dyDescent="0.25">
      <c r="A733" t="str">
        <f>_xll.BDP("51219NGN Muni","ID_CUSIP")</f>
        <v>#N/A Requesting Data...</v>
      </c>
      <c r="B733" t="s">
        <v>280</v>
      </c>
      <c r="C733" t="str">
        <f>_xll.BDP("51219NGN Muni","INSURANCE_STATUS")</f>
        <v>#N/A Requesting Data...</v>
      </c>
      <c r="D733" t="str">
        <f>_xll.BDP("51219NGN Muni","STATE_CODE")</f>
        <v>#N/A Requesting Data...</v>
      </c>
      <c r="E733" t="str">
        <f>_xll.BDP("51219NGN Muni","COUNTY_LOCATION_ISSUER")</f>
        <v>#N/A Requesting Data...</v>
      </c>
      <c r="F733" t="str">
        <f>_xll.BDP("51219NGN Muni","DUR_ADJ_MID")</f>
        <v>#N/A Requesting Data...</v>
      </c>
      <c r="G733" t="str">
        <f>_xll.BDP("51219NGN Muni","SPREAD_AT_ISSUANCE_TO_WORST")</f>
        <v>#N/A Requesting Data...</v>
      </c>
      <c r="H733" t="str">
        <f>_xll.BDP("51219NGN Muni","ISSUE_DT")</f>
        <v>#N/A Requesting Data...</v>
      </c>
      <c r="I733" t="str">
        <f>_xll.BDS("51219NGN Muni","MUNI_PURPOSE_SCHED", "aggregate=y")</f>
        <v>#N/A Review</v>
      </c>
      <c r="J733" t="str">
        <f>_xll.BDP("51219NGN Muni","CPN")</f>
        <v>#N/A Requesting Data...</v>
      </c>
      <c r="K733" t="str">
        <f>_xll.BDP("51219NGN Muni","MATURITY")</f>
        <v>#N/A Requesting Data...</v>
      </c>
      <c r="L733">
        <v>325000</v>
      </c>
      <c r="M733" t="str">
        <f>_xll.BDP("51219NGN Muni","YIELD_ON_ISSUE_DATE")</f>
        <v>#N/A Requesting Data...</v>
      </c>
      <c r="N733" t="str">
        <f>_xll.BDP("51219NGN Muni","YTW_SPREAD_TO_MATURITY_AT_ISSU")</f>
        <v>#N/A Requesting Data...</v>
      </c>
      <c r="O733" t="str">
        <f>_xll.BDP("51219NGN Muni","BVAL_MID_YTM")</f>
        <v>#N/A Requesting Data...</v>
      </c>
      <c r="P733" t="str">
        <f>_xll.BDP("51219NGN Muni","MUNI_TAX_PROV")</f>
        <v>#N/A Requesting Data...</v>
      </c>
      <c r="Q733" t="str">
        <f>_xll.BDP("51219NGN Muni","MUNI_FED_TAX")</f>
        <v>#N/A Requesting Data...</v>
      </c>
      <c r="R733" t="str">
        <f>_xll.BDP("51219NGN Muni","MUNI_MSRB_VOLUME")</f>
        <v>#N/A Requesting Data...</v>
      </c>
      <c r="S733" t="str">
        <f>_xll.BDP("51219NGN Muni","BB_COMPOSITE")</f>
        <v>#N/A Requesting Data...</v>
      </c>
      <c r="T733" t="str">
        <f>_xll.BDP("51219NGN Muni","LQA_LIQUIDITY_SCORE")</f>
        <v>#N/A Requesting Data...</v>
      </c>
    </row>
    <row r="734" spans="1:20" x14ac:dyDescent="0.25">
      <c r="A734" t="str">
        <f>_xll.BDP("51219NGP Muni","ID_CUSIP")</f>
        <v>#N/A Requesting Data...</v>
      </c>
      <c r="B734" t="s">
        <v>280</v>
      </c>
      <c r="C734" t="str">
        <f>_xll.BDP("51219NGP Muni","INSURANCE_STATUS")</f>
        <v>#N/A Requesting Data...</v>
      </c>
      <c r="D734" t="str">
        <f>_xll.BDP("51219NGP Muni","STATE_CODE")</f>
        <v>#N/A Requesting Data...</v>
      </c>
      <c r="E734" t="str">
        <f>_xll.BDP("51219NGP Muni","COUNTY_LOCATION_ISSUER")</f>
        <v>#N/A Requesting Data...</v>
      </c>
      <c r="F734" t="str">
        <f>_xll.BDP("51219NGP Muni","DUR_ADJ_MID")</f>
        <v>#N/A Requesting Data...</v>
      </c>
      <c r="G734" t="str">
        <f>_xll.BDP("51219NGP Muni","SPREAD_AT_ISSUANCE_TO_WORST")</f>
        <v>#N/A Requesting Data...</v>
      </c>
      <c r="H734" t="str">
        <f>_xll.BDP("51219NGP Muni","ISSUE_DT")</f>
        <v>#N/A Requesting Data...</v>
      </c>
      <c r="I734" t="str">
        <f>_xll.BDS("51219NGP Muni","MUNI_PURPOSE_SCHED", "aggregate=y")</f>
        <v>#N/A Review</v>
      </c>
      <c r="J734" t="str">
        <f>_xll.BDP("51219NGP Muni","CPN")</f>
        <v>#N/A Requesting Data...</v>
      </c>
      <c r="K734" t="str">
        <f>_xll.BDP("51219NGP Muni","MATURITY")</f>
        <v>#N/A Requesting Data...</v>
      </c>
      <c r="L734">
        <v>325000</v>
      </c>
      <c r="M734" t="str">
        <f>_xll.BDP("51219NGP Muni","YIELD_ON_ISSUE_DATE")</f>
        <v>#N/A Requesting Data...</v>
      </c>
      <c r="N734" t="str">
        <f>_xll.BDP("51219NGP Muni","YTW_SPREAD_TO_MATURITY_AT_ISSU")</f>
        <v>#N/A Requesting Data...</v>
      </c>
      <c r="O734" t="str">
        <f>_xll.BDP("51219NGP Muni","BVAL_MID_YTM")</f>
        <v>#N/A Requesting Data...</v>
      </c>
      <c r="P734" t="str">
        <f>_xll.BDP("51219NGP Muni","MUNI_TAX_PROV")</f>
        <v>#N/A Requesting Data...</v>
      </c>
      <c r="Q734" t="str">
        <f>_xll.BDP("51219NGP Muni","MUNI_FED_TAX")</f>
        <v>#N/A Requesting Data...</v>
      </c>
      <c r="R734" t="str">
        <f>_xll.BDP("51219NGP Muni","MUNI_MSRB_VOLUME")</f>
        <v>#N/A Requesting Data...</v>
      </c>
      <c r="S734" t="str">
        <f>_xll.BDP("51219NGP Muni","BB_COMPOSITE")</f>
        <v>#N/A Requesting Data...</v>
      </c>
      <c r="T734" t="str">
        <f>_xll.BDP("51219NGP Muni","LQA_LIQUIDITY_SCORE")</f>
        <v>#N/A Requesting Data...</v>
      </c>
    </row>
    <row r="735" spans="1:20" x14ac:dyDescent="0.25">
      <c r="A735" t="str">
        <f>_xll.BDP("512445J7 Muni","ID_CUSIP")</f>
        <v>#N/A Requesting Data...</v>
      </c>
      <c r="B735" t="s">
        <v>148</v>
      </c>
      <c r="C735" t="str">
        <f>_xll.BDP("512445J7 Muni","INSURANCE_STATUS")</f>
        <v>#N/A Requesting Data...</v>
      </c>
      <c r="D735" t="str">
        <f>_xll.BDP("512445J7 Muni","STATE_CODE")</f>
        <v>#N/A Requesting Data...</v>
      </c>
      <c r="E735" t="str">
        <f>_xll.BDP("512445J7 Muni","COUNTY_LOCATION_ISSUER")</f>
        <v>#N/A Requesting Data...</v>
      </c>
      <c r="F735" t="str">
        <f>_xll.BDP("512445J7 Muni","DUR_ADJ_MID")</f>
        <v>#N/A Requesting Data...</v>
      </c>
      <c r="G735" t="str">
        <f>_xll.BDP("512445J7 Muni","SPREAD_AT_ISSUANCE_TO_WORST")</f>
        <v>#N/A Requesting Data...</v>
      </c>
      <c r="H735" t="str">
        <f>_xll.BDP("512445J7 Muni","ISSUE_DT")</f>
        <v>#N/A Requesting Data...</v>
      </c>
      <c r="I735" t="str">
        <f>_xll.BDS("512445J7 Muni","MUNI_PURPOSE_SCHED", "aggregate=y")</f>
        <v>#N/A Review</v>
      </c>
      <c r="J735" t="str">
        <f>_xll.BDP("512445J7 Muni","CPN")</f>
        <v>#N/A Requesting Data...</v>
      </c>
      <c r="K735" t="str">
        <f>_xll.BDP("512445J7 Muni","MATURITY")</f>
        <v>#N/A Requesting Data...</v>
      </c>
      <c r="L735">
        <v>440000</v>
      </c>
      <c r="M735" t="str">
        <f>_xll.BDP("512445J7 Muni","YIELD_ON_ISSUE_DATE")</f>
        <v>#N/A Requesting Data...</v>
      </c>
      <c r="N735" t="str">
        <f>_xll.BDP("512445J7 Muni","YTW_SPREAD_TO_MATURITY_AT_ISSU")</f>
        <v>#N/A Requesting Data...</v>
      </c>
      <c r="O735" t="str">
        <f>_xll.BDP("512445J7 Muni","BVAL_MID_YTM")</f>
        <v>#N/A Requesting Data...</v>
      </c>
      <c r="P735" t="str">
        <f>_xll.BDP("512445J7 Muni","MUNI_TAX_PROV")</f>
        <v>#N/A Requesting Data...</v>
      </c>
      <c r="Q735" t="str">
        <f>_xll.BDP("512445J7 Muni","MUNI_FED_TAX")</f>
        <v>#N/A Requesting Data...</v>
      </c>
      <c r="R735" t="str">
        <f>_xll.BDP("512445J7 Muni","MUNI_MSRB_VOLUME")</f>
        <v>#N/A Requesting Data...</v>
      </c>
      <c r="S735" t="str">
        <f>_xll.BDP("512445J7 Muni","BB_COMPOSITE")</f>
        <v>#N/A Requesting Data...</v>
      </c>
      <c r="T735" t="str">
        <f>_xll.BDP("512445J7 Muni","LQA_LIQUIDITY_SCORE")</f>
        <v>#N/A Requesting Data...</v>
      </c>
    </row>
    <row r="736" spans="1:20" x14ac:dyDescent="0.25">
      <c r="A736" t="str">
        <f>_xll.BDP("4398662K Muni","ID_CUSIP")</f>
        <v>#N/A Requesting Data...</v>
      </c>
      <c r="B736" t="s">
        <v>281</v>
      </c>
      <c r="C736" t="str">
        <f>_xll.BDP("4398662K Muni","INSURANCE_STATUS")</f>
        <v>#N/A Requesting Data...</v>
      </c>
      <c r="D736" t="str">
        <f>_xll.BDP("4398662K Muni","STATE_CODE")</f>
        <v>#N/A Requesting Data...</v>
      </c>
      <c r="E736" t="str">
        <f>_xll.BDP("4398662K Muni","COUNTY_LOCATION_ISSUER")</f>
        <v>#N/A Requesting Data...</v>
      </c>
      <c r="F736" t="str">
        <f>_xll.BDP("4398662K Muni","DUR_ADJ_MID")</f>
        <v>#N/A Requesting Data...</v>
      </c>
      <c r="G736" t="str">
        <f>_xll.BDP("4398662K Muni","SPREAD_AT_ISSUANCE_TO_WORST")</f>
        <v>#N/A Requesting Data...</v>
      </c>
      <c r="H736" t="str">
        <f>_xll.BDP("4398662K Muni","ISSUE_DT")</f>
        <v>#N/A Requesting Data...</v>
      </c>
      <c r="I736" t="str">
        <f>_xll.BDS("4398662K Muni","MUNI_PURPOSE_SCHED", "aggregate=y")</f>
        <v>#N/A Review</v>
      </c>
      <c r="J736" t="str">
        <f>_xll.BDP("4398662K Muni","CPN")</f>
        <v>#N/A Requesting Data...</v>
      </c>
      <c r="K736" t="str">
        <f>_xll.BDP("4398662K Muni","MATURITY")</f>
        <v>#N/A Requesting Data...</v>
      </c>
      <c r="L736">
        <v>280000</v>
      </c>
      <c r="M736" t="str">
        <f>_xll.BDP("4398662K Muni","YIELD_ON_ISSUE_DATE")</f>
        <v>#N/A Requesting Data...</v>
      </c>
      <c r="N736" t="str">
        <f>_xll.BDP("4398662K Muni","YTW_SPREAD_TO_MATURITY_AT_ISSU")</f>
        <v>#N/A Requesting Data...</v>
      </c>
      <c r="O736" t="str">
        <f>_xll.BDP("4398662K Muni","BVAL_MID_YTM")</f>
        <v>#N/A Requesting Data...</v>
      </c>
      <c r="P736" t="str">
        <f>_xll.BDP("4398662K Muni","MUNI_TAX_PROV")</f>
        <v>#N/A Requesting Data...</v>
      </c>
      <c r="Q736" t="str">
        <f>_xll.BDP("4398662K Muni","MUNI_FED_TAX")</f>
        <v>#N/A Requesting Data...</v>
      </c>
      <c r="R736" t="str">
        <f>_xll.BDP("4398662K Muni","MUNI_MSRB_VOLUME")</f>
        <v>#N/A Requesting Data...</v>
      </c>
      <c r="S736" t="str">
        <f>_xll.BDP("4398662K Muni","BB_COMPOSITE")</f>
        <v>#N/A Requesting Data...</v>
      </c>
      <c r="T736" t="str">
        <f>_xll.BDP("4398662K Muni","LQA_LIQUIDITY_SCORE")</f>
        <v>#N/A Requesting Data...</v>
      </c>
    </row>
    <row r="737" spans="1:20" x14ac:dyDescent="0.25">
      <c r="A737" t="str">
        <f>_xll.BDP("4398662L Muni","ID_CUSIP")</f>
        <v>#N/A Requesting Data...</v>
      </c>
      <c r="B737" t="s">
        <v>281</v>
      </c>
      <c r="C737" t="str">
        <f>_xll.BDP("4398662L Muni","INSURANCE_STATUS")</f>
        <v>#N/A Requesting Data...</v>
      </c>
      <c r="D737" t="str">
        <f>_xll.BDP("4398662L Muni","STATE_CODE")</f>
        <v>#N/A Requesting Data...</v>
      </c>
      <c r="E737" t="str">
        <f>_xll.BDP("4398662L Muni","COUNTY_LOCATION_ISSUER")</f>
        <v>#N/A Requesting Data...</v>
      </c>
      <c r="F737" t="str">
        <f>_xll.BDP("4398662L Muni","DUR_ADJ_MID")</f>
        <v>#N/A Requesting Data...</v>
      </c>
      <c r="G737" t="str">
        <f>_xll.BDP("4398662L Muni","SPREAD_AT_ISSUANCE_TO_WORST")</f>
        <v>#N/A Requesting Data...</v>
      </c>
      <c r="H737" t="str">
        <f>_xll.BDP("4398662L Muni","ISSUE_DT")</f>
        <v>#N/A Requesting Data...</v>
      </c>
      <c r="I737" t="str">
        <f>_xll.BDS("4398662L Muni","MUNI_PURPOSE_SCHED", "aggregate=y")</f>
        <v>#N/A Review</v>
      </c>
      <c r="J737" t="str">
        <f>_xll.BDP("4398662L Muni","CPN")</f>
        <v>#N/A Requesting Data...</v>
      </c>
      <c r="K737" t="str">
        <f>_xll.BDP("4398662L Muni","MATURITY")</f>
        <v>#N/A Requesting Data...</v>
      </c>
      <c r="L737">
        <v>285000</v>
      </c>
      <c r="M737" t="str">
        <f>_xll.BDP("4398662L Muni","YIELD_ON_ISSUE_DATE")</f>
        <v>#N/A Requesting Data...</v>
      </c>
      <c r="N737" t="str">
        <f>_xll.BDP("4398662L Muni","YTW_SPREAD_TO_MATURITY_AT_ISSU")</f>
        <v>#N/A Requesting Data...</v>
      </c>
      <c r="O737" t="str">
        <f>_xll.BDP("4398662L Muni","BVAL_MID_YTM")</f>
        <v>#N/A Requesting Data...</v>
      </c>
      <c r="P737" t="str">
        <f>_xll.BDP("4398662L Muni","MUNI_TAX_PROV")</f>
        <v>#N/A Requesting Data...</v>
      </c>
      <c r="Q737" t="str">
        <f>_xll.BDP("4398662L Muni","MUNI_FED_TAX")</f>
        <v>#N/A Requesting Data...</v>
      </c>
      <c r="R737" t="str">
        <f>_xll.BDP("4398662L Muni","MUNI_MSRB_VOLUME")</f>
        <v>#N/A Requesting Data...</v>
      </c>
      <c r="S737" t="str">
        <f>_xll.BDP("4398662L Muni","BB_COMPOSITE")</f>
        <v>#N/A Requesting Data...</v>
      </c>
      <c r="T737" t="str">
        <f>_xll.BDP("4398662L Muni","LQA_LIQUIDITY_SCORE")</f>
        <v>#N/A Requesting Data...</v>
      </c>
    </row>
    <row r="738" spans="1:20" x14ac:dyDescent="0.25">
      <c r="A738" t="str">
        <f>_xll.BDP("4398662M Muni","ID_CUSIP")</f>
        <v>#N/A Requesting Data...</v>
      </c>
      <c r="B738" t="s">
        <v>281</v>
      </c>
      <c r="C738" t="str">
        <f>_xll.BDP("4398662M Muni","INSURANCE_STATUS")</f>
        <v>#N/A Requesting Data...</v>
      </c>
      <c r="D738" t="str">
        <f>_xll.BDP("4398662M Muni","STATE_CODE")</f>
        <v>#N/A Requesting Data...</v>
      </c>
      <c r="E738" t="str">
        <f>_xll.BDP("4398662M Muni","COUNTY_LOCATION_ISSUER")</f>
        <v>#N/A Requesting Data...</v>
      </c>
      <c r="F738" t="str">
        <f>_xll.BDP("4398662M Muni","DUR_ADJ_MID")</f>
        <v>#N/A Requesting Data...</v>
      </c>
      <c r="G738" t="str">
        <f>_xll.BDP("4398662M Muni","SPREAD_AT_ISSUANCE_TO_WORST")</f>
        <v>#N/A Requesting Data...</v>
      </c>
      <c r="H738" t="str">
        <f>_xll.BDP("4398662M Muni","ISSUE_DT")</f>
        <v>#N/A Requesting Data...</v>
      </c>
      <c r="I738" t="str">
        <f>_xll.BDS("4398662M Muni","MUNI_PURPOSE_SCHED", "aggregate=y")</f>
        <v>#N/A Review</v>
      </c>
      <c r="J738" t="str">
        <f>_xll.BDP("4398662M Muni","CPN")</f>
        <v>#N/A Requesting Data...</v>
      </c>
      <c r="K738" t="str">
        <f>_xll.BDP("4398662M Muni","MATURITY")</f>
        <v>#N/A Requesting Data...</v>
      </c>
      <c r="L738">
        <v>285000</v>
      </c>
      <c r="M738" t="str">
        <f>_xll.BDP("4398662M Muni","YIELD_ON_ISSUE_DATE")</f>
        <v>#N/A Requesting Data...</v>
      </c>
      <c r="N738" t="str">
        <f>_xll.BDP("4398662M Muni","YTW_SPREAD_TO_MATURITY_AT_ISSU")</f>
        <v>#N/A Requesting Data...</v>
      </c>
      <c r="O738" t="str">
        <f>_xll.BDP("4398662M Muni","BVAL_MID_YTM")</f>
        <v>#N/A Requesting Data...</v>
      </c>
      <c r="P738" t="str">
        <f>_xll.BDP("4398662M Muni","MUNI_TAX_PROV")</f>
        <v>#N/A Requesting Data...</v>
      </c>
      <c r="Q738" t="str">
        <f>_xll.BDP("4398662M Muni","MUNI_FED_TAX")</f>
        <v>#N/A Requesting Data...</v>
      </c>
      <c r="R738" t="str">
        <f>_xll.BDP("4398662M Muni","MUNI_MSRB_VOLUME")</f>
        <v>#N/A Requesting Data...</v>
      </c>
      <c r="S738" t="str">
        <f>_xll.BDP("4398662M Muni","BB_COMPOSITE")</f>
        <v>#N/A Requesting Data...</v>
      </c>
      <c r="T738" t="str">
        <f>_xll.BDP("4398662M Muni","LQA_LIQUIDITY_SCORE")</f>
        <v>#N/A Requesting Data...</v>
      </c>
    </row>
    <row r="739" spans="1:20" x14ac:dyDescent="0.25">
      <c r="A739" t="str">
        <f>_xll.BDP("440398GA Muni","ID_CUSIP")</f>
        <v>#N/A Requesting Data...</v>
      </c>
      <c r="B739" t="s">
        <v>282</v>
      </c>
      <c r="C739" t="str">
        <f>_xll.BDP("440398GA Muni","INSURANCE_STATUS")</f>
        <v>#N/A Requesting Data...</v>
      </c>
      <c r="D739" t="str">
        <f>_xll.BDP("440398GA Muni","STATE_CODE")</f>
        <v>#N/A Requesting Data...</v>
      </c>
      <c r="E739" t="str">
        <f>_xll.BDP("440398GA Muni","COUNTY_LOCATION_ISSUER")</f>
        <v>#N/A Requesting Data...</v>
      </c>
      <c r="F739" t="str">
        <f>_xll.BDP("440398GA Muni","DUR_ADJ_MID")</f>
        <v>#N/A Requesting Data...</v>
      </c>
      <c r="G739" t="str">
        <f>_xll.BDP("440398GA Muni","SPREAD_AT_ISSUANCE_TO_WORST")</f>
        <v>#N/A Requesting Data...</v>
      </c>
      <c r="H739" t="str">
        <f>_xll.BDP("440398GA Muni","ISSUE_DT")</f>
        <v>#N/A Requesting Data...</v>
      </c>
      <c r="I739" t="str">
        <f>_xll.BDS("440398GA Muni","MUNI_PURPOSE_SCHED", "aggregate=y")</f>
        <v>#N/A Review</v>
      </c>
      <c r="J739" t="str">
        <f>_xll.BDP("440398GA Muni","CPN")</f>
        <v>#N/A Requesting Data...</v>
      </c>
      <c r="K739" t="str">
        <f>_xll.BDP("440398GA Muni","MATURITY")</f>
        <v>#N/A Requesting Data...</v>
      </c>
      <c r="L739">
        <v>90000</v>
      </c>
      <c r="M739" t="str">
        <f>_xll.BDP("440398GA Muni","YIELD_ON_ISSUE_DATE")</f>
        <v>#N/A Requesting Data...</v>
      </c>
      <c r="N739" t="str">
        <f>_xll.BDP("440398GA Muni","YTW_SPREAD_TO_MATURITY_AT_ISSU")</f>
        <v>#N/A Requesting Data...</v>
      </c>
      <c r="O739" t="str">
        <f>_xll.BDP("440398GA Muni","BVAL_MID_YTM")</f>
        <v>#N/A Requesting Data...</v>
      </c>
      <c r="P739" t="str">
        <f>_xll.BDP("440398GA Muni","MUNI_TAX_PROV")</f>
        <v>#N/A Requesting Data...</v>
      </c>
      <c r="Q739" t="str">
        <f>_xll.BDP("440398GA Muni","MUNI_FED_TAX")</f>
        <v>#N/A Requesting Data...</v>
      </c>
      <c r="R739" t="str">
        <f>_xll.BDP("440398GA Muni","MUNI_MSRB_VOLUME")</f>
        <v>#N/A Requesting Data...</v>
      </c>
      <c r="S739" t="str">
        <f>_xll.BDP("440398GA Muni","BB_COMPOSITE")</f>
        <v>#N/A Requesting Data...</v>
      </c>
      <c r="T739" t="str">
        <f>_xll.BDP("440398GA Muni","LQA_LIQUIDITY_SCORE")</f>
        <v>#N/A Requesting Data...</v>
      </c>
    </row>
    <row r="740" spans="1:20" x14ac:dyDescent="0.25">
      <c r="A740" t="str">
        <f>_xll.BDP("440398GB Muni","ID_CUSIP")</f>
        <v>#N/A Requesting Data...</v>
      </c>
      <c r="B740" t="s">
        <v>282</v>
      </c>
      <c r="C740" t="str">
        <f>_xll.BDP("440398GB Muni","INSURANCE_STATUS")</f>
        <v>#N/A Requesting Data...</v>
      </c>
      <c r="D740" t="str">
        <f>_xll.BDP("440398GB Muni","STATE_CODE")</f>
        <v>#N/A Requesting Data...</v>
      </c>
      <c r="E740" t="str">
        <f>_xll.BDP("440398GB Muni","COUNTY_LOCATION_ISSUER")</f>
        <v>#N/A Requesting Data...</v>
      </c>
      <c r="F740" t="str">
        <f>_xll.BDP("440398GB Muni","DUR_ADJ_MID")</f>
        <v>#N/A Requesting Data...</v>
      </c>
      <c r="G740" t="str">
        <f>_xll.BDP("440398GB Muni","SPREAD_AT_ISSUANCE_TO_WORST")</f>
        <v>#N/A Requesting Data...</v>
      </c>
      <c r="H740" t="str">
        <f>_xll.BDP("440398GB Muni","ISSUE_DT")</f>
        <v>#N/A Requesting Data...</v>
      </c>
      <c r="I740" t="str">
        <f>_xll.BDS("440398GB Muni","MUNI_PURPOSE_SCHED", "aggregate=y")</f>
        <v>#N/A Review</v>
      </c>
      <c r="J740" t="str">
        <f>_xll.BDP("440398GB Muni","CPN")</f>
        <v>#N/A Requesting Data...</v>
      </c>
      <c r="K740" t="str">
        <f>_xll.BDP("440398GB Muni","MATURITY")</f>
        <v>#N/A Requesting Data...</v>
      </c>
      <c r="L740">
        <v>100000</v>
      </c>
      <c r="M740" t="str">
        <f>_xll.BDP("440398GB Muni","YIELD_ON_ISSUE_DATE")</f>
        <v>#N/A Requesting Data...</v>
      </c>
      <c r="N740" t="str">
        <f>_xll.BDP("440398GB Muni","YTW_SPREAD_TO_MATURITY_AT_ISSU")</f>
        <v>#N/A Requesting Data...</v>
      </c>
      <c r="O740" t="str">
        <f>_xll.BDP("440398GB Muni","BVAL_MID_YTM")</f>
        <v>#N/A Requesting Data...</v>
      </c>
      <c r="P740" t="str">
        <f>_xll.BDP("440398GB Muni","MUNI_TAX_PROV")</f>
        <v>#N/A Requesting Data...</v>
      </c>
      <c r="Q740" t="str">
        <f>_xll.BDP("440398GB Muni","MUNI_FED_TAX")</f>
        <v>#N/A Requesting Data...</v>
      </c>
      <c r="R740" t="str">
        <f>_xll.BDP("440398GB Muni","MUNI_MSRB_VOLUME")</f>
        <v>#N/A Requesting Data...</v>
      </c>
      <c r="S740" t="str">
        <f>_xll.BDP("440398GB Muni","BB_COMPOSITE")</f>
        <v>#N/A Requesting Data...</v>
      </c>
      <c r="T740" t="str">
        <f>_xll.BDP("440398GB Muni","LQA_LIQUIDITY_SCORE")</f>
        <v>#N/A Requesting Data...</v>
      </c>
    </row>
    <row r="741" spans="1:20" x14ac:dyDescent="0.25">
      <c r="A741" t="str">
        <f>_xll.BDP("440398GC Muni","ID_CUSIP")</f>
        <v>#N/A Requesting Data...</v>
      </c>
      <c r="B741" t="s">
        <v>282</v>
      </c>
      <c r="C741" t="str">
        <f>_xll.BDP("440398GC Muni","INSURANCE_STATUS")</f>
        <v>#N/A Requesting Data...</v>
      </c>
      <c r="D741" t="str">
        <f>_xll.BDP("440398GC Muni","STATE_CODE")</f>
        <v>#N/A Requesting Data...</v>
      </c>
      <c r="E741" t="str">
        <f>_xll.BDP("440398GC Muni","COUNTY_LOCATION_ISSUER")</f>
        <v>#N/A Requesting Data...</v>
      </c>
      <c r="F741" t="str">
        <f>_xll.BDP("440398GC Muni","DUR_ADJ_MID")</f>
        <v>#N/A Requesting Data...</v>
      </c>
      <c r="G741" t="str">
        <f>_xll.BDP("440398GC Muni","SPREAD_AT_ISSUANCE_TO_WORST")</f>
        <v>#N/A Requesting Data...</v>
      </c>
      <c r="H741" t="str">
        <f>_xll.BDP("440398GC Muni","ISSUE_DT")</f>
        <v>#N/A Requesting Data...</v>
      </c>
      <c r="I741" t="str">
        <f>_xll.BDS("440398GC Muni","MUNI_PURPOSE_SCHED", "aggregate=y")</f>
        <v>#N/A Review</v>
      </c>
      <c r="J741" t="str">
        <f>_xll.BDP("440398GC Muni","CPN")</f>
        <v>#N/A Requesting Data...</v>
      </c>
      <c r="K741" t="str">
        <f>_xll.BDP("440398GC Muni","MATURITY")</f>
        <v>#N/A Requesting Data...</v>
      </c>
      <c r="L741">
        <v>110000</v>
      </c>
      <c r="M741" t="str">
        <f>_xll.BDP("440398GC Muni","YIELD_ON_ISSUE_DATE")</f>
        <v>#N/A Requesting Data...</v>
      </c>
      <c r="N741" t="str">
        <f>_xll.BDP("440398GC Muni","YTW_SPREAD_TO_MATURITY_AT_ISSU")</f>
        <v>#N/A Requesting Data...</v>
      </c>
      <c r="O741" t="str">
        <f>_xll.BDP("440398GC Muni","BVAL_MID_YTM")</f>
        <v>#N/A Requesting Data...</v>
      </c>
      <c r="P741" t="str">
        <f>_xll.BDP("440398GC Muni","MUNI_TAX_PROV")</f>
        <v>#N/A Requesting Data...</v>
      </c>
      <c r="Q741" t="str">
        <f>_xll.BDP("440398GC Muni","MUNI_FED_TAX")</f>
        <v>#N/A Requesting Data...</v>
      </c>
      <c r="R741" t="str">
        <f>_xll.BDP("440398GC Muni","MUNI_MSRB_VOLUME")</f>
        <v>#N/A Requesting Data...</v>
      </c>
      <c r="S741" t="str">
        <f>_xll.BDP("440398GC Muni","BB_COMPOSITE")</f>
        <v>#N/A Requesting Data...</v>
      </c>
      <c r="T741" t="str">
        <f>_xll.BDP("440398GC Muni","LQA_LIQUIDITY_SCORE")</f>
        <v>#N/A Requesting Data...</v>
      </c>
    </row>
    <row r="742" spans="1:20" x14ac:dyDescent="0.25">
      <c r="A742" t="str">
        <f>_xll.BDP("440398GD Muni","ID_CUSIP")</f>
        <v>#N/A Requesting Data...</v>
      </c>
      <c r="B742" t="s">
        <v>282</v>
      </c>
      <c r="C742" t="str">
        <f>_xll.BDP("440398GD Muni","INSURANCE_STATUS")</f>
        <v>#N/A Requesting Data...</v>
      </c>
      <c r="D742" t="str">
        <f>_xll.BDP("440398GD Muni","STATE_CODE")</f>
        <v>#N/A Requesting Data...</v>
      </c>
      <c r="E742" t="str">
        <f>_xll.BDP("440398GD Muni","COUNTY_LOCATION_ISSUER")</f>
        <v>#N/A Requesting Data...</v>
      </c>
      <c r="F742" t="str">
        <f>_xll.BDP("440398GD Muni","DUR_ADJ_MID")</f>
        <v>#N/A Requesting Data...</v>
      </c>
      <c r="G742" t="str">
        <f>_xll.BDP("440398GD Muni","SPREAD_AT_ISSUANCE_TO_WORST")</f>
        <v>#N/A Requesting Data...</v>
      </c>
      <c r="H742" t="str">
        <f>_xll.BDP("440398GD Muni","ISSUE_DT")</f>
        <v>#N/A Requesting Data...</v>
      </c>
      <c r="I742" t="str">
        <f>_xll.BDS("440398GD Muni","MUNI_PURPOSE_SCHED", "aggregate=y")</f>
        <v>#N/A Review</v>
      </c>
      <c r="J742" t="str">
        <f>_xll.BDP("440398GD Muni","CPN")</f>
        <v>#N/A Requesting Data...</v>
      </c>
      <c r="K742" t="str">
        <f>_xll.BDP("440398GD Muni","MATURITY")</f>
        <v>#N/A Requesting Data...</v>
      </c>
      <c r="L742">
        <v>110000</v>
      </c>
      <c r="M742" t="str">
        <f>_xll.BDP("440398GD Muni","YIELD_ON_ISSUE_DATE")</f>
        <v>#N/A Requesting Data...</v>
      </c>
      <c r="N742" t="str">
        <f>_xll.BDP("440398GD Muni","YTW_SPREAD_TO_MATURITY_AT_ISSU")</f>
        <v>#N/A Requesting Data...</v>
      </c>
      <c r="O742" t="str">
        <f>_xll.BDP("440398GD Muni","BVAL_MID_YTM")</f>
        <v>#N/A Requesting Data...</v>
      </c>
      <c r="P742" t="str">
        <f>_xll.BDP("440398GD Muni","MUNI_TAX_PROV")</f>
        <v>#N/A Requesting Data...</v>
      </c>
      <c r="Q742" t="str">
        <f>_xll.BDP("440398GD Muni","MUNI_FED_TAX")</f>
        <v>#N/A Requesting Data...</v>
      </c>
      <c r="R742" t="str">
        <f>_xll.BDP("440398GD Muni","MUNI_MSRB_VOLUME")</f>
        <v>#N/A Requesting Data...</v>
      </c>
      <c r="S742" t="str">
        <f>_xll.BDP("440398GD Muni","BB_COMPOSITE")</f>
        <v>#N/A Requesting Data...</v>
      </c>
      <c r="T742" t="str">
        <f>_xll.BDP("440398GD Muni","LQA_LIQUIDITY_SCORE")</f>
        <v>#N/A Requesting Data...</v>
      </c>
    </row>
    <row r="743" spans="1:20" x14ac:dyDescent="0.25">
      <c r="A743" t="str">
        <f>_xll.BDP("440752CB Muni","ID_CUSIP")</f>
        <v>#N/A Requesting Data...</v>
      </c>
      <c r="B743" t="s">
        <v>283</v>
      </c>
      <c r="C743" t="str">
        <f>_xll.BDP("440752CB Muni","INSURANCE_STATUS")</f>
        <v>#N/A Requesting Data...</v>
      </c>
      <c r="D743" t="str">
        <f>_xll.BDP("440752CB Muni","STATE_CODE")</f>
        <v>#N/A Requesting Data...</v>
      </c>
      <c r="E743" t="str">
        <f>_xll.BDP("440752CB Muni","COUNTY_LOCATION_ISSUER")</f>
        <v>#N/A Requesting Data...</v>
      </c>
      <c r="F743" t="str">
        <f>_xll.BDP("440752CB Muni","DUR_ADJ_MID")</f>
        <v>#N/A Requesting Data...</v>
      </c>
      <c r="G743" t="str">
        <f>_xll.BDP("440752CB Muni","SPREAD_AT_ISSUANCE_TO_WORST")</f>
        <v>#N/A Requesting Data...</v>
      </c>
      <c r="H743" t="str">
        <f>_xll.BDP("440752CB Muni","ISSUE_DT")</f>
        <v>#N/A Requesting Data...</v>
      </c>
      <c r="I743" t="str">
        <f>_xll.BDS("440752CB Muni","MUNI_PURPOSE_SCHED", "aggregate=y")</f>
        <v>#N/A Review</v>
      </c>
      <c r="J743" t="str">
        <f>_xll.BDP("440752CB Muni","CPN")</f>
        <v>#N/A Requesting Data...</v>
      </c>
      <c r="K743" t="str">
        <f>_xll.BDP("440752CB Muni","MATURITY")</f>
        <v>#N/A Requesting Data...</v>
      </c>
      <c r="L743">
        <v>270000</v>
      </c>
      <c r="M743" t="str">
        <f>_xll.BDP("440752CB Muni","YIELD_ON_ISSUE_DATE")</f>
        <v>#N/A Requesting Data...</v>
      </c>
      <c r="N743" t="str">
        <f>_xll.BDP("440752CB Muni","YTW_SPREAD_TO_MATURITY_AT_ISSU")</f>
        <v>#N/A Requesting Data...</v>
      </c>
      <c r="O743" t="str">
        <f>_xll.BDP("440752CB Muni","BVAL_MID_YTM")</f>
        <v>#N/A Requesting Data...</v>
      </c>
      <c r="P743" t="str">
        <f>_xll.BDP("440752CB Muni","MUNI_TAX_PROV")</f>
        <v>#N/A Requesting Data...</v>
      </c>
      <c r="Q743" t="str">
        <f>_xll.BDP("440752CB Muni","MUNI_FED_TAX")</f>
        <v>#N/A Requesting Data...</v>
      </c>
      <c r="R743" t="str">
        <f>_xll.BDP("440752CB Muni","MUNI_MSRB_VOLUME")</f>
        <v>#N/A Requesting Data...</v>
      </c>
      <c r="S743" t="str">
        <f>_xll.BDP("440752CB Muni","BB_COMPOSITE")</f>
        <v>#N/A Requesting Data...</v>
      </c>
      <c r="T743" t="str">
        <f>_xll.BDP("440752CB Muni","LQA_LIQUIDITY_SCORE")</f>
        <v>#N/A Requesting Data...</v>
      </c>
    </row>
    <row r="744" spans="1:20" x14ac:dyDescent="0.25">
      <c r="A744" t="str">
        <f>_xll.BDP("440752CC Muni","ID_CUSIP")</f>
        <v>#N/A Requesting Data...</v>
      </c>
      <c r="B744" t="s">
        <v>283</v>
      </c>
      <c r="C744" t="str">
        <f>_xll.BDP("440752CC Muni","INSURANCE_STATUS")</f>
        <v>#N/A Requesting Data...</v>
      </c>
      <c r="D744" t="str">
        <f>_xll.BDP("440752CC Muni","STATE_CODE")</f>
        <v>#N/A Requesting Data...</v>
      </c>
      <c r="E744" t="str">
        <f>_xll.BDP("440752CC Muni","COUNTY_LOCATION_ISSUER")</f>
        <v>#N/A Requesting Data...</v>
      </c>
      <c r="F744" t="str">
        <f>_xll.BDP("440752CC Muni","DUR_ADJ_MID")</f>
        <v>#N/A Requesting Data...</v>
      </c>
      <c r="G744" t="str">
        <f>_xll.BDP("440752CC Muni","SPREAD_AT_ISSUANCE_TO_WORST")</f>
        <v>#N/A Requesting Data...</v>
      </c>
      <c r="H744" t="str">
        <f>_xll.BDP("440752CC Muni","ISSUE_DT")</f>
        <v>#N/A Requesting Data...</v>
      </c>
      <c r="I744" t="str">
        <f>_xll.BDS("440752CC Muni","MUNI_PURPOSE_SCHED", "aggregate=y")</f>
        <v>#N/A Review</v>
      </c>
      <c r="J744" t="str">
        <f>_xll.BDP("440752CC Muni","CPN")</f>
        <v>#N/A Requesting Data...</v>
      </c>
      <c r="K744" t="str">
        <f>_xll.BDP("440752CC Muni","MATURITY")</f>
        <v>#N/A Requesting Data...</v>
      </c>
      <c r="L744">
        <v>280000</v>
      </c>
      <c r="M744" t="str">
        <f>_xll.BDP("440752CC Muni","YIELD_ON_ISSUE_DATE")</f>
        <v>#N/A Requesting Data...</v>
      </c>
      <c r="N744" t="str">
        <f>_xll.BDP("440752CC Muni","YTW_SPREAD_TO_MATURITY_AT_ISSU")</f>
        <v>#N/A Requesting Data...</v>
      </c>
      <c r="O744" t="str">
        <f>_xll.BDP("440752CC Muni","BVAL_MID_YTM")</f>
        <v>#N/A Requesting Data...</v>
      </c>
      <c r="P744" t="str">
        <f>_xll.BDP("440752CC Muni","MUNI_TAX_PROV")</f>
        <v>#N/A Requesting Data...</v>
      </c>
      <c r="Q744" t="str">
        <f>_xll.BDP("440752CC Muni","MUNI_FED_TAX")</f>
        <v>#N/A Requesting Data...</v>
      </c>
      <c r="R744" t="str">
        <f>_xll.BDP("440752CC Muni","MUNI_MSRB_VOLUME")</f>
        <v>#N/A Requesting Data...</v>
      </c>
      <c r="S744" t="str">
        <f>_xll.BDP("440752CC Muni","BB_COMPOSITE")</f>
        <v>#N/A Requesting Data...</v>
      </c>
      <c r="T744" t="str">
        <f>_xll.BDP("440752CC Muni","LQA_LIQUIDITY_SCORE")</f>
        <v>#N/A Requesting Data...</v>
      </c>
    </row>
    <row r="745" spans="1:20" x14ac:dyDescent="0.25">
      <c r="A745" t="str">
        <f>_xll.BDP("440752CD Muni","ID_CUSIP")</f>
        <v>#N/A Requesting Data...</v>
      </c>
      <c r="B745" t="s">
        <v>283</v>
      </c>
      <c r="C745" t="str">
        <f>_xll.BDP("440752CD Muni","INSURANCE_STATUS")</f>
        <v>#N/A Requesting Data...</v>
      </c>
      <c r="D745" t="str">
        <f>_xll.BDP("440752CD Muni","STATE_CODE")</f>
        <v>#N/A Requesting Data...</v>
      </c>
      <c r="E745" t="str">
        <f>_xll.BDP("440752CD Muni","COUNTY_LOCATION_ISSUER")</f>
        <v>#N/A Requesting Data...</v>
      </c>
      <c r="F745" t="str">
        <f>_xll.BDP("440752CD Muni","DUR_ADJ_MID")</f>
        <v>#N/A Requesting Data...</v>
      </c>
      <c r="G745" t="str">
        <f>_xll.BDP("440752CD Muni","SPREAD_AT_ISSUANCE_TO_WORST")</f>
        <v>#N/A Requesting Data...</v>
      </c>
      <c r="H745" t="str">
        <f>_xll.BDP("440752CD Muni","ISSUE_DT")</f>
        <v>#N/A Requesting Data...</v>
      </c>
      <c r="I745" t="str">
        <f>_xll.BDS("440752CD Muni","MUNI_PURPOSE_SCHED", "aggregate=y")</f>
        <v>#N/A Review</v>
      </c>
      <c r="J745" t="str">
        <f>_xll.BDP("440752CD Muni","CPN")</f>
        <v>#N/A Requesting Data...</v>
      </c>
      <c r="K745" t="str">
        <f>_xll.BDP("440752CD Muni","MATURITY")</f>
        <v>#N/A Requesting Data...</v>
      </c>
      <c r="L745">
        <v>290000</v>
      </c>
      <c r="M745" t="str">
        <f>_xll.BDP("440752CD Muni","YIELD_ON_ISSUE_DATE")</f>
        <v>#N/A Requesting Data...</v>
      </c>
      <c r="N745" t="str">
        <f>_xll.BDP("440752CD Muni","YTW_SPREAD_TO_MATURITY_AT_ISSU")</f>
        <v>#N/A Requesting Data...</v>
      </c>
      <c r="O745" t="str">
        <f>_xll.BDP("440752CD Muni","BVAL_MID_YTM")</f>
        <v>#N/A Requesting Data...</v>
      </c>
      <c r="P745" t="str">
        <f>_xll.BDP("440752CD Muni","MUNI_TAX_PROV")</f>
        <v>#N/A Requesting Data...</v>
      </c>
      <c r="Q745" t="str">
        <f>_xll.BDP("440752CD Muni","MUNI_FED_TAX")</f>
        <v>#N/A Requesting Data...</v>
      </c>
      <c r="R745" t="str">
        <f>_xll.BDP("440752CD Muni","MUNI_MSRB_VOLUME")</f>
        <v>#N/A Requesting Data...</v>
      </c>
      <c r="S745" t="str">
        <f>_xll.BDP("440752CD Muni","BB_COMPOSITE")</f>
        <v>#N/A Requesting Data...</v>
      </c>
      <c r="T745" t="str">
        <f>_xll.BDP("440752CD Muni","LQA_LIQUIDITY_SCORE")</f>
        <v>#N/A Requesting Data...</v>
      </c>
    </row>
    <row r="746" spans="1:20" x14ac:dyDescent="0.25">
      <c r="A746" t="str">
        <f>_xll.BDP("440752CE Muni","ID_CUSIP")</f>
        <v>#N/A Requesting Data...</v>
      </c>
      <c r="B746" t="s">
        <v>283</v>
      </c>
      <c r="C746" t="str">
        <f>_xll.BDP("440752CE Muni","INSURANCE_STATUS")</f>
        <v>#N/A Requesting Data...</v>
      </c>
      <c r="D746" t="str">
        <f>_xll.BDP("440752CE Muni","STATE_CODE")</f>
        <v>#N/A Requesting Data...</v>
      </c>
      <c r="E746" t="str">
        <f>_xll.BDP("440752CE Muni","COUNTY_LOCATION_ISSUER")</f>
        <v>#N/A Requesting Data...</v>
      </c>
      <c r="F746" t="str">
        <f>_xll.BDP("440752CE Muni","DUR_ADJ_MID")</f>
        <v>#N/A Requesting Data...</v>
      </c>
      <c r="G746" t="str">
        <f>_xll.BDP("440752CE Muni","SPREAD_AT_ISSUANCE_TO_WORST")</f>
        <v>#N/A Requesting Data...</v>
      </c>
      <c r="H746" t="str">
        <f>_xll.BDP("440752CE Muni","ISSUE_DT")</f>
        <v>#N/A Requesting Data...</v>
      </c>
      <c r="I746" t="str">
        <f>_xll.BDS("440752CE Muni","MUNI_PURPOSE_SCHED", "aggregate=y")</f>
        <v>#N/A Review</v>
      </c>
      <c r="J746" t="str">
        <f>_xll.BDP("440752CE Muni","CPN")</f>
        <v>#N/A Requesting Data...</v>
      </c>
      <c r="K746" t="str">
        <f>_xll.BDP("440752CE Muni","MATURITY")</f>
        <v>#N/A Requesting Data...</v>
      </c>
      <c r="L746">
        <v>300000</v>
      </c>
      <c r="M746" t="str">
        <f>_xll.BDP("440752CE Muni","YIELD_ON_ISSUE_DATE")</f>
        <v>#N/A Requesting Data...</v>
      </c>
      <c r="N746" t="str">
        <f>_xll.BDP("440752CE Muni","YTW_SPREAD_TO_MATURITY_AT_ISSU")</f>
        <v>#N/A Requesting Data...</v>
      </c>
      <c r="O746" t="str">
        <f>_xll.BDP("440752CE Muni","BVAL_MID_YTM")</f>
        <v>#N/A Requesting Data...</v>
      </c>
      <c r="P746" t="str">
        <f>_xll.BDP("440752CE Muni","MUNI_TAX_PROV")</f>
        <v>#N/A Requesting Data...</v>
      </c>
      <c r="Q746" t="str">
        <f>_xll.BDP("440752CE Muni","MUNI_FED_TAX")</f>
        <v>#N/A Requesting Data...</v>
      </c>
      <c r="R746" t="str">
        <f>_xll.BDP("440752CE Muni","MUNI_MSRB_VOLUME")</f>
        <v>#N/A Requesting Data...</v>
      </c>
      <c r="S746" t="str">
        <f>_xll.BDP("440752CE Muni","BB_COMPOSITE")</f>
        <v>#N/A Requesting Data...</v>
      </c>
      <c r="T746" t="str">
        <f>_xll.BDP("440752CE Muni","LQA_LIQUIDITY_SCORE")</f>
        <v>#N/A Requesting Data...</v>
      </c>
    </row>
    <row r="747" spans="1:20" x14ac:dyDescent="0.25">
      <c r="A747" t="str">
        <f>_xll.BDP("346793EC Muni","ID_CUSIP")</f>
        <v>#N/A Requesting Data...</v>
      </c>
      <c r="B747" t="s">
        <v>76</v>
      </c>
      <c r="C747" t="str">
        <f>_xll.BDP("346793EC Muni","INSURANCE_STATUS")</f>
        <v>#N/A Requesting Data...</v>
      </c>
      <c r="D747" t="str">
        <f>_xll.BDP("346793EC Muni","STATE_CODE")</f>
        <v>#N/A Requesting Data...</v>
      </c>
      <c r="E747" t="str">
        <f>_xll.BDP("346793EC Muni","COUNTY_LOCATION_ISSUER")</f>
        <v>#N/A Requesting Data...</v>
      </c>
      <c r="F747" t="str">
        <f>_xll.BDP("346793EC Muni","DUR_ADJ_MID")</f>
        <v>#N/A Requesting Data...</v>
      </c>
      <c r="G747" t="str">
        <f>_xll.BDP("346793EC Muni","SPREAD_AT_ISSUANCE_TO_WORST")</f>
        <v>#N/A Requesting Data...</v>
      </c>
      <c r="H747" t="str">
        <f>_xll.BDP("346793EC Muni","ISSUE_DT")</f>
        <v>#N/A Requesting Data...</v>
      </c>
      <c r="I747" t="str">
        <f>_xll.BDS("346793EC Muni","MUNI_PURPOSE_SCHED", "aggregate=y")</f>
        <v>#N/A Review</v>
      </c>
      <c r="J747" t="str">
        <f>_xll.BDP("346793EC Muni","CPN")</f>
        <v>#N/A Requesting Data...</v>
      </c>
      <c r="K747" t="str">
        <f>_xll.BDP("346793EC Muni","MATURITY")</f>
        <v>#N/A Requesting Data...</v>
      </c>
      <c r="L747">
        <v>140000</v>
      </c>
      <c r="M747" t="str">
        <f>_xll.BDP("346793EC Muni","YIELD_ON_ISSUE_DATE")</f>
        <v>#N/A Requesting Data...</v>
      </c>
      <c r="N747" t="str">
        <f>_xll.BDP("346793EC Muni","YTW_SPREAD_TO_MATURITY_AT_ISSU")</f>
        <v>#N/A Requesting Data...</v>
      </c>
      <c r="O747" t="str">
        <f>_xll.BDP("346793EC Muni","BVAL_MID_YTM")</f>
        <v>#N/A Requesting Data...</v>
      </c>
      <c r="P747" t="str">
        <f>_xll.BDP("346793EC Muni","MUNI_TAX_PROV")</f>
        <v>#N/A Requesting Data...</v>
      </c>
      <c r="Q747" t="str">
        <f>_xll.BDP("346793EC Muni","MUNI_FED_TAX")</f>
        <v>#N/A Requesting Data...</v>
      </c>
      <c r="R747" t="str">
        <f>_xll.BDP("346793EC Muni","MUNI_MSRB_VOLUME")</f>
        <v>#N/A Requesting Data...</v>
      </c>
      <c r="S747" t="str">
        <f>_xll.BDP("346793EC Muni","BB_COMPOSITE")</f>
        <v>#N/A Requesting Data...</v>
      </c>
      <c r="T747" t="str">
        <f>_xll.BDP("346793EC Muni","LQA_LIQUIDITY_SCORE")</f>
        <v>#N/A Requesting Data...</v>
      </c>
    </row>
    <row r="748" spans="1:20" x14ac:dyDescent="0.25">
      <c r="A748" t="str">
        <f>_xll.BDP("346793ED Muni","ID_CUSIP")</f>
        <v>#N/A Requesting Data...</v>
      </c>
      <c r="B748" t="s">
        <v>76</v>
      </c>
      <c r="C748" t="str">
        <f>_xll.BDP("346793ED Muni","INSURANCE_STATUS")</f>
        <v>#N/A Requesting Data...</v>
      </c>
      <c r="D748" t="str">
        <f>_xll.BDP("346793ED Muni","STATE_CODE")</f>
        <v>#N/A Requesting Data...</v>
      </c>
      <c r="E748" t="str">
        <f>_xll.BDP("346793ED Muni","COUNTY_LOCATION_ISSUER")</f>
        <v>#N/A Requesting Data...</v>
      </c>
      <c r="F748" t="str">
        <f>_xll.BDP("346793ED Muni","DUR_ADJ_MID")</f>
        <v>#N/A Requesting Data...</v>
      </c>
      <c r="G748" t="str">
        <f>_xll.BDP("346793ED Muni","SPREAD_AT_ISSUANCE_TO_WORST")</f>
        <v>#N/A Requesting Data...</v>
      </c>
      <c r="H748" t="str">
        <f>_xll.BDP("346793ED Muni","ISSUE_DT")</f>
        <v>#N/A Requesting Data...</v>
      </c>
      <c r="I748" t="str">
        <f>_xll.BDS("346793ED Muni","MUNI_PURPOSE_SCHED", "aggregate=y")</f>
        <v>#N/A Review</v>
      </c>
      <c r="J748" t="str">
        <f>_xll.BDP("346793ED Muni","CPN")</f>
        <v>#N/A Requesting Data...</v>
      </c>
      <c r="K748" t="str">
        <f>_xll.BDP("346793ED Muni","MATURITY")</f>
        <v>#N/A Requesting Data...</v>
      </c>
      <c r="L748">
        <v>145000</v>
      </c>
      <c r="M748" t="str">
        <f>_xll.BDP("346793ED Muni","YIELD_ON_ISSUE_DATE")</f>
        <v>#N/A Requesting Data...</v>
      </c>
      <c r="N748" t="str">
        <f>_xll.BDP("346793ED Muni","YTW_SPREAD_TO_MATURITY_AT_ISSU")</f>
        <v>#N/A Requesting Data...</v>
      </c>
      <c r="O748" t="str">
        <f>_xll.BDP("346793ED Muni","BVAL_MID_YTM")</f>
        <v>#N/A Requesting Data...</v>
      </c>
      <c r="P748" t="str">
        <f>_xll.BDP("346793ED Muni","MUNI_TAX_PROV")</f>
        <v>#N/A Requesting Data...</v>
      </c>
      <c r="Q748" t="str">
        <f>_xll.BDP("346793ED Muni","MUNI_FED_TAX")</f>
        <v>#N/A Requesting Data...</v>
      </c>
      <c r="R748" t="str">
        <f>_xll.BDP("346793ED Muni","MUNI_MSRB_VOLUME")</f>
        <v>#N/A Requesting Data...</v>
      </c>
      <c r="S748" t="str">
        <f>_xll.BDP("346793ED Muni","BB_COMPOSITE")</f>
        <v>#N/A Requesting Data...</v>
      </c>
      <c r="T748" t="str">
        <f>_xll.BDP("346793ED Muni","LQA_LIQUIDITY_SCORE")</f>
        <v>#N/A Requesting Data...</v>
      </c>
    </row>
    <row r="749" spans="1:20" x14ac:dyDescent="0.25">
      <c r="A749" t="str">
        <f>_xll.BDP("34679VEF Muni","ID_CUSIP")</f>
        <v>#N/A Requesting Data...</v>
      </c>
      <c r="B749" t="s">
        <v>284</v>
      </c>
      <c r="C749" t="str">
        <f>_xll.BDP("34679VEF Muni","INSURANCE_STATUS")</f>
        <v>#N/A Requesting Data...</v>
      </c>
      <c r="D749" t="str">
        <f>_xll.BDP("34679VEF Muni","STATE_CODE")</f>
        <v>#N/A Requesting Data...</v>
      </c>
      <c r="E749" t="str">
        <f>_xll.BDP("34679VEF Muni","COUNTY_LOCATION_ISSUER")</f>
        <v>#N/A Requesting Data...</v>
      </c>
      <c r="F749" t="str">
        <f>_xll.BDP("34679VEF Muni","DUR_ADJ_MID")</f>
        <v>#N/A Requesting Data...</v>
      </c>
      <c r="G749" t="str">
        <f>_xll.BDP("34679VEF Muni","SPREAD_AT_ISSUANCE_TO_WORST")</f>
        <v>#N/A Requesting Data...</v>
      </c>
      <c r="H749" t="str">
        <f>_xll.BDP("34679VEF Muni","ISSUE_DT")</f>
        <v>#N/A Requesting Data...</v>
      </c>
      <c r="I749" t="str">
        <f>_xll.BDS("34679VEF Muni","MUNI_PURPOSE_SCHED", "aggregate=y")</f>
        <v>#N/A Review</v>
      </c>
      <c r="J749" t="str">
        <f>_xll.BDP("34679VEF Muni","CPN")</f>
        <v>#N/A Requesting Data...</v>
      </c>
      <c r="K749" t="str">
        <f>_xll.BDP("34679VEF Muni","MATURITY")</f>
        <v>#N/A Requesting Data...</v>
      </c>
      <c r="L749">
        <v>25000</v>
      </c>
      <c r="M749" t="str">
        <f>_xll.BDP("34679VEF Muni","YIELD_ON_ISSUE_DATE")</f>
        <v>#N/A Requesting Data...</v>
      </c>
      <c r="N749" t="str">
        <f>_xll.BDP("34679VEF Muni","YTW_SPREAD_TO_MATURITY_AT_ISSU")</f>
        <v>#N/A Requesting Data...</v>
      </c>
      <c r="O749" t="str">
        <f>_xll.BDP("34679VEF Muni","BVAL_MID_YTM")</f>
        <v>#N/A Requesting Data...</v>
      </c>
      <c r="P749" t="str">
        <f>_xll.BDP("34679VEF Muni","MUNI_TAX_PROV")</f>
        <v>#N/A Requesting Data...</v>
      </c>
      <c r="Q749" t="str">
        <f>_xll.BDP("34679VEF Muni","MUNI_FED_TAX")</f>
        <v>#N/A Requesting Data...</v>
      </c>
      <c r="R749" t="str">
        <f>_xll.BDP("34679VEF Muni","MUNI_MSRB_VOLUME")</f>
        <v>#N/A Requesting Data...</v>
      </c>
      <c r="S749" t="str">
        <f>_xll.BDP("34679VEF Muni","BB_COMPOSITE")</f>
        <v>#N/A Requesting Data...</v>
      </c>
      <c r="T749" t="str">
        <f>_xll.BDP("34679VEF Muni","LQA_LIQUIDITY_SCORE")</f>
        <v>#N/A Requesting Data...</v>
      </c>
    </row>
    <row r="750" spans="1:20" x14ac:dyDescent="0.25">
      <c r="A750" t="str">
        <f>_xll.BDP("34679VEG Muni","ID_CUSIP")</f>
        <v>#N/A Requesting Data...</v>
      </c>
      <c r="B750" t="s">
        <v>284</v>
      </c>
      <c r="C750" t="str">
        <f>_xll.BDP("34679VEG Muni","INSURANCE_STATUS")</f>
        <v>#N/A Requesting Data...</v>
      </c>
      <c r="D750" t="str">
        <f>_xll.BDP("34679VEG Muni","STATE_CODE")</f>
        <v>#N/A Requesting Data...</v>
      </c>
      <c r="E750" t="str">
        <f>_xll.BDP("34679VEG Muni","COUNTY_LOCATION_ISSUER")</f>
        <v>#N/A Requesting Data...</v>
      </c>
      <c r="F750" t="str">
        <f>_xll.BDP("34679VEG Muni","DUR_ADJ_MID")</f>
        <v>#N/A Requesting Data...</v>
      </c>
      <c r="G750" t="str">
        <f>_xll.BDP("34679VEG Muni","SPREAD_AT_ISSUANCE_TO_WORST")</f>
        <v>#N/A Requesting Data...</v>
      </c>
      <c r="H750" t="str">
        <f>_xll.BDP("34679VEG Muni","ISSUE_DT")</f>
        <v>#N/A Requesting Data...</v>
      </c>
      <c r="I750" t="str">
        <f>_xll.BDS("34679VEG Muni","MUNI_PURPOSE_SCHED", "aggregate=y")</f>
        <v>#N/A Review</v>
      </c>
      <c r="J750" t="str">
        <f>_xll.BDP("34679VEG Muni","CPN")</f>
        <v>#N/A Requesting Data...</v>
      </c>
      <c r="K750" t="str">
        <f>_xll.BDP("34679VEG Muni","MATURITY")</f>
        <v>#N/A Requesting Data...</v>
      </c>
      <c r="L750">
        <v>25000</v>
      </c>
      <c r="M750" t="str">
        <f>_xll.BDP("34679VEG Muni","YIELD_ON_ISSUE_DATE")</f>
        <v>#N/A Requesting Data...</v>
      </c>
      <c r="N750" t="str">
        <f>_xll.BDP("34679VEG Muni","YTW_SPREAD_TO_MATURITY_AT_ISSU")</f>
        <v>#N/A Requesting Data...</v>
      </c>
      <c r="O750" t="str">
        <f>_xll.BDP("34679VEG Muni","BVAL_MID_YTM")</f>
        <v>#N/A Requesting Data...</v>
      </c>
      <c r="P750" t="str">
        <f>_xll.BDP("34679VEG Muni","MUNI_TAX_PROV")</f>
        <v>#N/A Requesting Data...</v>
      </c>
      <c r="Q750" t="str">
        <f>_xll.BDP("34679VEG Muni","MUNI_FED_TAX")</f>
        <v>#N/A Requesting Data...</v>
      </c>
      <c r="R750" t="str">
        <f>_xll.BDP("34679VEG Muni","MUNI_MSRB_VOLUME")</f>
        <v>#N/A Requesting Data...</v>
      </c>
      <c r="S750" t="str">
        <f>_xll.BDP("34679VEG Muni","BB_COMPOSITE")</f>
        <v>#N/A Requesting Data...</v>
      </c>
      <c r="T750" t="str">
        <f>_xll.BDP("34679VEG Muni","LQA_LIQUIDITY_SCORE")</f>
        <v>#N/A Requesting Data...</v>
      </c>
    </row>
    <row r="751" spans="1:20" x14ac:dyDescent="0.25">
      <c r="A751" t="str">
        <f>_xll.BDP("346811LY Muni","ID_CUSIP")</f>
        <v>#N/A Requesting Data...</v>
      </c>
      <c r="B751" t="s">
        <v>285</v>
      </c>
      <c r="C751" t="str">
        <f>_xll.BDP("346811LY Muni","INSURANCE_STATUS")</f>
        <v>#N/A Requesting Data...</v>
      </c>
      <c r="D751" t="str">
        <f>_xll.BDP("346811LY Muni","STATE_CODE")</f>
        <v>#N/A Requesting Data...</v>
      </c>
      <c r="E751" t="str">
        <f>_xll.BDP("346811LY Muni","COUNTY_LOCATION_ISSUER")</f>
        <v>#N/A Requesting Data...</v>
      </c>
      <c r="F751" t="str">
        <f>_xll.BDP("346811LY Muni","DUR_ADJ_MID")</f>
        <v>#N/A Requesting Data...</v>
      </c>
      <c r="G751" t="str">
        <f>_xll.BDP("346811LY Muni","SPREAD_AT_ISSUANCE_TO_WORST")</f>
        <v>#N/A Requesting Data...</v>
      </c>
      <c r="H751" t="str">
        <f>_xll.BDP("346811LY Muni","ISSUE_DT")</f>
        <v>#N/A Requesting Data...</v>
      </c>
      <c r="I751" t="str">
        <f>_xll.BDS("346811LY Muni","MUNI_PURPOSE_SCHED", "aggregate=y")</f>
        <v>#N/A Review</v>
      </c>
      <c r="J751" t="str">
        <f>_xll.BDP("346811LY Muni","CPN")</f>
        <v>#N/A Requesting Data...</v>
      </c>
      <c r="K751" t="str">
        <f>_xll.BDP("346811LY Muni","MATURITY")</f>
        <v>#N/A Requesting Data...</v>
      </c>
      <c r="L751">
        <v>100000</v>
      </c>
      <c r="M751" t="str">
        <f>_xll.BDP("346811LY Muni","YIELD_ON_ISSUE_DATE")</f>
        <v>#N/A Requesting Data...</v>
      </c>
      <c r="N751" t="str">
        <f>_xll.BDP("346811LY Muni","YTW_SPREAD_TO_MATURITY_AT_ISSU")</f>
        <v>#N/A Requesting Data...</v>
      </c>
      <c r="O751" t="str">
        <f>_xll.BDP("346811LY Muni","BVAL_MID_YTM")</f>
        <v>#N/A Requesting Data...</v>
      </c>
      <c r="P751" t="str">
        <f>_xll.BDP("346811LY Muni","MUNI_TAX_PROV")</f>
        <v>#N/A Requesting Data...</v>
      </c>
      <c r="Q751" t="str">
        <f>_xll.BDP("346811LY Muni","MUNI_FED_TAX")</f>
        <v>#N/A Requesting Data...</v>
      </c>
      <c r="R751" t="str">
        <f>_xll.BDP("346811LY Muni","MUNI_MSRB_VOLUME")</f>
        <v>#N/A Requesting Data...</v>
      </c>
      <c r="S751" t="str">
        <f>_xll.BDP("346811LY Muni","BB_COMPOSITE")</f>
        <v>#N/A Requesting Data...</v>
      </c>
      <c r="T751" t="str">
        <f>_xll.BDP("346811LY Muni","LQA_LIQUIDITY_SCORE")</f>
        <v>#N/A Requesting Data...</v>
      </c>
    </row>
    <row r="752" spans="1:20" x14ac:dyDescent="0.25">
      <c r="A752" t="str">
        <f>_xll.BDP("346811LZ Muni","ID_CUSIP")</f>
        <v>#N/A Requesting Data...</v>
      </c>
      <c r="B752" t="s">
        <v>285</v>
      </c>
      <c r="C752" t="str">
        <f>_xll.BDP("346811LZ Muni","INSURANCE_STATUS")</f>
        <v>#N/A Requesting Data...</v>
      </c>
      <c r="D752" t="str">
        <f>_xll.BDP("346811LZ Muni","STATE_CODE")</f>
        <v>#N/A Requesting Data...</v>
      </c>
      <c r="E752" t="str">
        <f>_xll.BDP("346811LZ Muni","COUNTY_LOCATION_ISSUER")</f>
        <v>#N/A Requesting Data...</v>
      </c>
      <c r="F752" t="str">
        <f>_xll.BDP("346811LZ Muni","DUR_ADJ_MID")</f>
        <v>#N/A Requesting Data...</v>
      </c>
      <c r="G752" t="str">
        <f>_xll.BDP("346811LZ Muni","SPREAD_AT_ISSUANCE_TO_WORST")</f>
        <v>#N/A Requesting Data...</v>
      </c>
      <c r="H752" t="str">
        <f>_xll.BDP("346811LZ Muni","ISSUE_DT")</f>
        <v>#N/A Requesting Data...</v>
      </c>
      <c r="I752" t="str">
        <f>_xll.BDS("346811LZ Muni","MUNI_PURPOSE_SCHED", "aggregate=y")</f>
        <v>#N/A Review</v>
      </c>
      <c r="J752" t="str">
        <f>_xll.BDP("346811LZ Muni","CPN")</f>
        <v>#N/A Requesting Data...</v>
      </c>
      <c r="K752" t="str">
        <f>_xll.BDP("346811LZ Muni","MATURITY")</f>
        <v>#N/A Requesting Data...</v>
      </c>
      <c r="L752">
        <v>100000</v>
      </c>
      <c r="M752" t="str">
        <f>_xll.BDP("346811LZ Muni","YIELD_ON_ISSUE_DATE")</f>
        <v>#N/A Requesting Data...</v>
      </c>
      <c r="N752" t="str">
        <f>_xll.BDP("346811LZ Muni","YTW_SPREAD_TO_MATURITY_AT_ISSU")</f>
        <v>#N/A Requesting Data...</v>
      </c>
      <c r="O752" t="str">
        <f>_xll.BDP("346811LZ Muni","BVAL_MID_YTM")</f>
        <v>#N/A Requesting Data...</v>
      </c>
      <c r="P752" t="str">
        <f>_xll.BDP("346811LZ Muni","MUNI_TAX_PROV")</f>
        <v>#N/A Requesting Data...</v>
      </c>
      <c r="Q752" t="str">
        <f>_xll.BDP("346811LZ Muni","MUNI_FED_TAX")</f>
        <v>#N/A Requesting Data...</v>
      </c>
      <c r="R752" t="str">
        <f>_xll.BDP("346811LZ Muni","MUNI_MSRB_VOLUME")</f>
        <v>#N/A Requesting Data...</v>
      </c>
      <c r="S752" t="str">
        <f>_xll.BDP("346811LZ Muni","BB_COMPOSITE")</f>
        <v>#N/A Requesting Data...</v>
      </c>
      <c r="T752" t="str">
        <f>_xll.BDP("346811LZ Muni","LQA_LIQUIDITY_SCORE")</f>
        <v>#N/A Requesting Data...</v>
      </c>
    </row>
    <row r="753" spans="1:20" x14ac:dyDescent="0.25">
      <c r="A753" t="str">
        <f>_xll.BDP("34681UFC Muni","ID_CUSIP")</f>
        <v>#N/A Requesting Data...</v>
      </c>
      <c r="B753" t="s">
        <v>286</v>
      </c>
      <c r="C753" t="str">
        <f>_xll.BDP("34681UFC Muni","INSURANCE_STATUS")</f>
        <v>#N/A Requesting Data...</v>
      </c>
      <c r="D753" t="str">
        <f>_xll.BDP("34681UFC Muni","STATE_CODE")</f>
        <v>#N/A Requesting Data...</v>
      </c>
      <c r="E753" t="str">
        <f>_xll.BDP("34681UFC Muni","COUNTY_LOCATION_ISSUER")</f>
        <v>#N/A Requesting Data...</v>
      </c>
      <c r="F753" t="str">
        <f>_xll.BDP("34681UFC Muni","DUR_ADJ_MID")</f>
        <v>#N/A Requesting Data...</v>
      </c>
      <c r="G753" t="str">
        <f>_xll.BDP("34681UFC Muni","SPREAD_AT_ISSUANCE_TO_WORST")</f>
        <v>#N/A Requesting Data...</v>
      </c>
      <c r="H753" t="str">
        <f>_xll.BDP("34681UFC Muni","ISSUE_DT")</f>
        <v>#N/A Requesting Data...</v>
      </c>
      <c r="I753" t="str">
        <f>_xll.BDS("34681UFC Muni","MUNI_PURPOSE_SCHED", "aggregate=y")</f>
        <v>#N/A Review</v>
      </c>
      <c r="J753" t="str">
        <f>_xll.BDP("34681UFC Muni","CPN")</f>
        <v>#N/A Requesting Data...</v>
      </c>
      <c r="K753" t="str">
        <f>_xll.BDP("34681UFC Muni","MATURITY")</f>
        <v>#N/A Requesting Data...</v>
      </c>
      <c r="L753">
        <v>300000</v>
      </c>
      <c r="M753" t="str">
        <f>_xll.BDP("34681UFC Muni","YIELD_ON_ISSUE_DATE")</f>
        <v>#N/A Requesting Data...</v>
      </c>
      <c r="N753" t="str">
        <f>_xll.BDP("34681UFC Muni","YTW_SPREAD_TO_MATURITY_AT_ISSU")</f>
        <v>#N/A Requesting Data...</v>
      </c>
      <c r="O753" t="str">
        <f>_xll.BDP("34681UFC Muni","BVAL_MID_YTM")</f>
        <v>#N/A Requesting Data...</v>
      </c>
      <c r="P753" t="str">
        <f>_xll.BDP("34681UFC Muni","MUNI_TAX_PROV")</f>
        <v>#N/A Requesting Data...</v>
      </c>
      <c r="Q753" t="str">
        <f>_xll.BDP("34681UFC Muni","MUNI_FED_TAX")</f>
        <v>#N/A Requesting Data...</v>
      </c>
      <c r="R753" t="str">
        <f>_xll.BDP("34681UFC Muni","MUNI_MSRB_VOLUME")</f>
        <v>#N/A Requesting Data...</v>
      </c>
      <c r="S753" t="str">
        <f>_xll.BDP("34681UFC Muni","BB_COMPOSITE")</f>
        <v>#N/A Requesting Data...</v>
      </c>
      <c r="T753" t="str">
        <f>_xll.BDP("34681UFC Muni","LQA_LIQUIDITY_SCORE")</f>
        <v>#N/A Requesting Data...</v>
      </c>
    </row>
    <row r="754" spans="1:20" x14ac:dyDescent="0.25">
      <c r="A754" t="str">
        <f>_xll.BDP("34681UFD Muni","ID_CUSIP")</f>
        <v>#N/A Requesting Data...</v>
      </c>
      <c r="B754" t="s">
        <v>286</v>
      </c>
      <c r="C754" t="str">
        <f>_xll.BDP("34681UFD Muni","INSURANCE_STATUS")</f>
        <v>#N/A Requesting Data...</v>
      </c>
      <c r="D754" t="str">
        <f>_xll.BDP("34681UFD Muni","STATE_CODE")</f>
        <v>#N/A Requesting Data...</v>
      </c>
      <c r="E754" t="str">
        <f>_xll.BDP("34681UFD Muni","COUNTY_LOCATION_ISSUER")</f>
        <v>#N/A Requesting Data...</v>
      </c>
      <c r="F754" t="str">
        <f>_xll.BDP("34681UFD Muni","DUR_ADJ_MID")</f>
        <v>#N/A Requesting Data...</v>
      </c>
      <c r="G754" t="str">
        <f>_xll.BDP("34681UFD Muni","SPREAD_AT_ISSUANCE_TO_WORST")</f>
        <v>#N/A Requesting Data...</v>
      </c>
      <c r="H754" t="str">
        <f>_xll.BDP("34681UFD Muni","ISSUE_DT")</f>
        <v>#N/A Requesting Data...</v>
      </c>
      <c r="I754" t="str">
        <f>_xll.BDS("34681UFD Muni","MUNI_PURPOSE_SCHED", "aggregate=y")</f>
        <v>#N/A Review</v>
      </c>
      <c r="J754" t="str">
        <f>_xll.BDP("34681UFD Muni","CPN")</f>
        <v>#N/A Requesting Data...</v>
      </c>
      <c r="K754" t="str">
        <f>_xll.BDP("34681UFD Muni","MATURITY")</f>
        <v>#N/A Requesting Data...</v>
      </c>
      <c r="L754">
        <v>300000</v>
      </c>
      <c r="M754" t="str">
        <f>_xll.BDP("34681UFD Muni","YIELD_ON_ISSUE_DATE")</f>
        <v>#N/A Requesting Data...</v>
      </c>
      <c r="N754" t="str">
        <f>_xll.BDP("34681UFD Muni","YTW_SPREAD_TO_MATURITY_AT_ISSU")</f>
        <v>#N/A Requesting Data...</v>
      </c>
      <c r="O754" t="str">
        <f>_xll.BDP("34681UFD Muni","BVAL_MID_YTM")</f>
        <v>#N/A Requesting Data...</v>
      </c>
      <c r="P754" t="str">
        <f>_xll.BDP("34681UFD Muni","MUNI_TAX_PROV")</f>
        <v>#N/A Requesting Data...</v>
      </c>
      <c r="Q754" t="str">
        <f>_xll.BDP("34681UFD Muni","MUNI_FED_TAX")</f>
        <v>#N/A Requesting Data...</v>
      </c>
      <c r="R754" t="str">
        <f>_xll.BDP("34681UFD Muni","MUNI_MSRB_VOLUME")</f>
        <v>#N/A Requesting Data...</v>
      </c>
      <c r="S754" t="str">
        <f>_xll.BDP("34681UFD Muni","BB_COMPOSITE")</f>
        <v>#N/A Requesting Data...</v>
      </c>
      <c r="T754" t="str">
        <f>_xll.BDP("34681UFD Muni","LQA_LIQUIDITY_SCORE")</f>
        <v>#N/A Requesting Data...</v>
      </c>
    </row>
    <row r="755" spans="1:20" x14ac:dyDescent="0.25">
      <c r="A755" t="str">
        <f>_xll.BDP("34681UFE Muni","ID_CUSIP")</f>
        <v>#N/A Requesting Data...</v>
      </c>
      <c r="B755" t="s">
        <v>286</v>
      </c>
      <c r="C755" t="str">
        <f>_xll.BDP("34681UFE Muni","INSURANCE_STATUS")</f>
        <v>#N/A Requesting Data...</v>
      </c>
      <c r="D755" t="str">
        <f>_xll.BDP("34681UFE Muni","STATE_CODE")</f>
        <v>#N/A Requesting Data...</v>
      </c>
      <c r="E755" t="str">
        <f>_xll.BDP("34681UFE Muni","COUNTY_LOCATION_ISSUER")</f>
        <v>#N/A Requesting Data...</v>
      </c>
      <c r="F755" t="str">
        <f>_xll.BDP("34681UFE Muni","DUR_ADJ_MID")</f>
        <v>#N/A Requesting Data...</v>
      </c>
      <c r="G755" t="str">
        <f>_xll.BDP("34681UFE Muni","SPREAD_AT_ISSUANCE_TO_WORST")</f>
        <v>#N/A Requesting Data...</v>
      </c>
      <c r="H755" t="str">
        <f>_xll.BDP("34681UFE Muni","ISSUE_DT")</f>
        <v>#N/A Requesting Data...</v>
      </c>
      <c r="I755" t="str">
        <f>_xll.BDS("34681UFE Muni","MUNI_PURPOSE_SCHED", "aggregate=y")</f>
        <v>#N/A Review</v>
      </c>
      <c r="J755" t="str">
        <f>_xll.BDP("34681UFE Muni","CPN")</f>
        <v>#N/A Requesting Data...</v>
      </c>
      <c r="K755" t="str">
        <f>_xll.BDP("34681UFE Muni","MATURITY")</f>
        <v>#N/A Requesting Data...</v>
      </c>
      <c r="L755">
        <v>300000</v>
      </c>
      <c r="M755" t="str">
        <f>_xll.BDP("34681UFE Muni","YIELD_ON_ISSUE_DATE")</f>
        <v>#N/A Requesting Data...</v>
      </c>
      <c r="N755" t="str">
        <f>_xll.BDP("34681UFE Muni","YTW_SPREAD_TO_MATURITY_AT_ISSU")</f>
        <v>#N/A Requesting Data...</v>
      </c>
      <c r="O755" t="str">
        <f>_xll.BDP("34681UFE Muni","BVAL_MID_YTM")</f>
        <v>#N/A Requesting Data...</v>
      </c>
      <c r="P755" t="str">
        <f>_xll.BDP("34681UFE Muni","MUNI_TAX_PROV")</f>
        <v>#N/A Requesting Data...</v>
      </c>
      <c r="Q755" t="str">
        <f>_xll.BDP("34681UFE Muni","MUNI_FED_TAX")</f>
        <v>#N/A Requesting Data...</v>
      </c>
      <c r="R755" t="str">
        <f>_xll.BDP("34681UFE Muni","MUNI_MSRB_VOLUME")</f>
        <v>#N/A Requesting Data...</v>
      </c>
      <c r="S755" t="str">
        <f>_xll.BDP("34681UFE Muni","BB_COMPOSITE")</f>
        <v>#N/A Requesting Data...</v>
      </c>
      <c r="T755" t="str">
        <f>_xll.BDP("34681UFE Muni","LQA_LIQUIDITY_SCORE")</f>
        <v>#N/A Requesting Data...</v>
      </c>
    </row>
    <row r="756" spans="1:20" x14ac:dyDescent="0.25">
      <c r="A756" t="str">
        <f>_xll.BDP("34682ASC Muni","ID_CUSIP")</f>
        <v>#N/A Requesting Data...</v>
      </c>
      <c r="B756" t="s">
        <v>287</v>
      </c>
      <c r="C756" t="str">
        <f>_xll.BDP("34682ASC Muni","INSURANCE_STATUS")</f>
        <v>#N/A Requesting Data...</v>
      </c>
      <c r="D756" t="str">
        <f>_xll.BDP("34682ASC Muni","STATE_CODE")</f>
        <v>#N/A Requesting Data...</v>
      </c>
      <c r="E756" t="str">
        <f>_xll.BDP("34682ASC Muni","COUNTY_LOCATION_ISSUER")</f>
        <v>#N/A Requesting Data...</v>
      </c>
      <c r="F756" t="str">
        <f>_xll.BDP("34682ASC Muni","DUR_ADJ_MID")</f>
        <v>#N/A Requesting Data...</v>
      </c>
      <c r="G756" t="str">
        <f>_xll.BDP("34682ASC Muni","SPREAD_AT_ISSUANCE_TO_WORST")</f>
        <v>#N/A Requesting Data...</v>
      </c>
      <c r="H756" t="str">
        <f>_xll.BDP("34682ASC Muni","ISSUE_DT")</f>
        <v>#N/A Requesting Data...</v>
      </c>
      <c r="I756" t="str">
        <f>_xll.BDS("34682ASC Muni","MUNI_PURPOSE_SCHED", "aggregate=y")</f>
        <v>#N/A Review</v>
      </c>
      <c r="J756" t="str">
        <f>_xll.BDP("34682ASC Muni","CPN")</f>
        <v>#N/A Requesting Data...</v>
      </c>
      <c r="K756" t="str">
        <f>_xll.BDP("34682ASC Muni","MATURITY")</f>
        <v>#N/A Requesting Data...</v>
      </c>
      <c r="L756">
        <v>190000</v>
      </c>
      <c r="M756" t="str">
        <f>_xll.BDP("34682ASC Muni","YIELD_ON_ISSUE_DATE")</f>
        <v>#N/A Requesting Data...</v>
      </c>
      <c r="N756" t="str">
        <f>_xll.BDP("34682ASC Muni","YTW_SPREAD_TO_MATURITY_AT_ISSU")</f>
        <v>#N/A Requesting Data...</v>
      </c>
      <c r="O756" t="str">
        <f>_xll.BDP("34682ASC Muni","BVAL_MID_YTM")</f>
        <v>#N/A Requesting Data...</v>
      </c>
      <c r="P756" t="str">
        <f>_xll.BDP("34682ASC Muni","MUNI_TAX_PROV")</f>
        <v>#N/A Requesting Data...</v>
      </c>
      <c r="Q756" t="str">
        <f>_xll.BDP("34682ASC Muni","MUNI_FED_TAX")</f>
        <v>#N/A Requesting Data...</v>
      </c>
      <c r="R756" t="str">
        <f>_xll.BDP("34682ASC Muni","MUNI_MSRB_VOLUME")</f>
        <v>#N/A Requesting Data...</v>
      </c>
      <c r="S756" t="str">
        <f>_xll.BDP("34682ASC Muni","BB_COMPOSITE")</f>
        <v>#N/A Requesting Data...</v>
      </c>
      <c r="T756" t="str">
        <f>_xll.BDP("34682ASC Muni","LQA_LIQUIDITY_SCORE")</f>
        <v>#N/A Requesting Data...</v>
      </c>
    </row>
    <row r="757" spans="1:20" x14ac:dyDescent="0.25">
      <c r="A757" t="str">
        <f>_xll.BDP("34682ASD Muni","ID_CUSIP")</f>
        <v>#N/A Requesting Data...</v>
      </c>
      <c r="B757" t="s">
        <v>287</v>
      </c>
      <c r="C757" t="str">
        <f>_xll.BDP("34682ASD Muni","INSURANCE_STATUS")</f>
        <v>#N/A Requesting Data...</v>
      </c>
      <c r="D757" t="str">
        <f>_xll.BDP("34682ASD Muni","STATE_CODE")</f>
        <v>#N/A Requesting Data...</v>
      </c>
      <c r="E757" t="str">
        <f>_xll.BDP("34682ASD Muni","COUNTY_LOCATION_ISSUER")</f>
        <v>#N/A Requesting Data...</v>
      </c>
      <c r="F757" t="str">
        <f>_xll.BDP("34682ASD Muni","DUR_ADJ_MID")</f>
        <v>#N/A Requesting Data...</v>
      </c>
      <c r="G757" t="str">
        <f>_xll.BDP("34682ASD Muni","SPREAD_AT_ISSUANCE_TO_WORST")</f>
        <v>#N/A Requesting Data...</v>
      </c>
      <c r="H757" t="str">
        <f>_xll.BDP("34682ASD Muni","ISSUE_DT")</f>
        <v>#N/A Requesting Data...</v>
      </c>
      <c r="I757" t="str">
        <f>_xll.BDS("34682ASD Muni","MUNI_PURPOSE_SCHED", "aggregate=y")</f>
        <v>#N/A Review</v>
      </c>
      <c r="J757" t="str">
        <f>_xll.BDP("34682ASD Muni","CPN")</f>
        <v>#N/A Requesting Data...</v>
      </c>
      <c r="K757" t="str">
        <f>_xll.BDP("34682ASD Muni","MATURITY")</f>
        <v>#N/A Requesting Data...</v>
      </c>
      <c r="L757">
        <v>190000</v>
      </c>
      <c r="M757" t="str">
        <f>_xll.BDP("34682ASD Muni","YIELD_ON_ISSUE_DATE")</f>
        <v>#N/A Requesting Data...</v>
      </c>
      <c r="N757" t="str">
        <f>_xll.BDP("34682ASD Muni","YTW_SPREAD_TO_MATURITY_AT_ISSU")</f>
        <v>#N/A Requesting Data...</v>
      </c>
      <c r="O757" t="str">
        <f>_xll.BDP("34682ASD Muni","BVAL_MID_YTM")</f>
        <v>#N/A Requesting Data...</v>
      </c>
      <c r="P757" t="str">
        <f>_xll.BDP("34682ASD Muni","MUNI_TAX_PROV")</f>
        <v>#N/A Requesting Data...</v>
      </c>
      <c r="Q757" t="str">
        <f>_xll.BDP("34682ASD Muni","MUNI_FED_TAX")</f>
        <v>#N/A Requesting Data...</v>
      </c>
      <c r="R757" t="str">
        <f>_xll.BDP("34682ASD Muni","MUNI_MSRB_VOLUME")</f>
        <v>#N/A Requesting Data...</v>
      </c>
      <c r="S757" t="str">
        <f>_xll.BDP("34682ASD Muni","BB_COMPOSITE")</f>
        <v>#N/A Requesting Data...</v>
      </c>
      <c r="T757" t="str">
        <f>_xll.BDP("34682ASD Muni","LQA_LIQUIDITY_SCORE")</f>
        <v>#N/A Requesting Data...</v>
      </c>
    </row>
    <row r="758" spans="1:20" x14ac:dyDescent="0.25">
      <c r="A758" t="str">
        <f>_xll.BDP("34682BAF Muni","ID_CUSIP")</f>
        <v>#N/A Requesting Data...</v>
      </c>
      <c r="B758" t="s">
        <v>288</v>
      </c>
      <c r="C758" t="str">
        <f>_xll.BDP("34682BAF Muni","INSURANCE_STATUS")</f>
        <v>#N/A Requesting Data...</v>
      </c>
      <c r="D758" t="str">
        <f>_xll.BDP("34682BAF Muni","STATE_CODE")</f>
        <v>#N/A Requesting Data...</v>
      </c>
      <c r="E758" t="str">
        <f>_xll.BDP("34682BAF Muni","COUNTY_LOCATION_ISSUER")</f>
        <v>#N/A Requesting Data...</v>
      </c>
      <c r="F758" t="str">
        <f>_xll.BDP("34682BAF Muni","DUR_ADJ_MID")</f>
        <v>#N/A Requesting Data...</v>
      </c>
      <c r="G758" t="str">
        <f>_xll.BDP("34682BAF Muni","SPREAD_AT_ISSUANCE_TO_WORST")</f>
        <v>#N/A Requesting Data...</v>
      </c>
      <c r="H758" t="str">
        <f>_xll.BDP("34682BAF Muni","ISSUE_DT")</f>
        <v>#N/A Requesting Data...</v>
      </c>
      <c r="I758" t="str">
        <f>_xll.BDS("34682BAF Muni","MUNI_PURPOSE_SCHED", "aggregate=y")</f>
        <v>#N/A Review</v>
      </c>
      <c r="J758" t="str">
        <f>_xll.BDP("34682BAF Muni","CPN")</f>
        <v>#N/A Requesting Data...</v>
      </c>
      <c r="K758" t="str">
        <f>_xll.BDP("34682BAF Muni","MATURITY")</f>
        <v>#N/A Requesting Data...</v>
      </c>
      <c r="L758">
        <v>455000</v>
      </c>
      <c r="M758" t="str">
        <f>_xll.BDP("34682BAF Muni","YIELD_ON_ISSUE_DATE")</f>
        <v>#N/A Requesting Data...</v>
      </c>
      <c r="N758" t="str">
        <f>_xll.BDP("34682BAF Muni","YTW_SPREAD_TO_MATURITY_AT_ISSU")</f>
        <v>#N/A Requesting Data...</v>
      </c>
      <c r="O758" t="str">
        <f>_xll.BDP("34682BAF Muni","BVAL_MID_YTM")</f>
        <v>#N/A Requesting Data...</v>
      </c>
      <c r="P758" t="str">
        <f>_xll.BDP("34682BAF Muni","MUNI_TAX_PROV")</f>
        <v>#N/A Requesting Data...</v>
      </c>
      <c r="Q758" t="str">
        <f>_xll.BDP("34682BAF Muni","MUNI_FED_TAX")</f>
        <v>#N/A Requesting Data...</v>
      </c>
      <c r="R758" t="str">
        <f>_xll.BDP("34682BAF Muni","MUNI_MSRB_VOLUME")</f>
        <v>#N/A Requesting Data...</v>
      </c>
      <c r="S758" t="str">
        <f>_xll.BDP("34682BAF Muni","BB_COMPOSITE")</f>
        <v>#N/A Requesting Data...</v>
      </c>
      <c r="T758" t="str">
        <f>_xll.BDP("34682BAF Muni","LQA_LIQUIDITY_SCORE")</f>
        <v>#N/A Requesting Data...</v>
      </c>
    </row>
    <row r="759" spans="1:20" x14ac:dyDescent="0.25">
      <c r="A759" t="str">
        <f>_xll.BDP("34682BAG Muni","ID_CUSIP")</f>
        <v>#N/A Requesting Data...</v>
      </c>
      <c r="B759" t="s">
        <v>288</v>
      </c>
      <c r="C759" t="str">
        <f>_xll.BDP("34682BAG Muni","INSURANCE_STATUS")</f>
        <v>#N/A Requesting Data...</v>
      </c>
      <c r="D759" t="str">
        <f>_xll.BDP("34682BAG Muni","STATE_CODE")</f>
        <v>#N/A Requesting Data...</v>
      </c>
      <c r="E759" t="str">
        <f>_xll.BDP("34682BAG Muni","COUNTY_LOCATION_ISSUER")</f>
        <v>#N/A Requesting Data...</v>
      </c>
      <c r="F759" t="str">
        <f>_xll.BDP("34682BAG Muni","DUR_ADJ_MID")</f>
        <v>#N/A Requesting Data...</v>
      </c>
      <c r="G759" t="str">
        <f>_xll.BDP("34682BAG Muni","SPREAD_AT_ISSUANCE_TO_WORST")</f>
        <v>#N/A Requesting Data...</v>
      </c>
      <c r="H759" t="str">
        <f>_xll.BDP("34682BAG Muni","ISSUE_DT")</f>
        <v>#N/A Requesting Data...</v>
      </c>
      <c r="I759" t="str">
        <f>_xll.BDS("34682BAG Muni","MUNI_PURPOSE_SCHED", "aggregate=y")</f>
        <v>#N/A Review</v>
      </c>
      <c r="J759" t="str">
        <f>_xll.BDP("34682BAG Muni","CPN")</f>
        <v>#N/A Requesting Data...</v>
      </c>
      <c r="K759" t="str">
        <f>_xll.BDP("34682BAG Muni","MATURITY")</f>
        <v>#N/A Requesting Data...</v>
      </c>
      <c r="L759">
        <v>475000</v>
      </c>
      <c r="M759" t="str">
        <f>_xll.BDP("34682BAG Muni","YIELD_ON_ISSUE_DATE")</f>
        <v>#N/A Requesting Data...</v>
      </c>
      <c r="N759" t="str">
        <f>_xll.BDP("34682BAG Muni","YTW_SPREAD_TO_MATURITY_AT_ISSU")</f>
        <v>#N/A Requesting Data...</v>
      </c>
      <c r="O759" t="str">
        <f>_xll.BDP("34682BAG Muni","BVAL_MID_YTM")</f>
        <v>#N/A Requesting Data...</v>
      </c>
      <c r="P759" t="str">
        <f>_xll.BDP("34682BAG Muni","MUNI_TAX_PROV")</f>
        <v>#N/A Requesting Data...</v>
      </c>
      <c r="Q759" t="str">
        <f>_xll.BDP("34682BAG Muni","MUNI_FED_TAX")</f>
        <v>#N/A Requesting Data...</v>
      </c>
      <c r="R759" t="str">
        <f>_xll.BDP("34682BAG Muni","MUNI_MSRB_VOLUME")</f>
        <v>#N/A Requesting Data...</v>
      </c>
      <c r="S759" t="str">
        <f>_xll.BDP("34682BAG Muni","BB_COMPOSITE")</f>
        <v>#N/A Requesting Data...</v>
      </c>
      <c r="T759" t="str">
        <f>_xll.BDP("34682BAG Muni","LQA_LIQUIDITY_SCORE")</f>
        <v>#N/A Requesting Data...</v>
      </c>
    </row>
    <row r="760" spans="1:20" x14ac:dyDescent="0.25">
      <c r="A760" t="str">
        <f>_xll.BDP("34682BAH Muni","ID_CUSIP")</f>
        <v>#N/A Requesting Data...</v>
      </c>
      <c r="B760" t="s">
        <v>288</v>
      </c>
      <c r="C760" t="str">
        <f>_xll.BDP("34682BAH Muni","INSURANCE_STATUS")</f>
        <v>#N/A Requesting Data...</v>
      </c>
      <c r="D760" t="str">
        <f>_xll.BDP("34682BAH Muni","STATE_CODE")</f>
        <v>#N/A Requesting Data...</v>
      </c>
      <c r="E760" t="str">
        <f>_xll.BDP("34682BAH Muni","COUNTY_LOCATION_ISSUER")</f>
        <v>#N/A Requesting Data...</v>
      </c>
      <c r="F760" t="str">
        <f>_xll.BDP("34682BAH Muni","DUR_ADJ_MID")</f>
        <v>#N/A Requesting Data...</v>
      </c>
      <c r="G760" t="str">
        <f>_xll.BDP("34682BAH Muni","SPREAD_AT_ISSUANCE_TO_WORST")</f>
        <v>#N/A Requesting Data...</v>
      </c>
      <c r="H760" t="str">
        <f>_xll.BDP("34682BAH Muni","ISSUE_DT")</f>
        <v>#N/A Requesting Data...</v>
      </c>
      <c r="I760" t="str">
        <f>_xll.BDS("34682BAH Muni","MUNI_PURPOSE_SCHED", "aggregate=y")</f>
        <v>#N/A Review</v>
      </c>
      <c r="J760" t="str">
        <f>_xll.BDP("34682BAH Muni","CPN")</f>
        <v>#N/A Requesting Data...</v>
      </c>
      <c r="K760" t="str">
        <f>_xll.BDP("34682BAH Muni","MATURITY")</f>
        <v>#N/A Requesting Data...</v>
      </c>
      <c r="L760">
        <v>495000</v>
      </c>
      <c r="M760" t="str">
        <f>_xll.BDP("34682BAH Muni","YIELD_ON_ISSUE_DATE")</f>
        <v>#N/A Requesting Data...</v>
      </c>
      <c r="N760" t="str">
        <f>_xll.BDP("34682BAH Muni","YTW_SPREAD_TO_MATURITY_AT_ISSU")</f>
        <v>#N/A Requesting Data...</v>
      </c>
      <c r="O760" t="str">
        <f>_xll.BDP("34682BAH Muni","BVAL_MID_YTM")</f>
        <v>#N/A Requesting Data...</v>
      </c>
      <c r="P760" t="str">
        <f>_xll.BDP("34682BAH Muni","MUNI_TAX_PROV")</f>
        <v>#N/A Requesting Data...</v>
      </c>
      <c r="Q760" t="str">
        <f>_xll.BDP("34682BAH Muni","MUNI_FED_TAX")</f>
        <v>#N/A Requesting Data...</v>
      </c>
      <c r="R760" t="str">
        <f>_xll.BDP("34682BAH Muni","MUNI_MSRB_VOLUME")</f>
        <v>#N/A Requesting Data...</v>
      </c>
      <c r="S760" t="str">
        <f>_xll.BDP("34682BAH Muni","BB_COMPOSITE")</f>
        <v>#N/A Requesting Data...</v>
      </c>
      <c r="T760" t="str">
        <f>_xll.BDP("34682BAH Muni","LQA_LIQUIDITY_SCORE")</f>
        <v>#N/A Requesting Data...</v>
      </c>
    </row>
    <row r="761" spans="1:20" x14ac:dyDescent="0.25">
      <c r="A761" t="str">
        <f>_xll.BDP("34682DBE Muni","ID_CUSIP")</f>
        <v>#N/A Requesting Data...</v>
      </c>
      <c r="B761" t="s">
        <v>289</v>
      </c>
      <c r="C761" t="str">
        <f>_xll.BDP("34682DBE Muni","INSURANCE_STATUS")</f>
        <v>#N/A Requesting Data...</v>
      </c>
      <c r="D761" t="str">
        <f>_xll.BDP("34682DBE Muni","STATE_CODE")</f>
        <v>#N/A Requesting Data...</v>
      </c>
      <c r="E761" t="str">
        <f>_xll.BDP("34682DBE Muni","COUNTY_LOCATION_ISSUER")</f>
        <v>#N/A Requesting Data...</v>
      </c>
      <c r="F761" t="str">
        <f>_xll.BDP("34682DBE Muni","DUR_ADJ_MID")</f>
        <v>#N/A Requesting Data...</v>
      </c>
      <c r="G761" t="str">
        <f>_xll.BDP("34682DBE Muni","SPREAD_AT_ISSUANCE_TO_WORST")</f>
        <v>#N/A Requesting Data...</v>
      </c>
      <c r="H761" t="str">
        <f>_xll.BDP("34682DBE Muni","ISSUE_DT")</f>
        <v>#N/A Requesting Data...</v>
      </c>
      <c r="I761" t="str">
        <f>_xll.BDS("34682DBE Muni","MUNI_PURPOSE_SCHED", "aggregate=y")</f>
        <v>#N/A Review</v>
      </c>
      <c r="J761" t="str">
        <f>_xll.BDP("34682DBE Muni","CPN")</f>
        <v>#N/A Requesting Data...</v>
      </c>
      <c r="K761" t="str">
        <f>_xll.BDP("34682DBE Muni","MATURITY")</f>
        <v>#N/A Requesting Data...</v>
      </c>
      <c r="L761">
        <v>50000</v>
      </c>
      <c r="M761" t="str">
        <f>_xll.BDP("34682DBE Muni","YIELD_ON_ISSUE_DATE")</f>
        <v>#N/A Requesting Data...</v>
      </c>
      <c r="N761" t="str">
        <f>_xll.BDP("34682DBE Muni","YTW_SPREAD_TO_MATURITY_AT_ISSU")</f>
        <v>#N/A Requesting Data...</v>
      </c>
      <c r="O761" t="str">
        <f>_xll.BDP("34682DBE Muni","BVAL_MID_YTM")</f>
        <v>#N/A Requesting Data...</v>
      </c>
      <c r="P761" t="str">
        <f>_xll.BDP("34682DBE Muni","MUNI_TAX_PROV")</f>
        <v>#N/A Requesting Data...</v>
      </c>
      <c r="Q761" t="str">
        <f>_xll.BDP("34682DBE Muni","MUNI_FED_TAX")</f>
        <v>#N/A Requesting Data...</v>
      </c>
      <c r="R761" t="str">
        <f>_xll.BDP("34682DBE Muni","MUNI_MSRB_VOLUME")</f>
        <v>#N/A Requesting Data...</v>
      </c>
      <c r="S761" t="str">
        <f>_xll.BDP("34682DBE Muni","BB_COMPOSITE")</f>
        <v>#N/A Requesting Data...</v>
      </c>
      <c r="T761" t="str">
        <f>_xll.BDP("34682DBE Muni","LQA_LIQUIDITY_SCORE")</f>
        <v>#N/A Requesting Data...</v>
      </c>
    </row>
    <row r="762" spans="1:20" x14ac:dyDescent="0.25">
      <c r="A762" t="str">
        <f>_xll.BDP("34682DBF Muni","ID_CUSIP")</f>
        <v>#N/A Requesting Data...</v>
      </c>
      <c r="B762" t="s">
        <v>289</v>
      </c>
      <c r="C762" t="str">
        <f>_xll.BDP("34682DBF Muni","INSURANCE_STATUS")</f>
        <v>#N/A Requesting Data...</v>
      </c>
      <c r="D762" t="str">
        <f>_xll.BDP("34682DBF Muni","STATE_CODE")</f>
        <v>#N/A Requesting Data...</v>
      </c>
      <c r="E762" t="str">
        <f>_xll.BDP("34682DBF Muni","COUNTY_LOCATION_ISSUER")</f>
        <v>#N/A Requesting Data...</v>
      </c>
      <c r="F762" t="str">
        <f>_xll.BDP("34682DBF Muni","DUR_ADJ_MID")</f>
        <v>#N/A Requesting Data...</v>
      </c>
      <c r="G762" t="str">
        <f>_xll.BDP("34682DBF Muni","SPREAD_AT_ISSUANCE_TO_WORST")</f>
        <v>#N/A Requesting Data...</v>
      </c>
      <c r="H762" t="str">
        <f>_xll.BDP("34682DBF Muni","ISSUE_DT")</f>
        <v>#N/A Requesting Data...</v>
      </c>
      <c r="I762" t="str">
        <f>_xll.BDS("34682DBF Muni","MUNI_PURPOSE_SCHED", "aggregate=y")</f>
        <v>#N/A Review</v>
      </c>
      <c r="J762" t="str">
        <f>_xll.BDP("34682DBF Muni","CPN")</f>
        <v>#N/A Requesting Data...</v>
      </c>
      <c r="K762" t="str">
        <f>_xll.BDP("34682DBF Muni","MATURITY")</f>
        <v>#N/A Requesting Data...</v>
      </c>
      <c r="L762">
        <v>50000</v>
      </c>
      <c r="M762" t="str">
        <f>_xll.BDP("34682DBF Muni","YIELD_ON_ISSUE_DATE")</f>
        <v>#N/A Requesting Data...</v>
      </c>
      <c r="N762" t="str">
        <f>_xll.BDP("34682DBF Muni","YTW_SPREAD_TO_MATURITY_AT_ISSU")</f>
        <v>#N/A Requesting Data...</v>
      </c>
      <c r="O762" t="str">
        <f>_xll.BDP("34682DBF Muni","BVAL_MID_YTM")</f>
        <v>#N/A Requesting Data...</v>
      </c>
      <c r="P762" t="str">
        <f>_xll.BDP("34682DBF Muni","MUNI_TAX_PROV")</f>
        <v>#N/A Requesting Data...</v>
      </c>
      <c r="Q762" t="str">
        <f>_xll.BDP("34682DBF Muni","MUNI_FED_TAX")</f>
        <v>#N/A Requesting Data...</v>
      </c>
      <c r="R762" t="str">
        <f>_xll.BDP("34682DBF Muni","MUNI_MSRB_VOLUME")</f>
        <v>#N/A Requesting Data...</v>
      </c>
      <c r="S762" t="str">
        <f>_xll.BDP("34682DBF Muni","BB_COMPOSITE")</f>
        <v>#N/A Requesting Data...</v>
      </c>
      <c r="T762" t="str">
        <f>_xll.BDP("34682DBF Muni","LQA_LIQUIDITY_SCORE")</f>
        <v>#N/A Requesting Data...</v>
      </c>
    </row>
    <row r="763" spans="1:20" x14ac:dyDescent="0.25">
      <c r="A763" t="str">
        <f>_xll.BDP("34682DBG Muni","ID_CUSIP")</f>
        <v>#N/A Requesting Data...</v>
      </c>
      <c r="B763" t="s">
        <v>289</v>
      </c>
      <c r="C763" t="str">
        <f>_xll.BDP("34682DBG Muni","INSURANCE_STATUS")</f>
        <v>#N/A Requesting Data...</v>
      </c>
      <c r="D763" t="str">
        <f>_xll.BDP("34682DBG Muni","STATE_CODE")</f>
        <v>#N/A Requesting Data...</v>
      </c>
      <c r="E763" t="str">
        <f>_xll.BDP("34682DBG Muni","COUNTY_LOCATION_ISSUER")</f>
        <v>#N/A Requesting Data...</v>
      </c>
      <c r="F763" t="str">
        <f>_xll.BDP("34682DBG Muni","DUR_ADJ_MID")</f>
        <v>#N/A Requesting Data...</v>
      </c>
      <c r="G763" t="str">
        <f>_xll.BDP("34682DBG Muni","SPREAD_AT_ISSUANCE_TO_WORST")</f>
        <v>#N/A Requesting Data...</v>
      </c>
      <c r="H763" t="str">
        <f>_xll.BDP("34682DBG Muni","ISSUE_DT")</f>
        <v>#N/A Requesting Data...</v>
      </c>
      <c r="I763" t="str">
        <f>_xll.BDS("34682DBG Muni","MUNI_PURPOSE_SCHED", "aggregate=y")</f>
        <v>#N/A Review</v>
      </c>
      <c r="J763" t="str">
        <f>_xll.BDP("34682DBG Muni","CPN")</f>
        <v>#N/A Requesting Data...</v>
      </c>
      <c r="K763" t="str">
        <f>_xll.BDP("34682DBG Muni","MATURITY")</f>
        <v>#N/A Requesting Data...</v>
      </c>
      <c r="L763">
        <v>50000</v>
      </c>
      <c r="M763" t="str">
        <f>_xll.BDP("34682DBG Muni","YIELD_ON_ISSUE_DATE")</f>
        <v>#N/A Requesting Data...</v>
      </c>
      <c r="N763" t="str">
        <f>_xll.BDP("34682DBG Muni","YTW_SPREAD_TO_MATURITY_AT_ISSU")</f>
        <v>#N/A Requesting Data...</v>
      </c>
      <c r="O763" t="str">
        <f>_xll.BDP("34682DBG Muni","BVAL_MID_YTM")</f>
        <v>#N/A Requesting Data...</v>
      </c>
      <c r="P763" t="str">
        <f>_xll.BDP("34682DBG Muni","MUNI_TAX_PROV")</f>
        <v>#N/A Requesting Data...</v>
      </c>
      <c r="Q763" t="str">
        <f>_xll.BDP("34682DBG Muni","MUNI_FED_TAX")</f>
        <v>#N/A Requesting Data...</v>
      </c>
      <c r="R763" t="str">
        <f>_xll.BDP("34682DBG Muni","MUNI_MSRB_VOLUME")</f>
        <v>#N/A Requesting Data...</v>
      </c>
      <c r="S763" t="str">
        <f>_xll.BDP("34682DBG Muni","BB_COMPOSITE")</f>
        <v>#N/A Requesting Data...</v>
      </c>
      <c r="T763" t="str">
        <f>_xll.BDP("34682DBG Muni","LQA_LIQUIDITY_SCORE")</f>
        <v>#N/A Requesting Data...</v>
      </c>
    </row>
    <row r="764" spans="1:20" x14ac:dyDescent="0.25">
      <c r="A764" t="str">
        <f>_xll.BDP("34682GFE Muni","ID_CUSIP")</f>
        <v>#N/A Requesting Data...</v>
      </c>
      <c r="B764" t="s">
        <v>290</v>
      </c>
      <c r="C764" t="str">
        <f>_xll.BDP("34682GFE Muni","INSURANCE_STATUS")</f>
        <v>#N/A Requesting Data...</v>
      </c>
      <c r="D764" t="str">
        <f>_xll.BDP("34682GFE Muni","STATE_CODE")</f>
        <v>#N/A Requesting Data...</v>
      </c>
      <c r="E764" t="str">
        <f>_xll.BDP("34682GFE Muni","COUNTY_LOCATION_ISSUER")</f>
        <v>#N/A Requesting Data...</v>
      </c>
      <c r="F764" t="str">
        <f>_xll.BDP("34682GFE Muni","DUR_ADJ_MID")</f>
        <v>#N/A Requesting Data...</v>
      </c>
      <c r="G764" t="str">
        <f>_xll.BDP("34682GFE Muni","SPREAD_AT_ISSUANCE_TO_WORST")</f>
        <v>#N/A Requesting Data...</v>
      </c>
      <c r="H764" t="str">
        <f>_xll.BDP("34682GFE Muni","ISSUE_DT")</f>
        <v>#N/A Requesting Data...</v>
      </c>
      <c r="I764" t="str">
        <f>_xll.BDS("34682GFE Muni","MUNI_PURPOSE_SCHED", "aggregate=y")</f>
        <v>#N/A Review</v>
      </c>
      <c r="J764" t="str">
        <f>_xll.BDP("34682GFE Muni","CPN")</f>
        <v>#N/A Requesting Data...</v>
      </c>
      <c r="K764" t="str">
        <f>_xll.BDP("34682GFE Muni","MATURITY")</f>
        <v>#N/A Requesting Data...</v>
      </c>
      <c r="L764">
        <v>155000</v>
      </c>
      <c r="M764" t="str">
        <f>_xll.BDP("34682GFE Muni","YIELD_ON_ISSUE_DATE")</f>
        <v>#N/A Requesting Data...</v>
      </c>
      <c r="N764" t="str">
        <f>_xll.BDP("34682GFE Muni","YTW_SPREAD_TO_MATURITY_AT_ISSU")</f>
        <v>#N/A Requesting Data...</v>
      </c>
      <c r="O764" t="str">
        <f>_xll.BDP("34682GFE Muni","BVAL_MID_YTM")</f>
        <v>#N/A Requesting Data...</v>
      </c>
      <c r="P764" t="str">
        <f>_xll.BDP("34682GFE Muni","MUNI_TAX_PROV")</f>
        <v>#N/A Requesting Data...</v>
      </c>
      <c r="Q764" t="str">
        <f>_xll.BDP("34682GFE Muni","MUNI_FED_TAX")</f>
        <v>#N/A Requesting Data...</v>
      </c>
      <c r="R764" t="str">
        <f>_xll.BDP("34682GFE Muni","MUNI_MSRB_VOLUME")</f>
        <v>#N/A Requesting Data...</v>
      </c>
      <c r="S764" t="str">
        <f>_xll.BDP("34682GFE Muni","BB_COMPOSITE")</f>
        <v>#N/A Requesting Data...</v>
      </c>
      <c r="T764" t="str">
        <f>_xll.BDP("34682GFE Muni","LQA_LIQUIDITY_SCORE")</f>
        <v>#N/A Requesting Data...</v>
      </c>
    </row>
    <row r="765" spans="1:20" x14ac:dyDescent="0.25">
      <c r="A765" t="str">
        <f>_xll.BDP("34682GFF Muni","ID_CUSIP")</f>
        <v>#N/A Requesting Data...</v>
      </c>
      <c r="B765" t="s">
        <v>290</v>
      </c>
      <c r="C765" t="str">
        <f>_xll.BDP("34682GFF Muni","INSURANCE_STATUS")</f>
        <v>#N/A Requesting Data...</v>
      </c>
      <c r="D765" t="str">
        <f>_xll.BDP("34682GFF Muni","STATE_CODE")</f>
        <v>#N/A Requesting Data...</v>
      </c>
      <c r="E765" t="str">
        <f>_xll.BDP("34682GFF Muni","COUNTY_LOCATION_ISSUER")</f>
        <v>#N/A Requesting Data...</v>
      </c>
      <c r="F765" t="str">
        <f>_xll.BDP("34682GFF Muni","DUR_ADJ_MID")</f>
        <v>#N/A Requesting Data...</v>
      </c>
      <c r="G765" t="str">
        <f>_xll.BDP("34682GFF Muni","SPREAD_AT_ISSUANCE_TO_WORST")</f>
        <v>#N/A Requesting Data...</v>
      </c>
      <c r="H765" t="str">
        <f>_xll.BDP("34682GFF Muni","ISSUE_DT")</f>
        <v>#N/A Requesting Data...</v>
      </c>
      <c r="I765" t="str">
        <f>_xll.BDS("34682GFF Muni","MUNI_PURPOSE_SCHED", "aggregate=y")</f>
        <v>#N/A Review</v>
      </c>
      <c r="J765" t="str">
        <f>_xll.BDP("34682GFF Muni","CPN")</f>
        <v>#N/A Requesting Data...</v>
      </c>
      <c r="K765" t="str">
        <f>_xll.BDP("34682GFF Muni","MATURITY")</f>
        <v>#N/A Requesting Data...</v>
      </c>
      <c r="L765">
        <v>160000</v>
      </c>
      <c r="M765" t="str">
        <f>_xll.BDP("34682GFF Muni","YIELD_ON_ISSUE_DATE")</f>
        <v>#N/A Requesting Data...</v>
      </c>
      <c r="N765" t="str">
        <f>_xll.BDP("34682GFF Muni","YTW_SPREAD_TO_MATURITY_AT_ISSU")</f>
        <v>#N/A Requesting Data...</v>
      </c>
      <c r="O765" t="str">
        <f>_xll.BDP("34682GFF Muni","BVAL_MID_YTM")</f>
        <v>#N/A Requesting Data...</v>
      </c>
      <c r="P765" t="str">
        <f>_xll.BDP("34682GFF Muni","MUNI_TAX_PROV")</f>
        <v>#N/A Requesting Data...</v>
      </c>
      <c r="Q765" t="str">
        <f>_xll.BDP("34682GFF Muni","MUNI_FED_TAX")</f>
        <v>#N/A Requesting Data...</v>
      </c>
      <c r="R765" t="str">
        <f>_xll.BDP("34682GFF Muni","MUNI_MSRB_VOLUME")</f>
        <v>#N/A Requesting Data...</v>
      </c>
      <c r="S765" t="str">
        <f>_xll.BDP("34682GFF Muni","BB_COMPOSITE")</f>
        <v>#N/A Requesting Data...</v>
      </c>
      <c r="T765" t="str">
        <f>_xll.BDP("34682GFF Muni","LQA_LIQUIDITY_SCORE")</f>
        <v>#N/A Requesting Data...</v>
      </c>
    </row>
    <row r="766" spans="1:20" x14ac:dyDescent="0.25">
      <c r="A766" t="str">
        <f>_xll.BDP("34682GFG Muni","ID_CUSIP")</f>
        <v>#N/A Requesting Data...</v>
      </c>
      <c r="B766" t="s">
        <v>290</v>
      </c>
      <c r="C766" t="str">
        <f>_xll.BDP("34682GFG Muni","INSURANCE_STATUS")</f>
        <v>#N/A Requesting Data...</v>
      </c>
      <c r="D766" t="str">
        <f>_xll.BDP("34682GFG Muni","STATE_CODE")</f>
        <v>#N/A Requesting Data...</v>
      </c>
      <c r="E766" t="str">
        <f>_xll.BDP("34682GFG Muni","COUNTY_LOCATION_ISSUER")</f>
        <v>#N/A Requesting Data...</v>
      </c>
      <c r="F766" t="str">
        <f>_xll.BDP("34682GFG Muni","DUR_ADJ_MID")</f>
        <v>#N/A Requesting Data...</v>
      </c>
      <c r="G766" t="str">
        <f>_xll.BDP("34682GFG Muni","SPREAD_AT_ISSUANCE_TO_WORST")</f>
        <v>#N/A Requesting Data...</v>
      </c>
      <c r="H766" t="str">
        <f>_xll.BDP("34682GFG Muni","ISSUE_DT")</f>
        <v>#N/A Requesting Data...</v>
      </c>
      <c r="I766" t="str">
        <f>_xll.BDS("34682GFG Muni","MUNI_PURPOSE_SCHED", "aggregate=y")</f>
        <v>#N/A Review</v>
      </c>
      <c r="J766" t="str">
        <f>_xll.BDP("34682GFG Muni","CPN")</f>
        <v>#N/A Requesting Data...</v>
      </c>
      <c r="K766" t="str">
        <f>_xll.BDP("34682GFG Muni","MATURITY")</f>
        <v>#N/A Requesting Data...</v>
      </c>
      <c r="L766">
        <v>165000</v>
      </c>
      <c r="M766" t="str">
        <f>_xll.BDP("34682GFG Muni","YIELD_ON_ISSUE_DATE")</f>
        <v>#N/A Requesting Data...</v>
      </c>
      <c r="N766" t="str">
        <f>_xll.BDP("34682GFG Muni","YTW_SPREAD_TO_MATURITY_AT_ISSU")</f>
        <v>#N/A Requesting Data...</v>
      </c>
      <c r="O766" t="str">
        <f>_xll.BDP("34682GFG Muni","BVAL_MID_YTM")</f>
        <v>#N/A Requesting Data...</v>
      </c>
      <c r="P766" t="str">
        <f>_xll.BDP("34682GFG Muni","MUNI_TAX_PROV")</f>
        <v>#N/A Requesting Data...</v>
      </c>
      <c r="Q766" t="str">
        <f>_xll.BDP("34682GFG Muni","MUNI_FED_TAX")</f>
        <v>#N/A Requesting Data...</v>
      </c>
      <c r="R766" t="str">
        <f>_xll.BDP("34682GFG Muni","MUNI_MSRB_VOLUME")</f>
        <v>#N/A Requesting Data...</v>
      </c>
      <c r="S766" t="str">
        <f>_xll.BDP("34682GFG Muni","BB_COMPOSITE")</f>
        <v>#N/A Requesting Data...</v>
      </c>
      <c r="T766" t="str">
        <f>_xll.BDP("34682GFG Muni","LQA_LIQUIDITY_SCORE")</f>
        <v>#N/A Requesting Data...</v>
      </c>
    </row>
    <row r="767" spans="1:20" x14ac:dyDescent="0.25">
      <c r="A767" t="str">
        <f>_xll.BDP("34682HJU Muni","ID_CUSIP")</f>
        <v>#N/A Requesting Data...</v>
      </c>
      <c r="B767" t="s">
        <v>291</v>
      </c>
      <c r="C767" t="str">
        <f>_xll.BDP("34682HJU Muni","INSURANCE_STATUS")</f>
        <v>#N/A Requesting Data...</v>
      </c>
      <c r="D767" t="str">
        <f>_xll.BDP("34682HJU Muni","STATE_CODE")</f>
        <v>#N/A Requesting Data...</v>
      </c>
      <c r="E767" t="str">
        <f>_xll.BDP("34682HJU Muni","COUNTY_LOCATION_ISSUER")</f>
        <v>#N/A Requesting Data...</v>
      </c>
      <c r="F767" t="str">
        <f>_xll.BDP("34682HJU Muni","DUR_ADJ_MID")</f>
        <v>#N/A Requesting Data...</v>
      </c>
      <c r="G767" t="str">
        <f>_xll.BDP("34682HJU Muni","SPREAD_AT_ISSUANCE_TO_WORST")</f>
        <v>#N/A Requesting Data...</v>
      </c>
      <c r="H767" t="str">
        <f>_xll.BDP("34682HJU Muni","ISSUE_DT")</f>
        <v>#N/A Requesting Data...</v>
      </c>
      <c r="I767" t="str">
        <f>_xll.BDS("34682HJU Muni","MUNI_PURPOSE_SCHED", "aggregate=y")</f>
        <v>#N/A Review</v>
      </c>
      <c r="J767" t="str">
        <f>_xll.BDP("34682HJU Muni","CPN")</f>
        <v>#N/A Requesting Data...</v>
      </c>
      <c r="K767" t="str">
        <f>_xll.BDP("34682HJU Muni","MATURITY")</f>
        <v>#N/A Requesting Data...</v>
      </c>
      <c r="L767">
        <v>400000</v>
      </c>
      <c r="M767" t="str">
        <f>_xll.BDP("34682HJU Muni","YIELD_ON_ISSUE_DATE")</f>
        <v>#N/A Requesting Data...</v>
      </c>
      <c r="N767" t="str">
        <f>_xll.BDP("34682HJU Muni","YTW_SPREAD_TO_MATURITY_AT_ISSU")</f>
        <v>#N/A Requesting Data...</v>
      </c>
      <c r="O767" t="str">
        <f>_xll.BDP("34682HJU Muni","BVAL_MID_YTM")</f>
        <v>#N/A Requesting Data...</v>
      </c>
      <c r="P767" t="str">
        <f>_xll.BDP("34682HJU Muni","MUNI_TAX_PROV")</f>
        <v>#N/A Requesting Data...</v>
      </c>
      <c r="Q767" t="str">
        <f>_xll.BDP("34682HJU Muni","MUNI_FED_TAX")</f>
        <v>#N/A Requesting Data...</v>
      </c>
      <c r="R767" t="str">
        <f>_xll.BDP("34682HJU Muni","MUNI_MSRB_VOLUME")</f>
        <v>#N/A Requesting Data...</v>
      </c>
      <c r="S767" t="str">
        <f>_xll.BDP("34682HJU Muni","BB_COMPOSITE")</f>
        <v>#N/A Requesting Data...</v>
      </c>
      <c r="T767" t="str">
        <f>_xll.BDP("34682HJU Muni","LQA_LIQUIDITY_SCORE")</f>
        <v>#N/A Requesting Data...</v>
      </c>
    </row>
    <row r="768" spans="1:20" x14ac:dyDescent="0.25">
      <c r="A768" t="str">
        <f>_xll.BDP("34682HJV Muni","ID_CUSIP")</f>
        <v>#N/A Requesting Data...</v>
      </c>
      <c r="B768" t="s">
        <v>291</v>
      </c>
      <c r="C768" t="str">
        <f>_xll.BDP("34682HJV Muni","INSURANCE_STATUS")</f>
        <v>#N/A Requesting Data...</v>
      </c>
      <c r="D768" t="str">
        <f>_xll.BDP("34682HJV Muni","STATE_CODE")</f>
        <v>#N/A Requesting Data...</v>
      </c>
      <c r="E768" t="str">
        <f>_xll.BDP("34682HJV Muni","COUNTY_LOCATION_ISSUER")</f>
        <v>#N/A Requesting Data...</v>
      </c>
      <c r="F768" t="str">
        <f>_xll.BDP("34682HJV Muni","DUR_ADJ_MID")</f>
        <v>#N/A Requesting Data...</v>
      </c>
      <c r="G768" t="str">
        <f>_xll.BDP("34682HJV Muni","SPREAD_AT_ISSUANCE_TO_WORST")</f>
        <v>#N/A Requesting Data...</v>
      </c>
      <c r="H768" t="str">
        <f>_xll.BDP("34682HJV Muni","ISSUE_DT")</f>
        <v>#N/A Requesting Data...</v>
      </c>
      <c r="I768" t="str">
        <f>_xll.BDS("34682HJV Muni","MUNI_PURPOSE_SCHED", "aggregate=y")</f>
        <v>#N/A Review</v>
      </c>
      <c r="J768" t="str">
        <f>_xll.BDP("34682HJV Muni","CPN")</f>
        <v>#N/A Requesting Data...</v>
      </c>
      <c r="K768" t="str">
        <f>_xll.BDP("34682HJV Muni","MATURITY")</f>
        <v>#N/A Requesting Data...</v>
      </c>
      <c r="L768">
        <v>400000</v>
      </c>
      <c r="M768" t="str">
        <f>_xll.BDP("34682HJV Muni","YIELD_ON_ISSUE_DATE")</f>
        <v>#N/A Requesting Data...</v>
      </c>
      <c r="N768" t="str">
        <f>_xll.BDP("34682HJV Muni","YTW_SPREAD_TO_MATURITY_AT_ISSU")</f>
        <v>#N/A Requesting Data...</v>
      </c>
      <c r="O768" t="str">
        <f>_xll.BDP("34682HJV Muni","BVAL_MID_YTM")</f>
        <v>#N/A Requesting Data...</v>
      </c>
      <c r="P768" t="str">
        <f>_xll.BDP("34682HJV Muni","MUNI_TAX_PROV")</f>
        <v>#N/A Requesting Data...</v>
      </c>
      <c r="Q768" t="str">
        <f>_xll.BDP("34682HJV Muni","MUNI_FED_TAX")</f>
        <v>#N/A Requesting Data...</v>
      </c>
      <c r="R768" t="str">
        <f>_xll.BDP("34682HJV Muni","MUNI_MSRB_VOLUME")</f>
        <v>#N/A Requesting Data...</v>
      </c>
      <c r="S768" t="str">
        <f>_xll.BDP("34682HJV Muni","BB_COMPOSITE")</f>
        <v>#N/A Requesting Data...</v>
      </c>
      <c r="T768" t="str">
        <f>_xll.BDP("34682HJV Muni","LQA_LIQUIDITY_SCORE")</f>
        <v>#N/A Requesting Data...</v>
      </c>
    </row>
    <row r="769" spans="1:20" x14ac:dyDescent="0.25">
      <c r="A769" t="str">
        <f>_xll.BDP("34682HJW Muni","ID_CUSIP")</f>
        <v>#N/A Requesting Data...</v>
      </c>
      <c r="B769" t="s">
        <v>291</v>
      </c>
      <c r="C769" t="str">
        <f>_xll.BDP("34682HJW Muni","INSURANCE_STATUS")</f>
        <v>#N/A Requesting Data...</v>
      </c>
      <c r="D769" t="str">
        <f>_xll.BDP("34682HJW Muni","STATE_CODE")</f>
        <v>#N/A Requesting Data...</v>
      </c>
      <c r="E769" t="str">
        <f>_xll.BDP("34682HJW Muni","COUNTY_LOCATION_ISSUER")</f>
        <v>#N/A Requesting Data...</v>
      </c>
      <c r="F769" t="str">
        <f>_xll.BDP("34682HJW Muni","DUR_ADJ_MID")</f>
        <v>#N/A Requesting Data...</v>
      </c>
      <c r="G769" t="str">
        <f>_xll.BDP("34682HJW Muni","SPREAD_AT_ISSUANCE_TO_WORST")</f>
        <v>#N/A Requesting Data...</v>
      </c>
      <c r="H769" t="str">
        <f>_xll.BDP("34682HJW Muni","ISSUE_DT")</f>
        <v>#N/A Requesting Data...</v>
      </c>
      <c r="I769" t="str">
        <f>_xll.BDS("34682HJW Muni","MUNI_PURPOSE_SCHED", "aggregate=y")</f>
        <v>#N/A Review</v>
      </c>
      <c r="J769" t="str">
        <f>_xll.BDP("34682HJW Muni","CPN")</f>
        <v>#N/A Requesting Data...</v>
      </c>
      <c r="K769" t="str">
        <f>_xll.BDP("34682HJW Muni","MATURITY")</f>
        <v>#N/A Requesting Data...</v>
      </c>
      <c r="L769">
        <v>400000</v>
      </c>
      <c r="M769" t="str">
        <f>_xll.BDP("34682HJW Muni","YIELD_ON_ISSUE_DATE")</f>
        <v>#N/A Requesting Data...</v>
      </c>
      <c r="N769" t="str">
        <f>_xll.BDP("34682HJW Muni","YTW_SPREAD_TO_MATURITY_AT_ISSU")</f>
        <v>#N/A Requesting Data...</v>
      </c>
      <c r="O769" t="str">
        <f>_xll.BDP("34682HJW Muni","BVAL_MID_YTM")</f>
        <v>#N/A Requesting Data...</v>
      </c>
      <c r="P769" t="str">
        <f>_xll.BDP("34682HJW Muni","MUNI_TAX_PROV")</f>
        <v>#N/A Requesting Data...</v>
      </c>
      <c r="Q769" t="str">
        <f>_xll.BDP("34682HJW Muni","MUNI_FED_TAX")</f>
        <v>#N/A Requesting Data...</v>
      </c>
      <c r="R769" t="str">
        <f>_xll.BDP("34682HJW Muni","MUNI_MSRB_VOLUME")</f>
        <v>#N/A Requesting Data...</v>
      </c>
      <c r="S769" t="str">
        <f>_xll.BDP("34682HJW Muni","BB_COMPOSITE")</f>
        <v>#N/A Requesting Data...</v>
      </c>
      <c r="T769" t="str">
        <f>_xll.BDP("34682HJW Muni","LQA_LIQUIDITY_SCORE")</f>
        <v>#N/A Requesting Data...</v>
      </c>
    </row>
    <row r="770" spans="1:20" x14ac:dyDescent="0.25">
      <c r="A770" t="str">
        <f>_xll.BDP("298245JL Muni","ID_CUSIP")</f>
        <v>#N/A Requesting Data...</v>
      </c>
      <c r="B770" t="s">
        <v>92</v>
      </c>
      <c r="C770" t="str">
        <f>_xll.BDP("298245JL Muni","INSURANCE_STATUS")</f>
        <v>#N/A Requesting Data...</v>
      </c>
      <c r="D770" t="str">
        <f>_xll.BDP("298245JL Muni","STATE_CODE")</f>
        <v>#N/A Requesting Data...</v>
      </c>
      <c r="E770" t="str">
        <f>_xll.BDP("298245JL Muni","COUNTY_LOCATION_ISSUER")</f>
        <v>#N/A Requesting Data...</v>
      </c>
      <c r="F770" t="str">
        <f>_xll.BDP("298245JL Muni","DUR_ADJ_MID")</f>
        <v>#N/A Requesting Data...</v>
      </c>
      <c r="G770" t="str">
        <f>_xll.BDP("298245JL Muni","SPREAD_AT_ISSUANCE_TO_WORST")</f>
        <v>#N/A Requesting Data...</v>
      </c>
      <c r="H770" t="str">
        <f>_xll.BDP("298245JL Muni","ISSUE_DT")</f>
        <v>#N/A Requesting Data...</v>
      </c>
      <c r="I770" t="str">
        <f>_xll.BDS("298245JL Muni","MUNI_PURPOSE_SCHED", "aggregate=y")</f>
        <v>#N/A Review</v>
      </c>
      <c r="J770" t="str">
        <f>_xll.BDP("298245JL Muni","CPN")</f>
        <v>#N/A Requesting Data...</v>
      </c>
      <c r="K770" t="str">
        <f>_xll.BDP("298245JL Muni","MATURITY")</f>
        <v>#N/A Requesting Data...</v>
      </c>
      <c r="L770">
        <v>2030000</v>
      </c>
      <c r="M770" t="str">
        <f>_xll.BDP("298245JL Muni","YIELD_ON_ISSUE_DATE")</f>
        <v>#N/A Requesting Data...</v>
      </c>
      <c r="N770" t="str">
        <f>_xll.BDP("298245JL Muni","YTW_SPREAD_TO_MATURITY_AT_ISSU")</f>
        <v>#N/A Requesting Data...</v>
      </c>
      <c r="O770" t="str">
        <f>_xll.BDP("298245JL Muni","BVAL_MID_YTM")</f>
        <v>#N/A Requesting Data...</v>
      </c>
      <c r="P770" t="str">
        <f>_xll.BDP("298245JL Muni","MUNI_TAX_PROV")</f>
        <v>#N/A Requesting Data...</v>
      </c>
      <c r="Q770" t="str">
        <f>_xll.BDP("298245JL Muni","MUNI_FED_TAX")</f>
        <v>#N/A Requesting Data...</v>
      </c>
      <c r="R770" t="str">
        <f>_xll.BDP("298245JL Muni","MUNI_MSRB_VOLUME")</f>
        <v>#N/A Requesting Data...</v>
      </c>
      <c r="S770" t="str">
        <f>_xll.BDP("298245JL Muni","BB_COMPOSITE")</f>
        <v>#N/A Requesting Data...</v>
      </c>
      <c r="T770" t="str">
        <f>_xll.BDP("298245JL Muni","LQA_LIQUIDITY_SCORE")</f>
        <v>#N/A Requesting Data...</v>
      </c>
    </row>
    <row r="771" spans="1:20" x14ac:dyDescent="0.25">
      <c r="A771" t="str">
        <f>_xll.BDP("298245JM Muni","ID_CUSIP")</f>
        <v>#N/A Requesting Data...</v>
      </c>
      <c r="B771" t="s">
        <v>92</v>
      </c>
      <c r="C771" t="str">
        <f>_xll.BDP("298245JM Muni","INSURANCE_STATUS")</f>
        <v>#N/A Requesting Data...</v>
      </c>
      <c r="D771" t="str">
        <f>_xll.BDP("298245JM Muni","STATE_CODE")</f>
        <v>#N/A Requesting Data...</v>
      </c>
      <c r="E771" t="str">
        <f>_xll.BDP("298245JM Muni","COUNTY_LOCATION_ISSUER")</f>
        <v>#N/A Requesting Data...</v>
      </c>
      <c r="F771" t="str">
        <f>_xll.BDP("298245JM Muni","DUR_ADJ_MID")</f>
        <v>#N/A Requesting Data...</v>
      </c>
      <c r="G771" t="str">
        <f>_xll.BDP("298245JM Muni","SPREAD_AT_ISSUANCE_TO_WORST")</f>
        <v>#N/A Requesting Data...</v>
      </c>
      <c r="H771" t="str">
        <f>_xll.BDP("298245JM Muni","ISSUE_DT")</f>
        <v>#N/A Requesting Data...</v>
      </c>
      <c r="I771" t="str">
        <f>_xll.BDS("298245JM Muni","MUNI_PURPOSE_SCHED", "aggregate=y")</f>
        <v>#N/A Review</v>
      </c>
      <c r="J771" t="str">
        <f>_xll.BDP("298245JM Muni","CPN")</f>
        <v>#N/A Requesting Data...</v>
      </c>
      <c r="K771" t="str">
        <f>_xll.BDP("298245JM Muni","MATURITY")</f>
        <v>#N/A Requesting Data...</v>
      </c>
      <c r="L771">
        <v>1340000</v>
      </c>
      <c r="M771" t="str">
        <f>_xll.BDP("298245JM Muni","YIELD_ON_ISSUE_DATE")</f>
        <v>#N/A Requesting Data...</v>
      </c>
      <c r="N771" t="str">
        <f>_xll.BDP("298245JM Muni","YTW_SPREAD_TO_MATURITY_AT_ISSU")</f>
        <v>#N/A Requesting Data...</v>
      </c>
      <c r="O771" t="str">
        <f>_xll.BDP("298245JM Muni","BVAL_MID_YTM")</f>
        <v>#N/A Requesting Data...</v>
      </c>
      <c r="P771" t="str">
        <f>_xll.BDP("298245JM Muni","MUNI_TAX_PROV")</f>
        <v>#N/A Requesting Data...</v>
      </c>
      <c r="Q771" t="str">
        <f>_xll.BDP("298245JM Muni","MUNI_FED_TAX")</f>
        <v>#N/A Requesting Data...</v>
      </c>
      <c r="R771" t="str">
        <f>_xll.BDP("298245JM Muni","MUNI_MSRB_VOLUME")</f>
        <v>#N/A Requesting Data...</v>
      </c>
      <c r="S771" t="str">
        <f>_xll.BDP("298245JM Muni","BB_COMPOSITE")</f>
        <v>#N/A Requesting Data...</v>
      </c>
      <c r="T771" t="str">
        <f>_xll.BDP("298245JM Muni","LQA_LIQUIDITY_SCORE")</f>
        <v>#N/A Requesting Data...</v>
      </c>
    </row>
    <row r="772" spans="1:20" x14ac:dyDescent="0.25">
      <c r="A772" t="str">
        <f>_xll.BDP("298245JN Muni","ID_CUSIP")</f>
        <v>#N/A Requesting Data...</v>
      </c>
      <c r="B772" t="s">
        <v>92</v>
      </c>
      <c r="C772" t="str">
        <f>_xll.BDP("298245JN Muni","INSURANCE_STATUS")</f>
        <v>#N/A Requesting Data...</v>
      </c>
      <c r="D772" t="str">
        <f>_xll.BDP("298245JN Muni","STATE_CODE")</f>
        <v>#N/A Requesting Data...</v>
      </c>
      <c r="E772" t="str">
        <f>_xll.BDP("298245JN Muni","COUNTY_LOCATION_ISSUER")</f>
        <v>#N/A Requesting Data...</v>
      </c>
      <c r="F772" t="str">
        <f>_xll.BDP("298245JN Muni","DUR_ADJ_MID")</f>
        <v>#N/A Requesting Data...</v>
      </c>
      <c r="G772" t="str">
        <f>_xll.BDP("298245JN Muni","SPREAD_AT_ISSUANCE_TO_WORST")</f>
        <v>#N/A Requesting Data...</v>
      </c>
      <c r="H772" t="str">
        <f>_xll.BDP("298245JN Muni","ISSUE_DT")</f>
        <v>#N/A Requesting Data...</v>
      </c>
      <c r="I772" t="str">
        <f>_xll.BDS("298245JN Muni","MUNI_PURPOSE_SCHED", "aggregate=y")</f>
        <v>#N/A Review</v>
      </c>
      <c r="J772" t="str">
        <f>_xll.BDP("298245JN Muni","CPN")</f>
        <v>#N/A Requesting Data...</v>
      </c>
      <c r="K772" t="str">
        <f>_xll.BDP("298245JN Muni","MATURITY")</f>
        <v>#N/A Requesting Data...</v>
      </c>
      <c r="L772">
        <v>1415000</v>
      </c>
      <c r="M772" t="str">
        <f>_xll.BDP("298245JN Muni","YIELD_ON_ISSUE_DATE")</f>
        <v>#N/A Requesting Data...</v>
      </c>
      <c r="N772" t="str">
        <f>_xll.BDP("298245JN Muni","YTW_SPREAD_TO_MATURITY_AT_ISSU")</f>
        <v>#N/A Requesting Data...</v>
      </c>
      <c r="O772" t="str">
        <f>_xll.BDP("298245JN Muni","BVAL_MID_YTM")</f>
        <v>#N/A Requesting Data...</v>
      </c>
      <c r="P772" t="str">
        <f>_xll.BDP("298245JN Muni","MUNI_TAX_PROV")</f>
        <v>#N/A Requesting Data...</v>
      </c>
      <c r="Q772" t="str">
        <f>_xll.BDP("298245JN Muni","MUNI_FED_TAX")</f>
        <v>#N/A Requesting Data...</v>
      </c>
      <c r="R772" t="str">
        <f>_xll.BDP("298245JN Muni","MUNI_MSRB_VOLUME")</f>
        <v>#N/A Requesting Data...</v>
      </c>
      <c r="S772" t="str">
        <f>_xll.BDP("298245JN Muni","BB_COMPOSITE")</f>
        <v>#N/A Requesting Data...</v>
      </c>
      <c r="T772" t="str">
        <f>_xll.BDP("298245JN Muni","LQA_LIQUIDITY_SCORE")</f>
        <v>#N/A Requesting Data...</v>
      </c>
    </row>
    <row r="773" spans="1:20" x14ac:dyDescent="0.25">
      <c r="A773" t="str">
        <f>_xll.BDP("298245JQ Muni","ID_CUSIP")</f>
        <v>#N/A Requesting Data...</v>
      </c>
      <c r="B773" t="s">
        <v>92</v>
      </c>
      <c r="C773" t="str">
        <f>_xll.BDP("298245JQ Muni","INSURANCE_STATUS")</f>
        <v>#N/A Requesting Data...</v>
      </c>
      <c r="D773" t="str">
        <f>_xll.BDP("298245JQ Muni","STATE_CODE")</f>
        <v>#N/A Requesting Data...</v>
      </c>
      <c r="E773" t="str">
        <f>_xll.BDP("298245JQ Muni","COUNTY_LOCATION_ISSUER")</f>
        <v>#N/A Requesting Data...</v>
      </c>
      <c r="F773" t="str">
        <f>_xll.BDP("298245JQ Muni","DUR_ADJ_MID")</f>
        <v>#N/A Requesting Data...</v>
      </c>
      <c r="G773" t="str">
        <f>_xll.BDP("298245JQ Muni","SPREAD_AT_ISSUANCE_TO_WORST")</f>
        <v>#N/A Requesting Data...</v>
      </c>
      <c r="H773" t="str">
        <f>_xll.BDP("298245JQ Muni","ISSUE_DT")</f>
        <v>#N/A Requesting Data...</v>
      </c>
      <c r="I773" t="str">
        <f>_xll.BDS("298245JQ Muni","MUNI_PURPOSE_SCHED", "aggregate=y")</f>
        <v>#N/A Review</v>
      </c>
      <c r="J773" t="str">
        <f>_xll.BDP("298245JQ Muni","CPN")</f>
        <v>#N/A Requesting Data...</v>
      </c>
      <c r="K773" t="str">
        <f>_xll.BDP("298245JQ Muni","MATURITY")</f>
        <v>#N/A Requesting Data...</v>
      </c>
      <c r="L773">
        <v>1530000</v>
      </c>
      <c r="M773" t="str">
        <f>_xll.BDP("298245JQ Muni","YIELD_ON_ISSUE_DATE")</f>
        <v>#N/A Requesting Data...</v>
      </c>
      <c r="N773" t="str">
        <f>_xll.BDP("298245JQ Muni","YTW_SPREAD_TO_MATURITY_AT_ISSU")</f>
        <v>#N/A Requesting Data...</v>
      </c>
      <c r="O773" t="str">
        <f>_xll.BDP("298245JQ Muni","BVAL_MID_YTM")</f>
        <v>#N/A Requesting Data...</v>
      </c>
      <c r="P773" t="str">
        <f>_xll.BDP("298245JQ Muni","MUNI_TAX_PROV")</f>
        <v>#N/A Requesting Data...</v>
      </c>
      <c r="Q773" t="str">
        <f>_xll.BDP("298245JQ Muni","MUNI_FED_TAX")</f>
        <v>#N/A Requesting Data...</v>
      </c>
      <c r="R773" t="str">
        <f>_xll.BDP("298245JQ Muni","MUNI_MSRB_VOLUME")</f>
        <v>#N/A Requesting Data...</v>
      </c>
      <c r="S773" t="str">
        <f>_xll.BDP("298245JQ Muni","BB_COMPOSITE")</f>
        <v>#N/A Requesting Data...</v>
      </c>
      <c r="T773" t="str">
        <f>_xll.BDP("298245JQ Muni","LQA_LIQUIDITY_SCORE")</f>
        <v>#N/A Requesting Data...</v>
      </c>
    </row>
    <row r="774" spans="1:20" x14ac:dyDescent="0.25">
      <c r="A774" t="str">
        <f>_xll.BDP("298865BB Muni","ID_CUSIP")</f>
        <v>#N/A Requesting Data...</v>
      </c>
      <c r="B774" t="s">
        <v>292</v>
      </c>
      <c r="C774" t="str">
        <f>_xll.BDP("298865BB Muni","INSURANCE_STATUS")</f>
        <v>#N/A Requesting Data...</v>
      </c>
      <c r="D774" t="str">
        <f>_xll.BDP("298865BB Muni","STATE_CODE")</f>
        <v>#N/A Requesting Data...</v>
      </c>
      <c r="E774" t="str">
        <f>_xll.BDP("298865BB Muni","COUNTY_LOCATION_ISSUER")</f>
        <v>#N/A Requesting Data...</v>
      </c>
      <c r="F774" t="str">
        <f>_xll.BDP("298865BB Muni","DUR_ADJ_MID")</f>
        <v>#N/A Requesting Data...</v>
      </c>
      <c r="G774" t="str">
        <f>_xll.BDP("298865BB Muni","SPREAD_AT_ISSUANCE_TO_WORST")</f>
        <v>#N/A Requesting Data...</v>
      </c>
      <c r="H774" t="str">
        <f>_xll.BDP("298865BB Muni","ISSUE_DT")</f>
        <v>#N/A Requesting Data...</v>
      </c>
      <c r="I774" t="str">
        <f>_xll.BDS("298865BB Muni","MUNI_PURPOSE_SCHED", "aggregate=y")</f>
        <v>#N/A Review</v>
      </c>
      <c r="J774" t="str">
        <f>_xll.BDP("298865BB Muni","CPN")</f>
        <v>#N/A Requesting Data...</v>
      </c>
      <c r="K774" t="str">
        <f>_xll.BDP("298865BB Muni","MATURITY")</f>
        <v>#N/A Requesting Data...</v>
      </c>
      <c r="L774">
        <v>315000</v>
      </c>
      <c r="M774" t="str">
        <f>_xll.BDP("298865BB Muni","YIELD_ON_ISSUE_DATE")</f>
        <v>#N/A Requesting Data...</v>
      </c>
      <c r="N774" t="str">
        <f>_xll.BDP("298865BB Muni","YTW_SPREAD_TO_MATURITY_AT_ISSU")</f>
        <v>#N/A Requesting Data...</v>
      </c>
      <c r="O774" t="str">
        <f>_xll.BDP("298865BB Muni","BVAL_MID_YTM")</f>
        <v>#N/A Requesting Data...</v>
      </c>
      <c r="P774" t="str">
        <f>_xll.BDP("298865BB Muni","MUNI_TAX_PROV")</f>
        <v>#N/A Requesting Data...</v>
      </c>
      <c r="Q774" t="str">
        <f>_xll.BDP("298865BB Muni","MUNI_FED_TAX")</f>
        <v>#N/A Requesting Data...</v>
      </c>
      <c r="R774" t="str">
        <f>_xll.BDP("298865BB Muni","MUNI_MSRB_VOLUME")</f>
        <v>#N/A Requesting Data...</v>
      </c>
      <c r="S774" t="str">
        <f>_xll.BDP("298865BB Muni","BB_COMPOSITE")</f>
        <v>#N/A Requesting Data...</v>
      </c>
      <c r="T774" t="str">
        <f>_xll.BDP("298865BB Muni","LQA_LIQUIDITY_SCORE")</f>
        <v>#N/A Requesting Data...</v>
      </c>
    </row>
    <row r="775" spans="1:20" x14ac:dyDescent="0.25">
      <c r="A775" t="str">
        <f>_xll.BDP("298865BC Muni","ID_CUSIP")</f>
        <v>#N/A Requesting Data...</v>
      </c>
      <c r="B775" t="s">
        <v>292</v>
      </c>
      <c r="C775" t="str">
        <f>_xll.BDP("298865BC Muni","INSURANCE_STATUS")</f>
        <v>#N/A Requesting Data...</v>
      </c>
      <c r="D775" t="str">
        <f>_xll.BDP("298865BC Muni","STATE_CODE")</f>
        <v>#N/A Requesting Data...</v>
      </c>
      <c r="E775" t="str">
        <f>_xll.BDP("298865BC Muni","COUNTY_LOCATION_ISSUER")</f>
        <v>#N/A Requesting Data...</v>
      </c>
      <c r="F775" t="str">
        <f>_xll.BDP("298865BC Muni","DUR_ADJ_MID")</f>
        <v>#N/A Requesting Data...</v>
      </c>
      <c r="G775" t="str">
        <f>_xll.BDP("298865BC Muni","SPREAD_AT_ISSUANCE_TO_WORST")</f>
        <v>#N/A Requesting Data...</v>
      </c>
      <c r="H775" t="str">
        <f>_xll.BDP("298865BC Muni","ISSUE_DT")</f>
        <v>#N/A Requesting Data...</v>
      </c>
      <c r="I775" t="str">
        <f>_xll.BDS("298865BC Muni","MUNI_PURPOSE_SCHED", "aggregate=y")</f>
        <v>#N/A Review</v>
      </c>
      <c r="J775" t="str">
        <f>_xll.BDP("298865BC Muni","CPN")</f>
        <v>#N/A Requesting Data...</v>
      </c>
      <c r="K775" t="str">
        <f>_xll.BDP("298865BC Muni","MATURITY")</f>
        <v>#N/A Requesting Data...</v>
      </c>
      <c r="L775">
        <v>330000</v>
      </c>
      <c r="M775" t="str">
        <f>_xll.BDP("298865BC Muni","YIELD_ON_ISSUE_DATE")</f>
        <v>#N/A Requesting Data...</v>
      </c>
      <c r="N775" t="str">
        <f>_xll.BDP("298865BC Muni","YTW_SPREAD_TO_MATURITY_AT_ISSU")</f>
        <v>#N/A Requesting Data...</v>
      </c>
      <c r="O775" t="str">
        <f>_xll.BDP("298865BC Muni","BVAL_MID_YTM")</f>
        <v>#N/A Requesting Data...</v>
      </c>
      <c r="P775" t="str">
        <f>_xll.BDP("298865BC Muni","MUNI_TAX_PROV")</f>
        <v>#N/A Requesting Data...</v>
      </c>
      <c r="Q775" t="str">
        <f>_xll.BDP("298865BC Muni","MUNI_FED_TAX")</f>
        <v>#N/A Requesting Data...</v>
      </c>
      <c r="R775" t="str">
        <f>_xll.BDP("298865BC Muni","MUNI_MSRB_VOLUME")</f>
        <v>#N/A Requesting Data...</v>
      </c>
      <c r="S775" t="str">
        <f>_xll.BDP("298865BC Muni","BB_COMPOSITE")</f>
        <v>#N/A Requesting Data...</v>
      </c>
      <c r="T775" t="str">
        <f>_xll.BDP("298865BC Muni","LQA_LIQUIDITY_SCORE")</f>
        <v>#N/A Requesting Data...</v>
      </c>
    </row>
    <row r="776" spans="1:20" x14ac:dyDescent="0.25">
      <c r="A776" t="str">
        <f>_xll.BDP("298865BD Muni","ID_CUSIP")</f>
        <v>#N/A Requesting Data...</v>
      </c>
      <c r="B776" t="s">
        <v>292</v>
      </c>
      <c r="C776" t="str">
        <f>_xll.BDP("298865BD Muni","INSURANCE_STATUS")</f>
        <v>#N/A Requesting Data...</v>
      </c>
      <c r="D776" t="str">
        <f>_xll.BDP("298865BD Muni","STATE_CODE")</f>
        <v>#N/A Requesting Data...</v>
      </c>
      <c r="E776" t="str">
        <f>_xll.BDP("298865BD Muni","COUNTY_LOCATION_ISSUER")</f>
        <v>#N/A Requesting Data...</v>
      </c>
      <c r="F776" t="str">
        <f>_xll.BDP("298865BD Muni","DUR_ADJ_MID")</f>
        <v>#N/A Requesting Data...</v>
      </c>
      <c r="G776" t="str">
        <f>_xll.BDP("298865BD Muni","SPREAD_AT_ISSUANCE_TO_WORST")</f>
        <v>#N/A Requesting Data...</v>
      </c>
      <c r="H776" t="str">
        <f>_xll.BDP("298865BD Muni","ISSUE_DT")</f>
        <v>#N/A Requesting Data...</v>
      </c>
      <c r="I776" t="str">
        <f>_xll.BDS("298865BD Muni","MUNI_PURPOSE_SCHED", "aggregate=y")</f>
        <v>#N/A Review</v>
      </c>
      <c r="J776" t="str">
        <f>_xll.BDP("298865BD Muni","CPN")</f>
        <v>#N/A Requesting Data...</v>
      </c>
      <c r="K776" t="str">
        <f>_xll.BDP("298865BD Muni","MATURITY")</f>
        <v>#N/A Requesting Data...</v>
      </c>
      <c r="L776">
        <v>340000</v>
      </c>
      <c r="M776" t="str">
        <f>_xll.BDP("298865BD Muni","YIELD_ON_ISSUE_DATE")</f>
        <v>#N/A Requesting Data...</v>
      </c>
      <c r="N776" t="str">
        <f>_xll.BDP("298865BD Muni","YTW_SPREAD_TO_MATURITY_AT_ISSU")</f>
        <v>#N/A Requesting Data...</v>
      </c>
      <c r="O776" t="str">
        <f>_xll.BDP("298865BD Muni","BVAL_MID_YTM")</f>
        <v>#N/A Requesting Data...</v>
      </c>
      <c r="P776" t="str">
        <f>_xll.BDP("298865BD Muni","MUNI_TAX_PROV")</f>
        <v>#N/A Requesting Data...</v>
      </c>
      <c r="Q776" t="str">
        <f>_xll.BDP("298865BD Muni","MUNI_FED_TAX")</f>
        <v>#N/A Requesting Data...</v>
      </c>
      <c r="R776" t="str">
        <f>_xll.BDP("298865BD Muni","MUNI_MSRB_VOLUME")</f>
        <v>#N/A Requesting Data...</v>
      </c>
      <c r="S776" t="str">
        <f>_xll.BDP("298865BD Muni","BB_COMPOSITE")</f>
        <v>#N/A Requesting Data...</v>
      </c>
      <c r="T776" t="str">
        <f>_xll.BDP("298865BD Muni","LQA_LIQUIDITY_SCORE")</f>
        <v>#N/A Requesting Data...</v>
      </c>
    </row>
    <row r="777" spans="1:20" x14ac:dyDescent="0.25">
      <c r="A777" t="str">
        <f>_xll.BDP("298865BE Muni","ID_CUSIP")</f>
        <v>#N/A Requesting Data...</v>
      </c>
      <c r="B777" t="s">
        <v>292</v>
      </c>
      <c r="C777" t="str">
        <f>_xll.BDP("298865BE Muni","INSURANCE_STATUS")</f>
        <v>#N/A Requesting Data...</v>
      </c>
      <c r="D777" t="str">
        <f>_xll.BDP("298865BE Muni","STATE_CODE")</f>
        <v>#N/A Requesting Data...</v>
      </c>
      <c r="E777" t="str">
        <f>_xll.BDP("298865BE Muni","COUNTY_LOCATION_ISSUER")</f>
        <v>#N/A Requesting Data...</v>
      </c>
      <c r="F777" t="str">
        <f>_xll.BDP("298865BE Muni","DUR_ADJ_MID")</f>
        <v>#N/A Requesting Data...</v>
      </c>
      <c r="G777" t="str">
        <f>_xll.BDP("298865BE Muni","SPREAD_AT_ISSUANCE_TO_WORST")</f>
        <v>#N/A Requesting Data...</v>
      </c>
      <c r="H777" t="str">
        <f>_xll.BDP("298865BE Muni","ISSUE_DT")</f>
        <v>#N/A Requesting Data...</v>
      </c>
      <c r="I777" t="str">
        <f>_xll.BDS("298865BE Muni","MUNI_PURPOSE_SCHED", "aggregate=y")</f>
        <v>#N/A Review</v>
      </c>
      <c r="J777" t="str">
        <f>_xll.BDP("298865BE Muni","CPN")</f>
        <v>#N/A Requesting Data...</v>
      </c>
      <c r="K777" t="str">
        <f>_xll.BDP("298865BE Muni","MATURITY")</f>
        <v>#N/A Requesting Data...</v>
      </c>
      <c r="L777">
        <v>355000</v>
      </c>
      <c r="M777" t="str">
        <f>_xll.BDP("298865BE Muni","YIELD_ON_ISSUE_DATE")</f>
        <v>#N/A Requesting Data...</v>
      </c>
      <c r="N777" t="str">
        <f>_xll.BDP("298865BE Muni","YTW_SPREAD_TO_MATURITY_AT_ISSU")</f>
        <v>#N/A Requesting Data...</v>
      </c>
      <c r="O777" t="str">
        <f>_xll.BDP("298865BE Muni","BVAL_MID_YTM")</f>
        <v>#N/A Requesting Data...</v>
      </c>
      <c r="P777" t="str">
        <f>_xll.BDP("298865BE Muni","MUNI_TAX_PROV")</f>
        <v>#N/A Requesting Data...</v>
      </c>
      <c r="Q777" t="str">
        <f>_xll.BDP("298865BE Muni","MUNI_FED_TAX")</f>
        <v>#N/A Requesting Data...</v>
      </c>
      <c r="R777" t="str">
        <f>_xll.BDP("298865BE Muni","MUNI_MSRB_VOLUME")</f>
        <v>#N/A Requesting Data...</v>
      </c>
      <c r="S777" t="str">
        <f>_xll.BDP("298865BE Muni","BB_COMPOSITE")</f>
        <v>#N/A Requesting Data...</v>
      </c>
      <c r="T777" t="str">
        <f>_xll.BDP("298865BE Muni","LQA_LIQUIDITY_SCORE")</f>
        <v>#N/A Requesting Data...</v>
      </c>
    </row>
    <row r="778" spans="1:20" x14ac:dyDescent="0.25">
      <c r="A778" t="str">
        <f>_xll.BDP("298865BF Muni","ID_CUSIP")</f>
        <v>#N/A Requesting Data...</v>
      </c>
      <c r="B778" t="s">
        <v>292</v>
      </c>
      <c r="C778" t="str">
        <f>_xll.BDP("298865BF Muni","INSURANCE_STATUS")</f>
        <v>#N/A Requesting Data...</v>
      </c>
      <c r="D778" t="str">
        <f>_xll.BDP("298865BF Muni","STATE_CODE")</f>
        <v>#N/A Requesting Data...</v>
      </c>
      <c r="E778" t="str">
        <f>_xll.BDP("298865BF Muni","COUNTY_LOCATION_ISSUER")</f>
        <v>#N/A Requesting Data...</v>
      </c>
      <c r="F778" t="str">
        <f>_xll.BDP("298865BF Muni","DUR_ADJ_MID")</f>
        <v>#N/A Requesting Data...</v>
      </c>
      <c r="G778" t="str">
        <f>_xll.BDP("298865BF Muni","SPREAD_AT_ISSUANCE_TO_WORST")</f>
        <v>#N/A Requesting Data...</v>
      </c>
      <c r="H778" t="str">
        <f>_xll.BDP("298865BF Muni","ISSUE_DT")</f>
        <v>#N/A Requesting Data...</v>
      </c>
      <c r="I778" t="str">
        <f>_xll.BDS("298865BF Muni","MUNI_PURPOSE_SCHED", "aggregate=y")</f>
        <v>#N/A Review</v>
      </c>
      <c r="J778" t="str">
        <f>_xll.BDP("298865BF Muni","CPN")</f>
        <v>#N/A Requesting Data...</v>
      </c>
      <c r="K778" t="str">
        <f>_xll.BDP("298865BF Muni","MATURITY")</f>
        <v>#N/A Requesting Data...</v>
      </c>
      <c r="L778">
        <v>365000</v>
      </c>
      <c r="M778" t="str">
        <f>_xll.BDP("298865BF Muni","YIELD_ON_ISSUE_DATE")</f>
        <v>#N/A Requesting Data...</v>
      </c>
      <c r="N778" t="str">
        <f>_xll.BDP("298865BF Muni","YTW_SPREAD_TO_MATURITY_AT_ISSU")</f>
        <v>#N/A Requesting Data...</v>
      </c>
      <c r="O778" t="str">
        <f>_xll.BDP("298865BF Muni","BVAL_MID_YTM")</f>
        <v>#N/A Requesting Data...</v>
      </c>
      <c r="P778" t="str">
        <f>_xll.BDP("298865BF Muni","MUNI_TAX_PROV")</f>
        <v>#N/A Requesting Data...</v>
      </c>
      <c r="Q778" t="str">
        <f>_xll.BDP("298865BF Muni","MUNI_FED_TAX")</f>
        <v>#N/A Requesting Data...</v>
      </c>
      <c r="R778" t="str">
        <f>_xll.BDP("298865BF Muni","MUNI_MSRB_VOLUME")</f>
        <v>#N/A Requesting Data...</v>
      </c>
      <c r="S778" t="str">
        <f>_xll.BDP("298865BF Muni","BB_COMPOSITE")</f>
        <v>#N/A Requesting Data...</v>
      </c>
      <c r="T778" t="str">
        <f>_xll.BDP("298865BF Muni","LQA_LIQUIDITY_SCORE")</f>
        <v>#N/A Requesting Data...</v>
      </c>
    </row>
    <row r="779" spans="1:20" x14ac:dyDescent="0.25">
      <c r="A779" t="str">
        <f>_xll.BDP("299488DE Muni","ID_CUSIP")</f>
        <v>#N/A Requesting Data...</v>
      </c>
      <c r="B779" t="s">
        <v>293</v>
      </c>
      <c r="C779" t="str">
        <f>_xll.BDP("299488DE Muni","INSURANCE_STATUS")</f>
        <v>#N/A Requesting Data...</v>
      </c>
      <c r="D779" t="str">
        <f>_xll.BDP("299488DE Muni","STATE_CODE")</f>
        <v>#N/A Requesting Data...</v>
      </c>
      <c r="E779" t="str">
        <f>_xll.BDP("299488DE Muni","COUNTY_LOCATION_ISSUER")</f>
        <v>#N/A Requesting Data...</v>
      </c>
      <c r="F779" t="str">
        <f>_xll.BDP("299488DE Muni","DUR_ADJ_MID")</f>
        <v>#N/A Requesting Data...</v>
      </c>
      <c r="G779" t="str">
        <f>_xll.BDP("299488DE Muni","SPREAD_AT_ISSUANCE_TO_WORST")</f>
        <v>#N/A Requesting Data...</v>
      </c>
      <c r="H779" t="str">
        <f>_xll.BDP("299488DE Muni","ISSUE_DT")</f>
        <v>#N/A Requesting Data...</v>
      </c>
      <c r="I779" t="str">
        <f>_xll.BDS("299488DE Muni","MUNI_PURPOSE_SCHED", "aggregate=y")</f>
        <v>#N/A Review</v>
      </c>
      <c r="J779" t="str">
        <f>_xll.BDP("299488DE Muni","CPN")</f>
        <v>#N/A Requesting Data...</v>
      </c>
      <c r="K779" t="str">
        <f>_xll.BDP("299488DE Muni","MATURITY")</f>
        <v>#N/A Requesting Data...</v>
      </c>
      <c r="L779">
        <v>1620000</v>
      </c>
      <c r="M779" t="str">
        <f>_xll.BDP("299488DE Muni","YIELD_ON_ISSUE_DATE")</f>
        <v>#N/A Requesting Data...</v>
      </c>
      <c r="N779" t="str">
        <f>_xll.BDP("299488DE Muni","YTW_SPREAD_TO_MATURITY_AT_ISSU")</f>
        <v>#N/A Requesting Data...</v>
      </c>
      <c r="O779" t="str">
        <f>_xll.BDP("299488DE Muni","BVAL_MID_YTM")</f>
        <v>#N/A Requesting Data...</v>
      </c>
      <c r="P779" t="str">
        <f>_xll.BDP("299488DE Muni","MUNI_TAX_PROV")</f>
        <v>#N/A Requesting Data...</v>
      </c>
      <c r="Q779" t="str">
        <f>_xll.BDP("299488DE Muni","MUNI_FED_TAX")</f>
        <v>#N/A Requesting Data...</v>
      </c>
      <c r="R779" t="str">
        <f>_xll.BDP("299488DE Muni","MUNI_MSRB_VOLUME")</f>
        <v>#N/A Requesting Data...</v>
      </c>
      <c r="S779" t="str">
        <f>_xll.BDP("299488DE Muni","BB_COMPOSITE")</f>
        <v>#N/A Requesting Data...</v>
      </c>
      <c r="T779" t="str">
        <f>_xll.BDP("299488DE Muni","LQA_LIQUIDITY_SCORE")</f>
        <v>#N/A Requesting Data...</v>
      </c>
    </row>
    <row r="780" spans="1:20" x14ac:dyDescent="0.25">
      <c r="A780" t="str">
        <f>_xll.BDP("299488DF Muni","ID_CUSIP")</f>
        <v>#N/A Requesting Data...</v>
      </c>
      <c r="B780" t="s">
        <v>293</v>
      </c>
      <c r="C780" t="str">
        <f>_xll.BDP("299488DF Muni","INSURANCE_STATUS")</f>
        <v>#N/A Requesting Data...</v>
      </c>
      <c r="D780" t="str">
        <f>_xll.BDP("299488DF Muni","STATE_CODE")</f>
        <v>#N/A Requesting Data...</v>
      </c>
      <c r="E780" t="str">
        <f>_xll.BDP("299488DF Muni","COUNTY_LOCATION_ISSUER")</f>
        <v>#N/A Requesting Data...</v>
      </c>
      <c r="F780" t="str">
        <f>_xll.BDP("299488DF Muni","DUR_ADJ_MID")</f>
        <v>#N/A Requesting Data...</v>
      </c>
      <c r="G780" t="str">
        <f>_xll.BDP("299488DF Muni","SPREAD_AT_ISSUANCE_TO_WORST")</f>
        <v>#N/A Requesting Data...</v>
      </c>
      <c r="H780" t="str">
        <f>_xll.BDP("299488DF Muni","ISSUE_DT")</f>
        <v>#N/A Requesting Data...</v>
      </c>
      <c r="I780" t="str">
        <f>_xll.BDS("299488DF Muni","MUNI_PURPOSE_SCHED", "aggregate=y")</f>
        <v>#N/A Review</v>
      </c>
      <c r="J780" t="str">
        <f>_xll.BDP("299488DF Muni","CPN")</f>
        <v>#N/A Requesting Data...</v>
      </c>
      <c r="K780" t="str">
        <f>_xll.BDP("299488DF Muni","MATURITY")</f>
        <v>#N/A Requesting Data...</v>
      </c>
      <c r="L780">
        <v>1690000</v>
      </c>
      <c r="M780" t="str">
        <f>_xll.BDP("299488DF Muni","YIELD_ON_ISSUE_DATE")</f>
        <v>#N/A Requesting Data...</v>
      </c>
      <c r="N780" t="str">
        <f>_xll.BDP("299488DF Muni","YTW_SPREAD_TO_MATURITY_AT_ISSU")</f>
        <v>#N/A Requesting Data...</v>
      </c>
      <c r="O780" t="str">
        <f>_xll.BDP("299488DF Muni","BVAL_MID_YTM")</f>
        <v>#N/A Requesting Data...</v>
      </c>
      <c r="P780" t="str">
        <f>_xll.BDP("299488DF Muni","MUNI_TAX_PROV")</f>
        <v>#N/A Requesting Data...</v>
      </c>
      <c r="Q780" t="str">
        <f>_xll.BDP("299488DF Muni","MUNI_FED_TAX")</f>
        <v>#N/A Requesting Data...</v>
      </c>
      <c r="R780" t="str">
        <f>_xll.BDP("299488DF Muni","MUNI_MSRB_VOLUME")</f>
        <v>#N/A Requesting Data...</v>
      </c>
      <c r="S780" t="str">
        <f>_xll.BDP("299488DF Muni","BB_COMPOSITE")</f>
        <v>#N/A Requesting Data...</v>
      </c>
      <c r="T780" t="str">
        <f>_xll.BDP("299488DF Muni","LQA_LIQUIDITY_SCORE")</f>
        <v>#N/A Requesting Data...</v>
      </c>
    </row>
    <row r="781" spans="1:20" x14ac:dyDescent="0.25">
      <c r="A781" t="str">
        <f>_xll.BDP("299488DG Muni","ID_CUSIP")</f>
        <v>#N/A Requesting Data...</v>
      </c>
      <c r="B781" t="s">
        <v>293</v>
      </c>
      <c r="C781" t="str">
        <f>_xll.BDP("299488DG Muni","INSURANCE_STATUS")</f>
        <v>#N/A Requesting Data...</v>
      </c>
      <c r="D781" t="str">
        <f>_xll.BDP("299488DG Muni","STATE_CODE")</f>
        <v>#N/A Requesting Data...</v>
      </c>
      <c r="E781" t="str">
        <f>_xll.BDP("299488DG Muni","COUNTY_LOCATION_ISSUER")</f>
        <v>#N/A Requesting Data...</v>
      </c>
      <c r="F781" t="str">
        <f>_xll.BDP("299488DG Muni","DUR_ADJ_MID")</f>
        <v>#N/A Requesting Data...</v>
      </c>
      <c r="G781" t="str">
        <f>_xll.BDP("299488DG Muni","SPREAD_AT_ISSUANCE_TO_WORST")</f>
        <v>#N/A Requesting Data...</v>
      </c>
      <c r="H781" t="str">
        <f>_xll.BDP("299488DG Muni","ISSUE_DT")</f>
        <v>#N/A Requesting Data...</v>
      </c>
      <c r="I781" t="str">
        <f>_xll.BDS("299488DG Muni","MUNI_PURPOSE_SCHED", "aggregate=y")</f>
        <v>#N/A Review</v>
      </c>
      <c r="J781" t="str">
        <f>_xll.BDP("299488DG Muni","CPN")</f>
        <v>#N/A Requesting Data...</v>
      </c>
      <c r="K781" t="str">
        <f>_xll.BDP("299488DG Muni","MATURITY")</f>
        <v>#N/A Requesting Data...</v>
      </c>
      <c r="L781">
        <v>1705000</v>
      </c>
      <c r="M781" t="str">
        <f>_xll.BDP("299488DG Muni","YIELD_ON_ISSUE_DATE")</f>
        <v>#N/A Requesting Data...</v>
      </c>
      <c r="N781" t="str">
        <f>_xll.BDP("299488DG Muni","YTW_SPREAD_TO_MATURITY_AT_ISSU")</f>
        <v>#N/A Requesting Data...</v>
      </c>
      <c r="O781" t="str">
        <f>_xll.BDP("299488DG Muni","BVAL_MID_YTM")</f>
        <v>#N/A Requesting Data...</v>
      </c>
      <c r="P781" t="str">
        <f>_xll.BDP("299488DG Muni","MUNI_TAX_PROV")</f>
        <v>#N/A Requesting Data...</v>
      </c>
      <c r="Q781" t="str">
        <f>_xll.BDP("299488DG Muni","MUNI_FED_TAX")</f>
        <v>#N/A Requesting Data...</v>
      </c>
      <c r="R781" t="str">
        <f>_xll.BDP("299488DG Muni","MUNI_MSRB_VOLUME")</f>
        <v>#N/A Requesting Data...</v>
      </c>
      <c r="S781" t="str">
        <f>_xll.BDP("299488DG Muni","BB_COMPOSITE")</f>
        <v>#N/A Requesting Data...</v>
      </c>
      <c r="T781" t="str">
        <f>_xll.BDP("299488DG Muni","LQA_LIQUIDITY_SCORE")</f>
        <v>#N/A Requesting Data...</v>
      </c>
    </row>
    <row r="782" spans="1:20" x14ac:dyDescent="0.25">
      <c r="A782" t="str">
        <f>_xll.BDP("299488DH Muni","ID_CUSIP")</f>
        <v>#N/A Requesting Data...</v>
      </c>
      <c r="B782" t="s">
        <v>293</v>
      </c>
      <c r="C782" t="str">
        <f>_xll.BDP("299488DH Muni","INSURANCE_STATUS")</f>
        <v>#N/A Requesting Data...</v>
      </c>
      <c r="D782" t="str">
        <f>_xll.BDP("299488DH Muni","STATE_CODE")</f>
        <v>#N/A Requesting Data...</v>
      </c>
      <c r="E782" t="str">
        <f>_xll.BDP("299488DH Muni","COUNTY_LOCATION_ISSUER")</f>
        <v>#N/A Requesting Data...</v>
      </c>
      <c r="F782" t="str">
        <f>_xll.BDP("299488DH Muni","DUR_ADJ_MID")</f>
        <v>#N/A Requesting Data...</v>
      </c>
      <c r="G782" t="str">
        <f>_xll.BDP("299488DH Muni","SPREAD_AT_ISSUANCE_TO_WORST")</f>
        <v>#N/A Requesting Data...</v>
      </c>
      <c r="H782" t="str">
        <f>_xll.BDP("299488DH Muni","ISSUE_DT")</f>
        <v>#N/A Requesting Data...</v>
      </c>
      <c r="I782" t="str">
        <f>_xll.BDS("299488DH Muni","MUNI_PURPOSE_SCHED", "aggregate=y")</f>
        <v>#N/A Review</v>
      </c>
      <c r="J782" t="str">
        <f>_xll.BDP("299488DH Muni","CPN")</f>
        <v>#N/A Requesting Data...</v>
      </c>
      <c r="K782" t="str">
        <f>_xll.BDP("299488DH Muni","MATURITY")</f>
        <v>#N/A Requesting Data...</v>
      </c>
      <c r="L782">
        <v>1595000</v>
      </c>
      <c r="M782" t="str">
        <f>_xll.BDP("299488DH Muni","YIELD_ON_ISSUE_DATE")</f>
        <v>#N/A Requesting Data...</v>
      </c>
      <c r="N782" t="str">
        <f>_xll.BDP("299488DH Muni","YTW_SPREAD_TO_MATURITY_AT_ISSU")</f>
        <v>#N/A Requesting Data...</v>
      </c>
      <c r="O782" t="str">
        <f>_xll.BDP("299488DH Muni","BVAL_MID_YTM")</f>
        <v>#N/A Requesting Data...</v>
      </c>
      <c r="P782" t="str">
        <f>_xll.BDP("299488DH Muni","MUNI_TAX_PROV")</f>
        <v>#N/A Requesting Data...</v>
      </c>
      <c r="Q782" t="str">
        <f>_xll.BDP("299488DH Muni","MUNI_FED_TAX")</f>
        <v>#N/A Requesting Data...</v>
      </c>
      <c r="R782" t="str">
        <f>_xll.BDP("299488DH Muni","MUNI_MSRB_VOLUME")</f>
        <v>#N/A Requesting Data...</v>
      </c>
      <c r="S782" t="str">
        <f>_xll.BDP("299488DH Muni","BB_COMPOSITE")</f>
        <v>#N/A Requesting Data...</v>
      </c>
      <c r="T782" t="str">
        <f>_xll.BDP("299488DH Muni","LQA_LIQUIDITY_SCORE")</f>
        <v>#N/A Requesting Data...</v>
      </c>
    </row>
    <row r="783" spans="1:20" x14ac:dyDescent="0.25">
      <c r="A783" t="str">
        <f>_xll.BDP("299488DJ Muni","ID_CUSIP")</f>
        <v>#N/A Requesting Data...</v>
      </c>
      <c r="B783" t="s">
        <v>293</v>
      </c>
      <c r="C783" t="str">
        <f>_xll.BDP("299488DJ Muni","INSURANCE_STATUS")</f>
        <v>#N/A Requesting Data...</v>
      </c>
      <c r="D783" t="str">
        <f>_xll.BDP("299488DJ Muni","STATE_CODE")</f>
        <v>#N/A Requesting Data...</v>
      </c>
      <c r="E783" t="str">
        <f>_xll.BDP("299488DJ Muni","COUNTY_LOCATION_ISSUER")</f>
        <v>#N/A Requesting Data...</v>
      </c>
      <c r="F783" t="str">
        <f>_xll.BDP("299488DJ Muni","DUR_ADJ_MID")</f>
        <v>#N/A Requesting Data...</v>
      </c>
      <c r="G783" t="str">
        <f>_xll.BDP("299488DJ Muni","SPREAD_AT_ISSUANCE_TO_WORST")</f>
        <v>#N/A Requesting Data...</v>
      </c>
      <c r="H783" t="str">
        <f>_xll.BDP("299488DJ Muni","ISSUE_DT")</f>
        <v>#N/A Requesting Data...</v>
      </c>
      <c r="I783" t="str">
        <f>_xll.BDS("299488DJ Muni","MUNI_PURPOSE_SCHED", "aggregate=y")</f>
        <v>#N/A Review</v>
      </c>
      <c r="J783" t="str">
        <f>_xll.BDP("299488DJ Muni","CPN")</f>
        <v>#N/A Requesting Data...</v>
      </c>
      <c r="K783" t="str">
        <f>_xll.BDP("299488DJ Muni","MATURITY")</f>
        <v>#N/A Requesting Data...</v>
      </c>
      <c r="L783">
        <v>1660000</v>
      </c>
      <c r="M783" t="str">
        <f>_xll.BDP("299488DJ Muni","YIELD_ON_ISSUE_DATE")</f>
        <v>#N/A Requesting Data...</v>
      </c>
      <c r="N783" t="str">
        <f>_xll.BDP("299488DJ Muni","YTW_SPREAD_TO_MATURITY_AT_ISSU")</f>
        <v>#N/A Requesting Data...</v>
      </c>
      <c r="O783" t="str">
        <f>_xll.BDP("299488DJ Muni","BVAL_MID_YTM")</f>
        <v>#N/A Requesting Data...</v>
      </c>
      <c r="P783" t="str">
        <f>_xll.BDP("299488DJ Muni","MUNI_TAX_PROV")</f>
        <v>#N/A Requesting Data...</v>
      </c>
      <c r="Q783" t="str">
        <f>_xll.BDP("299488DJ Muni","MUNI_FED_TAX")</f>
        <v>#N/A Requesting Data...</v>
      </c>
      <c r="R783" t="str">
        <f>_xll.BDP("299488DJ Muni","MUNI_MSRB_VOLUME")</f>
        <v>#N/A Requesting Data...</v>
      </c>
      <c r="S783" t="str">
        <f>_xll.BDP("299488DJ Muni","BB_COMPOSITE")</f>
        <v>#N/A Requesting Data...</v>
      </c>
      <c r="T783" t="str">
        <f>_xll.BDP("299488DJ Muni","LQA_LIQUIDITY_SCORE")</f>
        <v>#N/A Requesting Data...</v>
      </c>
    </row>
    <row r="784" spans="1:20" x14ac:dyDescent="0.25">
      <c r="A784" t="str">
        <f>_xll.BDP("303279JV Muni","ID_CUSIP")</f>
        <v>#N/A Requesting Data...</v>
      </c>
      <c r="B784" t="s">
        <v>294</v>
      </c>
      <c r="C784" t="str">
        <f>_xll.BDP("303279JV Muni","INSURANCE_STATUS")</f>
        <v>#N/A Requesting Data...</v>
      </c>
      <c r="D784" t="str">
        <f>_xll.BDP("303279JV Muni","STATE_CODE")</f>
        <v>#N/A Requesting Data...</v>
      </c>
      <c r="E784" t="str">
        <f>_xll.BDP("303279JV Muni","COUNTY_LOCATION_ISSUER")</f>
        <v>#N/A Requesting Data...</v>
      </c>
      <c r="F784" t="str">
        <f>_xll.BDP("303279JV Muni","DUR_ADJ_MID")</f>
        <v>#N/A Requesting Data...</v>
      </c>
      <c r="G784" t="str">
        <f>_xll.BDP("303279JV Muni","SPREAD_AT_ISSUANCE_TO_WORST")</f>
        <v>#N/A Requesting Data...</v>
      </c>
      <c r="H784" t="str">
        <f>_xll.BDP("303279JV Muni","ISSUE_DT")</f>
        <v>#N/A Requesting Data...</v>
      </c>
      <c r="I784" t="str">
        <f>_xll.BDS("303279JV Muni","MUNI_PURPOSE_SCHED", "aggregate=y")</f>
        <v>#N/A Review</v>
      </c>
      <c r="J784" t="str">
        <f>_xll.BDP("303279JV Muni","CPN")</f>
        <v>#N/A Requesting Data...</v>
      </c>
      <c r="K784" t="str">
        <f>_xll.BDP("303279JV Muni","MATURITY")</f>
        <v>#N/A Requesting Data...</v>
      </c>
      <c r="L784">
        <v>950000</v>
      </c>
      <c r="M784" t="str">
        <f>_xll.BDP("303279JV Muni","YIELD_ON_ISSUE_DATE")</f>
        <v>#N/A Requesting Data...</v>
      </c>
      <c r="N784" t="str">
        <f>_xll.BDP("303279JV Muni","YTW_SPREAD_TO_MATURITY_AT_ISSU")</f>
        <v>#N/A Requesting Data...</v>
      </c>
      <c r="O784" t="str">
        <f>_xll.BDP("303279JV Muni","BVAL_MID_YTM")</f>
        <v>#N/A Requesting Data...</v>
      </c>
      <c r="P784" t="str">
        <f>_xll.BDP("303279JV Muni","MUNI_TAX_PROV")</f>
        <v>#N/A Requesting Data...</v>
      </c>
      <c r="Q784" t="str">
        <f>_xll.BDP("303279JV Muni","MUNI_FED_TAX")</f>
        <v>#N/A Requesting Data...</v>
      </c>
      <c r="R784" t="str">
        <f>_xll.BDP("303279JV Muni","MUNI_MSRB_VOLUME")</f>
        <v>#N/A Requesting Data...</v>
      </c>
      <c r="S784" t="str">
        <f>_xll.BDP("303279JV Muni","BB_COMPOSITE")</f>
        <v>#N/A Requesting Data...</v>
      </c>
      <c r="T784" t="str">
        <f>_xll.BDP("303279JV Muni","LQA_LIQUIDITY_SCORE")</f>
        <v>#N/A Requesting Data...</v>
      </c>
    </row>
    <row r="785" spans="1:20" x14ac:dyDescent="0.25">
      <c r="A785" t="str">
        <f>_xll.BDP("303279JW Muni","ID_CUSIP")</f>
        <v>#N/A Requesting Data...</v>
      </c>
      <c r="B785" t="s">
        <v>294</v>
      </c>
      <c r="C785" t="str">
        <f>_xll.BDP("303279JW Muni","INSURANCE_STATUS")</f>
        <v>#N/A Requesting Data...</v>
      </c>
      <c r="D785" t="str">
        <f>_xll.BDP("303279JW Muni","STATE_CODE")</f>
        <v>#N/A Requesting Data...</v>
      </c>
      <c r="E785" t="str">
        <f>_xll.BDP("303279JW Muni","COUNTY_LOCATION_ISSUER")</f>
        <v>#N/A Requesting Data...</v>
      </c>
      <c r="F785" t="str">
        <f>_xll.BDP("303279JW Muni","DUR_ADJ_MID")</f>
        <v>#N/A Requesting Data...</v>
      </c>
      <c r="G785" t="str">
        <f>_xll.BDP("303279JW Muni","SPREAD_AT_ISSUANCE_TO_WORST")</f>
        <v>#N/A Requesting Data...</v>
      </c>
      <c r="H785" t="str">
        <f>_xll.BDP("303279JW Muni","ISSUE_DT")</f>
        <v>#N/A Requesting Data...</v>
      </c>
      <c r="I785" t="str">
        <f>_xll.BDS("303279JW Muni","MUNI_PURPOSE_SCHED", "aggregate=y")</f>
        <v>#N/A Review</v>
      </c>
      <c r="J785" t="str">
        <f>_xll.BDP("303279JW Muni","CPN")</f>
        <v>#N/A Requesting Data...</v>
      </c>
      <c r="K785" t="str">
        <f>_xll.BDP("303279JW Muni","MATURITY")</f>
        <v>#N/A Requesting Data...</v>
      </c>
      <c r="L785">
        <v>975000</v>
      </c>
      <c r="M785" t="str">
        <f>_xll.BDP("303279JW Muni","YIELD_ON_ISSUE_DATE")</f>
        <v>#N/A Requesting Data...</v>
      </c>
      <c r="N785" t="str">
        <f>_xll.BDP("303279JW Muni","YTW_SPREAD_TO_MATURITY_AT_ISSU")</f>
        <v>#N/A Requesting Data...</v>
      </c>
      <c r="O785" t="str">
        <f>_xll.BDP("303279JW Muni","BVAL_MID_YTM")</f>
        <v>#N/A Requesting Data...</v>
      </c>
      <c r="P785" t="str">
        <f>_xll.BDP("303279JW Muni","MUNI_TAX_PROV")</f>
        <v>#N/A Requesting Data...</v>
      </c>
      <c r="Q785" t="str">
        <f>_xll.BDP("303279JW Muni","MUNI_FED_TAX")</f>
        <v>#N/A Requesting Data...</v>
      </c>
      <c r="R785" t="str">
        <f>_xll.BDP("303279JW Muni","MUNI_MSRB_VOLUME")</f>
        <v>#N/A Requesting Data...</v>
      </c>
      <c r="S785" t="str">
        <f>_xll.BDP("303279JW Muni","BB_COMPOSITE")</f>
        <v>#N/A Requesting Data...</v>
      </c>
      <c r="T785" t="str">
        <f>_xll.BDP("303279JW Muni","LQA_LIQUIDITY_SCORE")</f>
        <v>#N/A Requesting Data...</v>
      </c>
    </row>
    <row r="786" spans="1:20" x14ac:dyDescent="0.25">
      <c r="A786" t="str">
        <f>_xll.BDP("303279JX Muni","ID_CUSIP")</f>
        <v>#N/A Requesting Data...</v>
      </c>
      <c r="B786" t="s">
        <v>294</v>
      </c>
      <c r="C786" t="str">
        <f>_xll.BDP("303279JX Muni","INSURANCE_STATUS")</f>
        <v>#N/A Requesting Data...</v>
      </c>
      <c r="D786" t="str">
        <f>_xll.BDP("303279JX Muni","STATE_CODE")</f>
        <v>#N/A Requesting Data...</v>
      </c>
      <c r="E786" t="str">
        <f>_xll.BDP("303279JX Muni","COUNTY_LOCATION_ISSUER")</f>
        <v>#N/A Requesting Data...</v>
      </c>
      <c r="F786" t="str">
        <f>_xll.BDP("303279JX Muni","DUR_ADJ_MID")</f>
        <v>#N/A Requesting Data...</v>
      </c>
      <c r="G786" t="str">
        <f>_xll.BDP("303279JX Muni","SPREAD_AT_ISSUANCE_TO_WORST")</f>
        <v>#N/A Requesting Data...</v>
      </c>
      <c r="H786" t="str">
        <f>_xll.BDP("303279JX Muni","ISSUE_DT")</f>
        <v>#N/A Requesting Data...</v>
      </c>
      <c r="I786" t="str">
        <f>_xll.BDS("303279JX Muni","MUNI_PURPOSE_SCHED", "aggregate=y")</f>
        <v>#N/A Review</v>
      </c>
      <c r="J786" t="str">
        <f>_xll.BDP("303279JX Muni","CPN")</f>
        <v>#N/A Requesting Data...</v>
      </c>
      <c r="K786" t="str">
        <f>_xll.BDP("303279JX Muni","MATURITY")</f>
        <v>#N/A Requesting Data...</v>
      </c>
      <c r="L786">
        <v>1000000</v>
      </c>
      <c r="M786" t="str">
        <f>_xll.BDP("303279JX Muni","YIELD_ON_ISSUE_DATE")</f>
        <v>#N/A Requesting Data...</v>
      </c>
      <c r="N786" t="str">
        <f>_xll.BDP("303279JX Muni","YTW_SPREAD_TO_MATURITY_AT_ISSU")</f>
        <v>#N/A Requesting Data...</v>
      </c>
      <c r="O786" t="str">
        <f>_xll.BDP("303279JX Muni","BVAL_MID_YTM")</f>
        <v>#N/A Requesting Data...</v>
      </c>
      <c r="P786" t="str">
        <f>_xll.BDP("303279JX Muni","MUNI_TAX_PROV")</f>
        <v>#N/A Requesting Data...</v>
      </c>
      <c r="Q786" t="str">
        <f>_xll.BDP("303279JX Muni","MUNI_FED_TAX")</f>
        <v>#N/A Requesting Data...</v>
      </c>
      <c r="R786" t="str">
        <f>_xll.BDP("303279JX Muni","MUNI_MSRB_VOLUME")</f>
        <v>#N/A Requesting Data...</v>
      </c>
      <c r="S786" t="str">
        <f>_xll.BDP("303279JX Muni","BB_COMPOSITE")</f>
        <v>#N/A Requesting Data...</v>
      </c>
      <c r="T786" t="str">
        <f>_xll.BDP("303279JX Muni","LQA_LIQUIDITY_SCORE")</f>
        <v>#N/A Requesting Data...</v>
      </c>
    </row>
    <row r="787" spans="1:20" x14ac:dyDescent="0.25">
      <c r="A787" t="str">
        <f>_xll.BDP("303279JY Muni","ID_CUSIP")</f>
        <v>#N/A Requesting Data...</v>
      </c>
      <c r="B787" t="s">
        <v>294</v>
      </c>
      <c r="C787" t="str">
        <f>_xll.BDP("303279JY Muni","INSURANCE_STATUS")</f>
        <v>#N/A Requesting Data...</v>
      </c>
      <c r="D787" t="str">
        <f>_xll.BDP("303279JY Muni","STATE_CODE")</f>
        <v>#N/A Requesting Data...</v>
      </c>
      <c r="E787" t="str">
        <f>_xll.BDP("303279JY Muni","COUNTY_LOCATION_ISSUER")</f>
        <v>#N/A Requesting Data...</v>
      </c>
      <c r="F787" t="str">
        <f>_xll.BDP("303279JY Muni","DUR_ADJ_MID")</f>
        <v>#N/A Requesting Data...</v>
      </c>
      <c r="G787" t="str">
        <f>_xll.BDP("303279JY Muni","SPREAD_AT_ISSUANCE_TO_WORST")</f>
        <v>#N/A Requesting Data...</v>
      </c>
      <c r="H787" t="str">
        <f>_xll.BDP("303279JY Muni","ISSUE_DT")</f>
        <v>#N/A Requesting Data...</v>
      </c>
      <c r="I787" t="str">
        <f>_xll.BDS("303279JY Muni","MUNI_PURPOSE_SCHED", "aggregate=y")</f>
        <v>#N/A Review</v>
      </c>
      <c r="J787" t="str">
        <f>_xll.BDP("303279JY Muni","CPN")</f>
        <v>#N/A Requesting Data...</v>
      </c>
      <c r="K787" t="str">
        <f>_xll.BDP("303279JY Muni","MATURITY")</f>
        <v>#N/A Requesting Data...</v>
      </c>
      <c r="L787">
        <v>1025000</v>
      </c>
      <c r="M787" t="str">
        <f>_xll.BDP("303279JY Muni","YIELD_ON_ISSUE_DATE")</f>
        <v>#N/A Requesting Data...</v>
      </c>
      <c r="N787" t="str">
        <f>_xll.BDP("303279JY Muni","YTW_SPREAD_TO_MATURITY_AT_ISSU")</f>
        <v>#N/A Requesting Data...</v>
      </c>
      <c r="O787" t="str">
        <f>_xll.BDP("303279JY Muni","BVAL_MID_YTM")</f>
        <v>#N/A Requesting Data...</v>
      </c>
      <c r="P787" t="str">
        <f>_xll.BDP("303279JY Muni","MUNI_TAX_PROV")</f>
        <v>#N/A Requesting Data...</v>
      </c>
      <c r="Q787" t="str">
        <f>_xll.BDP("303279JY Muni","MUNI_FED_TAX")</f>
        <v>#N/A Requesting Data...</v>
      </c>
      <c r="R787" t="str">
        <f>_xll.BDP("303279JY Muni","MUNI_MSRB_VOLUME")</f>
        <v>#N/A Requesting Data...</v>
      </c>
      <c r="S787" t="str">
        <f>_xll.BDP("303279JY Muni","BB_COMPOSITE")</f>
        <v>#N/A Requesting Data...</v>
      </c>
      <c r="T787" t="str">
        <f>_xll.BDP("303279JY Muni","LQA_LIQUIDITY_SCORE")</f>
        <v>#N/A Requesting Data...</v>
      </c>
    </row>
    <row r="788" spans="1:20" x14ac:dyDescent="0.25">
      <c r="A788" t="str">
        <f>_xll.BDP("426170MN Muni","ID_CUSIP")</f>
        <v>#N/A Requesting Data...</v>
      </c>
      <c r="B788" t="s">
        <v>52</v>
      </c>
      <c r="C788" t="str">
        <f>_xll.BDP("426170MN Muni","INSURANCE_STATUS")</f>
        <v>#N/A Requesting Data...</v>
      </c>
      <c r="D788" t="str">
        <f>_xll.BDP("426170MN Muni","STATE_CODE")</f>
        <v>#N/A Requesting Data...</v>
      </c>
      <c r="E788" t="str">
        <f>_xll.BDP("426170MN Muni","COUNTY_LOCATION_ISSUER")</f>
        <v>#N/A Requesting Data...</v>
      </c>
      <c r="F788" t="str">
        <f>_xll.BDP("426170MN Muni","DUR_ADJ_MID")</f>
        <v>#N/A Requesting Data...</v>
      </c>
      <c r="G788" t="str">
        <f>_xll.BDP("426170MN Muni","SPREAD_AT_ISSUANCE_TO_WORST")</f>
        <v>#N/A Requesting Data...</v>
      </c>
      <c r="H788" t="str">
        <f>_xll.BDP("426170MN Muni","ISSUE_DT")</f>
        <v>#N/A Requesting Data...</v>
      </c>
      <c r="I788" t="str">
        <f>_xll.BDS("426170MN Muni","MUNI_PURPOSE_SCHED", "aggregate=y")</f>
        <v>#N/A Review</v>
      </c>
      <c r="J788" t="str">
        <f>_xll.BDP("426170MN Muni","CPN")</f>
        <v>#N/A Requesting Data...</v>
      </c>
      <c r="K788" t="str">
        <f>_xll.BDP("426170MN Muni","MATURITY")</f>
        <v>#N/A Requesting Data...</v>
      </c>
      <c r="L788">
        <v>1135000</v>
      </c>
      <c r="M788" t="str">
        <f>_xll.BDP("426170MN Muni","YIELD_ON_ISSUE_DATE")</f>
        <v>#N/A Requesting Data...</v>
      </c>
      <c r="N788" t="str">
        <f>_xll.BDP("426170MN Muni","YTW_SPREAD_TO_MATURITY_AT_ISSU")</f>
        <v>#N/A Requesting Data...</v>
      </c>
      <c r="O788" t="str">
        <f>_xll.BDP("426170MN Muni","BVAL_MID_YTM")</f>
        <v>#N/A Requesting Data...</v>
      </c>
      <c r="P788" t="str">
        <f>_xll.BDP("426170MN Muni","MUNI_TAX_PROV")</f>
        <v>#N/A Requesting Data...</v>
      </c>
      <c r="Q788" t="str">
        <f>_xll.BDP("426170MN Muni","MUNI_FED_TAX")</f>
        <v>#N/A Requesting Data...</v>
      </c>
      <c r="R788" t="str">
        <f>_xll.BDP("426170MN Muni","MUNI_MSRB_VOLUME")</f>
        <v>#N/A Requesting Data...</v>
      </c>
      <c r="S788" t="str">
        <f>_xll.BDP("426170MN Muni","BB_COMPOSITE")</f>
        <v>#N/A Requesting Data...</v>
      </c>
      <c r="T788" t="str">
        <f>_xll.BDP("426170MN Muni","LQA_LIQUIDITY_SCORE")</f>
        <v>#N/A Requesting Data...</v>
      </c>
    </row>
    <row r="789" spans="1:20" x14ac:dyDescent="0.25">
      <c r="A789" t="str">
        <f>_xll.BDP("426170MP Muni","ID_CUSIP")</f>
        <v>#N/A Requesting Data...</v>
      </c>
      <c r="B789" t="s">
        <v>52</v>
      </c>
      <c r="C789" t="str">
        <f>_xll.BDP("426170MP Muni","INSURANCE_STATUS")</f>
        <v>#N/A Requesting Data...</v>
      </c>
      <c r="D789" t="str">
        <f>_xll.BDP("426170MP Muni","STATE_CODE")</f>
        <v>#N/A Requesting Data...</v>
      </c>
      <c r="E789" t="str">
        <f>_xll.BDP("426170MP Muni","COUNTY_LOCATION_ISSUER")</f>
        <v>#N/A Requesting Data...</v>
      </c>
      <c r="F789" t="str">
        <f>_xll.BDP("426170MP Muni","DUR_ADJ_MID")</f>
        <v>#N/A Requesting Data...</v>
      </c>
      <c r="G789" t="str">
        <f>_xll.BDP("426170MP Muni","SPREAD_AT_ISSUANCE_TO_WORST")</f>
        <v>#N/A Requesting Data...</v>
      </c>
      <c r="H789" t="str">
        <f>_xll.BDP("426170MP Muni","ISSUE_DT")</f>
        <v>#N/A Requesting Data...</v>
      </c>
      <c r="I789" t="str">
        <f>_xll.BDS("426170MP Muni","MUNI_PURPOSE_SCHED", "aggregate=y")</f>
        <v>#N/A Review</v>
      </c>
      <c r="J789" t="str">
        <f>_xll.BDP("426170MP Muni","CPN")</f>
        <v>#N/A Requesting Data...</v>
      </c>
      <c r="K789" t="str">
        <f>_xll.BDP("426170MP Muni","MATURITY")</f>
        <v>#N/A Requesting Data...</v>
      </c>
      <c r="L789">
        <v>1785000</v>
      </c>
      <c r="M789" t="str">
        <f>_xll.BDP("426170MP Muni","YIELD_ON_ISSUE_DATE")</f>
        <v>#N/A Requesting Data...</v>
      </c>
      <c r="N789" t="str">
        <f>_xll.BDP("426170MP Muni","YTW_SPREAD_TO_MATURITY_AT_ISSU")</f>
        <v>#N/A Requesting Data...</v>
      </c>
      <c r="O789" t="str">
        <f>_xll.BDP("426170MP Muni","BVAL_MID_YTM")</f>
        <v>#N/A Requesting Data...</v>
      </c>
      <c r="P789" t="str">
        <f>_xll.BDP("426170MP Muni","MUNI_TAX_PROV")</f>
        <v>#N/A Requesting Data...</v>
      </c>
      <c r="Q789" t="str">
        <f>_xll.BDP("426170MP Muni","MUNI_FED_TAX")</f>
        <v>#N/A Requesting Data...</v>
      </c>
      <c r="R789" t="str">
        <f>_xll.BDP("426170MP Muni","MUNI_MSRB_VOLUME")</f>
        <v>#N/A Requesting Data...</v>
      </c>
      <c r="S789" t="str">
        <f>_xll.BDP("426170MP Muni","BB_COMPOSITE")</f>
        <v>#N/A Requesting Data...</v>
      </c>
      <c r="T789" t="str">
        <f>_xll.BDP("426170MP Muni","LQA_LIQUIDITY_SCORE")</f>
        <v>#N/A Requesting Data...</v>
      </c>
    </row>
    <row r="790" spans="1:20" x14ac:dyDescent="0.25">
      <c r="A790" t="str">
        <f>_xll.BDP("426170NG Muni","ID_CUSIP")</f>
        <v>#N/A Requesting Data...</v>
      </c>
      <c r="B790" t="s">
        <v>52</v>
      </c>
      <c r="C790" t="str">
        <f>_xll.BDP("426170NG Muni","INSURANCE_STATUS")</f>
        <v>#N/A Requesting Data...</v>
      </c>
      <c r="D790" t="str">
        <f>_xll.BDP("426170NG Muni","STATE_CODE")</f>
        <v>#N/A Requesting Data...</v>
      </c>
      <c r="E790" t="str">
        <f>_xll.BDP("426170NG Muni","COUNTY_LOCATION_ISSUER")</f>
        <v>#N/A Requesting Data...</v>
      </c>
      <c r="F790" t="str">
        <f>_xll.BDP("426170NG Muni","DUR_ADJ_MID")</f>
        <v>#N/A Requesting Data...</v>
      </c>
      <c r="G790" t="str">
        <f>_xll.BDP("426170NG Muni","SPREAD_AT_ISSUANCE_TO_WORST")</f>
        <v>#N/A Requesting Data...</v>
      </c>
      <c r="H790" t="str">
        <f>_xll.BDP("426170NG Muni","ISSUE_DT")</f>
        <v>#N/A Requesting Data...</v>
      </c>
      <c r="I790" t="str">
        <f>_xll.BDS("426170NG Muni","MUNI_PURPOSE_SCHED", "aggregate=y")</f>
        <v>#N/A Review</v>
      </c>
      <c r="J790" t="str">
        <f>_xll.BDP("426170NG Muni","CPN")</f>
        <v>#N/A Requesting Data...</v>
      </c>
      <c r="K790" t="str">
        <f>_xll.BDP("426170NG Muni","MATURITY")</f>
        <v>#N/A Requesting Data...</v>
      </c>
      <c r="L790">
        <v>2065000</v>
      </c>
      <c r="M790" t="str">
        <f>_xll.BDP("426170NG Muni","YIELD_ON_ISSUE_DATE")</f>
        <v>#N/A Requesting Data...</v>
      </c>
      <c r="N790" t="str">
        <f>_xll.BDP("426170NG Muni","YTW_SPREAD_TO_MATURITY_AT_ISSU")</f>
        <v>#N/A Requesting Data...</v>
      </c>
      <c r="O790" t="str">
        <f>_xll.BDP("426170NG Muni","BVAL_MID_YTM")</f>
        <v>#N/A Requesting Data...</v>
      </c>
      <c r="P790" t="str">
        <f>_xll.BDP("426170NG Muni","MUNI_TAX_PROV")</f>
        <v>#N/A Requesting Data...</v>
      </c>
      <c r="Q790" t="str">
        <f>_xll.BDP("426170NG Muni","MUNI_FED_TAX")</f>
        <v>#N/A Requesting Data...</v>
      </c>
      <c r="R790" t="str">
        <f>_xll.BDP("426170NG Muni","MUNI_MSRB_VOLUME")</f>
        <v>#N/A Requesting Data...</v>
      </c>
      <c r="S790" t="str">
        <f>_xll.BDP("426170NG Muni","BB_COMPOSITE")</f>
        <v>#N/A Requesting Data...</v>
      </c>
      <c r="T790" t="str">
        <f>_xll.BDP("426170NG Muni","LQA_LIQUIDITY_SCORE")</f>
        <v>#N/A Requesting Data...</v>
      </c>
    </row>
    <row r="791" spans="1:20" x14ac:dyDescent="0.25">
      <c r="A791" t="str">
        <f>_xll.BDP("358595FV Muni","ID_CUSIP")</f>
        <v>#N/A Requesting Data...</v>
      </c>
      <c r="B791" t="s">
        <v>295</v>
      </c>
      <c r="C791" t="str">
        <f>_xll.BDP("358595FV Muni","INSURANCE_STATUS")</f>
        <v>#N/A Requesting Data...</v>
      </c>
      <c r="D791" t="str">
        <f>_xll.BDP("358595FV Muni","STATE_CODE")</f>
        <v>#N/A Requesting Data...</v>
      </c>
      <c r="E791" t="str">
        <f>_xll.BDP("358595FV Muni","COUNTY_LOCATION_ISSUER")</f>
        <v>#N/A Requesting Data...</v>
      </c>
      <c r="F791" t="str">
        <f>_xll.BDP("358595FV Muni","DUR_ADJ_MID")</f>
        <v>#N/A Requesting Data...</v>
      </c>
      <c r="G791" t="str">
        <f>_xll.BDP("358595FV Muni","SPREAD_AT_ISSUANCE_TO_WORST")</f>
        <v>#N/A Requesting Data...</v>
      </c>
      <c r="H791" t="str">
        <f>_xll.BDP("358595FV Muni","ISSUE_DT")</f>
        <v>#N/A Requesting Data...</v>
      </c>
      <c r="I791" t="str">
        <f>_xll.BDS("358595FV Muni","MUNI_PURPOSE_SCHED", "aggregate=y")</f>
        <v>#N/A Review</v>
      </c>
      <c r="J791" t="str">
        <f>_xll.BDP("358595FV Muni","CPN")</f>
        <v>#N/A Requesting Data...</v>
      </c>
      <c r="K791" t="str">
        <f>_xll.BDP("358595FV Muni","MATURITY")</f>
        <v>#N/A Requesting Data...</v>
      </c>
      <c r="L791">
        <v>245000</v>
      </c>
      <c r="M791" t="str">
        <f>_xll.BDP("358595FV Muni","YIELD_ON_ISSUE_DATE")</f>
        <v>#N/A Requesting Data...</v>
      </c>
      <c r="N791" t="str">
        <f>_xll.BDP("358595FV Muni","YTW_SPREAD_TO_MATURITY_AT_ISSU")</f>
        <v>#N/A Requesting Data...</v>
      </c>
      <c r="O791" t="str">
        <f>_xll.BDP("358595FV Muni","BVAL_MID_YTM")</f>
        <v>#N/A Requesting Data...</v>
      </c>
      <c r="P791" t="str">
        <f>_xll.BDP("358595FV Muni","MUNI_TAX_PROV")</f>
        <v>#N/A Requesting Data...</v>
      </c>
      <c r="Q791" t="str">
        <f>_xll.BDP("358595FV Muni","MUNI_FED_TAX")</f>
        <v>#N/A Requesting Data...</v>
      </c>
      <c r="R791" t="str">
        <f>_xll.BDP("358595FV Muni","MUNI_MSRB_VOLUME")</f>
        <v>#N/A Requesting Data...</v>
      </c>
      <c r="S791" t="str">
        <f>_xll.BDP("358595FV Muni","BB_COMPOSITE")</f>
        <v>#N/A Requesting Data...</v>
      </c>
      <c r="T791" t="str">
        <f>_xll.BDP("358595FV Muni","LQA_LIQUIDITY_SCORE")</f>
        <v>#N/A Requesting Data...</v>
      </c>
    </row>
    <row r="792" spans="1:20" x14ac:dyDescent="0.25">
      <c r="A792" t="str">
        <f>_xll.BDP("358595FW Muni","ID_CUSIP")</f>
        <v>#N/A Requesting Data...</v>
      </c>
      <c r="B792" t="s">
        <v>295</v>
      </c>
      <c r="C792" t="str">
        <f>_xll.BDP("358595FW Muni","INSURANCE_STATUS")</f>
        <v>#N/A Requesting Data...</v>
      </c>
      <c r="D792" t="str">
        <f>_xll.BDP("358595FW Muni","STATE_CODE")</f>
        <v>#N/A Requesting Data...</v>
      </c>
      <c r="E792" t="str">
        <f>_xll.BDP("358595FW Muni","COUNTY_LOCATION_ISSUER")</f>
        <v>#N/A Requesting Data...</v>
      </c>
      <c r="F792" t="str">
        <f>_xll.BDP("358595FW Muni","DUR_ADJ_MID")</f>
        <v>#N/A Requesting Data...</v>
      </c>
      <c r="G792" t="str">
        <f>_xll.BDP("358595FW Muni","SPREAD_AT_ISSUANCE_TO_WORST")</f>
        <v>#N/A Requesting Data...</v>
      </c>
      <c r="H792" t="str">
        <f>_xll.BDP("358595FW Muni","ISSUE_DT")</f>
        <v>#N/A Requesting Data...</v>
      </c>
      <c r="I792" t="str">
        <f>_xll.BDS("358595FW Muni","MUNI_PURPOSE_SCHED", "aggregate=y")</f>
        <v>#N/A Review</v>
      </c>
      <c r="J792" t="str">
        <f>_xll.BDP("358595FW Muni","CPN")</f>
        <v>#N/A Requesting Data...</v>
      </c>
      <c r="K792" t="str">
        <f>_xll.BDP("358595FW Muni","MATURITY")</f>
        <v>#N/A Requesting Data...</v>
      </c>
      <c r="L792">
        <v>250000</v>
      </c>
      <c r="M792" t="str">
        <f>_xll.BDP("358595FW Muni","YIELD_ON_ISSUE_DATE")</f>
        <v>#N/A Requesting Data...</v>
      </c>
      <c r="N792" t="str">
        <f>_xll.BDP("358595FW Muni","YTW_SPREAD_TO_MATURITY_AT_ISSU")</f>
        <v>#N/A Requesting Data...</v>
      </c>
      <c r="O792" t="str">
        <f>_xll.BDP("358595FW Muni","BVAL_MID_YTM")</f>
        <v>#N/A Requesting Data...</v>
      </c>
      <c r="P792" t="str">
        <f>_xll.BDP("358595FW Muni","MUNI_TAX_PROV")</f>
        <v>#N/A Requesting Data...</v>
      </c>
      <c r="Q792" t="str">
        <f>_xll.BDP("358595FW Muni","MUNI_FED_TAX")</f>
        <v>#N/A Requesting Data...</v>
      </c>
      <c r="R792" t="str">
        <f>_xll.BDP("358595FW Muni","MUNI_MSRB_VOLUME")</f>
        <v>#N/A Requesting Data...</v>
      </c>
      <c r="S792" t="str">
        <f>_xll.BDP("358595FW Muni","BB_COMPOSITE")</f>
        <v>#N/A Requesting Data...</v>
      </c>
      <c r="T792" t="str">
        <f>_xll.BDP("358595FW Muni","LQA_LIQUIDITY_SCORE")</f>
        <v>#N/A Requesting Data...</v>
      </c>
    </row>
    <row r="793" spans="1:20" x14ac:dyDescent="0.25">
      <c r="A793" t="str">
        <f>_xll.BDP("358595FX Muni","ID_CUSIP")</f>
        <v>#N/A Requesting Data...</v>
      </c>
      <c r="B793" t="s">
        <v>295</v>
      </c>
      <c r="C793" t="str">
        <f>_xll.BDP("358595FX Muni","INSURANCE_STATUS")</f>
        <v>#N/A Requesting Data...</v>
      </c>
      <c r="D793" t="str">
        <f>_xll.BDP("358595FX Muni","STATE_CODE")</f>
        <v>#N/A Requesting Data...</v>
      </c>
      <c r="E793" t="str">
        <f>_xll.BDP("358595FX Muni","COUNTY_LOCATION_ISSUER")</f>
        <v>#N/A Requesting Data...</v>
      </c>
      <c r="F793" t="str">
        <f>_xll.BDP("358595FX Muni","DUR_ADJ_MID")</f>
        <v>#N/A Requesting Data...</v>
      </c>
      <c r="G793" t="str">
        <f>_xll.BDP("358595FX Muni","SPREAD_AT_ISSUANCE_TO_WORST")</f>
        <v>#N/A Requesting Data...</v>
      </c>
      <c r="H793" t="str">
        <f>_xll.BDP("358595FX Muni","ISSUE_DT")</f>
        <v>#N/A Requesting Data...</v>
      </c>
      <c r="I793" t="str">
        <f>_xll.BDS("358595FX Muni","MUNI_PURPOSE_SCHED", "aggregate=y")</f>
        <v>#N/A Review</v>
      </c>
      <c r="J793" t="str">
        <f>_xll.BDP("358595FX Muni","CPN")</f>
        <v>#N/A Requesting Data...</v>
      </c>
      <c r="K793" t="str">
        <f>_xll.BDP("358595FX Muni","MATURITY")</f>
        <v>#N/A Requesting Data...</v>
      </c>
      <c r="L793">
        <v>260000</v>
      </c>
      <c r="M793" t="str">
        <f>_xll.BDP("358595FX Muni","YIELD_ON_ISSUE_DATE")</f>
        <v>#N/A Requesting Data...</v>
      </c>
      <c r="N793" t="str">
        <f>_xll.BDP("358595FX Muni","YTW_SPREAD_TO_MATURITY_AT_ISSU")</f>
        <v>#N/A Requesting Data...</v>
      </c>
      <c r="O793" t="str">
        <f>_xll.BDP("358595FX Muni","BVAL_MID_YTM")</f>
        <v>#N/A Requesting Data...</v>
      </c>
      <c r="P793" t="str">
        <f>_xll.BDP("358595FX Muni","MUNI_TAX_PROV")</f>
        <v>#N/A Requesting Data...</v>
      </c>
      <c r="Q793" t="str">
        <f>_xll.BDP("358595FX Muni","MUNI_FED_TAX")</f>
        <v>#N/A Requesting Data...</v>
      </c>
      <c r="R793" t="str">
        <f>_xll.BDP("358595FX Muni","MUNI_MSRB_VOLUME")</f>
        <v>#N/A Requesting Data...</v>
      </c>
      <c r="S793" t="str">
        <f>_xll.BDP("358595FX Muni","BB_COMPOSITE")</f>
        <v>#N/A Requesting Data...</v>
      </c>
      <c r="T793" t="str">
        <f>_xll.BDP("358595FX Muni","LQA_LIQUIDITY_SCORE")</f>
        <v>#N/A Requesting Data...</v>
      </c>
    </row>
    <row r="794" spans="1:20" x14ac:dyDescent="0.25">
      <c r="A794" t="str">
        <f>_xll.BDP("358595FY Muni","ID_CUSIP")</f>
        <v>#N/A Requesting Data...</v>
      </c>
      <c r="B794" t="s">
        <v>295</v>
      </c>
      <c r="C794" t="str">
        <f>_xll.BDP("358595FY Muni","INSURANCE_STATUS")</f>
        <v>#N/A Requesting Data...</v>
      </c>
      <c r="D794" t="str">
        <f>_xll.BDP("358595FY Muni","STATE_CODE")</f>
        <v>#N/A Requesting Data...</v>
      </c>
      <c r="E794" t="str">
        <f>_xll.BDP("358595FY Muni","COUNTY_LOCATION_ISSUER")</f>
        <v>#N/A Requesting Data...</v>
      </c>
      <c r="F794" t="str">
        <f>_xll.BDP("358595FY Muni","DUR_ADJ_MID")</f>
        <v>#N/A Requesting Data...</v>
      </c>
      <c r="G794" t="str">
        <f>_xll.BDP("358595FY Muni","SPREAD_AT_ISSUANCE_TO_WORST")</f>
        <v>#N/A Requesting Data...</v>
      </c>
      <c r="H794" t="str">
        <f>_xll.BDP("358595FY Muni","ISSUE_DT")</f>
        <v>#N/A Requesting Data...</v>
      </c>
      <c r="I794" t="str">
        <f>_xll.BDS("358595FY Muni","MUNI_PURPOSE_SCHED", "aggregate=y")</f>
        <v>#N/A Review</v>
      </c>
      <c r="J794" t="str">
        <f>_xll.BDP("358595FY Muni","CPN")</f>
        <v>#N/A Requesting Data...</v>
      </c>
      <c r="K794" t="str">
        <f>_xll.BDP("358595FY Muni","MATURITY")</f>
        <v>#N/A Requesting Data...</v>
      </c>
      <c r="L794">
        <v>265000</v>
      </c>
      <c r="M794" t="str">
        <f>_xll.BDP("358595FY Muni","YIELD_ON_ISSUE_DATE")</f>
        <v>#N/A Requesting Data...</v>
      </c>
      <c r="N794" t="str">
        <f>_xll.BDP("358595FY Muni","YTW_SPREAD_TO_MATURITY_AT_ISSU")</f>
        <v>#N/A Requesting Data...</v>
      </c>
      <c r="O794" t="str">
        <f>_xll.BDP("358595FY Muni","BVAL_MID_YTM")</f>
        <v>#N/A Requesting Data...</v>
      </c>
      <c r="P794" t="str">
        <f>_xll.BDP("358595FY Muni","MUNI_TAX_PROV")</f>
        <v>#N/A Requesting Data...</v>
      </c>
      <c r="Q794" t="str">
        <f>_xll.BDP("358595FY Muni","MUNI_FED_TAX")</f>
        <v>#N/A Requesting Data...</v>
      </c>
      <c r="R794" t="str">
        <f>_xll.BDP("358595FY Muni","MUNI_MSRB_VOLUME")</f>
        <v>#N/A Requesting Data...</v>
      </c>
      <c r="S794" t="str">
        <f>_xll.BDP("358595FY Muni","BB_COMPOSITE")</f>
        <v>#N/A Requesting Data...</v>
      </c>
      <c r="T794" t="str">
        <f>_xll.BDP("358595FY Muni","LQA_LIQUIDITY_SCORE")</f>
        <v>#N/A Requesting Data...</v>
      </c>
    </row>
    <row r="795" spans="1:20" x14ac:dyDescent="0.25">
      <c r="A795" t="str">
        <f>_xll.BDP("358776MG Muni","ID_CUSIP")</f>
        <v>#N/A Requesting Data...</v>
      </c>
      <c r="B795" t="s">
        <v>82</v>
      </c>
      <c r="C795" t="str">
        <f>_xll.BDP("358776MG Muni","INSURANCE_STATUS")</f>
        <v>#N/A Requesting Data...</v>
      </c>
      <c r="D795" t="str">
        <f>_xll.BDP("358776MG Muni","STATE_CODE")</f>
        <v>#N/A Requesting Data...</v>
      </c>
      <c r="E795" t="str">
        <f>_xll.BDP("358776MG Muni","COUNTY_LOCATION_ISSUER")</f>
        <v>#N/A Requesting Data...</v>
      </c>
      <c r="F795" t="str">
        <f>_xll.BDP("358776MG Muni","DUR_ADJ_MID")</f>
        <v>#N/A Requesting Data...</v>
      </c>
      <c r="G795" t="str">
        <f>_xll.BDP("358776MG Muni","SPREAD_AT_ISSUANCE_TO_WORST")</f>
        <v>#N/A Requesting Data...</v>
      </c>
      <c r="H795" t="str">
        <f>_xll.BDP("358776MG Muni","ISSUE_DT")</f>
        <v>#N/A Requesting Data...</v>
      </c>
      <c r="I795" t="str">
        <f>_xll.BDS("358776MG Muni","MUNI_PURPOSE_SCHED", "aggregate=y")</f>
        <v>#N/A Review</v>
      </c>
      <c r="J795" t="str">
        <f>_xll.BDP("358776MG Muni","CPN")</f>
        <v>#N/A Requesting Data...</v>
      </c>
      <c r="K795" t="str">
        <f>_xll.BDP("358776MG Muni","MATURITY")</f>
        <v>#N/A Requesting Data...</v>
      </c>
      <c r="L795">
        <v>755000</v>
      </c>
      <c r="M795" t="str">
        <f>_xll.BDP("358776MG Muni","YIELD_ON_ISSUE_DATE")</f>
        <v>#N/A Requesting Data...</v>
      </c>
      <c r="N795" t="str">
        <f>_xll.BDP("358776MG Muni","YTW_SPREAD_TO_MATURITY_AT_ISSU")</f>
        <v>#N/A Requesting Data...</v>
      </c>
      <c r="O795" t="str">
        <f>_xll.BDP("358776MG Muni","BVAL_MID_YTM")</f>
        <v>#N/A Requesting Data...</v>
      </c>
      <c r="P795" t="str">
        <f>_xll.BDP("358776MG Muni","MUNI_TAX_PROV")</f>
        <v>#N/A Requesting Data...</v>
      </c>
      <c r="Q795" t="str">
        <f>_xll.BDP("358776MG Muni","MUNI_FED_TAX")</f>
        <v>#N/A Requesting Data...</v>
      </c>
      <c r="R795" t="str">
        <f>_xll.BDP("358776MG Muni","MUNI_MSRB_VOLUME")</f>
        <v>#N/A Requesting Data...</v>
      </c>
      <c r="S795" t="str">
        <f>_xll.BDP("358776MG Muni","BB_COMPOSITE")</f>
        <v>#N/A Requesting Data...</v>
      </c>
      <c r="T795" t="str">
        <f>_xll.BDP("358776MG Muni","LQA_LIQUIDITY_SCORE")</f>
        <v>#N/A Requesting Data...</v>
      </c>
    </row>
    <row r="796" spans="1:20" x14ac:dyDescent="0.25">
      <c r="A796" t="str">
        <f>_xll.BDP("358776MJ Muni","ID_CUSIP")</f>
        <v>#N/A Requesting Data...</v>
      </c>
      <c r="B796" t="s">
        <v>82</v>
      </c>
      <c r="C796" t="str">
        <f>_xll.BDP("358776MJ Muni","INSURANCE_STATUS")</f>
        <v>#N/A Requesting Data...</v>
      </c>
      <c r="D796" t="str">
        <f>_xll.BDP("358776MJ Muni","STATE_CODE")</f>
        <v>#N/A Requesting Data...</v>
      </c>
      <c r="E796" t="str">
        <f>_xll.BDP("358776MJ Muni","COUNTY_LOCATION_ISSUER")</f>
        <v>#N/A Requesting Data...</v>
      </c>
      <c r="F796" t="str">
        <f>_xll.BDP("358776MJ Muni","DUR_ADJ_MID")</f>
        <v>#N/A Requesting Data...</v>
      </c>
      <c r="G796" t="str">
        <f>_xll.BDP("358776MJ Muni","SPREAD_AT_ISSUANCE_TO_WORST")</f>
        <v>#N/A Requesting Data...</v>
      </c>
      <c r="H796" t="str">
        <f>_xll.BDP("358776MJ Muni","ISSUE_DT")</f>
        <v>#N/A Requesting Data...</v>
      </c>
      <c r="I796" t="str">
        <f>_xll.BDS("358776MJ Muni","MUNI_PURPOSE_SCHED", "aggregate=y")</f>
        <v>#N/A Review</v>
      </c>
      <c r="J796" t="str">
        <f>_xll.BDP("358776MJ Muni","CPN")</f>
        <v>#N/A Requesting Data...</v>
      </c>
      <c r="K796" t="str">
        <f>_xll.BDP("358776MJ Muni","MATURITY")</f>
        <v>#N/A Requesting Data...</v>
      </c>
      <c r="L796">
        <v>815000</v>
      </c>
      <c r="M796" t="str">
        <f>_xll.BDP("358776MJ Muni","YIELD_ON_ISSUE_DATE")</f>
        <v>#N/A Requesting Data...</v>
      </c>
      <c r="N796" t="str">
        <f>_xll.BDP("358776MJ Muni","YTW_SPREAD_TO_MATURITY_AT_ISSU")</f>
        <v>#N/A Requesting Data...</v>
      </c>
      <c r="O796" t="str">
        <f>_xll.BDP("358776MJ Muni","BVAL_MID_YTM")</f>
        <v>#N/A Requesting Data...</v>
      </c>
      <c r="P796" t="str">
        <f>_xll.BDP("358776MJ Muni","MUNI_TAX_PROV")</f>
        <v>#N/A Requesting Data...</v>
      </c>
      <c r="Q796" t="str">
        <f>_xll.BDP("358776MJ Muni","MUNI_FED_TAX")</f>
        <v>#N/A Requesting Data...</v>
      </c>
      <c r="R796" t="str">
        <f>_xll.BDP("358776MJ Muni","MUNI_MSRB_VOLUME")</f>
        <v>#N/A Requesting Data...</v>
      </c>
      <c r="S796" t="str">
        <f>_xll.BDP("358776MJ Muni","BB_COMPOSITE")</f>
        <v>#N/A Requesting Data...</v>
      </c>
      <c r="T796" t="str">
        <f>_xll.BDP("358776MJ Muni","LQA_LIQUIDITY_SCORE")</f>
        <v>#N/A Requesting Data...</v>
      </c>
    </row>
    <row r="797" spans="1:20" x14ac:dyDescent="0.25">
      <c r="A797" t="str">
        <f>_xll.BDP("358776MZ Muni","ID_CUSIP")</f>
        <v>#N/A Requesting Data...</v>
      </c>
      <c r="B797" t="s">
        <v>82</v>
      </c>
      <c r="C797" t="str">
        <f>_xll.BDP("358776MZ Muni","INSURANCE_STATUS")</f>
        <v>#N/A Requesting Data...</v>
      </c>
      <c r="D797" t="str">
        <f>_xll.BDP("358776MZ Muni","STATE_CODE")</f>
        <v>#N/A Requesting Data...</v>
      </c>
      <c r="E797" t="str">
        <f>_xll.BDP("358776MZ Muni","COUNTY_LOCATION_ISSUER")</f>
        <v>#N/A Requesting Data...</v>
      </c>
      <c r="F797" t="str">
        <f>_xll.BDP("358776MZ Muni","DUR_ADJ_MID")</f>
        <v>#N/A Requesting Data...</v>
      </c>
      <c r="G797" t="str">
        <f>_xll.BDP("358776MZ Muni","SPREAD_AT_ISSUANCE_TO_WORST")</f>
        <v>#N/A Requesting Data...</v>
      </c>
      <c r="H797" t="str">
        <f>_xll.BDP("358776MZ Muni","ISSUE_DT")</f>
        <v>#N/A Requesting Data...</v>
      </c>
      <c r="I797" t="str">
        <f>_xll.BDS("358776MZ Muni","MUNI_PURPOSE_SCHED", "aggregate=y")</f>
        <v>#N/A Review</v>
      </c>
      <c r="J797" t="str">
        <f>_xll.BDP("358776MZ Muni","CPN")</f>
        <v>#N/A Requesting Data...</v>
      </c>
      <c r="K797" t="str">
        <f>_xll.BDP("358776MZ Muni","MATURITY")</f>
        <v>#N/A Requesting Data...</v>
      </c>
      <c r="L797">
        <v>710000</v>
      </c>
      <c r="M797" t="str">
        <f>_xll.BDP("358776MZ Muni","YIELD_ON_ISSUE_DATE")</f>
        <v>#N/A Requesting Data...</v>
      </c>
      <c r="N797" t="str">
        <f>_xll.BDP("358776MZ Muni","YTW_SPREAD_TO_MATURITY_AT_ISSU")</f>
        <v>#N/A Requesting Data...</v>
      </c>
      <c r="O797" t="str">
        <f>_xll.BDP("358776MZ Muni","BVAL_MID_YTM")</f>
        <v>#N/A Requesting Data...</v>
      </c>
      <c r="P797" t="str">
        <f>_xll.BDP("358776MZ Muni","MUNI_TAX_PROV")</f>
        <v>#N/A Requesting Data...</v>
      </c>
      <c r="Q797" t="str">
        <f>_xll.BDP("358776MZ Muni","MUNI_FED_TAX")</f>
        <v>#N/A Requesting Data...</v>
      </c>
      <c r="R797" t="str">
        <f>_xll.BDP("358776MZ Muni","MUNI_MSRB_VOLUME")</f>
        <v>#N/A Requesting Data...</v>
      </c>
      <c r="S797" t="str">
        <f>_xll.BDP("358776MZ Muni","BB_COMPOSITE")</f>
        <v>#N/A Requesting Data...</v>
      </c>
      <c r="T797" t="str">
        <f>_xll.BDP("358776MZ Muni","LQA_LIQUIDITY_SCORE")</f>
        <v>#N/A Requesting Data...</v>
      </c>
    </row>
    <row r="798" spans="1:20" x14ac:dyDescent="0.25">
      <c r="A798" t="str">
        <f>_xll.BDP("358776NA Muni","ID_CUSIP")</f>
        <v>#N/A Requesting Data...</v>
      </c>
      <c r="B798" t="s">
        <v>82</v>
      </c>
      <c r="C798" t="str">
        <f>_xll.BDP("358776NA Muni","INSURANCE_STATUS")</f>
        <v>#N/A Requesting Data...</v>
      </c>
      <c r="D798" t="str">
        <f>_xll.BDP("358776NA Muni","STATE_CODE")</f>
        <v>#N/A Requesting Data...</v>
      </c>
      <c r="E798" t="str">
        <f>_xll.BDP("358776NA Muni","COUNTY_LOCATION_ISSUER")</f>
        <v>#N/A Requesting Data...</v>
      </c>
      <c r="F798" t="str">
        <f>_xll.BDP("358776NA Muni","DUR_ADJ_MID")</f>
        <v>#N/A Requesting Data...</v>
      </c>
      <c r="G798" t="str">
        <f>_xll.BDP("358776NA Muni","SPREAD_AT_ISSUANCE_TO_WORST")</f>
        <v>#N/A Requesting Data...</v>
      </c>
      <c r="H798" t="str">
        <f>_xll.BDP("358776NA Muni","ISSUE_DT")</f>
        <v>#N/A Requesting Data...</v>
      </c>
      <c r="I798" t="str">
        <f>_xll.BDS("358776NA Muni","MUNI_PURPOSE_SCHED", "aggregate=y")</f>
        <v>#N/A Review</v>
      </c>
      <c r="J798" t="str">
        <f>_xll.BDP("358776NA Muni","CPN")</f>
        <v>#N/A Requesting Data...</v>
      </c>
      <c r="K798" t="str">
        <f>_xll.BDP("358776NA Muni","MATURITY")</f>
        <v>#N/A Requesting Data...</v>
      </c>
      <c r="L798">
        <v>725000</v>
      </c>
      <c r="M798" t="str">
        <f>_xll.BDP("358776NA Muni","YIELD_ON_ISSUE_DATE")</f>
        <v>#N/A Requesting Data...</v>
      </c>
      <c r="N798" t="str">
        <f>_xll.BDP("358776NA Muni","YTW_SPREAD_TO_MATURITY_AT_ISSU")</f>
        <v>#N/A Requesting Data...</v>
      </c>
      <c r="O798" t="str">
        <f>_xll.BDP("358776NA Muni","BVAL_MID_YTM")</f>
        <v>#N/A Requesting Data...</v>
      </c>
      <c r="P798" t="str">
        <f>_xll.BDP("358776NA Muni","MUNI_TAX_PROV")</f>
        <v>#N/A Requesting Data...</v>
      </c>
      <c r="Q798" t="str">
        <f>_xll.BDP("358776NA Muni","MUNI_FED_TAX")</f>
        <v>#N/A Requesting Data...</v>
      </c>
      <c r="R798" t="str">
        <f>_xll.BDP("358776NA Muni","MUNI_MSRB_VOLUME")</f>
        <v>#N/A Requesting Data...</v>
      </c>
      <c r="S798" t="str">
        <f>_xll.BDP("358776NA Muni","BB_COMPOSITE")</f>
        <v>#N/A Requesting Data...</v>
      </c>
      <c r="T798" t="str">
        <f>_xll.BDP("358776NA Muni","LQA_LIQUIDITY_SCORE")</f>
        <v>#N/A Requesting Data...</v>
      </c>
    </row>
    <row r="799" spans="1:20" x14ac:dyDescent="0.25">
      <c r="A799" t="str">
        <f>_xll.BDP("358776NB Muni","ID_CUSIP")</f>
        <v>#N/A Requesting Data...</v>
      </c>
      <c r="B799" t="s">
        <v>82</v>
      </c>
      <c r="C799" t="str">
        <f>_xll.BDP("358776NB Muni","INSURANCE_STATUS")</f>
        <v>#N/A Requesting Data...</v>
      </c>
      <c r="D799" t="str">
        <f>_xll.BDP("358776NB Muni","STATE_CODE")</f>
        <v>#N/A Requesting Data...</v>
      </c>
      <c r="E799" t="str">
        <f>_xll.BDP("358776NB Muni","COUNTY_LOCATION_ISSUER")</f>
        <v>#N/A Requesting Data...</v>
      </c>
      <c r="F799" t="str">
        <f>_xll.BDP("358776NB Muni","DUR_ADJ_MID")</f>
        <v>#N/A Requesting Data...</v>
      </c>
      <c r="G799" t="str">
        <f>_xll.BDP("358776NB Muni","SPREAD_AT_ISSUANCE_TO_WORST")</f>
        <v>#N/A Requesting Data...</v>
      </c>
      <c r="H799" t="str">
        <f>_xll.BDP("358776NB Muni","ISSUE_DT")</f>
        <v>#N/A Requesting Data...</v>
      </c>
      <c r="I799" t="str">
        <f>_xll.BDS("358776NB Muni","MUNI_PURPOSE_SCHED", "aggregate=y")</f>
        <v>#N/A Review</v>
      </c>
      <c r="J799" t="str">
        <f>_xll.BDP("358776NB Muni","CPN")</f>
        <v>#N/A Requesting Data...</v>
      </c>
      <c r="K799" t="str">
        <f>_xll.BDP("358776NB Muni","MATURITY")</f>
        <v>#N/A Requesting Data...</v>
      </c>
      <c r="L799">
        <v>740000</v>
      </c>
      <c r="M799" t="str">
        <f>_xll.BDP("358776NB Muni","YIELD_ON_ISSUE_DATE")</f>
        <v>#N/A Requesting Data...</v>
      </c>
      <c r="N799" t="str">
        <f>_xll.BDP("358776NB Muni","YTW_SPREAD_TO_MATURITY_AT_ISSU")</f>
        <v>#N/A Requesting Data...</v>
      </c>
      <c r="O799" t="str">
        <f>_xll.BDP("358776NB Muni","BVAL_MID_YTM")</f>
        <v>#N/A Requesting Data...</v>
      </c>
      <c r="P799" t="str">
        <f>_xll.BDP("358776NB Muni","MUNI_TAX_PROV")</f>
        <v>#N/A Requesting Data...</v>
      </c>
      <c r="Q799" t="str">
        <f>_xll.BDP("358776NB Muni","MUNI_FED_TAX")</f>
        <v>#N/A Requesting Data...</v>
      </c>
      <c r="R799" t="str">
        <f>_xll.BDP("358776NB Muni","MUNI_MSRB_VOLUME")</f>
        <v>#N/A Requesting Data...</v>
      </c>
      <c r="S799" t="str">
        <f>_xll.BDP("358776NB Muni","BB_COMPOSITE")</f>
        <v>#N/A Requesting Data...</v>
      </c>
      <c r="T799" t="str">
        <f>_xll.BDP("358776NB Muni","LQA_LIQUIDITY_SCORE")</f>
        <v>#N/A Requesting Data...</v>
      </c>
    </row>
    <row r="800" spans="1:20" x14ac:dyDescent="0.25">
      <c r="A800" t="str">
        <f>_xll.BDP("358776NC Muni","ID_CUSIP")</f>
        <v>#N/A Requesting Data...</v>
      </c>
      <c r="B800" t="s">
        <v>82</v>
      </c>
      <c r="C800" t="str">
        <f>_xll.BDP("358776NC Muni","INSURANCE_STATUS")</f>
        <v>#N/A Requesting Data...</v>
      </c>
      <c r="D800" t="str">
        <f>_xll.BDP("358776NC Muni","STATE_CODE")</f>
        <v>#N/A Requesting Data...</v>
      </c>
      <c r="E800" t="str">
        <f>_xll.BDP("358776NC Muni","COUNTY_LOCATION_ISSUER")</f>
        <v>#N/A Requesting Data...</v>
      </c>
      <c r="F800" t="str">
        <f>_xll.BDP("358776NC Muni","DUR_ADJ_MID")</f>
        <v>#N/A Requesting Data...</v>
      </c>
      <c r="G800" t="str">
        <f>_xll.BDP("358776NC Muni","SPREAD_AT_ISSUANCE_TO_WORST")</f>
        <v>#N/A Requesting Data...</v>
      </c>
      <c r="H800" t="str">
        <f>_xll.BDP("358776NC Muni","ISSUE_DT")</f>
        <v>#N/A Requesting Data...</v>
      </c>
      <c r="I800" t="str">
        <f>_xll.BDS("358776NC Muni","MUNI_PURPOSE_SCHED", "aggregate=y")</f>
        <v>#N/A Review</v>
      </c>
      <c r="J800" t="str">
        <f>_xll.BDP("358776NC Muni","CPN")</f>
        <v>#N/A Requesting Data...</v>
      </c>
      <c r="K800" t="str">
        <f>_xll.BDP("358776NC Muni","MATURITY")</f>
        <v>#N/A Requesting Data...</v>
      </c>
      <c r="L800">
        <v>760000</v>
      </c>
      <c r="M800" t="str">
        <f>_xll.BDP("358776NC Muni","YIELD_ON_ISSUE_DATE")</f>
        <v>#N/A Requesting Data...</v>
      </c>
      <c r="N800" t="str">
        <f>_xll.BDP("358776NC Muni","YTW_SPREAD_TO_MATURITY_AT_ISSU")</f>
        <v>#N/A Requesting Data...</v>
      </c>
      <c r="O800" t="str">
        <f>_xll.BDP("358776NC Muni","BVAL_MID_YTM")</f>
        <v>#N/A Requesting Data...</v>
      </c>
      <c r="P800" t="str">
        <f>_xll.BDP("358776NC Muni","MUNI_TAX_PROV")</f>
        <v>#N/A Requesting Data...</v>
      </c>
      <c r="Q800" t="str">
        <f>_xll.BDP("358776NC Muni","MUNI_FED_TAX")</f>
        <v>#N/A Requesting Data...</v>
      </c>
      <c r="R800" t="str">
        <f>_xll.BDP("358776NC Muni","MUNI_MSRB_VOLUME")</f>
        <v>#N/A Requesting Data...</v>
      </c>
      <c r="S800" t="str">
        <f>_xll.BDP("358776NC Muni","BB_COMPOSITE")</f>
        <v>#N/A Requesting Data...</v>
      </c>
      <c r="T800" t="str">
        <f>_xll.BDP("358776NC Muni","LQA_LIQUIDITY_SCORE")</f>
        <v>#N/A Requesting Data...</v>
      </c>
    </row>
    <row r="801" spans="1:20" x14ac:dyDescent="0.25">
      <c r="A801" t="str">
        <f>_xll.BDP("359863CF Muni","ID_CUSIP")</f>
        <v>#N/A Requesting Data...</v>
      </c>
      <c r="B801" t="s">
        <v>296</v>
      </c>
      <c r="C801" t="str">
        <f>_xll.BDP("359863CF Muni","INSURANCE_STATUS")</f>
        <v>#N/A Requesting Data...</v>
      </c>
      <c r="D801" t="str">
        <f>_xll.BDP("359863CF Muni","STATE_CODE")</f>
        <v>#N/A Requesting Data...</v>
      </c>
      <c r="E801" t="str">
        <f>_xll.BDP("359863CF Muni","COUNTY_LOCATION_ISSUER")</f>
        <v>#N/A Requesting Data...</v>
      </c>
      <c r="F801" t="str">
        <f>_xll.BDP("359863CF Muni","DUR_ADJ_MID")</f>
        <v>#N/A Requesting Data...</v>
      </c>
      <c r="G801" t="str">
        <f>_xll.BDP("359863CF Muni","SPREAD_AT_ISSUANCE_TO_WORST")</f>
        <v>#N/A Requesting Data...</v>
      </c>
      <c r="H801" t="str">
        <f>_xll.BDP("359863CF Muni","ISSUE_DT")</f>
        <v>#N/A Requesting Data...</v>
      </c>
      <c r="I801" t="str">
        <f>_xll.BDS("359863CF Muni","MUNI_PURPOSE_SCHED", "aggregate=y")</f>
        <v>#N/A Review</v>
      </c>
      <c r="J801" t="str">
        <f>_xll.BDP("359863CF Muni","CPN")</f>
        <v>#N/A Requesting Data...</v>
      </c>
      <c r="K801" t="str">
        <f>_xll.BDP("359863CF Muni","MATURITY")</f>
        <v>#N/A Requesting Data...</v>
      </c>
      <c r="L801">
        <v>105000</v>
      </c>
      <c r="M801" t="str">
        <f>_xll.BDP("359863CF Muni","YIELD_ON_ISSUE_DATE")</f>
        <v>#N/A Requesting Data...</v>
      </c>
      <c r="N801" t="str">
        <f>_xll.BDP("359863CF Muni","YTW_SPREAD_TO_MATURITY_AT_ISSU")</f>
        <v>#N/A Requesting Data...</v>
      </c>
      <c r="O801" t="str">
        <f>_xll.BDP("359863CF Muni","BVAL_MID_YTM")</f>
        <v>#N/A Requesting Data...</v>
      </c>
      <c r="P801" t="str">
        <f>_xll.BDP("359863CF Muni","MUNI_TAX_PROV")</f>
        <v>#N/A Requesting Data...</v>
      </c>
      <c r="Q801" t="str">
        <f>_xll.BDP("359863CF Muni","MUNI_FED_TAX")</f>
        <v>#N/A Requesting Data...</v>
      </c>
      <c r="R801" t="str">
        <f>_xll.BDP("359863CF Muni","MUNI_MSRB_VOLUME")</f>
        <v>#N/A Requesting Data...</v>
      </c>
      <c r="S801" t="str">
        <f>_xll.BDP("359863CF Muni","BB_COMPOSITE")</f>
        <v>#N/A Requesting Data...</v>
      </c>
      <c r="T801" t="str">
        <f>_xll.BDP("359863CF Muni","LQA_LIQUIDITY_SCORE")</f>
        <v>#N/A Requesting Data...</v>
      </c>
    </row>
    <row r="802" spans="1:20" x14ac:dyDescent="0.25">
      <c r="A802" t="str">
        <f>_xll.BDP("359863CG Muni","ID_CUSIP")</f>
        <v>#N/A Requesting Data...</v>
      </c>
      <c r="B802" t="s">
        <v>296</v>
      </c>
      <c r="C802" t="str">
        <f>_xll.BDP("359863CG Muni","INSURANCE_STATUS")</f>
        <v>#N/A Requesting Data...</v>
      </c>
      <c r="D802" t="str">
        <f>_xll.BDP("359863CG Muni","STATE_CODE")</f>
        <v>#N/A Requesting Data...</v>
      </c>
      <c r="E802" t="str">
        <f>_xll.BDP("359863CG Muni","COUNTY_LOCATION_ISSUER")</f>
        <v>#N/A Requesting Data...</v>
      </c>
      <c r="F802" t="str">
        <f>_xll.BDP("359863CG Muni","DUR_ADJ_MID")</f>
        <v>#N/A Requesting Data...</v>
      </c>
      <c r="G802" t="str">
        <f>_xll.BDP("359863CG Muni","SPREAD_AT_ISSUANCE_TO_WORST")</f>
        <v>#N/A Requesting Data...</v>
      </c>
      <c r="H802" t="str">
        <f>_xll.BDP("359863CG Muni","ISSUE_DT")</f>
        <v>#N/A Requesting Data...</v>
      </c>
      <c r="I802" t="str">
        <f>_xll.BDS("359863CG Muni","MUNI_PURPOSE_SCHED", "aggregate=y")</f>
        <v>#N/A Review</v>
      </c>
      <c r="J802" t="str">
        <f>_xll.BDP("359863CG Muni","CPN")</f>
        <v>#N/A Requesting Data...</v>
      </c>
      <c r="K802" t="str">
        <f>_xll.BDP("359863CG Muni","MATURITY")</f>
        <v>#N/A Requesting Data...</v>
      </c>
      <c r="L802">
        <v>110000</v>
      </c>
      <c r="M802" t="str">
        <f>_xll.BDP("359863CG Muni","YIELD_ON_ISSUE_DATE")</f>
        <v>#N/A Requesting Data...</v>
      </c>
      <c r="N802" t="str">
        <f>_xll.BDP("359863CG Muni","YTW_SPREAD_TO_MATURITY_AT_ISSU")</f>
        <v>#N/A Requesting Data...</v>
      </c>
      <c r="O802" t="str">
        <f>_xll.BDP("359863CG Muni","BVAL_MID_YTM")</f>
        <v>#N/A Requesting Data...</v>
      </c>
      <c r="P802" t="str">
        <f>_xll.BDP("359863CG Muni","MUNI_TAX_PROV")</f>
        <v>#N/A Requesting Data...</v>
      </c>
      <c r="Q802" t="str">
        <f>_xll.BDP("359863CG Muni","MUNI_FED_TAX")</f>
        <v>#N/A Requesting Data...</v>
      </c>
      <c r="R802" t="str">
        <f>_xll.BDP("359863CG Muni","MUNI_MSRB_VOLUME")</f>
        <v>#N/A Requesting Data...</v>
      </c>
      <c r="S802" t="str">
        <f>_xll.BDP("359863CG Muni","BB_COMPOSITE")</f>
        <v>#N/A Requesting Data...</v>
      </c>
      <c r="T802" t="str">
        <f>_xll.BDP("359863CG Muni","LQA_LIQUIDITY_SCORE")</f>
        <v>#N/A Requesting Data...</v>
      </c>
    </row>
    <row r="803" spans="1:20" x14ac:dyDescent="0.25">
      <c r="A803" t="str">
        <f>_xll.BDP("36106QAE Muni","ID_CUSIP")</f>
        <v>#N/A Requesting Data...</v>
      </c>
      <c r="B803" t="s">
        <v>297</v>
      </c>
      <c r="C803" t="str">
        <f>_xll.BDP("36106QAE Muni","INSURANCE_STATUS")</f>
        <v>#N/A Requesting Data...</v>
      </c>
      <c r="D803" t="str">
        <f>_xll.BDP("36106QAE Muni","STATE_CODE")</f>
        <v>#N/A Requesting Data...</v>
      </c>
      <c r="E803" t="str">
        <f>_xll.BDP("36106QAE Muni","COUNTY_LOCATION_ISSUER")</f>
        <v>#N/A Requesting Data...</v>
      </c>
      <c r="F803" t="str">
        <f>_xll.BDP("36106QAE Muni","DUR_ADJ_MID")</f>
        <v>#N/A Requesting Data...</v>
      </c>
      <c r="G803" t="str">
        <f>_xll.BDP("36106QAE Muni","SPREAD_AT_ISSUANCE_TO_WORST")</f>
        <v>#N/A Requesting Data...</v>
      </c>
      <c r="H803" t="str">
        <f>_xll.BDP("36106QAE Muni","ISSUE_DT")</f>
        <v>#N/A Requesting Data...</v>
      </c>
      <c r="I803" t="str">
        <f>_xll.BDS("36106QAE Muni","MUNI_PURPOSE_SCHED", "aggregate=y")</f>
        <v>#N/A Review</v>
      </c>
      <c r="J803" t="str">
        <f>_xll.BDP("36106QAE Muni","CPN")</f>
        <v>#N/A Requesting Data...</v>
      </c>
      <c r="K803" t="str">
        <f>_xll.BDP("36106QAE Muni","MATURITY")</f>
        <v>#N/A Requesting Data...</v>
      </c>
      <c r="L803">
        <v>930000</v>
      </c>
      <c r="M803" t="str">
        <f>_xll.BDP("36106QAE Muni","YIELD_ON_ISSUE_DATE")</f>
        <v>#N/A Requesting Data...</v>
      </c>
      <c r="N803" t="str">
        <f>_xll.BDP("36106QAE Muni","YTW_SPREAD_TO_MATURITY_AT_ISSU")</f>
        <v>#N/A Requesting Data...</v>
      </c>
      <c r="O803" t="str">
        <f>_xll.BDP("36106QAE Muni","BVAL_MID_YTM")</f>
        <v>#N/A Requesting Data...</v>
      </c>
      <c r="P803" t="str">
        <f>_xll.BDP("36106QAE Muni","MUNI_TAX_PROV")</f>
        <v>#N/A Requesting Data...</v>
      </c>
      <c r="Q803" t="str">
        <f>_xll.BDP("36106QAE Muni","MUNI_FED_TAX")</f>
        <v>#N/A Requesting Data...</v>
      </c>
      <c r="R803" t="str">
        <f>_xll.BDP("36106QAE Muni","MUNI_MSRB_VOLUME")</f>
        <v>#N/A Requesting Data...</v>
      </c>
      <c r="S803" t="str">
        <f>_xll.BDP("36106QAE Muni","BB_COMPOSITE")</f>
        <v>#N/A Requesting Data...</v>
      </c>
      <c r="T803" t="str">
        <f>_xll.BDP("36106QAE Muni","LQA_LIQUIDITY_SCORE")</f>
        <v>#N/A Requesting Data...</v>
      </c>
    </row>
    <row r="804" spans="1:20" x14ac:dyDescent="0.25">
      <c r="A804" t="str">
        <f>_xll.BDP("36106QAF Muni","ID_CUSIP")</f>
        <v>#N/A Requesting Data...</v>
      </c>
      <c r="B804" t="s">
        <v>297</v>
      </c>
      <c r="C804" t="str">
        <f>_xll.BDP("36106QAF Muni","INSURANCE_STATUS")</f>
        <v>#N/A Requesting Data...</v>
      </c>
      <c r="D804" t="str">
        <f>_xll.BDP("36106QAF Muni","STATE_CODE")</f>
        <v>#N/A Requesting Data...</v>
      </c>
      <c r="E804" t="str">
        <f>_xll.BDP("36106QAF Muni","COUNTY_LOCATION_ISSUER")</f>
        <v>#N/A Requesting Data...</v>
      </c>
      <c r="F804" t="str">
        <f>_xll.BDP("36106QAF Muni","DUR_ADJ_MID")</f>
        <v>#N/A Requesting Data...</v>
      </c>
      <c r="G804" t="str">
        <f>_xll.BDP("36106QAF Muni","SPREAD_AT_ISSUANCE_TO_WORST")</f>
        <v>#N/A Requesting Data...</v>
      </c>
      <c r="H804" t="str">
        <f>_xll.BDP("36106QAF Muni","ISSUE_DT")</f>
        <v>#N/A Requesting Data...</v>
      </c>
      <c r="I804" t="str">
        <f>_xll.BDS("36106QAF Muni","MUNI_PURPOSE_SCHED", "aggregate=y")</f>
        <v>#N/A Review</v>
      </c>
      <c r="J804" t="str">
        <f>_xll.BDP("36106QAF Muni","CPN")</f>
        <v>#N/A Requesting Data...</v>
      </c>
      <c r="K804" t="str">
        <f>_xll.BDP("36106QAF Muni","MATURITY")</f>
        <v>#N/A Requesting Data...</v>
      </c>
      <c r="L804">
        <v>975000</v>
      </c>
      <c r="M804" t="str">
        <f>_xll.BDP("36106QAF Muni","YIELD_ON_ISSUE_DATE")</f>
        <v>#N/A Requesting Data...</v>
      </c>
      <c r="N804" t="str">
        <f>_xll.BDP("36106QAF Muni","YTW_SPREAD_TO_MATURITY_AT_ISSU")</f>
        <v>#N/A Requesting Data...</v>
      </c>
      <c r="O804" t="str">
        <f>_xll.BDP("36106QAF Muni","BVAL_MID_YTM")</f>
        <v>#N/A Requesting Data...</v>
      </c>
      <c r="P804" t="str">
        <f>_xll.BDP("36106QAF Muni","MUNI_TAX_PROV")</f>
        <v>#N/A Requesting Data...</v>
      </c>
      <c r="Q804" t="str">
        <f>_xll.BDP("36106QAF Muni","MUNI_FED_TAX")</f>
        <v>#N/A Requesting Data...</v>
      </c>
      <c r="R804" t="str">
        <f>_xll.BDP("36106QAF Muni","MUNI_MSRB_VOLUME")</f>
        <v>#N/A Requesting Data...</v>
      </c>
      <c r="S804" t="str">
        <f>_xll.BDP("36106QAF Muni","BB_COMPOSITE")</f>
        <v>#N/A Requesting Data...</v>
      </c>
      <c r="T804" t="str">
        <f>_xll.BDP("36106QAF Muni","LQA_LIQUIDITY_SCORE")</f>
        <v>#N/A Requesting Data...</v>
      </c>
    </row>
    <row r="805" spans="1:20" x14ac:dyDescent="0.25">
      <c r="A805" t="str">
        <f>_xll.BDP("36106QAG Muni","ID_CUSIP")</f>
        <v>#N/A Requesting Data...</v>
      </c>
      <c r="B805" t="s">
        <v>297</v>
      </c>
      <c r="C805" t="str">
        <f>_xll.BDP("36106QAG Muni","INSURANCE_STATUS")</f>
        <v>#N/A Requesting Data...</v>
      </c>
      <c r="D805" t="str">
        <f>_xll.BDP("36106QAG Muni","STATE_CODE")</f>
        <v>#N/A Requesting Data...</v>
      </c>
      <c r="E805" t="str">
        <f>_xll.BDP("36106QAG Muni","COUNTY_LOCATION_ISSUER")</f>
        <v>#N/A Requesting Data...</v>
      </c>
      <c r="F805" t="str">
        <f>_xll.BDP("36106QAG Muni","DUR_ADJ_MID")</f>
        <v>#N/A Requesting Data...</v>
      </c>
      <c r="G805" t="str">
        <f>_xll.BDP("36106QAG Muni","SPREAD_AT_ISSUANCE_TO_WORST")</f>
        <v>#N/A Requesting Data...</v>
      </c>
      <c r="H805" t="str">
        <f>_xll.BDP("36106QAG Muni","ISSUE_DT")</f>
        <v>#N/A Requesting Data...</v>
      </c>
      <c r="I805" t="str">
        <f>_xll.BDS("36106QAG Muni","MUNI_PURPOSE_SCHED", "aggregate=y")</f>
        <v>#N/A Review</v>
      </c>
      <c r="J805" t="str">
        <f>_xll.BDP("36106QAG Muni","CPN")</f>
        <v>#N/A Requesting Data...</v>
      </c>
      <c r="K805" t="str">
        <f>_xll.BDP("36106QAG Muni","MATURITY")</f>
        <v>#N/A Requesting Data...</v>
      </c>
      <c r="L805">
        <v>1015000</v>
      </c>
      <c r="M805" t="str">
        <f>_xll.BDP("36106QAG Muni","YIELD_ON_ISSUE_DATE")</f>
        <v>#N/A Requesting Data...</v>
      </c>
      <c r="N805" t="str">
        <f>_xll.BDP("36106QAG Muni","YTW_SPREAD_TO_MATURITY_AT_ISSU")</f>
        <v>#N/A Requesting Data...</v>
      </c>
      <c r="O805" t="str">
        <f>_xll.BDP("36106QAG Muni","BVAL_MID_YTM")</f>
        <v>#N/A Requesting Data...</v>
      </c>
      <c r="P805" t="str">
        <f>_xll.BDP("36106QAG Muni","MUNI_TAX_PROV")</f>
        <v>#N/A Requesting Data...</v>
      </c>
      <c r="Q805" t="str">
        <f>_xll.BDP("36106QAG Muni","MUNI_FED_TAX")</f>
        <v>#N/A Requesting Data...</v>
      </c>
      <c r="R805" t="str">
        <f>_xll.BDP("36106QAG Muni","MUNI_MSRB_VOLUME")</f>
        <v>#N/A Requesting Data...</v>
      </c>
      <c r="S805" t="str">
        <f>_xll.BDP("36106QAG Muni","BB_COMPOSITE")</f>
        <v>#N/A Requesting Data...</v>
      </c>
      <c r="T805" t="str">
        <f>_xll.BDP("36106QAG Muni","LQA_LIQUIDITY_SCORE")</f>
        <v>#N/A Requesting Data...</v>
      </c>
    </row>
    <row r="806" spans="1:20" x14ac:dyDescent="0.25">
      <c r="A806" t="str">
        <f>_xll.BDP("36106QAH Muni","ID_CUSIP")</f>
        <v>#N/A Requesting Data...</v>
      </c>
      <c r="B806" t="s">
        <v>297</v>
      </c>
      <c r="C806" t="str">
        <f>_xll.BDP("36106QAH Muni","INSURANCE_STATUS")</f>
        <v>#N/A Requesting Data...</v>
      </c>
      <c r="D806" t="str">
        <f>_xll.BDP("36106QAH Muni","STATE_CODE")</f>
        <v>#N/A Requesting Data...</v>
      </c>
      <c r="E806" t="str">
        <f>_xll.BDP("36106QAH Muni","COUNTY_LOCATION_ISSUER")</f>
        <v>#N/A Requesting Data...</v>
      </c>
      <c r="F806" t="str">
        <f>_xll.BDP("36106QAH Muni","DUR_ADJ_MID")</f>
        <v>#N/A Requesting Data...</v>
      </c>
      <c r="G806" t="str">
        <f>_xll.BDP("36106QAH Muni","SPREAD_AT_ISSUANCE_TO_WORST")</f>
        <v>#N/A Requesting Data...</v>
      </c>
      <c r="H806" t="str">
        <f>_xll.BDP("36106QAH Muni","ISSUE_DT")</f>
        <v>#N/A Requesting Data...</v>
      </c>
      <c r="I806" t="str">
        <f>_xll.BDS("36106QAH Muni","MUNI_PURPOSE_SCHED", "aggregate=y")</f>
        <v>#N/A Review</v>
      </c>
      <c r="J806" t="str">
        <f>_xll.BDP("36106QAH Muni","CPN")</f>
        <v>#N/A Requesting Data...</v>
      </c>
      <c r="K806" t="str">
        <f>_xll.BDP("36106QAH Muni","MATURITY")</f>
        <v>#N/A Requesting Data...</v>
      </c>
      <c r="L806">
        <v>1055000</v>
      </c>
      <c r="M806" t="str">
        <f>_xll.BDP("36106QAH Muni","YIELD_ON_ISSUE_DATE")</f>
        <v>#N/A Requesting Data...</v>
      </c>
      <c r="N806" t="str">
        <f>_xll.BDP("36106QAH Muni","YTW_SPREAD_TO_MATURITY_AT_ISSU")</f>
        <v>#N/A Requesting Data...</v>
      </c>
      <c r="O806" t="str">
        <f>_xll.BDP("36106QAH Muni","BVAL_MID_YTM")</f>
        <v>#N/A Requesting Data...</v>
      </c>
      <c r="P806" t="str">
        <f>_xll.BDP("36106QAH Muni","MUNI_TAX_PROV")</f>
        <v>#N/A Requesting Data...</v>
      </c>
      <c r="Q806" t="str">
        <f>_xll.BDP("36106QAH Muni","MUNI_FED_TAX")</f>
        <v>#N/A Requesting Data...</v>
      </c>
      <c r="R806" t="str">
        <f>_xll.BDP("36106QAH Muni","MUNI_MSRB_VOLUME")</f>
        <v>#N/A Requesting Data...</v>
      </c>
      <c r="S806" t="str">
        <f>_xll.BDP("36106QAH Muni","BB_COMPOSITE")</f>
        <v>#N/A Requesting Data...</v>
      </c>
      <c r="T806" t="str">
        <f>_xll.BDP("36106QAH Muni","LQA_LIQUIDITY_SCORE")</f>
        <v>#N/A Requesting Data...</v>
      </c>
    </row>
    <row r="807" spans="1:20" x14ac:dyDescent="0.25">
      <c r="A807" t="str">
        <f>_xll.BDP("221843CD Muni","ID_CUSIP")</f>
        <v>#N/A Requesting Data...</v>
      </c>
      <c r="B807" t="s">
        <v>298</v>
      </c>
      <c r="C807" t="str">
        <f>_xll.BDP("221843CD Muni","INSURANCE_STATUS")</f>
        <v>#N/A Requesting Data...</v>
      </c>
      <c r="D807" t="str">
        <f>_xll.BDP("221843CD Muni","STATE_CODE")</f>
        <v>#N/A Requesting Data...</v>
      </c>
      <c r="E807" t="str">
        <f>_xll.BDP("221843CD Muni","COUNTY_LOCATION_ISSUER")</f>
        <v>#N/A Requesting Data...</v>
      </c>
      <c r="F807" t="str">
        <f>_xll.BDP("221843CD Muni","DUR_ADJ_MID")</f>
        <v>#N/A Requesting Data...</v>
      </c>
      <c r="G807" t="str">
        <f>_xll.BDP("221843CD Muni","SPREAD_AT_ISSUANCE_TO_WORST")</f>
        <v>#N/A Requesting Data...</v>
      </c>
      <c r="H807" t="str">
        <f>_xll.BDP("221843CD Muni","ISSUE_DT")</f>
        <v>#N/A Requesting Data...</v>
      </c>
      <c r="I807" t="str">
        <f>_xll.BDS("221843CD Muni","MUNI_PURPOSE_SCHED", "aggregate=y")</f>
        <v>#N/A Review</v>
      </c>
      <c r="J807" t="str">
        <f>_xll.BDP("221843CD Muni","CPN")</f>
        <v>#N/A Requesting Data...</v>
      </c>
      <c r="K807" t="str">
        <f>_xll.BDP("221843CD Muni","MATURITY")</f>
        <v>#N/A Requesting Data...</v>
      </c>
      <c r="L807">
        <v>25000</v>
      </c>
      <c r="M807" t="str">
        <f>_xll.BDP("221843CD Muni","YIELD_ON_ISSUE_DATE")</f>
        <v>#N/A Requesting Data...</v>
      </c>
      <c r="N807" t="str">
        <f>_xll.BDP("221843CD Muni","YTW_SPREAD_TO_MATURITY_AT_ISSU")</f>
        <v>#N/A Requesting Data...</v>
      </c>
      <c r="O807" t="str">
        <f>_xll.BDP("221843CD Muni","BVAL_MID_YTM")</f>
        <v>#N/A Requesting Data...</v>
      </c>
      <c r="P807" t="str">
        <f>_xll.BDP("221843CD Muni","MUNI_TAX_PROV")</f>
        <v>#N/A Requesting Data...</v>
      </c>
      <c r="Q807" t="str">
        <f>_xll.BDP("221843CD Muni","MUNI_FED_TAX")</f>
        <v>#N/A Requesting Data...</v>
      </c>
      <c r="R807" t="str">
        <f>_xll.BDP("221843CD Muni","MUNI_MSRB_VOLUME")</f>
        <v>#N/A Requesting Data...</v>
      </c>
      <c r="S807" t="str">
        <f>_xll.BDP("221843CD Muni","BB_COMPOSITE")</f>
        <v>#N/A Requesting Data...</v>
      </c>
      <c r="T807" t="str">
        <f>_xll.BDP("221843CD Muni","LQA_LIQUIDITY_SCORE")</f>
        <v>#N/A Requesting Data...</v>
      </c>
    </row>
    <row r="808" spans="1:20" x14ac:dyDescent="0.25">
      <c r="A808" t="str">
        <f>_xll.BDP("2221295L Muni","ID_CUSIP")</f>
        <v>#N/A Requesting Data...</v>
      </c>
      <c r="B808" t="s">
        <v>299</v>
      </c>
      <c r="C808" t="str">
        <f>_xll.BDP("2221295L Muni","INSURANCE_STATUS")</f>
        <v>#N/A Requesting Data...</v>
      </c>
      <c r="D808" t="str">
        <f>_xll.BDP("2221295L Muni","STATE_CODE")</f>
        <v>#N/A Requesting Data...</v>
      </c>
      <c r="E808" t="str">
        <f>_xll.BDP("2221295L Muni","COUNTY_LOCATION_ISSUER")</f>
        <v>#N/A Requesting Data...</v>
      </c>
      <c r="F808" t="str">
        <f>_xll.BDP("2221295L Muni","DUR_ADJ_MID")</f>
        <v>#N/A Requesting Data...</v>
      </c>
      <c r="G808" t="str">
        <f>_xll.BDP("2221295L Muni","SPREAD_AT_ISSUANCE_TO_WORST")</f>
        <v>#N/A Requesting Data...</v>
      </c>
      <c r="H808" t="str">
        <f>_xll.BDP("2221295L Muni","ISSUE_DT")</f>
        <v>#N/A Requesting Data...</v>
      </c>
      <c r="I808" t="str">
        <f>_xll.BDS("2221295L Muni","MUNI_PURPOSE_SCHED", "aggregate=y")</f>
        <v>#N/A Review</v>
      </c>
      <c r="J808" t="str">
        <f>_xll.BDP("2221295L Muni","CPN")</f>
        <v>#N/A Requesting Data...</v>
      </c>
      <c r="K808" t="str">
        <f>_xll.BDP("2221295L Muni","MATURITY")</f>
        <v>#N/A Requesting Data...</v>
      </c>
      <c r="L808">
        <v>1020000</v>
      </c>
      <c r="M808" t="str">
        <f>_xll.BDP("2221295L Muni","YIELD_ON_ISSUE_DATE")</f>
        <v>#N/A Requesting Data...</v>
      </c>
      <c r="N808" t="str">
        <f>_xll.BDP("2221295L Muni","YTW_SPREAD_TO_MATURITY_AT_ISSU")</f>
        <v>#N/A Requesting Data...</v>
      </c>
      <c r="O808" t="str">
        <f>_xll.BDP("2221295L Muni","BVAL_MID_YTM")</f>
        <v>#N/A Requesting Data...</v>
      </c>
      <c r="P808" t="str">
        <f>_xll.BDP("2221295L Muni","MUNI_TAX_PROV")</f>
        <v>#N/A Requesting Data...</v>
      </c>
      <c r="Q808" t="str">
        <f>_xll.BDP("2221295L Muni","MUNI_FED_TAX")</f>
        <v>#N/A Requesting Data...</v>
      </c>
      <c r="R808" t="str">
        <f>_xll.BDP("2221295L Muni","MUNI_MSRB_VOLUME")</f>
        <v>#N/A Requesting Data...</v>
      </c>
      <c r="S808" t="str">
        <f>_xll.BDP("2221295L Muni","BB_COMPOSITE")</f>
        <v>#N/A Requesting Data...</v>
      </c>
      <c r="T808" t="str">
        <f>_xll.BDP("2221295L Muni","LQA_LIQUIDITY_SCORE")</f>
        <v>#N/A Requesting Data...</v>
      </c>
    </row>
    <row r="809" spans="1:20" x14ac:dyDescent="0.25">
      <c r="A809" t="str">
        <f>_xll.BDP("38527UHB Muni","ID_CUSIP")</f>
        <v>#N/A Requesting Data...</v>
      </c>
      <c r="B809" t="s">
        <v>300</v>
      </c>
      <c r="C809" t="str">
        <f>_xll.BDP("38527UHB Muni","INSURANCE_STATUS")</f>
        <v>#N/A Requesting Data...</v>
      </c>
      <c r="D809" t="str">
        <f>_xll.BDP("38527UHB Muni","STATE_CODE")</f>
        <v>#N/A Requesting Data...</v>
      </c>
      <c r="E809" t="str">
        <f>_xll.BDP("38527UHB Muni","COUNTY_LOCATION_ISSUER")</f>
        <v>#N/A Requesting Data...</v>
      </c>
      <c r="F809" t="str">
        <f>_xll.BDP("38527UHB Muni","DUR_ADJ_MID")</f>
        <v>#N/A Requesting Data...</v>
      </c>
      <c r="G809" t="str">
        <f>_xll.BDP("38527UHB Muni","SPREAD_AT_ISSUANCE_TO_WORST")</f>
        <v>#N/A Requesting Data...</v>
      </c>
      <c r="H809" t="str">
        <f>_xll.BDP("38527UHB Muni","ISSUE_DT")</f>
        <v>#N/A Requesting Data...</v>
      </c>
      <c r="I809" t="str">
        <f>_xll.BDS("38527UHB Muni","MUNI_PURPOSE_SCHED", "aggregate=y")</f>
        <v>#N/A Review</v>
      </c>
      <c r="J809" t="str">
        <f>_xll.BDP("38527UHB Muni","CPN")</f>
        <v>#N/A Requesting Data...</v>
      </c>
      <c r="K809" t="str">
        <f>_xll.BDP("38527UHB Muni","MATURITY")</f>
        <v>#N/A Requesting Data...</v>
      </c>
      <c r="L809">
        <v>1005000</v>
      </c>
      <c r="M809" t="str">
        <f>_xll.BDP("38527UHB Muni","YIELD_ON_ISSUE_DATE")</f>
        <v>#N/A Requesting Data...</v>
      </c>
      <c r="N809" t="str">
        <f>_xll.BDP("38527UHB Muni","YTW_SPREAD_TO_MATURITY_AT_ISSU")</f>
        <v>#N/A Requesting Data...</v>
      </c>
      <c r="O809" t="str">
        <f>_xll.BDP("38527UHB Muni","BVAL_MID_YTM")</f>
        <v>#N/A Requesting Data...</v>
      </c>
      <c r="P809" t="str">
        <f>_xll.BDP("38527UHB Muni","MUNI_TAX_PROV")</f>
        <v>#N/A Requesting Data...</v>
      </c>
      <c r="Q809" t="str">
        <f>_xll.BDP("38527UHB Muni","MUNI_FED_TAX")</f>
        <v>#N/A Requesting Data...</v>
      </c>
      <c r="R809" t="str">
        <f>_xll.BDP("38527UHB Muni","MUNI_MSRB_VOLUME")</f>
        <v>#N/A Requesting Data...</v>
      </c>
      <c r="S809" t="str">
        <f>_xll.BDP("38527UHB Muni","BB_COMPOSITE")</f>
        <v>#N/A Requesting Data...</v>
      </c>
      <c r="T809" t="str">
        <f>_xll.BDP("38527UHB Muni","LQA_LIQUIDITY_SCORE")</f>
        <v>#N/A Requesting Data...</v>
      </c>
    </row>
    <row r="810" spans="1:20" x14ac:dyDescent="0.25">
      <c r="A810" t="str">
        <f>_xll.BDP("38610TBG Muni","ID_CUSIP")</f>
        <v>#N/A Requesting Data...</v>
      </c>
      <c r="B810" t="s">
        <v>301</v>
      </c>
      <c r="C810" t="str">
        <f>_xll.BDP("38610TBG Muni","INSURANCE_STATUS")</f>
        <v>#N/A Requesting Data...</v>
      </c>
      <c r="D810" t="str">
        <f>_xll.BDP("38610TBG Muni","STATE_CODE")</f>
        <v>#N/A Requesting Data...</v>
      </c>
      <c r="E810" t="str">
        <f>_xll.BDP("38610TBG Muni","COUNTY_LOCATION_ISSUER")</f>
        <v>#N/A Requesting Data...</v>
      </c>
      <c r="F810" t="str">
        <f>_xll.BDP("38610TBG Muni","DUR_ADJ_MID")</f>
        <v>#N/A Requesting Data...</v>
      </c>
      <c r="G810" t="str">
        <f>_xll.BDP("38610TBG Muni","SPREAD_AT_ISSUANCE_TO_WORST")</f>
        <v>#N/A Requesting Data...</v>
      </c>
      <c r="H810" t="str">
        <f>_xll.BDP("38610TBG Muni","ISSUE_DT")</f>
        <v>#N/A Requesting Data...</v>
      </c>
      <c r="I810" t="str">
        <f>_xll.BDS("38610TBG Muni","MUNI_PURPOSE_SCHED", "aggregate=y")</f>
        <v>#N/A Review</v>
      </c>
      <c r="J810" t="str">
        <f>_xll.BDP("38610TBG Muni","CPN")</f>
        <v>#N/A Requesting Data...</v>
      </c>
      <c r="K810" t="str">
        <f>_xll.BDP("38610TBG Muni","MATURITY")</f>
        <v>#N/A Requesting Data...</v>
      </c>
      <c r="L810">
        <v>50000</v>
      </c>
      <c r="M810" t="str">
        <f>_xll.BDP("38610TBG Muni","YIELD_ON_ISSUE_DATE")</f>
        <v>#N/A Requesting Data...</v>
      </c>
      <c r="N810" t="str">
        <f>_xll.BDP("38610TBG Muni","YTW_SPREAD_TO_MATURITY_AT_ISSU")</f>
        <v>#N/A Requesting Data...</v>
      </c>
      <c r="O810" t="str">
        <f>_xll.BDP("38610TBG Muni","BVAL_MID_YTM")</f>
        <v>#N/A Requesting Data...</v>
      </c>
      <c r="P810" t="str">
        <f>_xll.BDP("38610TBG Muni","MUNI_TAX_PROV")</f>
        <v>#N/A Requesting Data...</v>
      </c>
      <c r="Q810" t="str">
        <f>_xll.BDP("38610TBG Muni","MUNI_FED_TAX")</f>
        <v>#N/A Requesting Data...</v>
      </c>
      <c r="R810" t="str">
        <f>_xll.BDP("38610TBG Muni","MUNI_MSRB_VOLUME")</f>
        <v>#N/A Requesting Data...</v>
      </c>
      <c r="S810" t="str">
        <f>_xll.BDP("38610TBG Muni","BB_COMPOSITE")</f>
        <v>#N/A Requesting Data...</v>
      </c>
      <c r="T810" t="str">
        <f>_xll.BDP("38610TBG Muni","LQA_LIQUIDITY_SCORE")</f>
        <v>#N/A Requesting Data...</v>
      </c>
    </row>
    <row r="811" spans="1:20" x14ac:dyDescent="0.25">
      <c r="A811" t="str">
        <f>_xll.BDP("386316MR Muni","ID_CUSIP")</f>
        <v>#N/A Requesting Data...</v>
      </c>
      <c r="B811" t="s">
        <v>137</v>
      </c>
      <c r="C811" t="str">
        <f>_xll.BDP("386316MR Muni","INSURANCE_STATUS")</f>
        <v>#N/A Requesting Data...</v>
      </c>
      <c r="D811" t="str">
        <f>_xll.BDP("386316MR Muni","STATE_CODE")</f>
        <v>#N/A Requesting Data...</v>
      </c>
      <c r="E811" t="str">
        <f>_xll.BDP("386316MR Muni","COUNTY_LOCATION_ISSUER")</f>
        <v>#N/A Requesting Data...</v>
      </c>
      <c r="F811" t="str">
        <f>_xll.BDP("386316MR Muni","DUR_ADJ_MID")</f>
        <v>#N/A Requesting Data...</v>
      </c>
      <c r="G811" t="str">
        <f>_xll.BDP("386316MR Muni","SPREAD_AT_ISSUANCE_TO_WORST")</f>
        <v>#N/A Requesting Data...</v>
      </c>
      <c r="H811" t="str">
        <f>_xll.BDP("386316MR Muni","ISSUE_DT")</f>
        <v>#N/A Requesting Data...</v>
      </c>
      <c r="I811" t="str">
        <f>_xll.BDS("386316MR Muni","MUNI_PURPOSE_SCHED", "aggregate=y")</f>
        <v>#N/A Review</v>
      </c>
      <c r="J811" t="str">
        <f>_xll.BDP("386316MR Muni","CPN")</f>
        <v>#N/A Requesting Data...</v>
      </c>
      <c r="K811" t="str">
        <f>_xll.BDP("386316MR Muni","MATURITY")</f>
        <v>#N/A Requesting Data...</v>
      </c>
      <c r="L811">
        <v>1130000</v>
      </c>
      <c r="M811" t="str">
        <f>_xll.BDP("386316MR Muni","YIELD_ON_ISSUE_DATE")</f>
        <v>#N/A Requesting Data...</v>
      </c>
      <c r="N811" t="str">
        <f>_xll.BDP("386316MR Muni","YTW_SPREAD_TO_MATURITY_AT_ISSU")</f>
        <v>#N/A Requesting Data...</v>
      </c>
      <c r="O811" t="str">
        <f>_xll.BDP("386316MR Muni","BVAL_MID_YTM")</f>
        <v>#N/A Requesting Data...</v>
      </c>
      <c r="P811" t="str">
        <f>_xll.BDP("386316MR Muni","MUNI_TAX_PROV")</f>
        <v>#N/A Requesting Data...</v>
      </c>
      <c r="Q811" t="str">
        <f>_xll.BDP("386316MR Muni","MUNI_FED_TAX")</f>
        <v>#N/A Requesting Data...</v>
      </c>
      <c r="R811" t="str">
        <f>_xll.BDP("386316MR Muni","MUNI_MSRB_VOLUME")</f>
        <v>#N/A Requesting Data...</v>
      </c>
      <c r="S811" t="str">
        <f>_xll.BDP("386316MR Muni","BB_COMPOSITE")</f>
        <v>#N/A Requesting Data...</v>
      </c>
      <c r="T811" t="str">
        <f>_xll.BDP("386316MR Muni","LQA_LIQUIDITY_SCORE")</f>
        <v>#N/A Requesting Data...</v>
      </c>
    </row>
    <row r="812" spans="1:20" x14ac:dyDescent="0.25">
      <c r="A812" t="str">
        <f>_xll.BDP("386316MS Muni","ID_CUSIP")</f>
        <v>#N/A Requesting Data...</v>
      </c>
      <c r="B812" t="s">
        <v>137</v>
      </c>
      <c r="C812" t="str">
        <f>_xll.BDP("386316MS Muni","INSURANCE_STATUS")</f>
        <v>#N/A Requesting Data...</v>
      </c>
      <c r="D812" t="str">
        <f>_xll.BDP("386316MS Muni","STATE_CODE")</f>
        <v>#N/A Requesting Data...</v>
      </c>
      <c r="E812" t="str">
        <f>_xll.BDP("386316MS Muni","COUNTY_LOCATION_ISSUER")</f>
        <v>#N/A Requesting Data...</v>
      </c>
      <c r="F812" t="str">
        <f>_xll.BDP("386316MS Muni","DUR_ADJ_MID")</f>
        <v>#N/A Requesting Data...</v>
      </c>
      <c r="G812" t="str">
        <f>_xll.BDP("386316MS Muni","SPREAD_AT_ISSUANCE_TO_WORST")</f>
        <v>#N/A Requesting Data...</v>
      </c>
      <c r="H812" t="str">
        <f>_xll.BDP("386316MS Muni","ISSUE_DT")</f>
        <v>#N/A Requesting Data...</v>
      </c>
      <c r="I812" t="str">
        <f>_xll.BDS("386316MS Muni","MUNI_PURPOSE_SCHED", "aggregate=y")</f>
        <v>#N/A Review</v>
      </c>
      <c r="J812" t="str">
        <f>_xll.BDP("386316MS Muni","CPN")</f>
        <v>#N/A Requesting Data...</v>
      </c>
      <c r="K812" t="str">
        <f>_xll.BDP("386316MS Muni","MATURITY")</f>
        <v>#N/A Requesting Data...</v>
      </c>
      <c r="L812">
        <v>1185000</v>
      </c>
      <c r="M812" t="str">
        <f>_xll.BDP("386316MS Muni","YIELD_ON_ISSUE_DATE")</f>
        <v>#N/A Requesting Data...</v>
      </c>
      <c r="N812" t="str">
        <f>_xll.BDP("386316MS Muni","YTW_SPREAD_TO_MATURITY_AT_ISSU")</f>
        <v>#N/A Requesting Data...</v>
      </c>
      <c r="O812" t="str">
        <f>_xll.BDP("386316MS Muni","BVAL_MID_YTM")</f>
        <v>#N/A Requesting Data...</v>
      </c>
      <c r="P812" t="str">
        <f>_xll.BDP("386316MS Muni","MUNI_TAX_PROV")</f>
        <v>#N/A Requesting Data...</v>
      </c>
      <c r="Q812" t="str">
        <f>_xll.BDP("386316MS Muni","MUNI_FED_TAX")</f>
        <v>#N/A Requesting Data...</v>
      </c>
      <c r="R812" t="str">
        <f>_xll.BDP("386316MS Muni","MUNI_MSRB_VOLUME")</f>
        <v>#N/A Requesting Data...</v>
      </c>
      <c r="S812" t="str">
        <f>_xll.BDP("386316MS Muni","BB_COMPOSITE")</f>
        <v>#N/A Requesting Data...</v>
      </c>
      <c r="T812" t="str">
        <f>_xll.BDP("386316MS Muni","LQA_LIQUIDITY_SCORE")</f>
        <v>#N/A Requesting Data...</v>
      </c>
    </row>
    <row r="813" spans="1:20" x14ac:dyDescent="0.25">
      <c r="A813" t="str">
        <f>_xll.BDP("386316MT Muni","ID_CUSIP")</f>
        <v>#N/A Requesting Data...</v>
      </c>
      <c r="B813" t="s">
        <v>137</v>
      </c>
      <c r="C813" t="str">
        <f>_xll.BDP("386316MT Muni","INSURANCE_STATUS")</f>
        <v>#N/A Requesting Data...</v>
      </c>
      <c r="D813" t="str">
        <f>_xll.BDP("386316MT Muni","STATE_CODE")</f>
        <v>#N/A Requesting Data...</v>
      </c>
      <c r="E813" t="str">
        <f>_xll.BDP("386316MT Muni","COUNTY_LOCATION_ISSUER")</f>
        <v>#N/A Requesting Data...</v>
      </c>
      <c r="F813" t="str">
        <f>_xll.BDP("386316MT Muni","DUR_ADJ_MID")</f>
        <v>#N/A Requesting Data...</v>
      </c>
      <c r="G813" t="str">
        <f>_xll.BDP("386316MT Muni","SPREAD_AT_ISSUANCE_TO_WORST")</f>
        <v>#N/A Requesting Data...</v>
      </c>
      <c r="H813" t="str">
        <f>_xll.BDP("386316MT Muni","ISSUE_DT")</f>
        <v>#N/A Requesting Data...</v>
      </c>
      <c r="I813" t="str">
        <f>_xll.BDS("386316MT Muni","MUNI_PURPOSE_SCHED", "aggregate=y")</f>
        <v>#N/A Review</v>
      </c>
      <c r="J813" t="str">
        <f>_xll.BDP("386316MT Muni","CPN")</f>
        <v>#N/A Requesting Data...</v>
      </c>
      <c r="K813" t="str">
        <f>_xll.BDP("386316MT Muni","MATURITY")</f>
        <v>#N/A Requesting Data...</v>
      </c>
      <c r="L813">
        <v>1240000</v>
      </c>
      <c r="M813" t="str">
        <f>_xll.BDP("386316MT Muni","YIELD_ON_ISSUE_DATE")</f>
        <v>#N/A Requesting Data...</v>
      </c>
      <c r="N813" t="str">
        <f>_xll.BDP("386316MT Muni","YTW_SPREAD_TO_MATURITY_AT_ISSU")</f>
        <v>#N/A Requesting Data...</v>
      </c>
      <c r="O813" t="str">
        <f>_xll.BDP("386316MT Muni","BVAL_MID_YTM")</f>
        <v>#N/A Requesting Data...</v>
      </c>
      <c r="P813" t="str">
        <f>_xll.BDP("386316MT Muni","MUNI_TAX_PROV")</f>
        <v>#N/A Requesting Data...</v>
      </c>
      <c r="Q813" t="str">
        <f>_xll.BDP("386316MT Muni","MUNI_FED_TAX")</f>
        <v>#N/A Requesting Data...</v>
      </c>
      <c r="R813" t="str">
        <f>_xll.BDP("386316MT Muni","MUNI_MSRB_VOLUME")</f>
        <v>#N/A Requesting Data...</v>
      </c>
      <c r="S813" t="str">
        <f>_xll.BDP("386316MT Muni","BB_COMPOSITE")</f>
        <v>#N/A Requesting Data...</v>
      </c>
      <c r="T813" t="str">
        <f>_xll.BDP("386316MT Muni","LQA_LIQUIDITY_SCORE")</f>
        <v>#N/A Requesting Data...</v>
      </c>
    </row>
    <row r="814" spans="1:20" x14ac:dyDescent="0.25">
      <c r="A814" t="str">
        <f>_xll.BDP("386497AG Muni","ID_CUSIP")</f>
        <v>#N/A Requesting Data...</v>
      </c>
      <c r="B814" t="s">
        <v>302</v>
      </c>
      <c r="C814" t="str">
        <f>_xll.BDP("386497AG Muni","INSURANCE_STATUS")</f>
        <v>#N/A Requesting Data...</v>
      </c>
      <c r="D814" t="str">
        <f>_xll.BDP("386497AG Muni","STATE_CODE")</f>
        <v>#N/A Requesting Data...</v>
      </c>
      <c r="E814" t="str">
        <f>_xll.BDP("386497AG Muni","COUNTY_LOCATION_ISSUER")</f>
        <v>#N/A Requesting Data...</v>
      </c>
      <c r="F814" t="str">
        <f>_xll.BDP("386497AG Muni","DUR_ADJ_MID")</f>
        <v>#N/A Requesting Data...</v>
      </c>
      <c r="G814" t="str">
        <f>_xll.BDP("386497AG Muni","SPREAD_AT_ISSUANCE_TO_WORST")</f>
        <v>#N/A Requesting Data...</v>
      </c>
      <c r="H814" t="str">
        <f>_xll.BDP("386497AG Muni","ISSUE_DT")</f>
        <v>#N/A Requesting Data...</v>
      </c>
      <c r="I814" t="str">
        <f>_xll.BDS("386497AG Muni","MUNI_PURPOSE_SCHED", "aggregate=y")</f>
        <v>#N/A Review</v>
      </c>
      <c r="J814" t="str">
        <f>_xll.BDP("386497AG Muni","CPN")</f>
        <v>#N/A Requesting Data...</v>
      </c>
      <c r="K814" t="str">
        <f>_xll.BDP("386497AG Muni","MATURITY")</f>
        <v>#N/A Requesting Data...</v>
      </c>
      <c r="L814">
        <v>220000</v>
      </c>
      <c r="M814" t="str">
        <f>_xll.BDP("386497AG Muni","YIELD_ON_ISSUE_DATE")</f>
        <v>#N/A Requesting Data...</v>
      </c>
      <c r="N814" t="str">
        <f>_xll.BDP("386497AG Muni","YTW_SPREAD_TO_MATURITY_AT_ISSU")</f>
        <v>#N/A Requesting Data...</v>
      </c>
      <c r="O814" t="str">
        <f>_xll.BDP("386497AG Muni","BVAL_MID_YTM")</f>
        <v>#N/A Requesting Data...</v>
      </c>
      <c r="P814" t="str">
        <f>_xll.BDP("386497AG Muni","MUNI_TAX_PROV")</f>
        <v>#N/A Requesting Data...</v>
      </c>
      <c r="Q814" t="str">
        <f>_xll.BDP("386497AG Muni","MUNI_FED_TAX")</f>
        <v>#N/A Requesting Data...</v>
      </c>
      <c r="R814" t="str">
        <f>_xll.BDP("386497AG Muni","MUNI_MSRB_VOLUME")</f>
        <v>#N/A Requesting Data...</v>
      </c>
      <c r="S814" t="str">
        <f>_xll.BDP("386497AG Muni","BB_COMPOSITE")</f>
        <v>#N/A Requesting Data...</v>
      </c>
      <c r="T814" t="str">
        <f>_xll.BDP("386497AG Muni","LQA_LIQUIDITY_SCORE")</f>
        <v>#N/A Requesting Data...</v>
      </c>
    </row>
    <row r="815" spans="1:20" x14ac:dyDescent="0.25">
      <c r="A815" t="str">
        <f>_xll.BDP("386676BQ Muni","ID_CUSIP")</f>
        <v>#N/A Requesting Data...</v>
      </c>
      <c r="B815" t="s">
        <v>303</v>
      </c>
      <c r="C815" t="str">
        <f>_xll.BDP("386676BQ Muni","INSURANCE_STATUS")</f>
        <v>#N/A Requesting Data...</v>
      </c>
      <c r="D815" t="str">
        <f>_xll.BDP("386676BQ Muni","STATE_CODE")</f>
        <v>#N/A Requesting Data...</v>
      </c>
      <c r="E815" t="str">
        <f>_xll.BDP("386676BQ Muni","COUNTY_LOCATION_ISSUER")</f>
        <v>#N/A Requesting Data...</v>
      </c>
      <c r="F815" t="str">
        <f>_xll.BDP("386676BQ Muni","DUR_ADJ_MID")</f>
        <v>#N/A Requesting Data...</v>
      </c>
      <c r="G815" t="str">
        <f>_xll.BDP("386676BQ Muni","SPREAD_AT_ISSUANCE_TO_WORST")</f>
        <v>#N/A Requesting Data...</v>
      </c>
      <c r="H815" t="str">
        <f>_xll.BDP("386676BQ Muni","ISSUE_DT")</f>
        <v>#N/A Requesting Data...</v>
      </c>
      <c r="I815" t="str">
        <f>_xll.BDS("386676BQ Muni","MUNI_PURPOSE_SCHED", "aggregate=y")</f>
        <v>#N/A Review</v>
      </c>
      <c r="J815" t="str">
        <f>_xll.BDP("386676BQ Muni","CPN")</f>
        <v>#N/A Requesting Data...</v>
      </c>
      <c r="K815" t="str">
        <f>_xll.BDP("386676BQ Muni","MATURITY")</f>
        <v>#N/A Requesting Data...</v>
      </c>
      <c r="L815">
        <v>285000</v>
      </c>
      <c r="M815" t="str">
        <f>_xll.BDP("386676BQ Muni","YIELD_ON_ISSUE_DATE")</f>
        <v>#N/A Requesting Data...</v>
      </c>
      <c r="N815" t="str">
        <f>_xll.BDP("386676BQ Muni","YTW_SPREAD_TO_MATURITY_AT_ISSU")</f>
        <v>#N/A Requesting Data...</v>
      </c>
      <c r="O815" t="str">
        <f>_xll.BDP("386676BQ Muni","BVAL_MID_YTM")</f>
        <v>#N/A Requesting Data...</v>
      </c>
      <c r="P815" t="str">
        <f>_xll.BDP("386676BQ Muni","MUNI_TAX_PROV")</f>
        <v>#N/A Requesting Data...</v>
      </c>
      <c r="Q815" t="str">
        <f>_xll.BDP("386676BQ Muni","MUNI_FED_TAX")</f>
        <v>#N/A Requesting Data...</v>
      </c>
      <c r="R815" t="str">
        <f>_xll.BDP("386676BQ Muni","MUNI_MSRB_VOLUME")</f>
        <v>#N/A Requesting Data...</v>
      </c>
      <c r="S815" t="str">
        <f>_xll.BDP("386676BQ Muni","BB_COMPOSITE")</f>
        <v>#N/A Requesting Data...</v>
      </c>
      <c r="T815" t="str">
        <f>_xll.BDP("386676BQ Muni","LQA_LIQUIDITY_SCORE")</f>
        <v>#N/A Requesting Data...</v>
      </c>
    </row>
    <row r="816" spans="1:20" x14ac:dyDescent="0.25">
      <c r="A816" t="str">
        <f>_xll.BDP("386676BR Muni","ID_CUSIP")</f>
        <v>#N/A Requesting Data...</v>
      </c>
      <c r="B816" t="s">
        <v>303</v>
      </c>
      <c r="C816" t="str">
        <f>_xll.BDP("386676BR Muni","INSURANCE_STATUS")</f>
        <v>#N/A Requesting Data...</v>
      </c>
      <c r="D816" t="str">
        <f>_xll.BDP("386676BR Muni","STATE_CODE")</f>
        <v>#N/A Requesting Data...</v>
      </c>
      <c r="E816" t="str">
        <f>_xll.BDP("386676BR Muni","COUNTY_LOCATION_ISSUER")</f>
        <v>#N/A Requesting Data...</v>
      </c>
      <c r="F816" t="str">
        <f>_xll.BDP("386676BR Muni","DUR_ADJ_MID")</f>
        <v>#N/A Requesting Data...</v>
      </c>
      <c r="G816" t="str">
        <f>_xll.BDP("386676BR Muni","SPREAD_AT_ISSUANCE_TO_WORST")</f>
        <v>#N/A Requesting Data...</v>
      </c>
      <c r="H816" t="str">
        <f>_xll.BDP("386676BR Muni","ISSUE_DT")</f>
        <v>#N/A Requesting Data...</v>
      </c>
      <c r="I816" t="str">
        <f>_xll.BDS("386676BR Muni","MUNI_PURPOSE_SCHED", "aggregate=y")</f>
        <v>#N/A Review</v>
      </c>
      <c r="J816" t="str">
        <f>_xll.BDP("386676BR Muni","CPN")</f>
        <v>#N/A Requesting Data...</v>
      </c>
      <c r="K816" t="str">
        <f>_xll.BDP("386676BR Muni","MATURITY")</f>
        <v>#N/A Requesting Data...</v>
      </c>
      <c r="L816">
        <v>290000</v>
      </c>
      <c r="M816" t="str">
        <f>_xll.BDP("386676BR Muni","YIELD_ON_ISSUE_DATE")</f>
        <v>#N/A Requesting Data...</v>
      </c>
      <c r="N816" t="str">
        <f>_xll.BDP("386676BR Muni","YTW_SPREAD_TO_MATURITY_AT_ISSU")</f>
        <v>#N/A Requesting Data...</v>
      </c>
      <c r="O816" t="str">
        <f>_xll.BDP("386676BR Muni","BVAL_MID_YTM")</f>
        <v>#N/A Requesting Data...</v>
      </c>
      <c r="P816" t="str">
        <f>_xll.BDP("386676BR Muni","MUNI_TAX_PROV")</f>
        <v>#N/A Requesting Data...</v>
      </c>
      <c r="Q816" t="str">
        <f>_xll.BDP("386676BR Muni","MUNI_FED_TAX")</f>
        <v>#N/A Requesting Data...</v>
      </c>
      <c r="R816" t="str">
        <f>_xll.BDP("386676BR Muni","MUNI_MSRB_VOLUME")</f>
        <v>#N/A Requesting Data...</v>
      </c>
      <c r="S816" t="str">
        <f>_xll.BDP("386676BR Muni","BB_COMPOSITE")</f>
        <v>#N/A Requesting Data...</v>
      </c>
      <c r="T816" t="str">
        <f>_xll.BDP("386676BR Muni","LQA_LIQUIDITY_SCORE")</f>
        <v>#N/A Requesting Data...</v>
      </c>
    </row>
    <row r="817" spans="1:20" x14ac:dyDescent="0.25">
      <c r="A817" t="str">
        <f>_xll.BDP("386676BS Muni","ID_CUSIP")</f>
        <v>#N/A Requesting Data...</v>
      </c>
      <c r="B817" t="s">
        <v>303</v>
      </c>
      <c r="C817" t="str">
        <f>_xll.BDP("386676BS Muni","INSURANCE_STATUS")</f>
        <v>#N/A Requesting Data...</v>
      </c>
      <c r="D817" t="str">
        <f>_xll.BDP("386676BS Muni","STATE_CODE")</f>
        <v>#N/A Requesting Data...</v>
      </c>
      <c r="E817" t="str">
        <f>_xll.BDP("386676BS Muni","COUNTY_LOCATION_ISSUER")</f>
        <v>#N/A Requesting Data...</v>
      </c>
      <c r="F817" t="str">
        <f>_xll.BDP("386676BS Muni","DUR_ADJ_MID")</f>
        <v>#N/A Requesting Data...</v>
      </c>
      <c r="G817" t="str">
        <f>_xll.BDP("386676BS Muni","SPREAD_AT_ISSUANCE_TO_WORST")</f>
        <v>#N/A Requesting Data...</v>
      </c>
      <c r="H817" t="str">
        <f>_xll.BDP("386676BS Muni","ISSUE_DT")</f>
        <v>#N/A Requesting Data...</v>
      </c>
      <c r="I817" t="str">
        <f>_xll.BDS("386676BS Muni","MUNI_PURPOSE_SCHED", "aggregate=y")</f>
        <v>#N/A Review</v>
      </c>
      <c r="J817" t="str">
        <f>_xll.BDP("386676BS Muni","CPN")</f>
        <v>#N/A Requesting Data...</v>
      </c>
      <c r="K817" t="str">
        <f>_xll.BDP("386676BS Muni","MATURITY")</f>
        <v>#N/A Requesting Data...</v>
      </c>
      <c r="L817">
        <v>295000</v>
      </c>
      <c r="M817" t="str">
        <f>_xll.BDP("386676BS Muni","YIELD_ON_ISSUE_DATE")</f>
        <v>#N/A Requesting Data...</v>
      </c>
      <c r="N817" t="str">
        <f>_xll.BDP("386676BS Muni","YTW_SPREAD_TO_MATURITY_AT_ISSU")</f>
        <v>#N/A Requesting Data...</v>
      </c>
      <c r="O817" t="str">
        <f>_xll.BDP("386676BS Muni","BVAL_MID_YTM")</f>
        <v>#N/A Requesting Data...</v>
      </c>
      <c r="P817" t="str">
        <f>_xll.BDP("386676BS Muni","MUNI_TAX_PROV")</f>
        <v>#N/A Requesting Data...</v>
      </c>
      <c r="Q817" t="str">
        <f>_xll.BDP("386676BS Muni","MUNI_FED_TAX")</f>
        <v>#N/A Requesting Data...</v>
      </c>
      <c r="R817" t="str">
        <f>_xll.BDP("386676BS Muni","MUNI_MSRB_VOLUME")</f>
        <v>#N/A Requesting Data...</v>
      </c>
      <c r="S817" t="str">
        <f>_xll.BDP("386676BS Muni","BB_COMPOSITE")</f>
        <v>#N/A Requesting Data...</v>
      </c>
      <c r="T817" t="str">
        <f>_xll.BDP("386676BS Muni","LQA_LIQUIDITY_SCORE")</f>
        <v>#N/A Requesting Data...</v>
      </c>
    </row>
    <row r="818" spans="1:20" x14ac:dyDescent="0.25">
      <c r="A818" t="str">
        <f>_xll.BDP("386676BT Muni","ID_CUSIP")</f>
        <v>#N/A Requesting Data...</v>
      </c>
      <c r="B818" t="s">
        <v>303</v>
      </c>
      <c r="C818" t="str">
        <f>_xll.BDP("386676BT Muni","INSURANCE_STATUS")</f>
        <v>#N/A Requesting Data...</v>
      </c>
      <c r="D818" t="str">
        <f>_xll.BDP("386676BT Muni","STATE_CODE")</f>
        <v>#N/A Requesting Data...</v>
      </c>
      <c r="E818" t="str">
        <f>_xll.BDP("386676BT Muni","COUNTY_LOCATION_ISSUER")</f>
        <v>#N/A Requesting Data...</v>
      </c>
      <c r="F818" t="str">
        <f>_xll.BDP("386676BT Muni","DUR_ADJ_MID")</f>
        <v>#N/A Requesting Data...</v>
      </c>
      <c r="G818" t="str">
        <f>_xll.BDP("386676BT Muni","SPREAD_AT_ISSUANCE_TO_WORST")</f>
        <v>#N/A Requesting Data...</v>
      </c>
      <c r="H818" t="str">
        <f>_xll.BDP("386676BT Muni","ISSUE_DT")</f>
        <v>#N/A Requesting Data...</v>
      </c>
      <c r="I818" t="str">
        <f>_xll.BDS("386676BT Muni","MUNI_PURPOSE_SCHED", "aggregate=y")</f>
        <v>#N/A Review</v>
      </c>
      <c r="J818" t="str">
        <f>_xll.BDP("386676BT Muni","CPN")</f>
        <v>#N/A Requesting Data...</v>
      </c>
      <c r="K818" t="str">
        <f>_xll.BDP("386676BT Muni","MATURITY")</f>
        <v>#N/A Requesting Data...</v>
      </c>
      <c r="L818">
        <v>300000</v>
      </c>
      <c r="M818" t="str">
        <f>_xll.BDP("386676BT Muni","YIELD_ON_ISSUE_DATE")</f>
        <v>#N/A Requesting Data...</v>
      </c>
      <c r="N818" t="str">
        <f>_xll.BDP("386676BT Muni","YTW_SPREAD_TO_MATURITY_AT_ISSU")</f>
        <v>#N/A Requesting Data...</v>
      </c>
      <c r="O818" t="str">
        <f>_xll.BDP("386676BT Muni","BVAL_MID_YTM")</f>
        <v>#N/A Requesting Data...</v>
      </c>
      <c r="P818" t="str">
        <f>_xll.BDP("386676BT Muni","MUNI_TAX_PROV")</f>
        <v>#N/A Requesting Data...</v>
      </c>
      <c r="Q818" t="str">
        <f>_xll.BDP("386676BT Muni","MUNI_FED_TAX")</f>
        <v>#N/A Requesting Data...</v>
      </c>
      <c r="R818" t="str">
        <f>_xll.BDP("386676BT Muni","MUNI_MSRB_VOLUME")</f>
        <v>#N/A Requesting Data...</v>
      </c>
      <c r="S818" t="str">
        <f>_xll.BDP("386676BT Muni","BB_COMPOSITE")</f>
        <v>#N/A Requesting Data...</v>
      </c>
      <c r="T818" t="str">
        <f>_xll.BDP("386676BT Muni","LQA_LIQUIDITY_SCORE")</f>
        <v>#N/A Requesting Data...</v>
      </c>
    </row>
    <row r="819" spans="1:20" x14ac:dyDescent="0.25">
      <c r="A819" t="str">
        <f>_xll.BDP("386676BU Muni","ID_CUSIP")</f>
        <v>#N/A Requesting Data...</v>
      </c>
      <c r="B819" t="s">
        <v>303</v>
      </c>
      <c r="C819" t="str">
        <f>_xll.BDP("386676BU Muni","INSURANCE_STATUS")</f>
        <v>#N/A Requesting Data...</v>
      </c>
      <c r="D819" t="str">
        <f>_xll.BDP("386676BU Muni","STATE_CODE")</f>
        <v>#N/A Requesting Data...</v>
      </c>
      <c r="E819" t="str">
        <f>_xll.BDP("386676BU Muni","COUNTY_LOCATION_ISSUER")</f>
        <v>#N/A Requesting Data...</v>
      </c>
      <c r="F819" t="str">
        <f>_xll.BDP("386676BU Muni","DUR_ADJ_MID")</f>
        <v>#N/A Requesting Data...</v>
      </c>
      <c r="G819" t="str">
        <f>_xll.BDP("386676BU Muni","SPREAD_AT_ISSUANCE_TO_WORST")</f>
        <v>#N/A Requesting Data...</v>
      </c>
      <c r="H819" t="str">
        <f>_xll.BDP("386676BU Muni","ISSUE_DT")</f>
        <v>#N/A Requesting Data...</v>
      </c>
      <c r="I819" t="str">
        <f>_xll.BDS("386676BU Muni","MUNI_PURPOSE_SCHED", "aggregate=y")</f>
        <v>#N/A Review</v>
      </c>
      <c r="J819" t="str">
        <f>_xll.BDP("386676BU Muni","CPN")</f>
        <v>#N/A Requesting Data...</v>
      </c>
      <c r="K819" t="str">
        <f>_xll.BDP("386676BU Muni","MATURITY")</f>
        <v>#N/A Requesting Data...</v>
      </c>
      <c r="L819">
        <v>310000</v>
      </c>
      <c r="M819" t="str">
        <f>_xll.BDP("386676BU Muni","YIELD_ON_ISSUE_DATE")</f>
        <v>#N/A Requesting Data...</v>
      </c>
      <c r="N819" t="str">
        <f>_xll.BDP("386676BU Muni","YTW_SPREAD_TO_MATURITY_AT_ISSU")</f>
        <v>#N/A Requesting Data...</v>
      </c>
      <c r="O819" t="str">
        <f>_xll.BDP("386676BU Muni","BVAL_MID_YTM")</f>
        <v>#N/A Requesting Data...</v>
      </c>
      <c r="P819" t="str">
        <f>_xll.BDP("386676BU Muni","MUNI_TAX_PROV")</f>
        <v>#N/A Requesting Data...</v>
      </c>
      <c r="Q819" t="str">
        <f>_xll.BDP("386676BU Muni","MUNI_FED_TAX")</f>
        <v>#N/A Requesting Data...</v>
      </c>
      <c r="R819" t="str">
        <f>_xll.BDP("386676BU Muni","MUNI_MSRB_VOLUME")</f>
        <v>#N/A Requesting Data...</v>
      </c>
      <c r="S819" t="str">
        <f>_xll.BDP("386676BU Muni","BB_COMPOSITE")</f>
        <v>#N/A Requesting Data...</v>
      </c>
      <c r="T819" t="str">
        <f>_xll.BDP("386676BU Muni","LQA_LIQUIDITY_SCORE")</f>
        <v>#N/A Requesting Data...</v>
      </c>
    </row>
    <row r="820" spans="1:20" x14ac:dyDescent="0.25">
      <c r="A820" t="str">
        <f>_xll.BDP("387370YC Muni","ID_CUSIP")</f>
        <v>#N/A Requesting Data...</v>
      </c>
      <c r="B820" t="s">
        <v>304</v>
      </c>
      <c r="C820" t="str">
        <f>_xll.BDP("387370YC Muni","INSURANCE_STATUS")</f>
        <v>#N/A Requesting Data...</v>
      </c>
      <c r="D820" t="str">
        <f>_xll.BDP("387370YC Muni","STATE_CODE")</f>
        <v>#N/A Requesting Data...</v>
      </c>
      <c r="E820" t="str">
        <f>_xll.BDP("387370YC Muni","COUNTY_LOCATION_ISSUER")</f>
        <v>#N/A Requesting Data...</v>
      </c>
      <c r="F820" t="str">
        <f>_xll.BDP("387370YC Muni","DUR_ADJ_MID")</f>
        <v>#N/A Requesting Data...</v>
      </c>
      <c r="G820" t="str">
        <f>_xll.BDP("387370YC Muni","SPREAD_AT_ISSUANCE_TO_WORST")</f>
        <v>#N/A Requesting Data...</v>
      </c>
      <c r="H820" t="str">
        <f>_xll.BDP("387370YC Muni","ISSUE_DT")</f>
        <v>#N/A Requesting Data...</v>
      </c>
      <c r="I820" t="str">
        <f>_xll.BDS("387370YC Muni","MUNI_PURPOSE_SCHED", "aggregate=y")</f>
        <v>#N/A Review</v>
      </c>
      <c r="J820" t="str">
        <f>_xll.BDP("387370YC Muni","CPN")</f>
        <v>#N/A Requesting Data...</v>
      </c>
      <c r="K820" t="str">
        <f>_xll.BDP("387370YC Muni","MATURITY")</f>
        <v>#N/A Requesting Data...</v>
      </c>
      <c r="L820">
        <v>120000</v>
      </c>
      <c r="M820" t="str">
        <f>_xll.BDP("387370YC Muni","YIELD_ON_ISSUE_DATE")</f>
        <v>#N/A Requesting Data...</v>
      </c>
      <c r="N820" t="str">
        <f>_xll.BDP("387370YC Muni","YTW_SPREAD_TO_MATURITY_AT_ISSU")</f>
        <v>#N/A Requesting Data...</v>
      </c>
      <c r="O820" t="str">
        <f>_xll.BDP("387370YC Muni","BVAL_MID_YTM")</f>
        <v>#N/A Requesting Data...</v>
      </c>
      <c r="P820" t="str">
        <f>_xll.BDP("387370YC Muni","MUNI_TAX_PROV")</f>
        <v>#N/A Requesting Data...</v>
      </c>
      <c r="Q820" t="str">
        <f>_xll.BDP("387370YC Muni","MUNI_FED_TAX")</f>
        <v>#N/A Requesting Data...</v>
      </c>
      <c r="R820" t="str">
        <f>_xll.BDP("387370YC Muni","MUNI_MSRB_VOLUME")</f>
        <v>#N/A Requesting Data...</v>
      </c>
      <c r="S820" t="str">
        <f>_xll.BDP("387370YC Muni","BB_COMPOSITE")</f>
        <v>#N/A Requesting Data...</v>
      </c>
      <c r="T820" t="str">
        <f>_xll.BDP("387370YC Muni","LQA_LIQUIDITY_SCORE")</f>
        <v>#N/A Requesting Data...</v>
      </c>
    </row>
    <row r="821" spans="1:20" x14ac:dyDescent="0.25">
      <c r="A821" t="str">
        <f>_xll.BDP("387370YD Muni","ID_CUSIP")</f>
        <v>#N/A Requesting Data...</v>
      </c>
      <c r="B821" t="s">
        <v>304</v>
      </c>
      <c r="C821" t="str">
        <f>_xll.BDP("387370YD Muni","INSURANCE_STATUS")</f>
        <v>#N/A Requesting Data...</v>
      </c>
      <c r="D821" t="str">
        <f>_xll.BDP("387370YD Muni","STATE_CODE")</f>
        <v>#N/A Requesting Data...</v>
      </c>
      <c r="E821" t="str">
        <f>_xll.BDP("387370YD Muni","COUNTY_LOCATION_ISSUER")</f>
        <v>#N/A Requesting Data...</v>
      </c>
      <c r="F821" t="str">
        <f>_xll.BDP("387370YD Muni","DUR_ADJ_MID")</f>
        <v>#N/A Requesting Data...</v>
      </c>
      <c r="G821" t="str">
        <f>_xll.BDP("387370YD Muni","SPREAD_AT_ISSUANCE_TO_WORST")</f>
        <v>#N/A Requesting Data...</v>
      </c>
      <c r="H821" t="str">
        <f>_xll.BDP("387370YD Muni","ISSUE_DT")</f>
        <v>#N/A Requesting Data...</v>
      </c>
      <c r="I821" t="str">
        <f>_xll.BDS("387370YD Muni","MUNI_PURPOSE_SCHED", "aggregate=y")</f>
        <v>#N/A Review</v>
      </c>
      <c r="J821" t="str">
        <f>_xll.BDP("387370YD Muni","CPN")</f>
        <v>#N/A Requesting Data...</v>
      </c>
      <c r="K821" t="str">
        <f>_xll.BDP("387370YD Muni","MATURITY")</f>
        <v>#N/A Requesting Data...</v>
      </c>
      <c r="L821">
        <v>125000</v>
      </c>
      <c r="M821" t="str">
        <f>_xll.BDP("387370YD Muni","YIELD_ON_ISSUE_DATE")</f>
        <v>#N/A Requesting Data...</v>
      </c>
      <c r="N821" t="str">
        <f>_xll.BDP("387370YD Muni","YTW_SPREAD_TO_MATURITY_AT_ISSU")</f>
        <v>#N/A Requesting Data...</v>
      </c>
      <c r="O821" t="str">
        <f>_xll.BDP("387370YD Muni","BVAL_MID_YTM")</f>
        <v>#N/A Requesting Data...</v>
      </c>
      <c r="P821" t="str">
        <f>_xll.BDP("387370YD Muni","MUNI_TAX_PROV")</f>
        <v>#N/A Requesting Data...</v>
      </c>
      <c r="Q821" t="str">
        <f>_xll.BDP("387370YD Muni","MUNI_FED_TAX")</f>
        <v>#N/A Requesting Data...</v>
      </c>
      <c r="R821" t="str">
        <f>_xll.BDP("387370YD Muni","MUNI_MSRB_VOLUME")</f>
        <v>#N/A Requesting Data...</v>
      </c>
      <c r="S821" t="str">
        <f>_xll.BDP("387370YD Muni","BB_COMPOSITE")</f>
        <v>#N/A Requesting Data...</v>
      </c>
      <c r="T821" t="str">
        <f>_xll.BDP("387370YD Muni","LQA_LIQUIDITY_SCORE")</f>
        <v>#N/A Requesting Data...</v>
      </c>
    </row>
    <row r="822" spans="1:20" x14ac:dyDescent="0.25">
      <c r="A822" t="str">
        <f>_xll.BDP("41450GNF Muni","ID_CUSIP")</f>
        <v>#N/A Requesting Data...</v>
      </c>
      <c r="B822" t="s">
        <v>305</v>
      </c>
      <c r="C822" t="str">
        <f>_xll.BDP("41450GNF Muni","INSURANCE_STATUS")</f>
        <v>#N/A Requesting Data...</v>
      </c>
      <c r="D822" t="str">
        <f>_xll.BDP("41450GNF Muni","STATE_CODE")</f>
        <v>#N/A Requesting Data...</v>
      </c>
      <c r="E822" t="str">
        <f>_xll.BDP("41450GNF Muni","COUNTY_LOCATION_ISSUER")</f>
        <v>#N/A Requesting Data...</v>
      </c>
      <c r="F822" t="str">
        <f>_xll.BDP("41450GNF Muni","DUR_ADJ_MID")</f>
        <v>#N/A Requesting Data...</v>
      </c>
      <c r="G822" t="str">
        <f>_xll.BDP("41450GNF Muni","SPREAD_AT_ISSUANCE_TO_WORST")</f>
        <v>#N/A Requesting Data...</v>
      </c>
      <c r="H822" t="str">
        <f>_xll.BDP("41450GNF Muni","ISSUE_DT")</f>
        <v>#N/A Requesting Data...</v>
      </c>
      <c r="I822" t="str">
        <f>_xll.BDS("41450GNF Muni","MUNI_PURPOSE_SCHED", "aggregate=y")</f>
        <v>#N/A Review</v>
      </c>
      <c r="J822" t="str">
        <f>_xll.BDP("41450GNF Muni","CPN")</f>
        <v>#N/A Requesting Data...</v>
      </c>
      <c r="K822" t="str">
        <f>_xll.BDP("41450GNF Muni","MATURITY")</f>
        <v>#N/A Requesting Data...</v>
      </c>
      <c r="L822">
        <v>250000</v>
      </c>
      <c r="M822" t="str">
        <f>_xll.BDP("41450GNF Muni","YIELD_ON_ISSUE_DATE")</f>
        <v>#N/A Requesting Data...</v>
      </c>
      <c r="N822" t="str">
        <f>_xll.BDP("41450GNF Muni","YTW_SPREAD_TO_MATURITY_AT_ISSU")</f>
        <v>#N/A Requesting Data...</v>
      </c>
      <c r="O822" t="str">
        <f>_xll.BDP("41450GNF Muni","BVAL_MID_YTM")</f>
        <v>#N/A Requesting Data...</v>
      </c>
      <c r="P822" t="str">
        <f>_xll.BDP("41450GNF Muni","MUNI_TAX_PROV")</f>
        <v>#N/A Requesting Data...</v>
      </c>
      <c r="Q822" t="str">
        <f>_xll.BDP("41450GNF Muni","MUNI_FED_TAX")</f>
        <v>#N/A Requesting Data...</v>
      </c>
      <c r="R822" t="str">
        <f>_xll.BDP("41450GNF Muni","MUNI_MSRB_VOLUME")</f>
        <v>#N/A Requesting Data...</v>
      </c>
      <c r="S822" t="str">
        <f>_xll.BDP("41450GNF Muni","BB_COMPOSITE")</f>
        <v>#N/A Requesting Data...</v>
      </c>
      <c r="T822" t="str">
        <f>_xll.BDP("41450GNF Muni","LQA_LIQUIDITY_SCORE")</f>
        <v>#N/A Requesting Data...</v>
      </c>
    </row>
    <row r="823" spans="1:20" x14ac:dyDescent="0.25">
      <c r="A823" t="str">
        <f>_xll.BDP("41450GNG Muni","ID_CUSIP")</f>
        <v>#N/A Requesting Data...</v>
      </c>
      <c r="B823" t="s">
        <v>305</v>
      </c>
      <c r="C823" t="str">
        <f>_xll.BDP("41450GNG Muni","INSURANCE_STATUS")</f>
        <v>#N/A Requesting Data...</v>
      </c>
      <c r="D823" t="str">
        <f>_xll.BDP("41450GNG Muni","STATE_CODE")</f>
        <v>#N/A Requesting Data...</v>
      </c>
      <c r="E823" t="str">
        <f>_xll.BDP("41450GNG Muni","COUNTY_LOCATION_ISSUER")</f>
        <v>#N/A Requesting Data...</v>
      </c>
      <c r="F823" t="str">
        <f>_xll.BDP("41450GNG Muni","DUR_ADJ_MID")</f>
        <v>#N/A Requesting Data...</v>
      </c>
      <c r="G823" t="str">
        <f>_xll.BDP("41450GNG Muni","SPREAD_AT_ISSUANCE_TO_WORST")</f>
        <v>#N/A Requesting Data...</v>
      </c>
      <c r="H823" t="str">
        <f>_xll.BDP("41450GNG Muni","ISSUE_DT")</f>
        <v>#N/A Requesting Data...</v>
      </c>
      <c r="I823" t="str">
        <f>_xll.BDS("41450GNG Muni","MUNI_PURPOSE_SCHED", "aggregate=y")</f>
        <v>#N/A Review</v>
      </c>
      <c r="J823" t="str">
        <f>_xll.BDP("41450GNG Muni","CPN")</f>
        <v>#N/A Requesting Data...</v>
      </c>
      <c r="K823" t="str">
        <f>_xll.BDP("41450GNG Muni","MATURITY")</f>
        <v>#N/A Requesting Data...</v>
      </c>
      <c r="L823">
        <v>250000</v>
      </c>
      <c r="M823" t="str">
        <f>_xll.BDP("41450GNG Muni","YIELD_ON_ISSUE_DATE")</f>
        <v>#N/A Requesting Data...</v>
      </c>
      <c r="N823" t="str">
        <f>_xll.BDP("41450GNG Muni","YTW_SPREAD_TO_MATURITY_AT_ISSU")</f>
        <v>#N/A Requesting Data...</v>
      </c>
      <c r="O823" t="str">
        <f>_xll.BDP("41450GNG Muni","BVAL_MID_YTM")</f>
        <v>#N/A Requesting Data...</v>
      </c>
      <c r="P823" t="str">
        <f>_xll.BDP("41450GNG Muni","MUNI_TAX_PROV")</f>
        <v>#N/A Requesting Data...</v>
      </c>
      <c r="Q823" t="str">
        <f>_xll.BDP("41450GNG Muni","MUNI_FED_TAX")</f>
        <v>#N/A Requesting Data...</v>
      </c>
      <c r="R823" t="str">
        <f>_xll.BDP("41450GNG Muni","MUNI_MSRB_VOLUME")</f>
        <v>#N/A Requesting Data...</v>
      </c>
      <c r="S823" t="str">
        <f>_xll.BDP("41450GNG Muni","BB_COMPOSITE")</f>
        <v>#N/A Requesting Data...</v>
      </c>
      <c r="T823" t="str">
        <f>_xll.BDP("41450GNG Muni","LQA_LIQUIDITY_SCORE")</f>
        <v>#N/A Requesting Data...</v>
      </c>
    </row>
    <row r="824" spans="1:20" x14ac:dyDescent="0.25">
      <c r="A824" t="str">
        <f>_xll.BDP("41453TAE Muni","ID_CUSIP")</f>
        <v>#N/A Requesting Data...</v>
      </c>
      <c r="B824" t="s">
        <v>306</v>
      </c>
      <c r="C824" t="str">
        <f>_xll.BDP("41453TAE Muni","INSURANCE_STATUS")</f>
        <v>#N/A Requesting Data...</v>
      </c>
      <c r="D824" t="str">
        <f>_xll.BDP("41453TAE Muni","STATE_CODE")</f>
        <v>#N/A Requesting Data...</v>
      </c>
      <c r="E824" t="str">
        <f>_xll.BDP("41453TAE Muni","COUNTY_LOCATION_ISSUER")</f>
        <v>#N/A Requesting Data...</v>
      </c>
      <c r="F824" t="str">
        <f>_xll.BDP("41453TAE Muni","DUR_ADJ_MID")</f>
        <v>#N/A Requesting Data...</v>
      </c>
      <c r="G824" t="str">
        <f>_xll.BDP("41453TAE Muni","SPREAD_AT_ISSUANCE_TO_WORST")</f>
        <v>#N/A Requesting Data...</v>
      </c>
      <c r="H824" t="str">
        <f>_xll.BDP("41453TAE Muni","ISSUE_DT")</f>
        <v>#N/A Requesting Data...</v>
      </c>
      <c r="I824" t="str">
        <f>_xll.BDS("41453TAE Muni","MUNI_PURPOSE_SCHED", "aggregate=y")</f>
        <v>#N/A Review</v>
      </c>
      <c r="J824" t="str">
        <f>_xll.BDP("41453TAE Muni","CPN")</f>
        <v>#N/A Requesting Data...</v>
      </c>
      <c r="K824" t="str">
        <f>_xll.BDP("41453TAE Muni","MATURITY")</f>
        <v>#N/A Requesting Data...</v>
      </c>
      <c r="L824">
        <v>115000</v>
      </c>
      <c r="M824" t="str">
        <f>_xll.BDP("41453TAE Muni","YIELD_ON_ISSUE_DATE")</f>
        <v>#N/A Requesting Data...</v>
      </c>
      <c r="N824" t="str">
        <f>_xll.BDP("41453TAE Muni","YTW_SPREAD_TO_MATURITY_AT_ISSU")</f>
        <v>#N/A Requesting Data...</v>
      </c>
      <c r="O824" t="str">
        <f>_xll.BDP("41453TAE Muni","BVAL_MID_YTM")</f>
        <v>#N/A Requesting Data...</v>
      </c>
      <c r="P824" t="str">
        <f>_xll.BDP("41453TAE Muni","MUNI_TAX_PROV")</f>
        <v>#N/A Requesting Data...</v>
      </c>
      <c r="Q824" t="str">
        <f>_xll.BDP("41453TAE Muni","MUNI_FED_TAX")</f>
        <v>#N/A Requesting Data...</v>
      </c>
      <c r="R824" t="str">
        <f>_xll.BDP("41453TAE Muni","MUNI_MSRB_VOLUME")</f>
        <v>#N/A Requesting Data...</v>
      </c>
      <c r="S824" t="str">
        <f>_xll.BDP("41453TAE Muni","BB_COMPOSITE")</f>
        <v>#N/A Requesting Data...</v>
      </c>
      <c r="T824" t="str">
        <f>_xll.BDP("41453TAE Muni","LQA_LIQUIDITY_SCORE")</f>
        <v>#N/A Requesting Data...</v>
      </c>
    </row>
    <row r="825" spans="1:20" x14ac:dyDescent="0.25">
      <c r="A825" t="str">
        <f>_xll.BDP("41453TAG Muni","ID_CUSIP")</f>
        <v>#N/A Requesting Data...</v>
      </c>
      <c r="B825" t="s">
        <v>306</v>
      </c>
      <c r="C825" t="str">
        <f>_xll.BDP("41453TAG Muni","INSURANCE_STATUS")</f>
        <v>#N/A Requesting Data...</v>
      </c>
      <c r="D825" t="str">
        <f>_xll.BDP("41453TAG Muni","STATE_CODE")</f>
        <v>#N/A Requesting Data...</v>
      </c>
      <c r="E825" t="str">
        <f>_xll.BDP("41453TAG Muni","COUNTY_LOCATION_ISSUER")</f>
        <v>#N/A Requesting Data...</v>
      </c>
      <c r="F825" t="str">
        <f>_xll.BDP("41453TAG Muni","DUR_ADJ_MID")</f>
        <v>#N/A Requesting Data...</v>
      </c>
      <c r="G825" t="str">
        <f>_xll.BDP("41453TAG Muni","SPREAD_AT_ISSUANCE_TO_WORST")</f>
        <v>#N/A Requesting Data...</v>
      </c>
      <c r="H825" t="str">
        <f>_xll.BDP("41453TAG Muni","ISSUE_DT")</f>
        <v>#N/A Requesting Data...</v>
      </c>
      <c r="I825" t="str">
        <f>_xll.BDS("41453TAG Muni","MUNI_PURPOSE_SCHED", "aggregate=y")</f>
        <v>#N/A Review</v>
      </c>
      <c r="J825" t="str">
        <f>_xll.BDP("41453TAG Muni","CPN")</f>
        <v>#N/A Requesting Data...</v>
      </c>
      <c r="K825" t="str">
        <f>_xll.BDP("41453TAG Muni","MATURITY")</f>
        <v>#N/A Requesting Data...</v>
      </c>
      <c r="L825">
        <v>130000</v>
      </c>
      <c r="M825" t="str">
        <f>_xll.BDP("41453TAG Muni","YIELD_ON_ISSUE_DATE")</f>
        <v>#N/A Requesting Data...</v>
      </c>
      <c r="N825" t="str">
        <f>_xll.BDP("41453TAG Muni","YTW_SPREAD_TO_MATURITY_AT_ISSU")</f>
        <v>#N/A Requesting Data...</v>
      </c>
      <c r="O825" t="str">
        <f>_xll.BDP("41453TAG Muni","BVAL_MID_YTM")</f>
        <v>#N/A Requesting Data...</v>
      </c>
      <c r="P825" t="str">
        <f>_xll.BDP("41453TAG Muni","MUNI_TAX_PROV")</f>
        <v>#N/A Requesting Data...</v>
      </c>
      <c r="Q825" t="str">
        <f>_xll.BDP("41453TAG Muni","MUNI_FED_TAX")</f>
        <v>#N/A Requesting Data...</v>
      </c>
      <c r="R825" t="str">
        <f>_xll.BDP("41453TAG Muni","MUNI_MSRB_VOLUME")</f>
        <v>#N/A Requesting Data...</v>
      </c>
      <c r="S825" t="str">
        <f>_xll.BDP("41453TAG Muni","BB_COMPOSITE")</f>
        <v>#N/A Requesting Data...</v>
      </c>
      <c r="T825" t="str">
        <f>_xll.BDP("41453TAG Muni","LQA_LIQUIDITY_SCORE")</f>
        <v>#N/A Requesting Data...</v>
      </c>
    </row>
    <row r="826" spans="1:20" x14ac:dyDescent="0.25">
      <c r="A826" t="str">
        <f>_xll.BDP("41420QJW Muni","ID_CUSIP")</f>
        <v>#N/A Requesting Data...</v>
      </c>
      <c r="B826" t="s">
        <v>307</v>
      </c>
      <c r="C826" t="str">
        <f>_xll.BDP("41420QJW Muni","INSURANCE_STATUS")</f>
        <v>#N/A Requesting Data...</v>
      </c>
      <c r="D826" t="str">
        <f>_xll.BDP("41420QJW Muni","STATE_CODE")</f>
        <v>#N/A Requesting Data...</v>
      </c>
      <c r="E826" t="str">
        <f>_xll.BDP("41420QJW Muni","COUNTY_LOCATION_ISSUER")</f>
        <v>#N/A Requesting Data...</v>
      </c>
      <c r="F826" t="str">
        <f>_xll.BDP("41420QJW Muni","DUR_ADJ_MID")</f>
        <v>#N/A Requesting Data...</v>
      </c>
      <c r="G826" t="str">
        <f>_xll.BDP("41420QJW Muni","SPREAD_AT_ISSUANCE_TO_WORST")</f>
        <v>#N/A Requesting Data...</v>
      </c>
      <c r="H826" t="str">
        <f>_xll.BDP("41420QJW Muni","ISSUE_DT")</f>
        <v>#N/A Requesting Data...</v>
      </c>
      <c r="I826" t="str">
        <f>_xll.BDS("41420QJW Muni","MUNI_PURPOSE_SCHED", "aggregate=y")</f>
        <v>#N/A Review</v>
      </c>
      <c r="J826" t="str">
        <f>_xll.BDP("41420QJW Muni","CPN")</f>
        <v>#N/A Requesting Data...</v>
      </c>
      <c r="K826" t="str">
        <f>_xll.BDP("41420QJW Muni","MATURITY")</f>
        <v>#N/A Requesting Data...</v>
      </c>
      <c r="L826">
        <v>125000</v>
      </c>
      <c r="M826" t="str">
        <f>_xll.BDP("41420QJW Muni","YIELD_ON_ISSUE_DATE")</f>
        <v>#N/A Requesting Data...</v>
      </c>
      <c r="N826" t="str">
        <f>_xll.BDP("41420QJW Muni","YTW_SPREAD_TO_MATURITY_AT_ISSU")</f>
        <v>#N/A Requesting Data...</v>
      </c>
      <c r="O826" t="str">
        <f>_xll.BDP("41420QJW Muni","BVAL_MID_YTM")</f>
        <v>#N/A Requesting Data...</v>
      </c>
      <c r="P826" t="str">
        <f>_xll.BDP("41420QJW Muni","MUNI_TAX_PROV")</f>
        <v>#N/A Requesting Data...</v>
      </c>
      <c r="Q826" t="str">
        <f>_xll.BDP("41420QJW Muni","MUNI_FED_TAX")</f>
        <v>#N/A Requesting Data...</v>
      </c>
      <c r="R826" t="str">
        <f>_xll.BDP("41420QJW Muni","MUNI_MSRB_VOLUME")</f>
        <v>#N/A Requesting Data...</v>
      </c>
      <c r="S826" t="str">
        <f>_xll.BDP("41420QJW Muni","BB_COMPOSITE")</f>
        <v>#N/A Requesting Data...</v>
      </c>
      <c r="T826" t="str">
        <f>_xll.BDP("41420QJW Muni","LQA_LIQUIDITY_SCORE")</f>
        <v>#N/A Requesting Data...</v>
      </c>
    </row>
    <row r="827" spans="1:20" x14ac:dyDescent="0.25">
      <c r="A827" t="str">
        <f>_xll.BDP("41420QJX Muni","ID_CUSIP")</f>
        <v>#N/A Requesting Data...</v>
      </c>
      <c r="B827" t="s">
        <v>307</v>
      </c>
      <c r="C827" t="str">
        <f>_xll.BDP("41420QJX Muni","INSURANCE_STATUS")</f>
        <v>#N/A Requesting Data...</v>
      </c>
      <c r="D827" t="str">
        <f>_xll.BDP("41420QJX Muni","STATE_CODE")</f>
        <v>#N/A Requesting Data...</v>
      </c>
      <c r="E827" t="str">
        <f>_xll.BDP("41420QJX Muni","COUNTY_LOCATION_ISSUER")</f>
        <v>#N/A Requesting Data...</v>
      </c>
      <c r="F827" t="str">
        <f>_xll.BDP("41420QJX Muni","DUR_ADJ_MID")</f>
        <v>#N/A Requesting Data...</v>
      </c>
      <c r="G827" t="str">
        <f>_xll.BDP("41420QJX Muni","SPREAD_AT_ISSUANCE_TO_WORST")</f>
        <v>#N/A Requesting Data...</v>
      </c>
      <c r="H827" t="str">
        <f>_xll.BDP("41420QJX Muni","ISSUE_DT")</f>
        <v>#N/A Requesting Data...</v>
      </c>
      <c r="I827" t="str">
        <f>_xll.BDS("41420QJX Muni","MUNI_PURPOSE_SCHED", "aggregate=y")</f>
        <v>#N/A Review</v>
      </c>
      <c r="J827" t="str">
        <f>_xll.BDP("41420QJX Muni","CPN")</f>
        <v>#N/A Requesting Data...</v>
      </c>
      <c r="K827" t="str">
        <f>_xll.BDP("41420QJX Muni","MATURITY")</f>
        <v>#N/A Requesting Data...</v>
      </c>
      <c r="L827">
        <v>125000</v>
      </c>
      <c r="M827" t="str">
        <f>_xll.BDP("41420QJX Muni","YIELD_ON_ISSUE_DATE")</f>
        <v>#N/A Requesting Data...</v>
      </c>
      <c r="N827" t="str">
        <f>_xll.BDP("41420QJX Muni","YTW_SPREAD_TO_MATURITY_AT_ISSU")</f>
        <v>#N/A Requesting Data...</v>
      </c>
      <c r="O827" t="str">
        <f>_xll.BDP("41420QJX Muni","BVAL_MID_YTM")</f>
        <v>#N/A Requesting Data...</v>
      </c>
      <c r="P827" t="str">
        <f>_xll.BDP("41420QJX Muni","MUNI_TAX_PROV")</f>
        <v>#N/A Requesting Data...</v>
      </c>
      <c r="Q827" t="str">
        <f>_xll.BDP("41420QJX Muni","MUNI_FED_TAX")</f>
        <v>#N/A Requesting Data...</v>
      </c>
      <c r="R827" t="str">
        <f>_xll.BDP("41420QJX Muni","MUNI_MSRB_VOLUME")</f>
        <v>#N/A Requesting Data...</v>
      </c>
      <c r="S827" t="str">
        <f>_xll.BDP("41420QJX Muni","BB_COMPOSITE")</f>
        <v>#N/A Requesting Data...</v>
      </c>
      <c r="T827" t="str">
        <f>_xll.BDP("41420QJX Muni","LQA_LIQUIDITY_SCORE")</f>
        <v>#N/A Requesting Data...</v>
      </c>
    </row>
    <row r="828" spans="1:20" x14ac:dyDescent="0.25">
      <c r="A828" t="str">
        <f>_xll.BDP("414214SE Muni","ID_CUSIP")</f>
        <v>#N/A Requesting Data...</v>
      </c>
      <c r="B828" t="s">
        <v>308</v>
      </c>
      <c r="C828" t="str">
        <f>_xll.BDP("414214SE Muni","INSURANCE_STATUS")</f>
        <v>#N/A Requesting Data...</v>
      </c>
      <c r="D828" t="str">
        <f>_xll.BDP("414214SE Muni","STATE_CODE")</f>
        <v>#N/A Requesting Data...</v>
      </c>
      <c r="E828" t="str">
        <f>_xll.BDP("414214SE Muni","COUNTY_LOCATION_ISSUER")</f>
        <v>#N/A Requesting Data...</v>
      </c>
      <c r="F828" t="str">
        <f>_xll.BDP("414214SE Muni","DUR_ADJ_MID")</f>
        <v>#N/A Requesting Data...</v>
      </c>
      <c r="G828" t="str">
        <f>_xll.BDP("414214SE Muni","SPREAD_AT_ISSUANCE_TO_WORST")</f>
        <v>#N/A Requesting Data...</v>
      </c>
      <c r="H828" t="str">
        <f>_xll.BDP("414214SE Muni","ISSUE_DT")</f>
        <v>#N/A Requesting Data...</v>
      </c>
      <c r="I828" t="str">
        <f>_xll.BDS("414214SE Muni","MUNI_PURPOSE_SCHED", "aggregate=y")</f>
        <v>#N/A Review</v>
      </c>
      <c r="J828" t="str">
        <f>_xll.BDP("414214SE Muni","CPN")</f>
        <v>#N/A Requesting Data...</v>
      </c>
      <c r="K828" t="str">
        <f>_xll.BDP("414214SE Muni","MATURITY")</f>
        <v>#N/A Requesting Data...</v>
      </c>
      <c r="L828">
        <v>200000</v>
      </c>
      <c r="M828" t="str">
        <f>_xll.BDP("414214SE Muni","YIELD_ON_ISSUE_DATE")</f>
        <v>#N/A Requesting Data...</v>
      </c>
      <c r="N828" t="str">
        <f>_xll.BDP("414214SE Muni","YTW_SPREAD_TO_MATURITY_AT_ISSU")</f>
        <v>#N/A Requesting Data...</v>
      </c>
      <c r="O828" t="str">
        <f>_xll.BDP("414214SE Muni","BVAL_MID_YTM")</f>
        <v>#N/A Requesting Data...</v>
      </c>
      <c r="P828" t="str">
        <f>_xll.BDP("414214SE Muni","MUNI_TAX_PROV")</f>
        <v>#N/A Requesting Data...</v>
      </c>
      <c r="Q828" t="str">
        <f>_xll.BDP("414214SE Muni","MUNI_FED_TAX")</f>
        <v>#N/A Requesting Data...</v>
      </c>
      <c r="R828" t="str">
        <f>_xll.BDP("414214SE Muni","MUNI_MSRB_VOLUME")</f>
        <v>#N/A Requesting Data...</v>
      </c>
      <c r="S828" t="str">
        <f>_xll.BDP("414214SE Muni","BB_COMPOSITE")</f>
        <v>#N/A Requesting Data...</v>
      </c>
      <c r="T828" t="str">
        <f>_xll.BDP("414214SE Muni","LQA_LIQUIDITY_SCORE")</f>
        <v>#N/A Requesting Data...</v>
      </c>
    </row>
    <row r="829" spans="1:20" x14ac:dyDescent="0.25">
      <c r="A829" t="str">
        <f>_xll.BDP("414216HY Muni","ID_CUSIP")</f>
        <v>#N/A Requesting Data...</v>
      </c>
      <c r="B829" t="s">
        <v>309</v>
      </c>
      <c r="C829" t="str">
        <f>_xll.BDP("414216HY Muni","INSURANCE_STATUS")</f>
        <v>#N/A Requesting Data...</v>
      </c>
      <c r="D829" t="str">
        <f>_xll.BDP("414216HY Muni","STATE_CODE")</f>
        <v>#N/A Requesting Data...</v>
      </c>
      <c r="E829" t="str">
        <f>_xll.BDP("414216HY Muni","COUNTY_LOCATION_ISSUER")</f>
        <v>#N/A Requesting Data...</v>
      </c>
      <c r="F829" t="str">
        <f>_xll.BDP("414216HY Muni","DUR_ADJ_MID")</f>
        <v>#N/A Requesting Data...</v>
      </c>
      <c r="G829" t="str">
        <f>_xll.BDP("414216HY Muni","SPREAD_AT_ISSUANCE_TO_WORST")</f>
        <v>#N/A Requesting Data...</v>
      </c>
      <c r="H829" t="str">
        <f>_xll.BDP("414216HY Muni","ISSUE_DT")</f>
        <v>#N/A Requesting Data...</v>
      </c>
      <c r="I829" t="str">
        <f>_xll.BDS("414216HY Muni","MUNI_PURPOSE_SCHED", "aggregate=y")</f>
        <v>#N/A Review</v>
      </c>
      <c r="J829" t="str">
        <f>_xll.BDP("414216HY Muni","CPN")</f>
        <v>#N/A Requesting Data...</v>
      </c>
      <c r="K829" t="str">
        <f>_xll.BDP("414216HY Muni","MATURITY")</f>
        <v>#N/A Requesting Data...</v>
      </c>
      <c r="L829">
        <v>225000</v>
      </c>
      <c r="M829" t="str">
        <f>_xll.BDP("414216HY Muni","YIELD_ON_ISSUE_DATE")</f>
        <v>#N/A Requesting Data...</v>
      </c>
      <c r="N829" t="str">
        <f>_xll.BDP("414216HY Muni","YTW_SPREAD_TO_MATURITY_AT_ISSU")</f>
        <v>#N/A Requesting Data...</v>
      </c>
      <c r="O829" t="str">
        <f>_xll.BDP("414216HY Muni","BVAL_MID_YTM")</f>
        <v>#N/A Requesting Data...</v>
      </c>
      <c r="P829" t="str">
        <f>_xll.BDP("414216HY Muni","MUNI_TAX_PROV")</f>
        <v>#N/A Requesting Data...</v>
      </c>
      <c r="Q829" t="str">
        <f>_xll.BDP("414216HY Muni","MUNI_FED_TAX")</f>
        <v>#N/A Requesting Data...</v>
      </c>
      <c r="R829" t="str">
        <f>_xll.BDP("414216HY Muni","MUNI_MSRB_VOLUME")</f>
        <v>#N/A Requesting Data...</v>
      </c>
      <c r="S829" t="str">
        <f>_xll.BDP("414216HY Muni","BB_COMPOSITE")</f>
        <v>#N/A Requesting Data...</v>
      </c>
      <c r="T829" t="str">
        <f>_xll.BDP("414216HY Muni","LQA_LIQUIDITY_SCORE")</f>
        <v>#N/A Requesting Data...</v>
      </c>
    </row>
    <row r="830" spans="1:20" x14ac:dyDescent="0.25">
      <c r="A830" t="str">
        <f>_xll.BDP("414216HZ Muni","ID_CUSIP")</f>
        <v>#N/A Requesting Data...</v>
      </c>
      <c r="B830" t="s">
        <v>309</v>
      </c>
      <c r="C830" t="str">
        <f>_xll.BDP("414216HZ Muni","INSURANCE_STATUS")</f>
        <v>#N/A Requesting Data...</v>
      </c>
      <c r="D830" t="str">
        <f>_xll.BDP("414216HZ Muni","STATE_CODE")</f>
        <v>#N/A Requesting Data...</v>
      </c>
      <c r="E830" t="str">
        <f>_xll.BDP("414216HZ Muni","COUNTY_LOCATION_ISSUER")</f>
        <v>#N/A Requesting Data...</v>
      </c>
      <c r="F830" t="str">
        <f>_xll.BDP("414216HZ Muni","DUR_ADJ_MID")</f>
        <v>#N/A Requesting Data...</v>
      </c>
      <c r="G830" t="str">
        <f>_xll.BDP("414216HZ Muni","SPREAD_AT_ISSUANCE_TO_WORST")</f>
        <v>#N/A Requesting Data...</v>
      </c>
      <c r="H830" t="str">
        <f>_xll.BDP("414216HZ Muni","ISSUE_DT")</f>
        <v>#N/A Requesting Data...</v>
      </c>
      <c r="I830" t="str">
        <f>_xll.BDS("414216HZ Muni","MUNI_PURPOSE_SCHED", "aggregate=y")</f>
        <v>#N/A Review</v>
      </c>
      <c r="J830" t="str">
        <f>_xll.BDP("414216HZ Muni","CPN")</f>
        <v>#N/A Requesting Data...</v>
      </c>
      <c r="K830" t="str">
        <f>_xll.BDP("414216HZ Muni","MATURITY")</f>
        <v>#N/A Requesting Data...</v>
      </c>
      <c r="L830">
        <v>225000</v>
      </c>
      <c r="M830" t="str">
        <f>_xll.BDP("414216HZ Muni","YIELD_ON_ISSUE_DATE")</f>
        <v>#N/A Requesting Data...</v>
      </c>
      <c r="N830" t="str">
        <f>_xll.BDP("414216HZ Muni","YTW_SPREAD_TO_MATURITY_AT_ISSU")</f>
        <v>#N/A Requesting Data...</v>
      </c>
      <c r="O830" t="str">
        <f>_xll.BDP("414216HZ Muni","BVAL_MID_YTM")</f>
        <v>#N/A Requesting Data...</v>
      </c>
      <c r="P830" t="str">
        <f>_xll.BDP("414216HZ Muni","MUNI_TAX_PROV")</f>
        <v>#N/A Requesting Data...</v>
      </c>
      <c r="Q830" t="str">
        <f>_xll.BDP("414216HZ Muni","MUNI_FED_TAX")</f>
        <v>#N/A Requesting Data...</v>
      </c>
      <c r="R830" t="str">
        <f>_xll.BDP("414216HZ Muni","MUNI_MSRB_VOLUME")</f>
        <v>#N/A Requesting Data...</v>
      </c>
      <c r="S830" t="str">
        <f>_xll.BDP("414216HZ Muni","BB_COMPOSITE")</f>
        <v>#N/A Requesting Data...</v>
      </c>
      <c r="T830" t="str">
        <f>_xll.BDP("414216HZ Muni","LQA_LIQUIDITY_SCORE")</f>
        <v>#N/A Requesting Data...</v>
      </c>
    </row>
    <row r="831" spans="1:20" x14ac:dyDescent="0.25">
      <c r="A831" t="str">
        <f>_xll.BDP("41421DST Muni","ID_CUSIP")</f>
        <v>#N/A Requesting Data...</v>
      </c>
      <c r="B831" t="s">
        <v>310</v>
      </c>
      <c r="C831" t="str">
        <f>_xll.BDP("41421DST Muni","INSURANCE_STATUS")</f>
        <v>#N/A Requesting Data...</v>
      </c>
      <c r="D831" t="str">
        <f>_xll.BDP("41421DST Muni","STATE_CODE")</f>
        <v>#N/A Requesting Data...</v>
      </c>
      <c r="E831" t="str">
        <f>_xll.BDP("41421DST Muni","COUNTY_LOCATION_ISSUER")</f>
        <v>#N/A Requesting Data...</v>
      </c>
      <c r="F831" t="str">
        <f>_xll.BDP("41421DST Muni","DUR_ADJ_MID")</f>
        <v>#N/A Requesting Data...</v>
      </c>
      <c r="G831" t="str">
        <f>_xll.BDP("41421DST Muni","SPREAD_AT_ISSUANCE_TO_WORST")</f>
        <v>#N/A Requesting Data...</v>
      </c>
      <c r="H831" t="str">
        <f>_xll.BDP("41421DST Muni","ISSUE_DT")</f>
        <v>#N/A Requesting Data...</v>
      </c>
      <c r="I831" t="str">
        <f>_xll.BDS("41421DST Muni","MUNI_PURPOSE_SCHED", "aggregate=y")</f>
        <v>#N/A Review</v>
      </c>
      <c r="J831" t="str">
        <f>_xll.BDP("41421DST Muni","CPN")</f>
        <v>#N/A Requesting Data...</v>
      </c>
      <c r="K831" t="str">
        <f>_xll.BDP("41421DST Muni","MATURITY")</f>
        <v>#N/A Requesting Data...</v>
      </c>
      <c r="L831">
        <v>700000</v>
      </c>
      <c r="M831" t="str">
        <f>_xll.BDP("41421DST Muni","YIELD_ON_ISSUE_DATE")</f>
        <v>#N/A Requesting Data...</v>
      </c>
      <c r="N831" t="str">
        <f>_xll.BDP("41421DST Muni","YTW_SPREAD_TO_MATURITY_AT_ISSU")</f>
        <v>#N/A Requesting Data...</v>
      </c>
      <c r="O831" t="str">
        <f>_xll.BDP("41421DST Muni","BVAL_MID_YTM")</f>
        <v>#N/A Requesting Data...</v>
      </c>
      <c r="P831" t="str">
        <f>_xll.BDP("41421DST Muni","MUNI_TAX_PROV")</f>
        <v>#N/A Requesting Data...</v>
      </c>
      <c r="Q831" t="str">
        <f>_xll.BDP("41421DST Muni","MUNI_FED_TAX")</f>
        <v>#N/A Requesting Data...</v>
      </c>
      <c r="R831" t="str">
        <f>_xll.BDP("41421DST Muni","MUNI_MSRB_VOLUME")</f>
        <v>#N/A Requesting Data...</v>
      </c>
      <c r="S831" t="str">
        <f>_xll.BDP("41421DST Muni","BB_COMPOSITE")</f>
        <v>#N/A Requesting Data...</v>
      </c>
      <c r="T831" t="str">
        <f>_xll.BDP("41421DST Muni","LQA_LIQUIDITY_SCORE")</f>
        <v>#N/A Requesting Data...</v>
      </c>
    </row>
    <row r="832" spans="1:20" x14ac:dyDescent="0.25">
      <c r="A832" t="str">
        <f>_xll.BDP("41421FGM Muni","ID_CUSIP")</f>
        <v>#N/A Requesting Data...</v>
      </c>
      <c r="B832" t="s">
        <v>311</v>
      </c>
      <c r="C832" t="str">
        <f>_xll.BDP("41421FGM Muni","INSURANCE_STATUS")</f>
        <v>#N/A Requesting Data...</v>
      </c>
      <c r="D832" t="str">
        <f>_xll.BDP("41421FGM Muni","STATE_CODE")</f>
        <v>#N/A Requesting Data...</v>
      </c>
      <c r="E832" t="str">
        <f>_xll.BDP("41421FGM Muni","COUNTY_LOCATION_ISSUER")</f>
        <v>#N/A Requesting Data...</v>
      </c>
      <c r="F832" t="str">
        <f>_xll.BDP("41421FGM Muni","DUR_ADJ_MID")</f>
        <v>#N/A Requesting Data...</v>
      </c>
      <c r="G832" t="str">
        <f>_xll.BDP("41421FGM Muni","SPREAD_AT_ISSUANCE_TO_WORST")</f>
        <v>#N/A Requesting Data...</v>
      </c>
      <c r="H832" t="str">
        <f>_xll.BDP("41421FGM Muni","ISSUE_DT")</f>
        <v>#N/A Requesting Data...</v>
      </c>
      <c r="I832" t="str">
        <f>_xll.BDS("41421FGM Muni","MUNI_PURPOSE_SCHED", "aggregate=y")</f>
        <v>#N/A Review</v>
      </c>
      <c r="J832" t="str">
        <f>_xll.BDP("41421FGM Muni","CPN")</f>
        <v>#N/A Requesting Data...</v>
      </c>
      <c r="K832" t="str">
        <f>_xll.BDP("41421FGM Muni","MATURITY")</f>
        <v>#N/A Requesting Data...</v>
      </c>
      <c r="L832">
        <v>200000</v>
      </c>
      <c r="M832" t="str">
        <f>_xll.BDP("41421FGM Muni","YIELD_ON_ISSUE_DATE")</f>
        <v>#N/A Requesting Data...</v>
      </c>
      <c r="N832" t="str">
        <f>_xll.BDP("41421FGM Muni","YTW_SPREAD_TO_MATURITY_AT_ISSU")</f>
        <v>#N/A Requesting Data...</v>
      </c>
      <c r="O832" t="str">
        <f>_xll.BDP("41421FGM Muni","BVAL_MID_YTM")</f>
        <v>#N/A Requesting Data...</v>
      </c>
      <c r="P832" t="str">
        <f>_xll.BDP("41421FGM Muni","MUNI_TAX_PROV")</f>
        <v>#N/A Requesting Data...</v>
      </c>
      <c r="Q832" t="str">
        <f>_xll.BDP("41421FGM Muni","MUNI_FED_TAX")</f>
        <v>#N/A Requesting Data...</v>
      </c>
      <c r="R832" t="str">
        <f>_xll.BDP("41421FGM Muni","MUNI_MSRB_VOLUME")</f>
        <v>#N/A Requesting Data...</v>
      </c>
      <c r="S832" t="str">
        <f>_xll.BDP("41421FGM Muni","BB_COMPOSITE")</f>
        <v>#N/A Requesting Data...</v>
      </c>
      <c r="T832" t="str">
        <f>_xll.BDP("41421FGM Muni","LQA_LIQUIDITY_SCORE")</f>
        <v>#N/A Requesting Data...</v>
      </c>
    </row>
    <row r="833" spans="1:20" x14ac:dyDescent="0.25">
      <c r="A833" t="str">
        <f>_xll.BDP("41421TDJ Muni","ID_CUSIP")</f>
        <v>#N/A Requesting Data...</v>
      </c>
      <c r="B833" t="s">
        <v>312</v>
      </c>
      <c r="C833" t="str">
        <f>_xll.BDP("41421TDJ Muni","INSURANCE_STATUS")</f>
        <v>#N/A Requesting Data...</v>
      </c>
      <c r="D833" t="str">
        <f>_xll.BDP("41421TDJ Muni","STATE_CODE")</f>
        <v>#N/A Requesting Data...</v>
      </c>
      <c r="E833" t="str">
        <f>_xll.BDP("41421TDJ Muni","COUNTY_LOCATION_ISSUER")</f>
        <v>#N/A Requesting Data...</v>
      </c>
      <c r="F833" t="str">
        <f>_xll.BDP("41421TDJ Muni","DUR_ADJ_MID")</f>
        <v>#N/A Requesting Data...</v>
      </c>
      <c r="G833" t="str">
        <f>_xll.BDP("41421TDJ Muni","SPREAD_AT_ISSUANCE_TO_WORST")</f>
        <v>#N/A Requesting Data...</v>
      </c>
      <c r="H833" t="str">
        <f>_xll.BDP("41421TDJ Muni","ISSUE_DT")</f>
        <v>#N/A Requesting Data...</v>
      </c>
      <c r="I833" t="str">
        <f>_xll.BDS("41421TDJ Muni","MUNI_PURPOSE_SCHED", "aggregate=y")</f>
        <v>#N/A Review</v>
      </c>
      <c r="J833" t="str">
        <f>_xll.BDP("41421TDJ Muni","CPN")</f>
        <v>#N/A Requesting Data...</v>
      </c>
      <c r="K833" t="str">
        <f>_xll.BDP("41421TDJ Muni","MATURITY")</f>
        <v>#N/A Requesting Data...</v>
      </c>
      <c r="L833">
        <v>25000</v>
      </c>
      <c r="M833" t="str">
        <f>_xll.BDP("41421TDJ Muni","YIELD_ON_ISSUE_DATE")</f>
        <v>#N/A Requesting Data...</v>
      </c>
      <c r="N833" t="str">
        <f>_xll.BDP("41421TDJ Muni","YTW_SPREAD_TO_MATURITY_AT_ISSU")</f>
        <v>#N/A Requesting Data...</v>
      </c>
      <c r="O833" t="str">
        <f>_xll.BDP("41421TDJ Muni","BVAL_MID_YTM")</f>
        <v>#N/A Requesting Data...</v>
      </c>
      <c r="P833" t="str">
        <f>_xll.BDP("41421TDJ Muni","MUNI_TAX_PROV")</f>
        <v>#N/A Requesting Data...</v>
      </c>
      <c r="Q833" t="str">
        <f>_xll.BDP("41421TDJ Muni","MUNI_FED_TAX")</f>
        <v>#N/A Requesting Data...</v>
      </c>
      <c r="R833" t="str">
        <f>_xll.BDP("41421TDJ Muni","MUNI_MSRB_VOLUME")</f>
        <v>#N/A Requesting Data...</v>
      </c>
      <c r="S833" t="str">
        <f>_xll.BDP("41421TDJ Muni","BB_COMPOSITE")</f>
        <v>#N/A Requesting Data...</v>
      </c>
      <c r="T833" t="str">
        <f>_xll.BDP("41421TDJ Muni","LQA_LIQUIDITY_SCORE")</f>
        <v>#N/A Requesting Data...</v>
      </c>
    </row>
    <row r="834" spans="1:20" x14ac:dyDescent="0.25">
      <c r="A834" t="str">
        <f>_xll.BDP("41422JBY Muni","ID_CUSIP")</f>
        <v>#N/A Requesting Data...</v>
      </c>
      <c r="B834" t="s">
        <v>313</v>
      </c>
      <c r="C834" t="str">
        <f>_xll.BDP("41422JBY Muni","INSURANCE_STATUS")</f>
        <v>#N/A Requesting Data...</v>
      </c>
      <c r="D834" t="str">
        <f>_xll.BDP("41422JBY Muni","STATE_CODE")</f>
        <v>#N/A Requesting Data...</v>
      </c>
      <c r="E834" t="str">
        <f>_xll.BDP("41422JBY Muni","COUNTY_LOCATION_ISSUER")</f>
        <v>#N/A Requesting Data...</v>
      </c>
      <c r="F834" t="str">
        <f>_xll.BDP("41422JBY Muni","DUR_ADJ_MID")</f>
        <v>#N/A Requesting Data...</v>
      </c>
      <c r="G834" t="str">
        <f>_xll.BDP("41422JBY Muni","SPREAD_AT_ISSUANCE_TO_WORST")</f>
        <v>#N/A Requesting Data...</v>
      </c>
      <c r="H834" t="str">
        <f>_xll.BDP("41422JBY Muni","ISSUE_DT")</f>
        <v>#N/A Requesting Data...</v>
      </c>
      <c r="I834" t="str">
        <f>_xll.BDS("41422JBY Muni","MUNI_PURPOSE_SCHED", "aggregate=y")</f>
        <v>#N/A Review</v>
      </c>
      <c r="J834" t="str">
        <f>_xll.BDP("41422JBY Muni","CPN")</f>
        <v>#N/A Requesting Data...</v>
      </c>
      <c r="K834" t="str">
        <f>_xll.BDP("41422JBY Muni","MATURITY")</f>
        <v>#N/A Requesting Data...</v>
      </c>
      <c r="L834">
        <v>250000</v>
      </c>
      <c r="M834" t="str">
        <f>_xll.BDP("41422JBY Muni","YIELD_ON_ISSUE_DATE")</f>
        <v>#N/A Requesting Data...</v>
      </c>
      <c r="N834" t="str">
        <f>_xll.BDP("41422JBY Muni","YTW_SPREAD_TO_MATURITY_AT_ISSU")</f>
        <v>#N/A Requesting Data...</v>
      </c>
      <c r="O834" t="str">
        <f>_xll.BDP("41422JBY Muni","BVAL_MID_YTM")</f>
        <v>#N/A Requesting Data...</v>
      </c>
      <c r="P834" t="str">
        <f>_xll.BDP("41422JBY Muni","MUNI_TAX_PROV")</f>
        <v>#N/A Requesting Data...</v>
      </c>
      <c r="Q834" t="str">
        <f>_xll.BDP("41422JBY Muni","MUNI_FED_TAX")</f>
        <v>#N/A Requesting Data...</v>
      </c>
      <c r="R834" t="str">
        <f>_xll.BDP("41422JBY Muni","MUNI_MSRB_VOLUME")</f>
        <v>#N/A Requesting Data...</v>
      </c>
      <c r="S834" t="str">
        <f>_xll.BDP("41422JBY Muni","BB_COMPOSITE")</f>
        <v>#N/A Requesting Data...</v>
      </c>
      <c r="T834" t="str">
        <f>_xll.BDP("41422JBY Muni","LQA_LIQUIDITY_SCORE")</f>
        <v>#N/A Requesting Data...</v>
      </c>
    </row>
    <row r="835" spans="1:20" x14ac:dyDescent="0.25">
      <c r="A835" t="str">
        <f>_xll.BDP("41422PFK Muni","ID_CUSIP")</f>
        <v>#N/A Requesting Data...</v>
      </c>
      <c r="B835" t="s">
        <v>314</v>
      </c>
      <c r="C835" t="str">
        <f>_xll.BDP("41422PFK Muni","INSURANCE_STATUS")</f>
        <v>#N/A Requesting Data...</v>
      </c>
      <c r="D835" t="str">
        <f>_xll.BDP("41422PFK Muni","STATE_CODE")</f>
        <v>#N/A Requesting Data...</v>
      </c>
      <c r="E835" t="str">
        <f>_xll.BDP("41422PFK Muni","COUNTY_LOCATION_ISSUER")</f>
        <v>#N/A Requesting Data...</v>
      </c>
      <c r="F835" t="str">
        <f>_xll.BDP("41422PFK Muni","DUR_ADJ_MID")</f>
        <v>#N/A Requesting Data...</v>
      </c>
      <c r="G835" t="str">
        <f>_xll.BDP("41422PFK Muni","SPREAD_AT_ISSUANCE_TO_WORST")</f>
        <v>#N/A Requesting Data...</v>
      </c>
      <c r="H835" t="str">
        <f>_xll.BDP("41422PFK Muni","ISSUE_DT")</f>
        <v>#N/A Requesting Data...</v>
      </c>
      <c r="I835" t="str">
        <f>_xll.BDS("41422PFK Muni","MUNI_PURPOSE_SCHED", "aggregate=y")</f>
        <v>#N/A Review</v>
      </c>
      <c r="J835" t="str">
        <f>_xll.BDP("41422PFK Muni","CPN")</f>
        <v>#N/A Requesting Data...</v>
      </c>
      <c r="K835" t="str">
        <f>_xll.BDP("41422PFK Muni","MATURITY")</f>
        <v>#N/A Requesting Data...</v>
      </c>
      <c r="L835">
        <v>380000</v>
      </c>
      <c r="M835" t="str">
        <f>_xll.BDP("41422PFK Muni","YIELD_ON_ISSUE_DATE")</f>
        <v>#N/A Requesting Data...</v>
      </c>
      <c r="N835" t="str">
        <f>_xll.BDP("41422PFK Muni","YTW_SPREAD_TO_MATURITY_AT_ISSU")</f>
        <v>#N/A Requesting Data...</v>
      </c>
      <c r="O835" t="str">
        <f>_xll.BDP("41422PFK Muni","BVAL_MID_YTM")</f>
        <v>#N/A Requesting Data...</v>
      </c>
      <c r="P835" t="str">
        <f>_xll.BDP("41422PFK Muni","MUNI_TAX_PROV")</f>
        <v>#N/A Requesting Data...</v>
      </c>
      <c r="Q835" t="str">
        <f>_xll.BDP("41422PFK Muni","MUNI_FED_TAX")</f>
        <v>#N/A Requesting Data...</v>
      </c>
      <c r="R835" t="str">
        <f>_xll.BDP("41422PFK Muni","MUNI_MSRB_VOLUME")</f>
        <v>#N/A Requesting Data...</v>
      </c>
      <c r="S835" t="str">
        <f>_xll.BDP("41422PFK Muni","BB_COMPOSITE")</f>
        <v>#N/A Requesting Data...</v>
      </c>
      <c r="T835" t="str">
        <f>_xll.BDP("41422PFK Muni","LQA_LIQUIDITY_SCORE")</f>
        <v>#N/A Requesting Data...</v>
      </c>
    </row>
    <row r="836" spans="1:20" x14ac:dyDescent="0.25">
      <c r="A836" t="str">
        <f>_xll.BDP("41422WBG Muni","ID_CUSIP")</f>
        <v>#N/A Requesting Data...</v>
      </c>
      <c r="B836" t="s">
        <v>315</v>
      </c>
      <c r="C836" t="str">
        <f>_xll.BDP("41422WBG Muni","INSURANCE_STATUS")</f>
        <v>#N/A Requesting Data...</v>
      </c>
      <c r="D836" t="str">
        <f>_xll.BDP("41422WBG Muni","STATE_CODE")</f>
        <v>#N/A Requesting Data...</v>
      </c>
      <c r="E836" t="str">
        <f>_xll.BDP("41422WBG Muni","COUNTY_LOCATION_ISSUER")</f>
        <v>#N/A Requesting Data...</v>
      </c>
      <c r="F836" t="str">
        <f>_xll.BDP("41422WBG Muni","DUR_ADJ_MID")</f>
        <v>#N/A Requesting Data...</v>
      </c>
      <c r="G836" t="str">
        <f>_xll.BDP("41422WBG Muni","SPREAD_AT_ISSUANCE_TO_WORST")</f>
        <v>#N/A Requesting Data...</v>
      </c>
      <c r="H836" t="str">
        <f>_xll.BDP("41422WBG Muni","ISSUE_DT")</f>
        <v>#N/A Requesting Data...</v>
      </c>
      <c r="I836" t="str">
        <f>_xll.BDS("41422WBG Muni","MUNI_PURPOSE_SCHED", "aggregate=y")</f>
        <v>#N/A Review</v>
      </c>
      <c r="J836" t="str">
        <f>_xll.BDP("41422WBG Muni","CPN")</f>
        <v>#N/A Requesting Data...</v>
      </c>
      <c r="K836" t="str">
        <f>_xll.BDP("41422WBG Muni","MATURITY")</f>
        <v>#N/A Requesting Data...</v>
      </c>
      <c r="L836">
        <v>160000</v>
      </c>
      <c r="M836" t="str">
        <f>_xll.BDP("41422WBG Muni","YIELD_ON_ISSUE_DATE")</f>
        <v>#N/A Requesting Data...</v>
      </c>
      <c r="N836" t="str">
        <f>_xll.BDP("41422WBG Muni","YTW_SPREAD_TO_MATURITY_AT_ISSU")</f>
        <v>#N/A Requesting Data...</v>
      </c>
      <c r="O836" t="str">
        <f>_xll.BDP("41422WBG Muni","BVAL_MID_YTM")</f>
        <v>#N/A Requesting Data...</v>
      </c>
      <c r="P836" t="str">
        <f>_xll.BDP("41422WBG Muni","MUNI_TAX_PROV")</f>
        <v>#N/A Requesting Data...</v>
      </c>
      <c r="Q836" t="str">
        <f>_xll.BDP("41422WBG Muni","MUNI_FED_TAX")</f>
        <v>#N/A Requesting Data...</v>
      </c>
      <c r="R836" t="str">
        <f>_xll.BDP("41422WBG Muni","MUNI_MSRB_VOLUME")</f>
        <v>#N/A Requesting Data...</v>
      </c>
      <c r="S836" t="str">
        <f>_xll.BDP("41422WBG Muni","BB_COMPOSITE")</f>
        <v>#N/A Requesting Data...</v>
      </c>
      <c r="T836" t="str">
        <f>_xll.BDP("41422WBG Muni","LQA_LIQUIDITY_SCORE")</f>
        <v>#N/A Requesting Data...</v>
      </c>
    </row>
    <row r="837" spans="1:20" x14ac:dyDescent="0.25">
      <c r="A837" t="str">
        <f>_xll.BDP("41423AEH Muni","ID_CUSIP")</f>
        <v>#N/A Requesting Data...</v>
      </c>
      <c r="B837" t="s">
        <v>316</v>
      </c>
      <c r="C837" t="str">
        <f>_xll.BDP("41423AEH Muni","INSURANCE_STATUS")</f>
        <v>#N/A Requesting Data...</v>
      </c>
      <c r="D837" t="str">
        <f>_xll.BDP("41423AEH Muni","STATE_CODE")</f>
        <v>#N/A Requesting Data...</v>
      </c>
      <c r="E837" t="str">
        <f>_xll.BDP("41423AEH Muni","COUNTY_LOCATION_ISSUER")</f>
        <v>#N/A Requesting Data...</v>
      </c>
      <c r="F837" t="str">
        <f>_xll.BDP("41423AEH Muni","DUR_ADJ_MID")</f>
        <v>#N/A Requesting Data...</v>
      </c>
      <c r="G837" t="str">
        <f>_xll.BDP("41423AEH Muni","SPREAD_AT_ISSUANCE_TO_WORST")</f>
        <v>#N/A Requesting Data...</v>
      </c>
      <c r="H837" t="str">
        <f>_xll.BDP("41423AEH Muni","ISSUE_DT")</f>
        <v>#N/A Requesting Data...</v>
      </c>
      <c r="I837" t="str">
        <f>_xll.BDS("41423AEH Muni","MUNI_PURPOSE_SCHED", "aggregate=y")</f>
        <v>#N/A Review</v>
      </c>
      <c r="J837" t="str">
        <f>_xll.BDP("41423AEH Muni","CPN")</f>
        <v>#N/A Requesting Data...</v>
      </c>
      <c r="K837" t="str">
        <f>_xll.BDP("41423AEH Muni","MATURITY")</f>
        <v>#N/A Requesting Data...</v>
      </c>
      <c r="L837">
        <v>195000</v>
      </c>
      <c r="M837" t="str">
        <f>_xll.BDP("41423AEH Muni","YIELD_ON_ISSUE_DATE")</f>
        <v>#N/A Requesting Data...</v>
      </c>
      <c r="N837" t="str">
        <f>_xll.BDP("41423AEH Muni","YTW_SPREAD_TO_MATURITY_AT_ISSU")</f>
        <v>#N/A Requesting Data...</v>
      </c>
      <c r="O837" t="str">
        <f>_xll.BDP("41423AEH Muni","BVAL_MID_YTM")</f>
        <v>#N/A Requesting Data...</v>
      </c>
      <c r="P837" t="str">
        <f>_xll.BDP("41423AEH Muni","MUNI_TAX_PROV")</f>
        <v>#N/A Requesting Data...</v>
      </c>
      <c r="Q837" t="str">
        <f>_xll.BDP("41423AEH Muni","MUNI_FED_TAX")</f>
        <v>#N/A Requesting Data...</v>
      </c>
      <c r="R837" t="str">
        <f>_xll.BDP("41423AEH Muni","MUNI_MSRB_VOLUME")</f>
        <v>#N/A Requesting Data...</v>
      </c>
      <c r="S837" t="str">
        <f>_xll.BDP("41423AEH Muni","BB_COMPOSITE")</f>
        <v>#N/A Requesting Data...</v>
      </c>
      <c r="T837" t="str">
        <f>_xll.BDP("41423AEH Muni","LQA_LIQUIDITY_SCORE")</f>
        <v>#N/A Requesting Data...</v>
      </c>
    </row>
    <row r="838" spans="1:20" x14ac:dyDescent="0.25">
      <c r="A838" t="str">
        <f>_xll.BDP("41423AEJ Muni","ID_CUSIP")</f>
        <v>#N/A Requesting Data...</v>
      </c>
      <c r="B838" t="s">
        <v>316</v>
      </c>
      <c r="C838" t="str">
        <f>_xll.BDP("41423AEJ Muni","INSURANCE_STATUS")</f>
        <v>#N/A Requesting Data...</v>
      </c>
      <c r="D838" t="str">
        <f>_xll.BDP("41423AEJ Muni","STATE_CODE")</f>
        <v>#N/A Requesting Data...</v>
      </c>
      <c r="E838" t="str">
        <f>_xll.BDP("41423AEJ Muni","COUNTY_LOCATION_ISSUER")</f>
        <v>#N/A Requesting Data...</v>
      </c>
      <c r="F838" t="str">
        <f>_xll.BDP("41423AEJ Muni","DUR_ADJ_MID")</f>
        <v>#N/A Requesting Data...</v>
      </c>
      <c r="G838" t="str">
        <f>_xll.BDP("41423AEJ Muni","SPREAD_AT_ISSUANCE_TO_WORST")</f>
        <v>#N/A Requesting Data...</v>
      </c>
      <c r="H838" t="str">
        <f>_xll.BDP("41423AEJ Muni","ISSUE_DT")</f>
        <v>#N/A Requesting Data...</v>
      </c>
      <c r="I838" t="str">
        <f>_xll.BDS("41423AEJ Muni","MUNI_PURPOSE_SCHED", "aggregate=y")</f>
        <v>#N/A Review</v>
      </c>
      <c r="J838" t="str">
        <f>_xll.BDP("41423AEJ Muni","CPN")</f>
        <v>#N/A Requesting Data...</v>
      </c>
      <c r="K838" t="str">
        <f>_xll.BDP("41423AEJ Muni","MATURITY")</f>
        <v>#N/A Requesting Data...</v>
      </c>
      <c r="L838">
        <v>200000</v>
      </c>
      <c r="M838" t="str">
        <f>_xll.BDP("41423AEJ Muni","YIELD_ON_ISSUE_DATE")</f>
        <v>#N/A Requesting Data...</v>
      </c>
      <c r="N838" t="str">
        <f>_xll.BDP("41423AEJ Muni","YTW_SPREAD_TO_MATURITY_AT_ISSU")</f>
        <v>#N/A Requesting Data...</v>
      </c>
      <c r="O838" t="str">
        <f>_xll.BDP("41423AEJ Muni","BVAL_MID_YTM")</f>
        <v>#N/A Requesting Data...</v>
      </c>
      <c r="P838" t="str">
        <f>_xll.BDP("41423AEJ Muni","MUNI_TAX_PROV")</f>
        <v>#N/A Requesting Data...</v>
      </c>
      <c r="Q838" t="str">
        <f>_xll.BDP("41423AEJ Muni","MUNI_FED_TAX")</f>
        <v>#N/A Requesting Data...</v>
      </c>
      <c r="R838" t="str">
        <f>_xll.BDP("41423AEJ Muni","MUNI_MSRB_VOLUME")</f>
        <v>#N/A Requesting Data...</v>
      </c>
      <c r="S838" t="str">
        <f>_xll.BDP("41423AEJ Muni","BB_COMPOSITE")</f>
        <v>#N/A Requesting Data...</v>
      </c>
      <c r="T838" t="str">
        <f>_xll.BDP("41423AEJ Muni","LQA_LIQUIDITY_SCORE")</f>
        <v>#N/A Requesting Data...</v>
      </c>
    </row>
    <row r="839" spans="1:20" x14ac:dyDescent="0.25">
      <c r="A839" t="str">
        <f>_xll.BDP("194469EN Muni","ID_CUSIP")</f>
        <v>#N/A Requesting Data...</v>
      </c>
      <c r="B839" t="s">
        <v>317</v>
      </c>
      <c r="C839" t="str">
        <f>_xll.BDP("194469EN Muni","INSURANCE_STATUS")</f>
        <v>#N/A Requesting Data...</v>
      </c>
      <c r="D839" t="str">
        <f>_xll.BDP("194469EN Muni","STATE_CODE")</f>
        <v>#N/A Requesting Data...</v>
      </c>
      <c r="E839" t="str">
        <f>_xll.BDP("194469EN Muni","COUNTY_LOCATION_ISSUER")</f>
        <v>#N/A Requesting Data...</v>
      </c>
      <c r="F839" t="str">
        <f>_xll.BDP("194469EN Muni","DUR_ADJ_MID")</f>
        <v>#N/A Requesting Data...</v>
      </c>
      <c r="G839" t="str">
        <f>_xll.BDP("194469EN Muni","SPREAD_AT_ISSUANCE_TO_WORST")</f>
        <v>#N/A Requesting Data...</v>
      </c>
      <c r="H839" t="str">
        <f>_xll.BDP("194469EN Muni","ISSUE_DT")</f>
        <v>#N/A Requesting Data...</v>
      </c>
      <c r="I839" t="str">
        <f>_xll.BDS("194469EN Muni","MUNI_PURPOSE_SCHED", "aggregate=y")</f>
        <v>#N/A Review</v>
      </c>
      <c r="J839" t="str">
        <f>_xll.BDP("194469EN Muni","CPN")</f>
        <v>#N/A Requesting Data...</v>
      </c>
      <c r="K839" t="str">
        <f>_xll.BDP("194469EN Muni","MATURITY")</f>
        <v>#N/A Requesting Data...</v>
      </c>
      <c r="L839">
        <v>1390000</v>
      </c>
      <c r="M839" t="str">
        <f>_xll.BDP("194469EN Muni","YIELD_ON_ISSUE_DATE")</f>
        <v>#N/A Requesting Data...</v>
      </c>
      <c r="N839" t="str">
        <f>_xll.BDP("194469EN Muni","YTW_SPREAD_TO_MATURITY_AT_ISSU")</f>
        <v>#N/A Requesting Data...</v>
      </c>
      <c r="O839" t="str">
        <f>_xll.BDP("194469EN Muni","BVAL_MID_YTM")</f>
        <v>#N/A Requesting Data...</v>
      </c>
      <c r="P839" t="str">
        <f>_xll.BDP("194469EN Muni","MUNI_TAX_PROV")</f>
        <v>#N/A Requesting Data...</v>
      </c>
      <c r="Q839" t="str">
        <f>_xll.BDP("194469EN Muni","MUNI_FED_TAX")</f>
        <v>#N/A Requesting Data...</v>
      </c>
      <c r="R839" t="str">
        <f>_xll.BDP("194469EN Muni","MUNI_MSRB_VOLUME")</f>
        <v>#N/A Requesting Data...</v>
      </c>
      <c r="S839" t="str">
        <f>_xll.BDP("194469EN Muni","BB_COMPOSITE")</f>
        <v>#N/A Requesting Data...</v>
      </c>
      <c r="T839" t="str">
        <f>_xll.BDP("194469EN Muni","LQA_LIQUIDITY_SCORE")</f>
        <v>#N/A Requesting Data...</v>
      </c>
    </row>
    <row r="840" spans="1:20" x14ac:dyDescent="0.25">
      <c r="A840" t="str">
        <f>_xll.BDP("194469EQ Muni","ID_CUSIP")</f>
        <v>#N/A Requesting Data...</v>
      </c>
      <c r="B840" t="s">
        <v>317</v>
      </c>
      <c r="C840" t="str">
        <f>_xll.BDP("194469EQ Muni","INSURANCE_STATUS")</f>
        <v>#N/A Requesting Data...</v>
      </c>
      <c r="D840" t="str">
        <f>_xll.BDP("194469EQ Muni","STATE_CODE")</f>
        <v>#N/A Requesting Data...</v>
      </c>
      <c r="E840" t="str">
        <f>_xll.BDP("194469EQ Muni","COUNTY_LOCATION_ISSUER")</f>
        <v>#N/A Requesting Data...</v>
      </c>
      <c r="F840" t="str">
        <f>_xll.BDP("194469EQ Muni","DUR_ADJ_MID")</f>
        <v>#N/A Requesting Data...</v>
      </c>
      <c r="G840" t="str">
        <f>_xll.BDP("194469EQ Muni","SPREAD_AT_ISSUANCE_TO_WORST")</f>
        <v>#N/A Requesting Data...</v>
      </c>
      <c r="H840" t="str">
        <f>_xll.BDP("194469EQ Muni","ISSUE_DT")</f>
        <v>#N/A Requesting Data...</v>
      </c>
      <c r="I840" t="str">
        <f>_xll.BDS("194469EQ Muni","MUNI_PURPOSE_SCHED", "aggregate=y")</f>
        <v>#N/A Review</v>
      </c>
      <c r="J840" t="str">
        <f>_xll.BDP("194469EQ Muni","CPN")</f>
        <v>#N/A Requesting Data...</v>
      </c>
      <c r="K840" t="str">
        <f>_xll.BDP("194469EQ Muni","MATURITY")</f>
        <v>#N/A Requesting Data...</v>
      </c>
      <c r="L840">
        <v>1535000</v>
      </c>
      <c r="M840" t="str">
        <f>_xll.BDP("194469EQ Muni","YIELD_ON_ISSUE_DATE")</f>
        <v>#N/A Requesting Data...</v>
      </c>
      <c r="N840" t="str">
        <f>_xll.BDP("194469EQ Muni","YTW_SPREAD_TO_MATURITY_AT_ISSU")</f>
        <v>#N/A Requesting Data...</v>
      </c>
      <c r="O840" t="str">
        <f>_xll.BDP("194469EQ Muni","BVAL_MID_YTM")</f>
        <v>#N/A Requesting Data...</v>
      </c>
      <c r="P840" t="str">
        <f>_xll.BDP("194469EQ Muni","MUNI_TAX_PROV")</f>
        <v>#N/A Requesting Data...</v>
      </c>
      <c r="Q840" t="str">
        <f>_xll.BDP("194469EQ Muni","MUNI_FED_TAX")</f>
        <v>#N/A Requesting Data...</v>
      </c>
      <c r="R840" t="str">
        <f>_xll.BDP("194469EQ Muni","MUNI_MSRB_VOLUME")</f>
        <v>#N/A Requesting Data...</v>
      </c>
      <c r="S840" t="str">
        <f>_xll.BDP("194469EQ Muni","BB_COMPOSITE")</f>
        <v>#N/A Requesting Data...</v>
      </c>
      <c r="T840" t="str">
        <f>_xll.BDP("194469EQ Muni","LQA_LIQUIDITY_SCORE")</f>
        <v>#N/A Requesting Data...</v>
      </c>
    </row>
    <row r="841" spans="1:20" x14ac:dyDescent="0.25">
      <c r="A841" t="str">
        <f>_xll.BDP("41421DSU Muni","ID_CUSIP")</f>
        <v>#N/A Requesting Data...</v>
      </c>
      <c r="B841" t="s">
        <v>310</v>
      </c>
      <c r="C841" t="str">
        <f>_xll.BDP("41421DSU Muni","INSURANCE_STATUS")</f>
        <v>#N/A Requesting Data...</v>
      </c>
      <c r="D841" t="str">
        <f>_xll.BDP("41421DSU Muni","STATE_CODE")</f>
        <v>#N/A Requesting Data...</v>
      </c>
      <c r="E841" t="str">
        <f>_xll.BDP("41421DSU Muni","COUNTY_LOCATION_ISSUER")</f>
        <v>#N/A Requesting Data...</v>
      </c>
      <c r="F841" t="str">
        <f>_xll.BDP("41421DSU Muni","DUR_ADJ_MID")</f>
        <v>#N/A Requesting Data...</v>
      </c>
      <c r="G841" t="str">
        <f>_xll.BDP("41421DSU Muni","SPREAD_AT_ISSUANCE_TO_WORST")</f>
        <v>#N/A Requesting Data...</v>
      </c>
      <c r="H841" t="str">
        <f>_xll.BDP("41421DSU Muni","ISSUE_DT")</f>
        <v>#N/A Requesting Data...</v>
      </c>
      <c r="I841" t="str">
        <f>_xll.BDS("41421DSU Muni","MUNI_PURPOSE_SCHED", "aggregate=y")</f>
        <v>#N/A Review</v>
      </c>
      <c r="J841" t="str">
        <f>_xll.BDP("41421DSU Muni","CPN")</f>
        <v>#N/A Requesting Data...</v>
      </c>
      <c r="K841" t="str">
        <f>_xll.BDP("41421DSU Muni","MATURITY")</f>
        <v>#N/A Requesting Data...</v>
      </c>
      <c r="L841">
        <v>700000</v>
      </c>
      <c r="M841" t="str">
        <f>_xll.BDP("41421DSU Muni","YIELD_ON_ISSUE_DATE")</f>
        <v>#N/A Requesting Data...</v>
      </c>
      <c r="N841" t="str">
        <f>_xll.BDP("41421DSU Muni","YTW_SPREAD_TO_MATURITY_AT_ISSU")</f>
        <v>#N/A Requesting Data...</v>
      </c>
      <c r="O841" t="str">
        <f>_xll.BDP("41421DSU Muni","BVAL_MID_YTM")</f>
        <v>#N/A Requesting Data...</v>
      </c>
      <c r="P841" t="str">
        <f>_xll.BDP("41421DSU Muni","MUNI_TAX_PROV")</f>
        <v>#N/A Requesting Data...</v>
      </c>
      <c r="Q841" t="str">
        <f>_xll.BDP("41421DSU Muni","MUNI_FED_TAX")</f>
        <v>#N/A Requesting Data...</v>
      </c>
      <c r="R841" t="str">
        <f>_xll.BDP("41421DSU Muni","MUNI_MSRB_VOLUME")</f>
        <v>#N/A Requesting Data...</v>
      </c>
      <c r="S841" t="str">
        <f>_xll.BDP("41421DSU Muni","BB_COMPOSITE")</f>
        <v>#N/A Requesting Data...</v>
      </c>
      <c r="T841" t="str">
        <f>_xll.BDP("41421DSU Muni","LQA_LIQUIDITY_SCORE")</f>
        <v>#N/A Requesting Data...</v>
      </c>
    </row>
    <row r="842" spans="1:20" x14ac:dyDescent="0.25">
      <c r="A842" t="str">
        <f>_xll.BDP("41421FGL Muni","ID_CUSIP")</f>
        <v>#N/A Requesting Data...</v>
      </c>
      <c r="B842" t="s">
        <v>311</v>
      </c>
      <c r="C842" t="str">
        <f>_xll.BDP("41421FGL Muni","INSURANCE_STATUS")</f>
        <v>#N/A Requesting Data...</v>
      </c>
      <c r="D842" t="str">
        <f>_xll.BDP("41421FGL Muni","STATE_CODE")</f>
        <v>#N/A Requesting Data...</v>
      </c>
      <c r="E842" t="str">
        <f>_xll.BDP("41421FGL Muni","COUNTY_LOCATION_ISSUER")</f>
        <v>#N/A Requesting Data...</v>
      </c>
      <c r="F842" t="str">
        <f>_xll.BDP("41421FGL Muni","DUR_ADJ_MID")</f>
        <v>#N/A Requesting Data...</v>
      </c>
      <c r="G842" t="str">
        <f>_xll.BDP("41421FGL Muni","SPREAD_AT_ISSUANCE_TO_WORST")</f>
        <v>#N/A Requesting Data...</v>
      </c>
      <c r="H842" t="str">
        <f>_xll.BDP("41421FGL Muni","ISSUE_DT")</f>
        <v>#N/A Requesting Data...</v>
      </c>
      <c r="I842" t="str">
        <f>_xll.BDS("41421FGL Muni","MUNI_PURPOSE_SCHED", "aggregate=y")</f>
        <v>#N/A Review</v>
      </c>
      <c r="J842" t="str">
        <f>_xll.BDP("41421FGL Muni","CPN")</f>
        <v>#N/A Requesting Data...</v>
      </c>
      <c r="K842" t="str">
        <f>_xll.BDP("41421FGL Muni","MATURITY")</f>
        <v>#N/A Requesting Data...</v>
      </c>
      <c r="L842">
        <v>200000</v>
      </c>
      <c r="M842" t="str">
        <f>_xll.BDP("41421FGL Muni","YIELD_ON_ISSUE_DATE")</f>
        <v>#N/A Requesting Data...</v>
      </c>
      <c r="N842" t="str">
        <f>_xll.BDP("41421FGL Muni","YTW_SPREAD_TO_MATURITY_AT_ISSU")</f>
        <v>#N/A Requesting Data...</v>
      </c>
      <c r="O842" t="str">
        <f>_xll.BDP("41421FGL Muni","BVAL_MID_YTM")</f>
        <v>#N/A Requesting Data...</v>
      </c>
      <c r="P842" t="str">
        <f>_xll.BDP("41421FGL Muni","MUNI_TAX_PROV")</f>
        <v>#N/A Requesting Data...</v>
      </c>
      <c r="Q842" t="str">
        <f>_xll.BDP("41421FGL Muni","MUNI_FED_TAX")</f>
        <v>#N/A Requesting Data...</v>
      </c>
      <c r="R842" t="str">
        <f>_xll.BDP("41421FGL Muni","MUNI_MSRB_VOLUME")</f>
        <v>#N/A Requesting Data...</v>
      </c>
      <c r="S842" t="str">
        <f>_xll.BDP("41421FGL Muni","BB_COMPOSITE")</f>
        <v>#N/A Requesting Data...</v>
      </c>
      <c r="T842" t="str">
        <f>_xll.BDP("41421FGL Muni","LQA_LIQUIDITY_SCORE")</f>
        <v>#N/A Requesting Data...</v>
      </c>
    </row>
    <row r="843" spans="1:20" x14ac:dyDescent="0.25">
      <c r="A843" t="str">
        <f>_xll.BDP("41421FGN Muni","ID_CUSIP")</f>
        <v>#N/A Requesting Data...</v>
      </c>
      <c r="B843" t="s">
        <v>311</v>
      </c>
      <c r="C843" t="str">
        <f>_xll.BDP("41421FGN Muni","INSURANCE_STATUS")</f>
        <v>#N/A Requesting Data...</v>
      </c>
      <c r="D843" t="str">
        <f>_xll.BDP("41421FGN Muni","STATE_CODE")</f>
        <v>#N/A Requesting Data...</v>
      </c>
      <c r="E843" t="str">
        <f>_xll.BDP("41421FGN Muni","COUNTY_LOCATION_ISSUER")</f>
        <v>#N/A Requesting Data...</v>
      </c>
      <c r="F843" t="str">
        <f>_xll.BDP("41421FGN Muni","DUR_ADJ_MID")</f>
        <v>#N/A Requesting Data...</v>
      </c>
      <c r="G843" t="str">
        <f>_xll.BDP("41421FGN Muni","SPREAD_AT_ISSUANCE_TO_WORST")</f>
        <v>#N/A Requesting Data...</v>
      </c>
      <c r="H843" t="str">
        <f>_xll.BDP("41421FGN Muni","ISSUE_DT")</f>
        <v>#N/A Requesting Data...</v>
      </c>
      <c r="I843" t="str">
        <f>_xll.BDS("41421FGN Muni","MUNI_PURPOSE_SCHED", "aggregate=y")</f>
        <v>#N/A Review</v>
      </c>
      <c r="J843" t="str">
        <f>_xll.BDP("41421FGN Muni","CPN")</f>
        <v>#N/A Requesting Data...</v>
      </c>
      <c r="K843" t="str">
        <f>_xll.BDP("41421FGN Muni","MATURITY")</f>
        <v>#N/A Requesting Data...</v>
      </c>
      <c r="L843">
        <v>200000</v>
      </c>
      <c r="M843" t="str">
        <f>_xll.BDP("41421FGN Muni","YIELD_ON_ISSUE_DATE")</f>
        <v>#N/A Requesting Data...</v>
      </c>
      <c r="N843" t="str">
        <f>_xll.BDP("41421FGN Muni","YTW_SPREAD_TO_MATURITY_AT_ISSU")</f>
        <v>#N/A Requesting Data...</v>
      </c>
      <c r="O843" t="str">
        <f>_xll.BDP("41421FGN Muni","BVAL_MID_YTM")</f>
        <v>#N/A Requesting Data...</v>
      </c>
      <c r="P843" t="str">
        <f>_xll.BDP("41421FGN Muni","MUNI_TAX_PROV")</f>
        <v>#N/A Requesting Data...</v>
      </c>
      <c r="Q843" t="str">
        <f>_xll.BDP("41421FGN Muni","MUNI_FED_TAX")</f>
        <v>#N/A Requesting Data...</v>
      </c>
      <c r="R843" t="str">
        <f>_xll.BDP("41421FGN Muni","MUNI_MSRB_VOLUME")</f>
        <v>#N/A Requesting Data...</v>
      </c>
      <c r="S843" t="str">
        <f>_xll.BDP("41421FGN Muni","BB_COMPOSITE")</f>
        <v>#N/A Requesting Data...</v>
      </c>
      <c r="T843" t="str">
        <f>_xll.BDP("41421FGN Muni","LQA_LIQUIDITY_SCORE")</f>
        <v>#N/A Requesting Data...</v>
      </c>
    </row>
    <row r="844" spans="1:20" x14ac:dyDescent="0.25">
      <c r="A844" t="str">
        <f>_xll.BDP("41421QJB Muni","ID_CUSIP")</f>
        <v>#N/A Requesting Data...</v>
      </c>
      <c r="B844" t="s">
        <v>318</v>
      </c>
      <c r="C844" t="str">
        <f>_xll.BDP("41421QJB Muni","INSURANCE_STATUS")</f>
        <v>#N/A Requesting Data...</v>
      </c>
      <c r="D844" t="str">
        <f>_xll.BDP("41421QJB Muni","STATE_CODE")</f>
        <v>#N/A Requesting Data...</v>
      </c>
      <c r="E844" t="str">
        <f>_xll.BDP("41421QJB Muni","COUNTY_LOCATION_ISSUER")</f>
        <v>#N/A Requesting Data...</v>
      </c>
      <c r="F844" t="str">
        <f>_xll.BDP("41421QJB Muni","DUR_ADJ_MID")</f>
        <v>#N/A Requesting Data...</v>
      </c>
      <c r="G844" t="str">
        <f>_xll.BDP("41421QJB Muni","SPREAD_AT_ISSUANCE_TO_WORST")</f>
        <v>#N/A Requesting Data...</v>
      </c>
      <c r="H844" t="str">
        <f>_xll.BDP("41421QJB Muni","ISSUE_DT")</f>
        <v>#N/A Requesting Data...</v>
      </c>
      <c r="I844" t="str">
        <f>_xll.BDS("41421QJB Muni","MUNI_PURPOSE_SCHED", "aggregate=y")</f>
        <v>#N/A Review</v>
      </c>
      <c r="J844" t="str">
        <f>_xll.BDP("41421QJB Muni","CPN")</f>
        <v>#N/A Requesting Data...</v>
      </c>
      <c r="K844" t="str">
        <f>_xll.BDP("41421QJB Muni","MATURITY")</f>
        <v>#N/A Requesting Data...</v>
      </c>
      <c r="L844">
        <v>100000</v>
      </c>
      <c r="M844" t="str">
        <f>_xll.BDP("41421QJB Muni","YIELD_ON_ISSUE_DATE")</f>
        <v>#N/A Requesting Data...</v>
      </c>
      <c r="N844" t="str">
        <f>_xll.BDP("41421QJB Muni","YTW_SPREAD_TO_MATURITY_AT_ISSU")</f>
        <v>#N/A Requesting Data...</v>
      </c>
      <c r="O844" t="str">
        <f>_xll.BDP("41421QJB Muni","BVAL_MID_YTM")</f>
        <v>#N/A Requesting Data...</v>
      </c>
      <c r="P844" t="str">
        <f>_xll.BDP("41421QJB Muni","MUNI_TAX_PROV")</f>
        <v>#N/A Requesting Data...</v>
      </c>
      <c r="Q844" t="str">
        <f>_xll.BDP("41421QJB Muni","MUNI_FED_TAX")</f>
        <v>#N/A Requesting Data...</v>
      </c>
      <c r="R844" t="str">
        <f>_xll.BDP("41421QJB Muni","MUNI_MSRB_VOLUME")</f>
        <v>#N/A Requesting Data...</v>
      </c>
      <c r="S844" t="str">
        <f>_xll.BDP("41421QJB Muni","BB_COMPOSITE")</f>
        <v>#N/A Requesting Data...</v>
      </c>
      <c r="T844" t="str">
        <f>_xll.BDP("41421QJB Muni","LQA_LIQUIDITY_SCORE")</f>
        <v>#N/A Requesting Data...</v>
      </c>
    </row>
    <row r="845" spans="1:20" x14ac:dyDescent="0.25">
      <c r="A845" t="str">
        <f>_xll.BDP("41421QJC Muni","ID_CUSIP")</f>
        <v>#N/A Requesting Data...</v>
      </c>
      <c r="B845" t="s">
        <v>318</v>
      </c>
      <c r="C845" t="str">
        <f>_xll.BDP("41421QJC Muni","INSURANCE_STATUS")</f>
        <v>#N/A Requesting Data...</v>
      </c>
      <c r="D845" t="str">
        <f>_xll.BDP("41421QJC Muni","STATE_CODE")</f>
        <v>#N/A Requesting Data...</v>
      </c>
      <c r="E845" t="str">
        <f>_xll.BDP("41421QJC Muni","COUNTY_LOCATION_ISSUER")</f>
        <v>#N/A Requesting Data...</v>
      </c>
      <c r="F845" t="str">
        <f>_xll.BDP("41421QJC Muni","DUR_ADJ_MID")</f>
        <v>#N/A Requesting Data...</v>
      </c>
      <c r="G845" t="str">
        <f>_xll.BDP("41421QJC Muni","SPREAD_AT_ISSUANCE_TO_WORST")</f>
        <v>#N/A Requesting Data...</v>
      </c>
      <c r="H845" t="str">
        <f>_xll.BDP("41421QJC Muni","ISSUE_DT")</f>
        <v>#N/A Requesting Data...</v>
      </c>
      <c r="I845" t="str">
        <f>_xll.BDS("41421QJC Muni","MUNI_PURPOSE_SCHED", "aggregate=y")</f>
        <v>#N/A Review</v>
      </c>
      <c r="J845" t="str">
        <f>_xll.BDP("41421QJC Muni","CPN")</f>
        <v>#N/A Requesting Data...</v>
      </c>
      <c r="K845" t="str">
        <f>_xll.BDP("41421QJC Muni","MATURITY")</f>
        <v>#N/A Requesting Data...</v>
      </c>
      <c r="L845">
        <v>100000</v>
      </c>
      <c r="M845" t="str">
        <f>_xll.BDP("41421QJC Muni","YIELD_ON_ISSUE_DATE")</f>
        <v>#N/A Requesting Data...</v>
      </c>
      <c r="N845" t="str">
        <f>_xll.BDP("41421QJC Muni","YTW_SPREAD_TO_MATURITY_AT_ISSU")</f>
        <v>#N/A Requesting Data...</v>
      </c>
      <c r="O845" t="str">
        <f>_xll.BDP("41421QJC Muni","BVAL_MID_YTM")</f>
        <v>#N/A Requesting Data...</v>
      </c>
      <c r="P845" t="str">
        <f>_xll.BDP("41421QJC Muni","MUNI_TAX_PROV")</f>
        <v>#N/A Requesting Data...</v>
      </c>
      <c r="Q845" t="str">
        <f>_xll.BDP("41421QJC Muni","MUNI_FED_TAX")</f>
        <v>#N/A Requesting Data...</v>
      </c>
      <c r="R845" t="str">
        <f>_xll.BDP("41421QJC Muni","MUNI_MSRB_VOLUME")</f>
        <v>#N/A Requesting Data...</v>
      </c>
      <c r="S845" t="str">
        <f>_xll.BDP("41421QJC Muni","BB_COMPOSITE")</f>
        <v>#N/A Requesting Data...</v>
      </c>
      <c r="T845" t="str">
        <f>_xll.BDP("41421QJC Muni","LQA_LIQUIDITY_SCORE")</f>
        <v>#N/A Requesting Data...</v>
      </c>
    </row>
    <row r="846" spans="1:20" x14ac:dyDescent="0.25">
      <c r="A846" t="str">
        <f>_xll.BDP("41421TDH Muni","ID_CUSIP")</f>
        <v>#N/A Requesting Data...</v>
      </c>
      <c r="B846" t="s">
        <v>312</v>
      </c>
      <c r="C846" t="str">
        <f>_xll.BDP("41421TDH Muni","INSURANCE_STATUS")</f>
        <v>#N/A Requesting Data...</v>
      </c>
      <c r="D846" t="str">
        <f>_xll.BDP("41421TDH Muni","STATE_CODE")</f>
        <v>#N/A Requesting Data...</v>
      </c>
      <c r="E846" t="str">
        <f>_xll.BDP("41421TDH Muni","COUNTY_LOCATION_ISSUER")</f>
        <v>#N/A Requesting Data...</v>
      </c>
      <c r="F846" t="str">
        <f>_xll.BDP("41421TDH Muni","DUR_ADJ_MID")</f>
        <v>#N/A Requesting Data...</v>
      </c>
      <c r="G846" t="str">
        <f>_xll.BDP("41421TDH Muni","SPREAD_AT_ISSUANCE_TO_WORST")</f>
        <v>#N/A Requesting Data...</v>
      </c>
      <c r="H846" t="str">
        <f>_xll.BDP("41421TDH Muni","ISSUE_DT")</f>
        <v>#N/A Requesting Data...</v>
      </c>
      <c r="I846" t="str">
        <f>_xll.BDS("41421TDH Muni","MUNI_PURPOSE_SCHED", "aggregate=y")</f>
        <v>#N/A Review</v>
      </c>
      <c r="J846" t="str">
        <f>_xll.BDP("41421TDH Muni","CPN")</f>
        <v>#N/A Requesting Data...</v>
      </c>
      <c r="K846" t="str">
        <f>_xll.BDP("41421TDH Muni","MATURITY")</f>
        <v>#N/A Requesting Data...</v>
      </c>
      <c r="L846">
        <v>25000</v>
      </c>
      <c r="M846" t="str">
        <f>_xll.BDP("41421TDH Muni","YIELD_ON_ISSUE_DATE")</f>
        <v>#N/A Requesting Data...</v>
      </c>
      <c r="N846" t="str">
        <f>_xll.BDP("41421TDH Muni","YTW_SPREAD_TO_MATURITY_AT_ISSU")</f>
        <v>#N/A Requesting Data...</v>
      </c>
      <c r="O846" t="str">
        <f>_xll.BDP("41421TDH Muni","BVAL_MID_YTM")</f>
        <v>#N/A Requesting Data...</v>
      </c>
      <c r="P846" t="str">
        <f>_xll.BDP("41421TDH Muni","MUNI_TAX_PROV")</f>
        <v>#N/A Requesting Data...</v>
      </c>
      <c r="Q846" t="str">
        <f>_xll.BDP("41421TDH Muni","MUNI_FED_TAX")</f>
        <v>#N/A Requesting Data...</v>
      </c>
      <c r="R846" t="str">
        <f>_xll.BDP("41421TDH Muni","MUNI_MSRB_VOLUME")</f>
        <v>#N/A Requesting Data...</v>
      </c>
      <c r="S846" t="str">
        <f>_xll.BDP("41421TDH Muni","BB_COMPOSITE")</f>
        <v>#N/A Requesting Data...</v>
      </c>
      <c r="T846" t="str">
        <f>_xll.BDP("41421TDH Muni","LQA_LIQUIDITY_SCORE")</f>
        <v>#N/A Requesting Data...</v>
      </c>
    </row>
    <row r="847" spans="1:20" x14ac:dyDescent="0.25">
      <c r="A847" t="str">
        <f>_xll.BDP("41422JBX Muni","ID_CUSIP")</f>
        <v>#N/A Requesting Data...</v>
      </c>
      <c r="B847" t="s">
        <v>313</v>
      </c>
      <c r="C847" t="str">
        <f>_xll.BDP("41422JBX Muni","INSURANCE_STATUS")</f>
        <v>#N/A Requesting Data...</v>
      </c>
      <c r="D847" t="str">
        <f>_xll.BDP("41422JBX Muni","STATE_CODE")</f>
        <v>#N/A Requesting Data...</v>
      </c>
      <c r="E847" t="str">
        <f>_xll.BDP("41422JBX Muni","COUNTY_LOCATION_ISSUER")</f>
        <v>#N/A Requesting Data...</v>
      </c>
      <c r="F847" t="str">
        <f>_xll.BDP("41422JBX Muni","DUR_ADJ_MID")</f>
        <v>#N/A Requesting Data...</v>
      </c>
      <c r="G847" t="str">
        <f>_xll.BDP("41422JBX Muni","SPREAD_AT_ISSUANCE_TO_WORST")</f>
        <v>#N/A Requesting Data...</v>
      </c>
      <c r="H847" t="str">
        <f>_xll.BDP("41422JBX Muni","ISSUE_DT")</f>
        <v>#N/A Requesting Data...</v>
      </c>
      <c r="I847" t="str">
        <f>_xll.BDS("41422JBX Muni","MUNI_PURPOSE_SCHED", "aggregate=y")</f>
        <v>#N/A Review</v>
      </c>
      <c r="J847" t="str">
        <f>_xll.BDP("41422JBX Muni","CPN")</f>
        <v>#N/A Requesting Data...</v>
      </c>
      <c r="K847" t="str">
        <f>_xll.BDP("41422JBX Muni","MATURITY")</f>
        <v>#N/A Requesting Data...</v>
      </c>
      <c r="L847">
        <v>250000</v>
      </c>
      <c r="M847" t="str">
        <f>_xll.BDP("41422JBX Muni","YIELD_ON_ISSUE_DATE")</f>
        <v>#N/A Requesting Data...</v>
      </c>
      <c r="N847" t="str">
        <f>_xll.BDP("41422JBX Muni","YTW_SPREAD_TO_MATURITY_AT_ISSU")</f>
        <v>#N/A Requesting Data...</v>
      </c>
      <c r="O847" t="str">
        <f>_xll.BDP("41422JBX Muni","BVAL_MID_YTM")</f>
        <v>#N/A Requesting Data...</v>
      </c>
      <c r="P847" t="str">
        <f>_xll.BDP("41422JBX Muni","MUNI_TAX_PROV")</f>
        <v>#N/A Requesting Data...</v>
      </c>
      <c r="Q847" t="str">
        <f>_xll.BDP("41422JBX Muni","MUNI_FED_TAX")</f>
        <v>#N/A Requesting Data...</v>
      </c>
      <c r="R847" t="str">
        <f>_xll.BDP("41422JBX Muni","MUNI_MSRB_VOLUME")</f>
        <v>#N/A Requesting Data...</v>
      </c>
      <c r="S847" t="str">
        <f>_xll.BDP("41422JBX Muni","BB_COMPOSITE")</f>
        <v>#N/A Requesting Data...</v>
      </c>
      <c r="T847" t="str">
        <f>_xll.BDP("41422JBX Muni","LQA_LIQUIDITY_SCORE")</f>
        <v>#N/A Requesting Data...</v>
      </c>
    </row>
    <row r="848" spans="1:20" x14ac:dyDescent="0.25">
      <c r="A848" t="str">
        <f>_xll.BDP("41422LEJ Muni","ID_CUSIP")</f>
        <v>#N/A Requesting Data...</v>
      </c>
      <c r="B848" t="s">
        <v>319</v>
      </c>
      <c r="C848" t="str">
        <f>_xll.BDP("41422LEJ Muni","INSURANCE_STATUS")</f>
        <v>#N/A Requesting Data...</v>
      </c>
      <c r="D848" t="str">
        <f>_xll.BDP("41422LEJ Muni","STATE_CODE")</f>
        <v>#N/A Requesting Data...</v>
      </c>
      <c r="E848" t="str">
        <f>_xll.BDP("41422LEJ Muni","COUNTY_LOCATION_ISSUER")</f>
        <v>#N/A Requesting Data...</v>
      </c>
      <c r="F848" t="str">
        <f>_xll.BDP("41422LEJ Muni","DUR_ADJ_MID")</f>
        <v>#N/A Requesting Data...</v>
      </c>
      <c r="G848" t="str">
        <f>_xll.BDP("41422LEJ Muni","SPREAD_AT_ISSUANCE_TO_WORST")</f>
        <v>#N/A Requesting Data...</v>
      </c>
      <c r="H848" t="str">
        <f>_xll.BDP("41422LEJ Muni","ISSUE_DT")</f>
        <v>#N/A Requesting Data...</v>
      </c>
      <c r="I848" t="str">
        <f>_xll.BDS("41422LEJ Muni","MUNI_PURPOSE_SCHED", "aggregate=y")</f>
        <v>#N/A Review</v>
      </c>
      <c r="J848" t="str">
        <f>_xll.BDP("41422LEJ Muni","CPN")</f>
        <v>#N/A Requesting Data...</v>
      </c>
      <c r="K848" t="str">
        <f>_xll.BDP("41422LEJ Muni","MATURITY")</f>
        <v>#N/A Requesting Data...</v>
      </c>
      <c r="L848">
        <v>365000</v>
      </c>
      <c r="M848" t="str">
        <f>_xll.BDP("41422LEJ Muni","YIELD_ON_ISSUE_DATE")</f>
        <v>#N/A Requesting Data...</v>
      </c>
      <c r="N848" t="str">
        <f>_xll.BDP("41422LEJ Muni","YTW_SPREAD_TO_MATURITY_AT_ISSU")</f>
        <v>#N/A Requesting Data...</v>
      </c>
      <c r="O848" t="str">
        <f>_xll.BDP("41422LEJ Muni","BVAL_MID_YTM")</f>
        <v>#N/A Requesting Data...</v>
      </c>
      <c r="P848" t="str">
        <f>_xll.BDP("41422LEJ Muni","MUNI_TAX_PROV")</f>
        <v>#N/A Requesting Data...</v>
      </c>
      <c r="Q848" t="str">
        <f>_xll.BDP("41422LEJ Muni","MUNI_FED_TAX")</f>
        <v>#N/A Requesting Data...</v>
      </c>
      <c r="R848" t="str">
        <f>_xll.BDP("41422LEJ Muni","MUNI_MSRB_VOLUME")</f>
        <v>#N/A Requesting Data...</v>
      </c>
      <c r="S848" t="str">
        <f>_xll.BDP("41422LEJ Muni","BB_COMPOSITE")</f>
        <v>#N/A Requesting Data...</v>
      </c>
      <c r="T848" t="str">
        <f>_xll.BDP("41422LEJ Muni","LQA_LIQUIDITY_SCORE")</f>
        <v>#N/A Requesting Data...</v>
      </c>
    </row>
    <row r="849" spans="1:20" x14ac:dyDescent="0.25">
      <c r="A849" t="str">
        <f>_xll.BDP("41422LEK Muni","ID_CUSIP")</f>
        <v>#N/A Requesting Data...</v>
      </c>
      <c r="B849" t="s">
        <v>319</v>
      </c>
      <c r="C849" t="str">
        <f>_xll.BDP("41422LEK Muni","INSURANCE_STATUS")</f>
        <v>#N/A Requesting Data...</v>
      </c>
      <c r="D849" t="str">
        <f>_xll.BDP("41422LEK Muni","STATE_CODE")</f>
        <v>#N/A Requesting Data...</v>
      </c>
      <c r="E849" t="str">
        <f>_xll.BDP("41422LEK Muni","COUNTY_LOCATION_ISSUER")</f>
        <v>#N/A Requesting Data...</v>
      </c>
      <c r="F849" t="str">
        <f>_xll.BDP("41422LEK Muni","DUR_ADJ_MID")</f>
        <v>#N/A Requesting Data...</v>
      </c>
      <c r="G849" t="str">
        <f>_xll.BDP("41422LEK Muni","SPREAD_AT_ISSUANCE_TO_WORST")</f>
        <v>#N/A Requesting Data...</v>
      </c>
      <c r="H849" t="str">
        <f>_xll.BDP("41422LEK Muni","ISSUE_DT")</f>
        <v>#N/A Requesting Data...</v>
      </c>
      <c r="I849" t="str">
        <f>_xll.BDS("41422LEK Muni","MUNI_PURPOSE_SCHED", "aggregate=y")</f>
        <v>#N/A Review</v>
      </c>
      <c r="J849" t="str">
        <f>_xll.BDP("41422LEK Muni","CPN")</f>
        <v>#N/A Requesting Data...</v>
      </c>
      <c r="K849" t="str">
        <f>_xll.BDP("41422LEK Muni","MATURITY")</f>
        <v>#N/A Requesting Data...</v>
      </c>
      <c r="L849">
        <v>365000</v>
      </c>
      <c r="M849" t="str">
        <f>_xll.BDP("41422LEK Muni","YIELD_ON_ISSUE_DATE")</f>
        <v>#N/A Requesting Data...</v>
      </c>
      <c r="N849" t="str">
        <f>_xll.BDP("41422LEK Muni","YTW_SPREAD_TO_MATURITY_AT_ISSU")</f>
        <v>#N/A Requesting Data...</v>
      </c>
      <c r="O849" t="str">
        <f>_xll.BDP("41422LEK Muni","BVAL_MID_YTM")</f>
        <v>#N/A Requesting Data...</v>
      </c>
      <c r="P849" t="str">
        <f>_xll.BDP("41422LEK Muni","MUNI_TAX_PROV")</f>
        <v>#N/A Requesting Data...</v>
      </c>
      <c r="Q849" t="str">
        <f>_xll.BDP("41422LEK Muni","MUNI_FED_TAX")</f>
        <v>#N/A Requesting Data...</v>
      </c>
      <c r="R849" t="str">
        <f>_xll.BDP("41422LEK Muni","MUNI_MSRB_VOLUME")</f>
        <v>#N/A Requesting Data...</v>
      </c>
      <c r="S849" t="str">
        <f>_xll.BDP("41422LEK Muni","BB_COMPOSITE")</f>
        <v>#N/A Requesting Data...</v>
      </c>
      <c r="T849" t="str">
        <f>_xll.BDP("41422LEK Muni","LQA_LIQUIDITY_SCORE")</f>
        <v>#N/A Requesting Data...</v>
      </c>
    </row>
    <row r="850" spans="1:20" x14ac:dyDescent="0.25">
      <c r="A850" t="str">
        <f>_xll.BDP("41422LEL Muni","ID_CUSIP")</f>
        <v>#N/A Requesting Data...</v>
      </c>
      <c r="B850" t="s">
        <v>319</v>
      </c>
      <c r="C850" t="str">
        <f>_xll.BDP("41422LEL Muni","INSURANCE_STATUS")</f>
        <v>#N/A Requesting Data...</v>
      </c>
      <c r="D850" t="str">
        <f>_xll.BDP("41422LEL Muni","STATE_CODE")</f>
        <v>#N/A Requesting Data...</v>
      </c>
      <c r="E850" t="str">
        <f>_xll.BDP("41422LEL Muni","COUNTY_LOCATION_ISSUER")</f>
        <v>#N/A Requesting Data...</v>
      </c>
      <c r="F850" t="str">
        <f>_xll.BDP("41422LEL Muni","DUR_ADJ_MID")</f>
        <v>#N/A Requesting Data...</v>
      </c>
      <c r="G850" t="str">
        <f>_xll.BDP("41422LEL Muni","SPREAD_AT_ISSUANCE_TO_WORST")</f>
        <v>#N/A Requesting Data...</v>
      </c>
      <c r="H850" t="str">
        <f>_xll.BDP("41422LEL Muni","ISSUE_DT")</f>
        <v>#N/A Requesting Data...</v>
      </c>
      <c r="I850" t="str">
        <f>_xll.BDS("41422LEL Muni","MUNI_PURPOSE_SCHED", "aggregate=y")</f>
        <v>#N/A Review</v>
      </c>
      <c r="J850" t="str">
        <f>_xll.BDP("41422LEL Muni","CPN")</f>
        <v>#N/A Requesting Data...</v>
      </c>
      <c r="K850" t="str">
        <f>_xll.BDP("41422LEL Muni","MATURITY")</f>
        <v>#N/A Requesting Data...</v>
      </c>
      <c r="L850">
        <v>365000</v>
      </c>
      <c r="M850" t="str">
        <f>_xll.BDP("41422LEL Muni","YIELD_ON_ISSUE_DATE")</f>
        <v>#N/A Requesting Data...</v>
      </c>
      <c r="N850" t="str">
        <f>_xll.BDP("41422LEL Muni","YTW_SPREAD_TO_MATURITY_AT_ISSU")</f>
        <v>#N/A Requesting Data...</v>
      </c>
      <c r="O850" t="str">
        <f>_xll.BDP("41422LEL Muni","BVAL_MID_YTM")</f>
        <v>#N/A Requesting Data...</v>
      </c>
      <c r="P850" t="str">
        <f>_xll.BDP("41422LEL Muni","MUNI_TAX_PROV")</f>
        <v>#N/A Requesting Data...</v>
      </c>
      <c r="Q850" t="str">
        <f>_xll.BDP("41422LEL Muni","MUNI_FED_TAX")</f>
        <v>#N/A Requesting Data...</v>
      </c>
      <c r="R850" t="str">
        <f>_xll.BDP("41422LEL Muni","MUNI_MSRB_VOLUME")</f>
        <v>#N/A Requesting Data...</v>
      </c>
      <c r="S850" t="str">
        <f>_xll.BDP("41422LEL Muni","BB_COMPOSITE")</f>
        <v>#N/A Requesting Data...</v>
      </c>
      <c r="T850" t="str">
        <f>_xll.BDP("41422LEL Muni","LQA_LIQUIDITY_SCORE")</f>
        <v>#N/A Requesting Data...</v>
      </c>
    </row>
    <row r="851" spans="1:20" x14ac:dyDescent="0.25">
      <c r="A851" t="str">
        <f>_xll.BDP("41422PFL Muni","ID_CUSIP")</f>
        <v>#N/A Requesting Data...</v>
      </c>
      <c r="B851" t="s">
        <v>314</v>
      </c>
      <c r="C851" t="str">
        <f>_xll.BDP("41422PFL Muni","INSURANCE_STATUS")</f>
        <v>#N/A Requesting Data...</v>
      </c>
      <c r="D851" t="str">
        <f>_xll.BDP("41422PFL Muni","STATE_CODE")</f>
        <v>#N/A Requesting Data...</v>
      </c>
      <c r="E851" t="str">
        <f>_xll.BDP("41422PFL Muni","COUNTY_LOCATION_ISSUER")</f>
        <v>#N/A Requesting Data...</v>
      </c>
      <c r="F851" t="str">
        <f>_xll.BDP("41422PFL Muni","DUR_ADJ_MID")</f>
        <v>#N/A Requesting Data...</v>
      </c>
      <c r="G851" t="str">
        <f>_xll.BDP("41422PFL Muni","SPREAD_AT_ISSUANCE_TO_WORST")</f>
        <v>#N/A Requesting Data...</v>
      </c>
      <c r="H851" t="str">
        <f>_xll.BDP("41422PFL Muni","ISSUE_DT")</f>
        <v>#N/A Requesting Data...</v>
      </c>
      <c r="I851" t="str">
        <f>_xll.BDS("41422PFL Muni","MUNI_PURPOSE_SCHED", "aggregate=y")</f>
        <v>#N/A Review</v>
      </c>
      <c r="J851" t="str">
        <f>_xll.BDP("41422PFL Muni","CPN")</f>
        <v>#N/A Requesting Data...</v>
      </c>
      <c r="K851" t="str">
        <f>_xll.BDP("41422PFL Muni","MATURITY")</f>
        <v>#N/A Requesting Data...</v>
      </c>
      <c r="L851">
        <v>405000</v>
      </c>
      <c r="M851" t="str">
        <f>_xll.BDP("41422PFL Muni","YIELD_ON_ISSUE_DATE")</f>
        <v>#N/A Requesting Data...</v>
      </c>
      <c r="N851" t="str">
        <f>_xll.BDP("41422PFL Muni","YTW_SPREAD_TO_MATURITY_AT_ISSU")</f>
        <v>#N/A Requesting Data...</v>
      </c>
      <c r="O851" t="str">
        <f>_xll.BDP("41422PFL Muni","BVAL_MID_YTM")</f>
        <v>#N/A Requesting Data...</v>
      </c>
      <c r="P851" t="str">
        <f>_xll.BDP("41422PFL Muni","MUNI_TAX_PROV")</f>
        <v>#N/A Requesting Data...</v>
      </c>
      <c r="Q851" t="str">
        <f>_xll.BDP("41422PFL Muni","MUNI_FED_TAX")</f>
        <v>#N/A Requesting Data...</v>
      </c>
      <c r="R851" t="str">
        <f>_xll.BDP("41422PFL Muni","MUNI_MSRB_VOLUME")</f>
        <v>#N/A Requesting Data...</v>
      </c>
      <c r="S851" t="str">
        <f>_xll.BDP("41422PFL Muni","BB_COMPOSITE")</f>
        <v>#N/A Requesting Data...</v>
      </c>
      <c r="T851" t="str">
        <f>_xll.BDP("41422PFL Muni","LQA_LIQUIDITY_SCORE")</f>
        <v>#N/A Requesting Data...</v>
      </c>
    </row>
    <row r="852" spans="1:20" x14ac:dyDescent="0.25">
      <c r="A852" t="str">
        <f>_xll.BDP("41422SDK Muni","ID_CUSIP")</f>
        <v>#N/A Requesting Data...</v>
      </c>
      <c r="B852" t="s">
        <v>320</v>
      </c>
      <c r="C852" t="str">
        <f>_xll.BDP("41422SDK Muni","INSURANCE_STATUS")</f>
        <v>#N/A Requesting Data...</v>
      </c>
      <c r="D852" t="str">
        <f>_xll.BDP("41422SDK Muni","STATE_CODE")</f>
        <v>#N/A Requesting Data...</v>
      </c>
      <c r="E852" t="str">
        <f>_xll.BDP("41422SDK Muni","COUNTY_LOCATION_ISSUER")</f>
        <v>#N/A Requesting Data...</v>
      </c>
      <c r="F852" t="str">
        <f>_xll.BDP("41422SDK Muni","DUR_ADJ_MID")</f>
        <v>#N/A Requesting Data...</v>
      </c>
      <c r="G852" t="str">
        <f>_xll.BDP("41422SDK Muni","SPREAD_AT_ISSUANCE_TO_WORST")</f>
        <v>#N/A Requesting Data...</v>
      </c>
      <c r="H852" t="str">
        <f>_xll.BDP("41422SDK Muni","ISSUE_DT")</f>
        <v>#N/A Requesting Data...</v>
      </c>
      <c r="I852" t="str">
        <f>_xll.BDS("41422SDK Muni","MUNI_PURPOSE_SCHED", "aggregate=y")</f>
        <v>#N/A Review</v>
      </c>
      <c r="J852" t="str">
        <f>_xll.BDP("41422SDK Muni","CPN")</f>
        <v>#N/A Requesting Data...</v>
      </c>
      <c r="K852" t="str">
        <f>_xll.BDP("41422SDK Muni","MATURITY")</f>
        <v>#N/A Requesting Data...</v>
      </c>
      <c r="L852">
        <v>135000</v>
      </c>
      <c r="M852" t="str">
        <f>_xll.BDP("41422SDK Muni","YIELD_ON_ISSUE_DATE")</f>
        <v>#N/A Requesting Data...</v>
      </c>
      <c r="N852" t="str">
        <f>_xll.BDP("41422SDK Muni","YTW_SPREAD_TO_MATURITY_AT_ISSU")</f>
        <v>#N/A Requesting Data...</v>
      </c>
      <c r="O852" t="str">
        <f>_xll.BDP("41422SDK Muni","BVAL_MID_YTM")</f>
        <v>#N/A Requesting Data...</v>
      </c>
      <c r="P852" t="str">
        <f>_xll.BDP("41422SDK Muni","MUNI_TAX_PROV")</f>
        <v>#N/A Requesting Data...</v>
      </c>
      <c r="Q852" t="str">
        <f>_xll.BDP("41422SDK Muni","MUNI_FED_TAX")</f>
        <v>#N/A Requesting Data...</v>
      </c>
      <c r="R852" t="str">
        <f>_xll.BDP("41422SDK Muni","MUNI_MSRB_VOLUME")</f>
        <v>#N/A Requesting Data...</v>
      </c>
      <c r="S852" t="str">
        <f>_xll.BDP("41422SDK Muni","BB_COMPOSITE")</f>
        <v>#N/A Requesting Data...</v>
      </c>
      <c r="T852" t="str">
        <f>_xll.BDP("41422SDK Muni","LQA_LIQUIDITY_SCORE")</f>
        <v>#N/A Requesting Data...</v>
      </c>
    </row>
    <row r="853" spans="1:20" x14ac:dyDescent="0.25">
      <c r="A853" t="str">
        <f>_xll.BDP("41422SDL Muni","ID_CUSIP")</f>
        <v>#N/A Requesting Data...</v>
      </c>
      <c r="B853" t="s">
        <v>320</v>
      </c>
      <c r="C853" t="str">
        <f>_xll.BDP("41422SDL Muni","INSURANCE_STATUS")</f>
        <v>#N/A Requesting Data...</v>
      </c>
      <c r="D853" t="str">
        <f>_xll.BDP("41422SDL Muni","STATE_CODE")</f>
        <v>#N/A Requesting Data...</v>
      </c>
      <c r="E853" t="str">
        <f>_xll.BDP("41422SDL Muni","COUNTY_LOCATION_ISSUER")</f>
        <v>#N/A Requesting Data...</v>
      </c>
      <c r="F853" t="str">
        <f>_xll.BDP("41422SDL Muni","DUR_ADJ_MID")</f>
        <v>#N/A Requesting Data...</v>
      </c>
      <c r="G853" t="str">
        <f>_xll.BDP("41422SDL Muni","SPREAD_AT_ISSUANCE_TO_WORST")</f>
        <v>#N/A Requesting Data...</v>
      </c>
      <c r="H853" t="str">
        <f>_xll.BDP("41422SDL Muni","ISSUE_DT")</f>
        <v>#N/A Requesting Data...</v>
      </c>
      <c r="I853" t="str">
        <f>_xll.BDS("41422SDL Muni","MUNI_PURPOSE_SCHED", "aggregate=y")</f>
        <v>#N/A Review</v>
      </c>
      <c r="J853" t="str">
        <f>_xll.BDP("41422SDL Muni","CPN")</f>
        <v>#N/A Requesting Data...</v>
      </c>
      <c r="K853" t="str">
        <f>_xll.BDP("41422SDL Muni","MATURITY")</f>
        <v>#N/A Requesting Data...</v>
      </c>
      <c r="L853">
        <v>145000</v>
      </c>
      <c r="M853" t="str">
        <f>_xll.BDP("41422SDL Muni","YIELD_ON_ISSUE_DATE")</f>
        <v>#N/A Requesting Data...</v>
      </c>
      <c r="N853" t="str">
        <f>_xll.BDP("41422SDL Muni","YTW_SPREAD_TO_MATURITY_AT_ISSU")</f>
        <v>#N/A Requesting Data...</v>
      </c>
      <c r="O853" t="str">
        <f>_xll.BDP("41422SDL Muni","BVAL_MID_YTM")</f>
        <v>#N/A Requesting Data...</v>
      </c>
      <c r="P853" t="str">
        <f>_xll.BDP("41422SDL Muni","MUNI_TAX_PROV")</f>
        <v>#N/A Requesting Data...</v>
      </c>
      <c r="Q853" t="str">
        <f>_xll.BDP("41422SDL Muni","MUNI_FED_TAX")</f>
        <v>#N/A Requesting Data...</v>
      </c>
      <c r="R853" t="str">
        <f>_xll.BDP("41422SDL Muni","MUNI_MSRB_VOLUME")</f>
        <v>#N/A Requesting Data...</v>
      </c>
      <c r="S853" t="str">
        <f>_xll.BDP("41422SDL Muni","BB_COMPOSITE")</f>
        <v>#N/A Requesting Data...</v>
      </c>
      <c r="T853" t="str">
        <f>_xll.BDP("41422SDL Muni","LQA_LIQUIDITY_SCORE")</f>
        <v>#N/A Requesting Data...</v>
      </c>
    </row>
    <row r="854" spans="1:20" x14ac:dyDescent="0.25">
      <c r="A854" t="str">
        <f>_xll.BDP("41422TBH Muni","ID_CUSIP")</f>
        <v>#N/A Requesting Data...</v>
      </c>
      <c r="B854" t="s">
        <v>321</v>
      </c>
      <c r="C854" t="str">
        <f>_xll.BDP("41422TBH Muni","INSURANCE_STATUS")</f>
        <v>#N/A Requesting Data...</v>
      </c>
      <c r="D854" t="str">
        <f>_xll.BDP("41422TBH Muni","STATE_CODE")</f>
        <v>#N/A Requesting Data...</v>
      </c>
      <c r="E854" t="str">
        <f>_xll.BDP("41422TBH Muni","COUNTY_LOCATION_ISSUER")</f>
        <v>#N/A Requesting Data...</v>
      </c>
      <c r="F854" t="str">
        <f>_xll.BDP("41422TBH Muni","DUR_ADJ_MID")</f>
        <v>#N/A Requesting Data...</v>
      </c>
      <c r="G854" t="str">
        <f>_xll.BDP("41422TBH Muni","SPREAD_AT_ISSUANCE_TO_WORST")</f>
        <v>#N/A Requesting Data...</v>
      </c>
      <c r="H854" t="str">
        <f>_xll.BDP("41422TBH Muni","ISSUE_DT")</f>
        <v>#N/A Requesting Data...</v>
      </c>
      <c r="I854" t="str">
        <f>_xll.BDS("41422TBH Muni","MUNI_PURPOSE_SCHED", "aggregate=y")</f>
        <v>#N/A Review</v>
      </c>
      <c r="J854" t="str">
        <f>_xll.BDP("41422TBH Muni","CPN")</f>
        <v>#N/A Requesting Data...</v>
      </c>
      <c r="K854" t="str">
        <f>_xll.BDP("41422TBH Muni","MATURITY")</f>
        <v>#N/A Requesting Data...</v>
      </c>
      <c r="L854">
        <v>85000</v>
      </c>
      <c r="M854" t="str">
        <f>_xll.BDP("41422TBH Muni","YIELD_ON_ISSUE_DATE")</f>
        <v>#N/A Requesting Data...</v>
      </c>
      <c r="N854" t="str">
        <f>_xll.BDP("41422TBH Muni","YTW_SPREAD_TO_MATURITY_AT_ISSU")</f>
        <v>#N/A Requesting Data...</v>
      </c>
      <c r="O854" t="str">
        <f>_xll.BDP("41422TBH Muni","BVAL_MID_YTM")</f>
        <v>#N/A Requesting Data...</v>
      </c>
      <c r="P854" t="str">
        <f>_xll.BDP("41422TBH Muni","MUNI_TAX_PROV")</f>
        <v>#N/A Requesting Data...</v>
      </c>
      <c r="Q854" t="str">
        <f>_xll.BDP("41422TBH Muni","MUNI_FED_TAX")</f>
        <v>#N/A Requesting Data...</v>
      </c>
      <c r="R854" t="str">
        <f>_xll.BDP("41422TBH Muni","MUNI_MSRB_VOLUME")</f>
        <v>#N/A Requesting Data...</v>
      </c>
      <c r="S854" t="str">
        <f>_xll.BDP("41422TBH Muni","BB_COMPOSITE")</f>
        <v>#N/A Requesting Data...</v>
      </c>
      <c r="T854" t="str">
        <f>_xll.BDP("41422TBH Muni","LQA_LIQUIDITY_SCORE")</f>
        <v>#N/A Requesting Data...</v>
      </c>
    </row>
    <row r="855" spans="1:20" x14ac:dyDescent="0.25">
      <c r="A855" t="str">
        <f>_xll.BDP("41422TBJ Muni","ID_CUSIP")</f>
        <v>#N/A Requesting Data...</v>
      </c>
      <c r="B855" t="s">
        <v>321</v>
      </c>
      <c r="C855" t="str">
        <f>_xll.BDP("41422TBJ Muni","INSURANCE_STATUS")</f>
        <v>#N/A Requesting Data...</v>
      </c>
      <c r="D855" t="str">
        <f>_xll.BDP("41422TBJ Muni","STATE_CODE")</f>
        <v>#N/A Requesting Data...</v>
      </c>
      <c r="E855" t="str">
        <f>_xll.BDP("41422TBJ Muni","COUNTY_LOCATION_ISSUER")</f>
        <v>#N/A Requesting Data...</v>
      </c>
      <c r="F855" t="str">
        <f>_xll.BDP("41422TBJ Muni","DUR_ADJ_MID")</f>
        <v>#N/A Requesting Data...</v>
      </c>
      <c r="G855" t="str">
        <f>_xll.BDP("41422TBJ Muni","SPREAD_AT_ISSUANCE_TO_WORST")</f>
        <v>#N/A Requesting Data...</v>
      </c>
      <c r="H855" t="str">
        <f>_xll.BDP("41422TBJ Muni","ISSUE_DT")</f>
        <v>#N/A Requesting Data...</v>
      </c>
      <c r="I855" t="str">
        <f>_xll.BDS("41422TBJ Muni","MUNI_PURPOSE_SCHED", "aggregate=y")</f>
        <v>#N/A Review</v>
      </c>
      <c r="J855" t="str">
        <f>_xll.BDP("41422TBJ Muni","CPN")</f>
        <v>#N/A Requesting Data...</v>
      </c>
      <c r="K855" t="str">
        <f>_xll.BDP("41422TBJ Muni","MATURITY")</f>
        <v>#N/A Requesting Data...</v>
      </c>
      <c r="L855">
        <v>80000</v>
      </c>
      <c r="M855" t="str">
        <f>_xll.BDP("41422TBJ Muni","YIELD_ON_ISSUE_DATE")</f>
        <v>#N/A Requesting Data...</v>
      </c>
      <c r="N855" t="str">
        <f>_xll.BDP("41422TBJ Muni","YTW_SPREAD_TO_MATURITY_AT_ISSU")</f>
        <v>#N/A Requesting Data...</v>
      </c>
      <c r="O855" t="str">
        <f>_xll.BDP("41422TBJ Muni","BVAL_MID_YTM")</f>
        <v>#N/A Requesting Data...</v>
      </c>
      <c r="P855" t="str">
        <f>_xll.BDP("41422TBJ Muni","MUNI_TAX_PROV")</f>
        <v>#N/A Requesting Data...</v>
      </c>
      <c r="Q855" t="str">
        <f>_xll.BDP("41422TBJ Muni","MUNI_FED_TAX")</f>
        <v>#N/A Requesting Data...</v>
      </c>
      <c r="R855" t="str">
        <f>_xll.BDP("41422TBJ Muni","MUNI_MSRB_VOLUME")</f>
        <v>#N/A Requesting Data...</v>
      </c>
      <c r="S855" t="str">
        <f>_xll.BDP("41422TBJ Muni","BB_COMPOSITE")</f>
        <v>#N/A Requesting Data...</v>
      </c>
      <c r="T855" t="str">
        <f>_xll.BDP("41422TBJ Muni","LQA_LIQUIDITY_SCORE")</f>
        <v>#N/A Requesting Data...</v>
      </c>
    </row>
    <row r="856" spans="1:20" x14ac:dyDescent="0.25">
      <c r="A856" t="str">
        <f>_xll.BDP("41422WBH Muni","ID_CUSIP")</f>
        <v>#N/A Requesting Data...</v>
      </c>
      <c r="B856" t="s">
        <v>315</v>
      </c>
      <c r="C856" t="str">
        <f>_xll.BDP("41422WBH Muni","INSURANCE_STATUS")</f>
        <v>#N/A Requesting Data...</v>
      </c>
      <c r="D856" t="str">
        <f>_xll.BDP("41422WBH Muni","STATE_CODE")</f>
        <v>#N/A Requesting Data...</v>
      </c>
      <c r="E856" t="str">
        <f>_xll.BDP("41422WBH Muni","COUNTY_LOCATION_ISSUER")</f>
        <v>#N/A Requesting Data...</v>
      </c>
      <c r="F856" t="str">
        <f>_xll.BDP("41422WBH Muni","DUR_ADJ_MID")</f>
        <v>#N/A Requesting Data...</v>
      </c>
      <c r="G856" t="str">
        <f>_xll.BDP("41422WBH Muni","SPREAD_AT_ISSUANCE_TO_WORST")</f>
        <v>#N/A Requesting Data...</v>
      </c>
      <c r="H856" t="str">
        <f>_xll.BDP("41422WBH Muni","ISSUE_DT")</f>
        <v>#N/A Requesting Data...</v>
      </c>
      <c r="I856" t="str">
        <f>_xll.BDS("41422WBH Muni","MUNI_PURPOSE_SCHED", "aggregate=y")</f>
        <v>#N/A Review</v>
      </c>
      <c r="J856" t="str">
        <f>_xll.BDP("41422WBH Muni","CPN")</f>
        <v>#N/A Requesting Data...</v>
      </c>
      <c r="K856" t="str">
        <f>_xll.BDP("41422WBH Muni","MATURITY")</f>
        <v>#N/A Requesting Data...</v>
      </c>
      <c r="L856">
        <v>160000</v>
      </c>
      <c r="M856" t="str">
        <f>_xll.BDP("41422WBH Muni","YIELD_ON_ISSUE_DATE")</f>
        <v>#N/A Requesting Data...</v>
      </c>
      <c r="N856" t="str">
        <f>_xll.BDP("41422WBH Muni","YTW_SPREAD_TO_MATURITY_AT_ISSU")</f>
        <v>#N/A Requesting Data...</v>
      </c>
      <c r="O856" t="str">
        <f>_xll.BDP("41422WBH Muni","BVAL_MID_YTM")</f>
        <v>#N/A Requesting Data...</v>
      </c>
      <c r="P856" t="str">
        <f>_xll.BDP("41422WBH Muni","MUNI_TAX_PROV")</f>
        <v>#N/A Requesting Data...</v>
      </c>
      <c r="Q856" t="str">
        <f>_xll.BDP("41422WBH Muni","MUNI_FED_TAX")</f>
        <v>#N/A Requesting Data...</v>
      </c>
      <c r="R856" t="str">
        <f>_xll.BDP("41422WBH Muni","MUNI_MSRB_VOLUME")</f>
        <v>#N/A Requesting Data...</v>
      </c>
      <c r="S856" t="str">
        <f>_xll.BDP("41422WBH Muni","BB_COMPOSITE")</f>
        <v>#N/A Requesting Data...</v>
      </c>
      <c r="T856" t="str">
        <f>_xll.BDP("41422WBH Muni","LQA_LIQUIDITY_SCORE")</f>
        <v>#N/A Requesting Data...</v>
      </c>
    </row>
    <row r="857" spans="1:20" x14ac:dyDescent="0.25">
      <c r="A857" t="str">
        <f>_xll.BDP("41422WBJ Muni","ID_CUSIP")</f>
        <v>#N/A Requesting Data...</v>
      </c>
      <c r="B857" t="s">
        <v>315</v>
      </c>
      <c r="C857" t="str">
        <f>_xll.BDP("41422WBJ Muni","INSURANCE_STATUS")</f>
        <v>#N/A Requesting Data...</v>
      </c>
      <c r="D857" t="str">
        <f>_xll.BDP("41422WBJ Muni","STATE_CODE")</f>
        <v>#N/A Requesting Data...</v>
      </c>
      <c r="E857" t="str">
        <f>_xll.BDP("41422WBJ Muni","COUNTY_LOCATION_ISSUER")</f>
        <v>#N/A Requesting Data...</v>
      </c>
      <c r="F857" t="str">
        <f>_xll.BDP("41422WBJ Muni","DUR_ADJ_MID")</f>
        <v>#N/A Requesting Data...</v>
      </c>
      <c r="G857" t="str">
        <f>_xll.BDP("41422WBJ Muni","SPREAD_AT_ISSUANCE_TO_WORST")</f>
        <v>#N/A Requesting Data...</v>
      </c>
      <c r="H857" t="str">
        <f>_xll.BDP("41422WBJ Muni","ISSUE_DT")</f>
        <v>#N/A Requesting Data...</v>
      </c>
      <c r="I857" t="str">
        <f>_xll.BDS("41422WBJ Muni","MUNI_PURPOSE_SCHED", "aggregate=y")</f>
        <v>#N/A Review</v>
      </c>
      <c r="J857" t="str">
        <f>_xll.BDP("41422WBJ Muni","CPN")</f>
        <v>#N/A Requesting Data...</v>
      </c>
      <c r="K857" t="str">
        <f>_xll.BDP("41422WBJ Muni","MATURITY")</f>
        <v>#N/A Requesting Data...</v>
      </c>
      <c r="L857">
        <v>160000</v>
      </c>
      <c r="M857" t="str">
        <f>_xll.BDP("41422WBJ Muni","YIELD_ON_ISSUE_DATE")</f>
        <v>#N/A Requesting Data...</v>
      </c>
      <c r="N857" t="str">
        <f>_xll.BDP("41422WBJ Muni","YTW_SPREAD_TO_MATURITY_AT_ISSU")</f>
        <v>#N/A Requesting Data...</v>
      </c>
      <c r="O857" t="str">
        <f>_xll.BDP("41422WBJ Muni","BVAL_MID_YTM")</f>
        <v>#N/A Requesting Data...</v>
      </c>
      <c r="P857" t="str">
        <f>_xll.BDP("41422WBJ Muni","MUNI_TAX_PROV")</f>
        <v>#N/A Requesting Data...</v>
      </c>
      <c r="Q857" t="str">
        <f>_xll.BDP("41422WBJ Muni","MUNI_FED_TAX")</f>
        <v>#N/A Requesting Data...</v>
      </c>
      <c r="R857" t="str">
        <f>_xll.BDP("41422WBJ Muni","MUNI_MSRB_VOLUME")</f>
        <v>#N/A Requesting Data...</v>
      </c>
      <c r="S857" t="str">
        <f>_xll.BDP("41422WBJ Muni","BB_COMPOSITE")</f>
        <v>#N/A Requesting Data...</v>
      </c>
      <c r="T857" t="str">
        <f>_xll.BDP("41422WBJ Muni","LQA_LIQUIDITY_SCORE")</f>
        <v>#N/A Requesting Data...</v>
      </c>
    </row>
    <row r="858" spans="1:20" x14ac:dyDescent="0.25">
      <c r="A858" t="str">
        <f>_xll.BDP("41423EBF Muni","ID_CUSIP")</f>
        <v>#N/A Requesting Data...</v>
      </c>
      <c r="B858" t="s">
        <v>322</v>
      </c>
      <c r="C858" t="str">
        <f>_xll.BDP("41423EBF Muni","INSURANCE_STATUS")</f>
        <v>#N/A Requesting Data...</v>
      </c>
      <c r="D858" t="str">
        <f>_xll.BDP("41423EBF Muni","STATE_CODE")</f>
        <v>#N/A Requesting Data...</v>
      </c>
      <c r="E858" t="str">
        <f>_xll.BDP("41423EBF Muni","COUNTY_LOCATION_ISSUER")</f>
        <v>#N/A Requesting Data...</v>
      </c>
      <c r="F858" t="str">
        <f>_xll.BDP("41423EBF Muni","DUR_ADJ_MID")</f>
        <v>#N/A Requesting Data...</v>
      </c>
      <c r="G858" t="str">
        <f>_xll.BDP("41423EBF Muni","SPREAD_AT_ISSUANCE_TO_WORST")</f>
        <v>#N/A Requesting Data...</v>
      </c>
      <c r="H858" t="str">
        <f>_xll.BDP("41423EBF Muni","ISSUE_DT")</f>
        <v>#N/A Requesting Data...</v>
      </c>
      <c r="I858" t="str">
        <f>_xll.BDS("41423EBF Muni","MUNI_PURPOSE_SCHED", "aggregate=y")</f>
        <v>#N/A Review</v>
      </c>
      <c r="J858" t="str">
        <f>_xll.BDP("41423EBF Muni","CPN")</f>
        <v>#N/A Requesting Data...</v>
      </c>
      <c r="K858" t="str">
        <f>_xll.BDP("41423EBF Muni","MATURITY")</f>
        <v>#N/A Requesting Data...</v>
      </c>
      <c r="L858">
        <v>320000</v>
      </c>
      <c r="M858" t="str">
        <f>_xll.BDP("41423EBF Muni","YIELD_ON_ISSUE_DATE")</f>
        <v>#N/A Requesting Data...</v>
      </c>
      <c r="N858" t="str">
        <f>_xll.BDP("41423EBF Muni","YTW_SPREAD_TO_MATURITY_AT_ISSU")</f>
        <v>#N/A Requesting Data...</v>
      </c>
      <c r="O858" t="str">
        <f>_xll.BDP("41423EBF Muni","BVAL_MID_YTM")</f>
        <v>#N/A Requesting Data...</v>
      </c>
      <c r="P858" t="str">
        <f>_xll.BDP("41423EBF Muni","MUNI_TAX_PROV")</f>
        <v>#N/A Requesting Data...</v>
      </c>
      <c r="Q858" t="str">
        <f>_xll.BDP("41423EBF Muni","MUNI_FED_TAX")</f>
        <v>#N/A Requesting Data...</v>
      </c>
      <c r="R858" t="str">
        <f>_xll.BDP("41423EBF Muni","MUNI_MSRB_VOLUME")</f>
        <v>#N/A Requesting Data...</v>
      </c>
      <c r="S858" t="str">
        <f>_xll.BDP("41423EBF Muni","BB_COMPOSITE")</f>
        <v>#N/A Requesting Data...</v>
      </c>
      <c r="T858" t="str">
        <f>_xll.BDP("41423EBF Muni","LQA_LIQUIDITY_SCORE")</f>
        <v>#N/A Requesting Data...</v>
      </c>
    </row>
    <row r="859" spans="1:20" x14ac:dyDescent="0.25">
      <c r="A859" t="str">
        <f>_xll.BDP("41424AAF Muni","ID_CUSIP")</f>
        <v>#N/A Requesting Data...</v>
      </c>
      <c r="B859" t="s">
        <v>323</v>
      </c>
      <c r="C859" t="str">
        <f>_xll.BDP("41424AAF Muni","INSURANCE_STATUS")</f>
        <v>#N/A Requesting Data...</v>
      </c>
      <c r="D859" t="str">
        <f>_xll.BDP("41424AAF Muni","STATE_CODE")</f>
        <v>#N/A Requesting Data...</v>
      </c>
      <c r="E859" t="str">
        <f>_xll.BDP("41424AAF Muni","COUNTY_LOCATION_ISSUER")</f>
        <v>#N/A Requesting Data...</v>
      </c>
      <c r="F859" t="str">
        <f>_xll.BDP("41424AAF Muni","DUR_ADJ_MID")</f>
        <v>#N/A Requesting Data...</v>
      </c>
      <c r="G859" t="str">
        <f>_xll.BDP("41424AAF Muni","SPREAD_AT_ISSUANCE_TO_WORST")</f>
        <v>#N/A Requesting Data...</v>
      </c>
      <c r="H859" t="str">
        <f>_xll.BDP("41424AAF Muni","ISSUE_DT")</f>
        <v>#N/A Requesting Data...</v>
      </c>
      <c r="I859" t="str">
        <f>_xll.BDS("41424AAF Muni","MUNI_PURPOSE_SCHED", "aggregate=y")</f>
        <v>#N/A Review</v>
      </c>
      <c r="J859" t="str">
        <f>_xll.BDP("41424AAF Muni","CPN")</f>
        <v>#N/A Requesting Data...</v>
      </c>
      <c r="K859" t="str">
        <f>_xll.BDP("41424AAF Muni","MATURITY")</f>
        <v>#N/A Requesting Data...</v>
      </c>
      <c r="L859">
        <v>60000</v>
      </c>
      <c r="M859" t="str">
        <f>_xll.BDP("41424AAF Muni","YIELD_ON_ISSUE_DATE")</f>
        <v>#N/A Requesting Data...</v>
      </c>
      <c r="N859" t="str">
        <f>_xll.BDP("41424AAF Muni","YTW_SPREAD_TO_MATURITY_AT_ISSU")</f>
        <v>#N/A Requesting Data...</v>
      </c>
      <c r="O859" t="str">
        <f>_xll.BDP("41424AAF Muni","BVAL_MID_YTM")</f>
        <v>#N/A Requesting Data...</v>
      </c>
      <c r="P859" t="str">
        <f>_xll.BDP("41424AAF Muni","MUNI_TAX_PROV")</f>
        <v>#N/A Requesting Data...</v>
      </c>
      <c r="Q859" t="str">
        <f>_xll.BDP("41424AAF Muni","MUNI_FED_TAX")</f>
        <v>#N/A Requesting Data...</v>
      </c>
      <c r="R859" t="str">
        <f>_xll.BDP("41424AAF Muni","MUNI_MSRB_VOLUME")</f>
        <v>#N/A Requesting Data...</v>
      </c>
      <c r="S859" t="str">
        <f>_xll.BDP("41424AAF Muni","BB_COMPOSITE")</f>
        <v>#N/A Requesting Data...</v>
      </c>
      <c r="T859" t="str">
        <f>_xll.BDP("41424AAF Muni","LQA_LIQUIDITY_SCORE")</f>
        <v>#N/A Requesting Data...</v>
      </c>
    </row>
    <row r="860" spans="1:20" x14ac:dyDescent="0.25">
      <c r="A860" t="str">
        <f>_xll.BDP("41426YAF Muni","ID_CUSIP")</f>
        <v>#N/A Requesting Data...</v>
      </c>
      <c r="B860" t="s">
        <v>324</v>
      </c>
      <c r="C860" t="str">
        <f>_xll.BDP("41426YAF Muni","INSURANCE_STATUS")</f>
        <v>#N/A Requesting Data...</v>
      </c>
      <c r="D860" t="str">
        <f>_xll.BDP("41426YAF Muni","STATE_CODE")</f>
        <v>#N/A Requesting Data...</v>
      </c>
      <c r="E860" t="str">
        <f>_xll.BDP("41426YAF Muni","COUNTY_LOCATION_ISSUER")</f>
        <v>#N/A Requesting Data...</v>
      </c>
      <c r="F860" t="str">
        <f>_xll.BDP("41426YAF Muni","DUR_ADJ_MID")</f>
        <v>#N/A Requesting Data...</v>
      </c>
      <c r="G860" t="str">
        <f>_xll.BDP("41426YAF Muni","SPREAD_AT_ISSUANCE_TO_WORST")</f>
        <v>#N/A Requesting Data...</v>
      </c>
      <c r="H860" t="str">
        <f>_xll.BDP("41426YAF Muni","ISSUE_DT")</f>
        <v>#N/A Requesting Data...</v>
      </c>
      <c r="I860" t="str">
        <f>_xll.BDS("41426YAF Muni","MUNI_PURPOSE_SCHED", "aggregate=y")</f>
        <v>#N/A Review</v>
      </c>
      <c r="J860" t="str">
        <f>_xll.BDP("41426YAF Muni","CPN")</f>
        <v>#N/A Requesting Data...</v>
      </c>
      <c r="K860" t="str">
        <f>_xll.BDP("41426YAF Muni","MATURITY")</f>
        <v>#N/A Requesting Data...</v>
      </c>
      <c r="L860">
        <v>225000</v>
      </c>
      <c r="M860" t="str">
        <f>_xll.BDP("41426YAF Muni","YIELD_ON_ISSUE_DATE")</f>
        <v>#N/A Requesting Data...</v>
      </c>
      <c r="N860" t="str">
        <f>_xll.BDP("41426YAF Muni","YTW_SPREAD_TO_MATURITY_AT_ISSU")</f>
        <v>#N/A Requesting Data...</v>
      </c>
      <c r="O860" t="str">
        <f>_xll.BDP("41426YAF Muni","BVAL_MID_YTM")</f>
        <v>#N/A Requesting Data...</v>
      </c>
      <c r="P860" t="str">
        <f>_xll.BDP("41426YAF Muni","MUNI_TAX_PROV")</f>
        <v>#N/A Requesting Data...</v>
      </c>
      <c r="Q860" t="str">
        <f>_xll.BDP("41426YAF Muni","MUNI_FED_TAX")</f>
        <v>#N/A Requesting Data...</v>
      </c>
      <c r="R860" t="str">
        <f>_xll.BDP("41426YAF Muni","MUNI_MSRB_VOLUME")</f>
        <v>#N/A Requesting Data...</v>
      </c>
      <c r="S860" t="str">
        <f>_xll.BDP("41426YAF Muni","BB_COMPOSITE")</f>
        <v>#N/A Requesting Data...</v>
      </c>
      <c r="T860" t="str">
        <f>_xll.BDP("41426YAF Muni","LQA_LIQUIDITY_SCORE")</f>
        <v>#N/A Requesting Data...</v>
      </c>
    </row>
    <row r="861" spans="1:20" x14ac:dyDescent="0.25">
      <c r="A861" t="str">
        <f>_xll.BDP("420560HX Muni","ID_CUSIP")</f>
        <v>#N/A Requesting Data...</v>
      </c>
      <c r="B861" t="s">
        <v>325</v>
      </c>
      <c r="C861" t="str">
        <f>_xll.BDP("420560HX Muni","INSURANCE_STATUS")</f>
        <v>#N/A Requesting Data...</v>
      </c>
      <c r="D861" t="str">
        <f>_xll.BDP("420560HX Muni","STATE_CODE")</f>
        <v>#N/A Requesting Data...</v>
      </c>
      <c r="E861" t="str">
        <f>_xll.BDP("420560HX Muni","COUNTY_LOCATION_ISSUER")</f>
        <v>#N/A Requesting Data...</v>
      </c>
      <c r="F861" t="str">
        <f>_xll.BDP("420560HX Muni","DUR_ADJ_MID")</f>
        <v>#N/A Requesting Data...</v>
      </c>
      <c r="G861" t="str">
        <f>_xll.BDP("420560HX Muni","SPREAD_AT_ISSUANCE_TO_WORST")</f>
        <v>#N/A Requesting Data...</v>
      </c>
      <c r="H861" t="str">
        <f>_xll.BDP("420560HX Muni","ISSUE_DT")</f>
        <v>#N/A Requesting Data...</v>
      </c>
      <c r="I861" t="str">
        <f>_xll.BDS("420560HX Muni","MUNI_PURPOSE_SCHED", "aggregate=y")</f>
        <v>#N/A Review</v>
      </c>
      <c r="J861" t="str">
        <f>_xll.BDP("420560HX Muni","CPN")</f>
        <v>#N/A Requesting Data...</v>
      </c>
      <c r="K861" t="str">
        <f>_xll.BDP("420560HX Muni","MATURITY")</f>
        <v>#N/A Requesting Data...</v>
      </c>
      <c r="L861">
        <v>695000</v>
      </c>
      <c r="M861" t="str">
        <f>_xll.BDP("420560HX Muni","YIELD_ON_ISSUE_DATE")</f>
        <v>#N/A Requesting Data...</v>
      </c>
      <c r="N861" t="str">
        <f>_xll.BDP("420560HX Muni","YTW_SPREAD_TO_MATURITY_AT_ISSU")</f>
        <v>#N/A Requesting Data...</v>
      </c>
      <c r="O861" t="str">
        <f>_xll.BDP("420560HX Muni","BVAL_MID_YTM")</f>
        <v>#N/A Requesting Data...</v>
      </c>
      <c r="P861" t="str">
        <f>_xll.BDP("420560HX Muni","MUNI_TAX_PROV")</f>
        <v>#N/A Requesting Data...</v>
      </c>
      <c r="Q861" t="str">
        <f>_xll.BDP("420560HX Muni","MUNI_FED_TAX")</f>
        <v>#N/A Requesting Data...</v>
      </c>
      <c r="R861" t="str">
        <f>_xll.BDP("420560HX Muni","MUNI_MSRB_VOLUME")</f>
        <v>#N/A Requesting Data...</v>
      </c>
      <c r="S861" t="str">
        <f>_xll.BDP("420560HX Muni","BB_COMPOSITE")</f>
        <v>#N/A Requesting Data...</v>
      </c>
      <c r="T861" t="str">
        <f>_xll.BDP("420560HX Muni","LQA_LIQUIDITY_SCORE")</f>
        <v>#N/A Requesting Data...</v>
      </c>
    </row>
    <row r="862" spans="1:20" x14ac:dyDescent="0.25">
      <c r="A862" t="str">
        <f>_xll.BDP("420560HZ Muni","ID_CUSIP")</f>
        <v>#N/A Requesting Data...</v>
      </c>
      <c r="B862" t="s">
        <v>325</v>
      </c>
      <c r="C862" t="str">
        <f>_xll.BDP("420560HZ Muni","INSURANCE_STATUS")</f>
        <v>#N/A Requesting Data...</v>
      </c>
      <c r="D862" t="str">
        <f>_xll.BDP("420560HZ Muni","STATE_CODE")</f>
        <v>#N/A Requesting Data...</v>
      </c>
      <c r="E862" t="str">
        <f>_xll.BDP("420560HZ Muni","COUNTY_LOCATION_ISSUER")</f>
        <v>#N/A Requesting Data...</v>
      </c>
      <c r="F862" t="str">
        <f>_xll.BDP("420560HZ Muni","DUR_ADJ_MID")</f>
        <v>#N/A Requesting Data...</v>
      </c>
      <c r="G862" t="str">
        <f>_xll.BDP("420560HZ Muni","SPREAD_AT_ISSUANCE_TO_WORST")</f>
        <v>#N/A Requesting Data...</v>
      </c>
      <c r="H862" t="str">
        <f>_xll.BDP("420560HZ Muni","ISSUE_DT")</f>
        <v>#N/A Requesting Data...</v>
      </c>
      <c r="I862" t="str">
        <f>_xll.BDS("420560HZ Muni","MUNI_PURPOSE_SCHED", "aggregate=y")</f>
        <v>#N/A Review</v>
      </c>
      <c r="J862" t="str">
        <f>_xll.BDP("420560HZ Muni","CPN")</f>
        <v>#N/A Requesting Data...</v>
      </c>
      <c r="K862" t="str">
        <f>_xll.BDP("420560HZ Muni","MATURITY")</f>
        <v>#N/A Requesting Data...</v>
      </c>
      <c r="L862">
        <v>475000</v>
      </c>
      <c r="M862" t="str">
        <f>_xll.BDP("420560HZ Muni","YIELD_ON_ISSUE_DATE")</f>
        <v>#N/A Requesting Data...</v>
      </c>
      <c r="N862" t="str">
        <f>_xll.BDP("420560HZ Muni","YTW_SPREAD_TO_MATURITY_AT_ISSU")</f>
        <v>#N/A Requesting Data...</v>
      </c>
      <c r="O862" t="str">
        <f>_xll.BDP("420560HZ Muni","BVAL_MID_YTM")</f>
        <v>#N/A Requesting Data...</v>
      </c>
      <c r="P862" t="str">
        <f>_xll.BDP("420560HZ Muni","MUNI_TAX_PROV")</f>
        <v>#N/A Requesting Data...</v>
      </c>
      <c r="Q862" t="str">
        <f>_xll.BDP("420560HZ Muni","MUNI_FED_TAX")</f>
        <v>#N/A Requesting Data...</v>
      </c>
      <c r="R862" t="str">
        <f>_xll.BDP("420560HZ Muni","MUNI_MSRB_VOLUME")</f>
        <v>#N/A Requesting Data...</v>
      </c>
      <c r="S862" t="str">
        <f>_xll.BDP("420560HZ Muni","BB_COMPOSITE")</f>
        <v>#N/A Requesting Data...</v>
      </c>
      <c r="T862" t="str">
        <f>_xll.BDP("420560HZ Muni","LQA_LIQUIDITY_SCORE")</f>
        <v>#N/A Requesting Data...</v>
      </c>
    </row>
    <row r="863" spans="1:20" x14ac:dyDescent="0.25">
      <c r="A863" t="str">
        <f>_xll.BDP("234279BC Muni","ID_CUSIP")</f>
        <v>#N/A Requesting Data...</v>
      </c>
      <c r="B863" t="s">
        <v>149</v>
      </c>
      <c r="C863" t="str">
        <f>_xll.BDP("234279BC Muni","INSURANCE_STATUS")</f>
        <v>#N/A Requesting Data...</v>
      </c>
      <c r="D863" t="str">
        <f>_xll.BDP("234279BC Muni","STATE_CODE")</f>
        <v>#N/A Requesting Data...</v>
      </c>
      <c r="E863" t="str">
        <f>_xll.BDP("234279BC Muni","COUNTY_LOCATION_ISSUER")</f>
        <v>#N/A Requesting Data...</v>
      </c>
      <c r="F863" t="str">
        <f>_xll.BDP("234279BC Muni","DUR_ADJ_MID")</f>
        <v>#N/A Requesting Data...</v>
      </c>
      <c r="G863" t="str">
        <f>_xll.BDP("234279BC Muni","SPREAD_AT_ISSUANCE_TO_WORST")</f>
        <v>#N/A Requesting Data...</v>
      </c>
      <c r="H863" t="str">
        <f>_xll.BDP("234279BC Muni","ISSUE_DT")</f>
        <v>#N/A Requesting Data...</v>
      </c>
      <c r="I863" t="str">
        <f>_xll.BDS("234279BC Muni","MUNI_PURPOSE_SCHED", "aggregate=y")</f>
        <v>#N/A Review</v>
      </c>
      <c r="J863" t="str">
        <f>_xll.BDP("234279BC Muni","CPN")</f>
        <v>#N/A Requesting Data...</v>
      </c>
      <c r="K863" t="str">
        <f>_xll.BDP("234279BC Muni","MATURITY")</f>
        <v>#N/A Requesting Data...</v>
      </c>
      <c r="L863">
        <v>235000</v>
      </c>
      <c r="M863" t="str">
        <f>_xll.BDP("234279BC Muni","YIELD_ON_ISSUE_DATE")</f>
        <v>#N/A Requesting Data...</v>
      </c>
      <c r="N863" t="str">
        <f>_xll.BDP("234279BC Muni","YTW_SPREAD_TO_MATURITY_AT_ISSU")</f>
        <v>#N/A Requesting Data...</v>
      </c>
      <c r="O863" t="str">
        <f>_xll.BDP("234279BC Muni","BVAL_MID_YTM")</f>
        <v>#N/A Requesting Data...</v>
      </c>
      <c r="P863" t="str">
        <f>_xll.BDP("234279BC Muni","MUNI_TAX_PROV")</f>
        <v>#N/A Requesting Data...</v>
      </c>
      <c r="Q863" t="str">
        <f>_xll.BDP("234279BC Muni","MUNI_FED_TAX")</f>
        <v>#N/A Requesting Data...</v>
      </c>
      <c r="R863" t="str">
        <f>_xll.BDP("234279BC Muni","MUNI_MSRB_VOLUME")</f>
        <v>#N/A Requesting Data...</v>
      </c>
      <c r="S863" t="str">
        <f>_xll.BDP("234279BC Muni","BB_COMPOSITE")</f>
        <v>#N/A Requesting Data...</v>
      </c>
      <c r="T863" t="str">
        <f>_xll.BDP("234279BC Muni","LQA_LIQUIDITY_SCORE")</f>
        <v>#N/A Requesting Data...</v>
      </c>
    </row>
    <row r="864" spans="1:20" x14ac:dyDescent="0.25">
      <c r="A864" t="str">
        <f>_xll.BDP("420560HW Muni","ID_CUSIP")</f>
        <v>#N/A Requesting Data...</v>
      </c>
      <c r="B864" t="s">
        <v>325</v>
      </c>
      <c r="C864" t="str">
        <f>_xll.BDP("420560HW Muni","INSURANCE_STATUS")</f>
        <v>#N/A Requesting Data...</v>
      </c>
      <c r="D864" t="str">
        <f>_xll.BDP("420560HW Muni","STATE_CODE")</f>
        <v>#N/A Requesting Data...</v>
      </c>
      <c r="E864" t="str">
        <f>_xll.BDP("420560HW Muni","COUNTY_LOCATION_ISSUER")</f>
        <v>#N/A Requesting Data...</v>
      </c>
      <c r="F864" t="str">
        <f>_xll.BDP("420560HW Muni","DUR_ADJ_MID")</f>
        <v>#N/A Requesting Data...</v>
      </c>
      <c r="G864" t="str">
        <f>_xll.BDP("420560HW Muni","SPREAD_AT_ISSUANCE_TO_WORST")</f>
        <v>#N/A Requesting Data...</v>
      </c>
      <c r="H864" t="str">
        <f>_xll.BDP("420560HW Muni","ISSUE_DT")</f>
        <v>#N/A Requesting Data...</v>
      </c>
      <c r="I864" t="str">
        <f>_xll.BDS("420560HW Muni","MUNI_PURPOSE_SCHED", "aggregate=y")</f>
        <v>#N/A Review</v>
      </c>
      <c r="J864" t="str">
        <f>_xll.BDP("420560HW Muni","CPN")</f>
        <v>#N/A Requesting Data...</v>
      </c>
      <c r="K864" t="str">
        <f>_xll.BDP("420560HW Muni","MATURITY")</f>
        <v>#N/A Requesting Data...</v>
      </c>
      <c r="L864">
        <v>700000</v>
      </c>
      <c r="M864" t="str">
        <f>_xll.BDP("420560HW Muni","YIELD_ON_ISSUE_DATE")</f>
        <v>#N/A Requesting Data...</v>
      </c>
      <c r="N864" t="str">
        <f>_xll.BDP("420560HW Muni","YTW_SPREAD_TO_MATURITY_AT_ISSU")</f>
        <v>#N/A Requesting Data...</v>
      </c>
      <c r="O864" t="str">
        <f>_xll.BDP("420560HW Muni","BVAL_MID_YTM")</f>
        <v>#N/A Requesting Data...</v>
      </c>
      <c r="P864" t="str">
        <f>_xll.BDP("420560HW Muni","MUNI_TAX_PROV")</f>
        <v>#N/A Requesting Data...</v>
      </c>
      <c r="Q864" t="str">
        <f>_xll.BDP("420560HW Muni","MUNI_FED_TAX")</f>
        <v>#N/A Requesting Data...</v>
      </c>
      <c r="R864" t="str">
        <f>_xll.BDP("420560HW Muni","MUNI_MSRB_VOLUME")</f>
        <v>#N/A Requesting Data...</v>
      </c>
      <c r="S864" t="str">
        <f>_xll.BDP("420560HW Muni","BB_COMPOSITE")</f>
        <v>#N/A Requesting Data...</v>
      </c>
      <c r="T864" t="str">
        <f>_xll.BDP("420560HW Muni","LQA_LIQUIDITY_SCORE")</f>
        <v>#N/A Requesting Data...</v>
      </c>
    </row>
    <row r="865" spans="1:20" x14ac:dyDescent="0.25">
      <c r="A865" t="str">
        <f>_xll.BDP("420560HY Muni","ID_CUSIP")</f>
        <v>#N/A Requesting Data...</v>
      </c>
      <c r="B865" t="s">
        <v>325</v>
      </c>
      <c r="C865" t="str">
        <f>_xll.BDP("420560HY Muni","INSURANCE_STATUS")</f>
        <v>#N/A Requesting Data...</v>
      </c>
      <c r="D865" t="str">
        <f>_xll.BDP("420560HY Muni","STATE_CODE")</f>
        <v>#N/A Requesting Data...</v>
      </c>
      <c r="E865" t="str">
        <f>_xll.BDP("420560HY Muni","COUNTY_LOCATION_ISSUER")</f>
        <v>#N/A Requesting Data...</v>
      </c>
      <c r="F865" t="str">
        <f>_xll.BDP("420560HY Muni","DUR_ADJ_MID")</f>
        <v>#N/A Requesting Data...</v>
      </c>
      <c r="G865" t="str">
        <f>_xll.BDP("420560HY Muni","SPREAD_AT_ISSUANCE_TO_WORST")</f>
        <v>#N/A Requesting Data...</v>
      </c>
      <c r="H865" t="str">
        <f>_xll.BDP("420560HY Muni","ISSUE_DT")</f>
        <v>#N/A Requesting Data...</v>
      </c>
      <c r="I865" t="str">
        <f>_xll.BDS("420560HY Muni","MUNI_PURPOSE_SCHED", "aggregate=y")</f>
        <v>#N/A Review</v>
      </c>
      <c r="J865" t="str">
        <f>_xll.BDP("420560HY Muni","CPN")</f>
        <v>#N/A Requesting Data...</v>
      </c>
      <c r="K865" t="str">
        <f>_xll.BDP("420560HY Muni","MATURITY")</f>
        <v>#N/A Requesting Data...</v>
      </c>
      <c r="L865">
        <v>695000</v>
      </c>
      <c r="M865" t="str">
        <f>_xll.BDP("420560HY Muni","YIELD_ON_ISSUE_DATE")</f>
        <v>#N/A Requesting Data...</v>
      </c>
      <c r="N865" t="str">
        <f>_xll.BDP("420560HY Muni","YTW_SPREAD_TO_MATURITY_AT_ISSU")</f>
        <v>#N/A Requesting Data...</v>
      </c>
      <c r="O865" t="str">
        <f>_xll.BDP("420560HY Muni","BVAL_MID_YTM")</f>
        <v>#N/A Requesting Data...</v>
      </c>
      <c r="P865" t="str">
        <f>_xll.BDP("420560HY Muni","MUNI_TAX_PROV")</f>
        <v>#N/A Requesting Data...</v>
      </c>
      <c r="Q865" t="str">
        <f>_xll.BDP("420560HY Muni","MUNI_FED_TAX")</f>
        <v>#N/A Requesting Data...</v>
      </c>
      <c r="R865" t="str">
        <f>_xll.BDP("420560HY Muni","MUNI_MSRB_VOLUME")</f>
        <v>#N/A Requesting Data...</v>
      </c>
      <c r="S865" t="str">
        <f>_xll.BDP("420560HY Muni","BB_COMPOSITE")</f>
        <v>#N/A Requesting Data...</v>
      </c>
      <c r="T865" t="str">
        <f>_xll.BDP("420560HY Muni","LQA_LIQUIDITY_SCORE")</f>
        <v>#N/A Requesting Data...</v>
      </c>
    </row>
    <row r="866" spans="1:20" x14ac:dyDescent="0.25">
      <c r="A866" t="str">
        <f>_xll.BDP("420560JA Muni","ID_CUSIP")</f>
        <v>#N/A Requesting Data...</v>
      </c>
      <c r="B866" t="s">
        <v>325</v>
      </c>
      <c r="C866" t="str">
        <f>_xll.BDP("420560JA Muni","INSURANCE_STATUS")</f>
        <v>#N/A Requesting Data...</v>
      </c>
      <c r="D866" t="str">
        <f>_xll.BDP("420560JA Muni","STATE_CODE")</f>
        <v>#N/A Requesting Data...</v>
      </c>
      <c r="E866" t="str">
        <f>_xll.BDP("420560JA Muni","COUNTY_LOCATION_ISSUER")</f>
        <v>#N/A Requesting Data...</v>
      </c>
      <c r="F866" t="str">
        <f>_xll.BDP("420560JA Muni","DUR_ADJ_MID")</f>
        <v>#N/A Requesting Data...</v>
      </c>
      <c r="G866" t="str">
        <f>_xll.BDP("420560JA Muni","SPREAD_AT_ISSUANCE_TO_WORST")</f>
        <v>#N/A Requesting Data...</v>
      </c>
      <c r="H866" t="str">
        <f>_xll.BDP("420560JA Muni","ISSUE_DT")</f>
        <v>#N/A Requesting Data...</v>
      </c>
      <c r="I866" t="str">
        <f>_xll.BDS("420560JA Muni","MUNI_PURPOSE_SCHED", "aggregate=y")</f>
        <v>#N/A Review</v>
      </c>
      <c r="J866" t="str">
        <f>_xll.BDP("420560JA Muni","CPN")</f>
        <v>#N/A Requesting Data...</v>
      </c>
      <c r="K866" t="str">
        <f>_xll.BDP("420560JA Muni","MATURITY")</f>
        <v>#N/A Requesting Data...</v>
      </c>
      <c r="L866">
        <v>474000</v>
      </c>
      <c r="M866" t="str">
        <f>_xll.BDP("420560JA Muni","YIELD_ON_ISSUE_DATE")</f>
        <v>#N/A Requesting Data...</v>
      </c>
      <c r="N866" t="str">
        <f>_xll.BDP("420560JA Muni","YTW_SPREAD_TO_MATURITY_AT_ISSU")</f>
        <v>#N/A Requesting Data...</v>
      </c>
      <c r="O866" t="str">
        <f>_xll.BDP("420560JA Muni","BVAL_MID_YTM")</f>
        <v>#N/A Requesting Data...</v>
      </c>
      <c r="P866" t="str">
        <f>_xll.BDP("420560JA Muni","MUNI_TAX_PROV")</f>
        <v>#N/A Requesting Data...</v>
      </c>
      <c r="Q866" t="str">
        <f>_xll.BDP("420560JA Muni","MUNI_FED_TAX")</f>
        <v>#N/A Requesting Data...</v>
      </c>
      <c r="R866" t="str">
        <f>_xll.BDP("420560JA Muni","MUNI_MSRB_VOLUME")</f>
        <v>#N/A Requesting Data...</v>
      </c>
      <c r="S866" t="str">
        <f>_xll.BDP("420560JA Muni","BB_COMPOSITE")</f>
        <v>#N/A Requesting Data...</v>
      </c>
      <c r="T866" t="str">
        <f>_xll.BDP("420560JA Muni","LQA_LIQUIDITY_SCORE")</f>
        <v>#N/A Requesting Data...</v>
      </c>
    </row>
    <row r="867" spans="1:20" x14ac:dyDescent="0.25">
      <c r="A867" t="str">
        <f>_xll.BDP("421033CQ Muni","ID_CUSIP")</f>
        <v>#N/A Requesting Data...</v>
      </c>
      <c r="B867" t="s">
        <v>326</v>
      </c>
      <c r="C867" t="str">
        <f>_xll.BDP("421033CQ Muni","INSURANCE_STATUS")</f>
        <v>#N/A Requesting Data...</v>
      </c>
      <c r="D867" t="str">
        <f>_xll.BDP("421033CQ Muni","STATE_CODE")</f>
        <v>#N/A Requesting Data...</v>
      </c>
      <c r="E867" t="str">
        <f>_xll.BDP("421033CQ Muni","COUNTY_LOCATION_ISSUER")</f>
        <v>#N/A Requesting Data...</v>
      </c>
      <c r="F867" t="str">
        <f>_xll.BDP("421033CQ Muni","DUR_ADJ_MID")</f>
        <v>#N/A Requesting Data...</v>
      </c>
      <c r="G867" t="str">
        <f>_xll.BDP("421033CQ Muni","SPREAD_AT_ISSUANCE_TO_WORST")</f>
        <v>#N/A Requesting Data...</v>
      </c>
      <c r="H867" t="str">
        <f>_xll.BDP("421033CQ Muni","ISSUE_DT")</f>
        <v>#N/A Requesting Data...</v>
      </c>
      <c r="I867" t="str">
        <f>_xll.BDS("421033CQ Muni","MUNI_PURPOSE_SCHED", "aggregate=y")</f>
        <v>#N/A Review</v>
      </c>
      <c r="J867" t="str">
        <f>_xll.BDP("421033CQ Muni","CPN")</f>
        <v>#N/A Requesting Data...</v>
      </c>
      <c r="K867" t="str">
        <f>_xll.BDP("421033CQ Muni","MATURITY")</f>
        <v>#N/A Requesting Data...</v>
      </c>
      <c r="L867">
        <v>270000</v>
      </c>
      <c r="M867" t="str">
        <f>_xll.BDP("421033CQ Muni","YIELD_ON_ISSUE_DATE")</f>
        <v>#N/A Requesting Data...</v>
      </c>
      <c r="N867" t="str">
        <f>_xll.BDP("421033CQ Muni","YTW_SPREAD_TO_MATURITY_AT_ISSU")</f>
        <v>#N/A Requesting Data...</v>
      </c>
      <c r="O867" t="str">
        <f>_xll.BDP("421033CQ Muni","BVAL_MID_YTM")</f>
        <v>#N/A Requesting Data...</v>
      </c>
      <c r="P867" t="str">
        <f>_xll.BDP("421033CQ Muni","MUNI_TAX_PROV")</f>
        <v>#N/A Requesting Data...</v>
      </c>
      <c r="Q867" t="str">
        <f>_xll.BDP("421033CQ Muni","MUNI_FED_TAX")</f>
        <v>#N/A Requesting Data...</v>
      </c>
      <c r="R867" t="str">
        <f>_xll.BDP("421033CQ Muni","MUNI_MSRB_VOLUME")</f>
        <v>#N/A Requesting Data...</v>
      </c>
      <c r="S867" t="str">
        <f>_xll.BDP("421033CQ Muni","BB_COMPOSITE")</f>
        <v>#N/A Requesting Data...</v>
      </c>
      <c r="T867" t="str">
        <f>_xll.BDP("421033CQ Muni","LQA_LIQUIDITY_SCORE")</f>
        <v>#N/A Requesting Data...</v>
      </c>
    </row>
    <row r="868" spans="1:20" x14ac:dyDescent="0.25">
      <c r="A868" t="str">
        <f>_xll.BDP("421033CR Muni","ID_CUSIP")</f>
        <v>#N/A Requesting Data...</v>
      </c>
      <c r="B868" t="s">
        <v>326</v>
      </c>
      <c r="C868" t="str">
        <f>_xll.BDP("421033CR Muni","INSURANCE_STATUS")</f>
        <v>#N/A Requesting Data...</v>
      </c>
      <c r="D868" t="str">
        <f>_xll.BDP("421033CR Muni","STATE_CODE")</f>
        <v>#N/A Requesting Data...</v>
      </c>
      <c r="E868" t="str">
        <f>_xll.BDP("421033CR Muni","COUNTY_LOCATION_ISSUER")</f>
        <v>#N/A Requesting Data...</v>
      </c>
      <c r="F868" t="str">
        <f>_xll.BDP("421033CR Muni","DUR_ADJ_MID")</f>
        <v>#N/A Requesting Data...</v>
      </c>
      <c r="G868" t="str">
        <f>_xll.BDP("421033CR Muni","SPREAD_AT_ISSUANCE_TO_WORST")</f>
        <v>#N/A Requesting Data...</v>
      </c>
      <c r="H868" t="str">
        <f>_xll.BDP("421033CR Muni","ISSUE_DT")</f>
        <v>#N/A Requesting Data...</v>
      </c>
      <c r="I868" t="str">
        <f>_xll.BDS("421033CR Muni","MUNI_PURPOSE_SCHED", "aggregate=y")</f>
        <v>#N/A Review</v>
      </c>
      <c r="J868" t="str">
        <f>_xll.BDP("421033CR Muni","CPN")</f>
        <v>#N/A Requesting Data...</v>
      </c>
      <c r="K868" t="str">
        <f>_xll.BDP("421033CR Muni","MATURITY")</f>
        <v>#N/A Requesting Data...</v>
      </c>
      <c r="L868">
        <v>285000</v>
      </c>
      <c r="M868" t="str">
        <f>_xll.BDP("421033CR Muni","YIELD_ON_ISSUE_DATE")</f>
        <v>#N/A Requesting Data...</v>
      </c>
      <c r="N868" t="str">
        <f>_xll.BDP("421033CR Muni","YTW_SPREAD_TO_MATURITY_AT_ISSU")</f>
        <v>#N/A Requesting Data...</v>
      </c>
      <c r="O868" t="str">
        <f>_xll.BDP("421033CR Muni","BVAL_MID_YTM")</f>
        <v>#N/A Requesting Data...</v>
      </c>
      <c r="P868" t="str">
        <f>_xll.BDP("421033CR Muni","MUNI_TAX_PROV")</f>
        <v>#N/A Requesting Data...</v>
      </c>
      <c r="Q868" t="str">
        <f>_xll.BDP("421033CR Muni","MUNI_FED_TAX")</f>
        <v>#N/A Requesting Data...</v>
      </c>
      <c r="R868" t="str">
        <f>_xll.BDP("421033CR Muni","MUNI_MSRB_VOLUME")</f>
        <v>#N/A Requesting Data...</v>
      </c>
      <c r="S868" t="str">
        <f>_xll.BDP("421033CR Muni","BB_COMPOSITE")</f>
        <v>#N/A Requesting Data...</v>
      </c>
      <c r="T868" t="str">
        <f>_xll.BDP("421033CR Muni","LQA_LIQUIDITY_SCORE")</f>
        <v>#N/A Requesting Data...</v>
      </c>
    </row>
    <row r="869" spans="1:20" x14ac:dyDescent="0.25">
      <c r="A869" t="str">
        <f>_xll.BDP("194469EM Muni","ID_CUSIP")</f>
        <v>#N/A Requesting Data...</v>
      </c>
      <c r="B869" t="s">
        <v>317</v>
      </c>
      <c r="C869" t="str">
        <f>_xll.BDP("194469EM Muni","INSURANCE_STATUS")</f>
        <v>#N/A Requesting Data...</v>
      </c>
      <c r="D869" t="str">
        <f>_xll.BDP("194469EM Muni","STATE_CODE")</f>
        <v>#N/A Requesting Data...</v>
      </c>
      <c r="E869" t="str">
        <f>_xll.BDP("194469EM Muni","COUNTY_LOCATION_ISSUER")</f>
        <v>#N/A Requesting Data...</v>
      </c>
      <c r="F869" t="str">
        <f>_xll.BDP("194469EM Muni","DUR_ADJ_MID")</f>
        <v>#N/A Requesting Data...</v>
      </c>
      <c r="G869" t="str">
        <f>_xll.BDP("194469EM Muni","SPREAD_AT_ISSUANCE_TO_WORST")</f>
        <v>#N/A Requesting Data...</v>
      </c>
      <c r="H869" t="str">
        <f>_xll.BDP("194469EM Muni","ISSUE_DT")</f>
        <v>#N/A Requesting Data...</v>
      </c>
      <c r="I869" t="str">
        <f>_xll.BDS("194469EM Muni","MUNI_PURPOSE_SCHED", "aggregate=y")</f>
        <v>#N/A Review</v>
      </c>
      <c r="J869" t="str">
        <f>_xll.BDP("194469EM Muni","CPN")</f>
        <v>#N/A Requesting Data...</v>
      </c>
      <c r="K869" t="str">
        <f>_xll.BDP("194469EM Muni","MATURITY")</f>
        <v>#N/A Requesting Data...</v>
      </c>
      <c r="L869">
        <v>1315000</v>
      </c>
      <c r="M869" t="str">
        <f>_xll.BDP("194469EM Muni","YIELD_ON_ISSUE_DATE")</f>
        <v>#N/A Requesting Data...</v>
      </c>
      <c r="N869" t="str">
        <f>_xll.BDP("194469EM Muni","YTW_SPREAD_TO_MATURITY_AT_ISSU")</f>
        <v>#N/A Requesting Data...</v>
      </c>
      <c r="O869" t="str">
        <f>_xll.BDP("194469EM Muni","BVAL_MID_YTM")</f>
        <v>#N/A Requesting Data...</v>
      </c>
      <c r="P869" t="str">
        <f>_xll.BDP("194469EM Muni","MUNI_TAX_PROV")</f>
        <v>#N/A Requesting Data...</v>
      </c>
      <c r="Q869" t="str">
        <f>_xll.BDP("194469EM Muni","MUNI_FED_TAX")</f>
        <v>#N/A Requesting Data...</v>
      </c>
      <c r="R869" t="str">
        <f>_xll.BDP("194469EM Muni","MUNI_MSRB_VOLUME")</f>
        <v>#N/A Requesting Data...</v>
      </c>
      <c r="S869" t="str">
        <f>_xll.BDP("194469EM Muni","BB_COMPOSITE")</f>
        <v>#N/A Requesting Data...</v>
      </c>
      <c r="T869" t="str">
        <f>_xll.BDP("194469EM Muni","LQA_LIQUIDITY_SCORE")</f>
        <v>#N/A Requesting Data...</v>
      </c>
    </row>
    <row r="870" spans="1:20" x14ac:dyDescent="0.25">
      <c r="A870" t="str">
        <f>_xll.BDP("194469EP Muni","ID_CUSIP")</f>
        <v>#N/A Requesting Data...</v>
      </c>
      <c r="B870" t="s">
        <v>317</v>
      </c>
      <c r="C870" t="str">
        <f>_xll.BDP("194469EP Muni","INSURANCE_STATUS")</f>
        <v>#N/A Requesting Data...</v>
      </c>
      <c r="D870" t="str">
        <f>_xll.BDP("194469EP Muni","STATE_CODE")</f>
        <v>#N/A Requesting Data...</v>
      </c>
      <c r="E870" t="str">
        <f>_xll.BDP("194469EP Muni","COUNTY_LOCATION_ISSUER")</f>
        <v>#N/A Requesting Data...</v>
      </c>
      <c r="F870" t="str">
        <f>_xll.BDP("194469EP Muni","DUR_ADJ_MID")</f>
        <v>#N/A Requesting Data...</v>
      </c>
      <c r="G870" t="str">
        <f>_xll.BDP("194469EP Muni","SPREAD_AT_ISSUANCE_TO_WORST")</f>
        <v>#N/A Requesting Data...</v>
      </c>
      <c r="H870" t="str">
        <f>_xll.BDP("194469EP Muni","ISSUE_DT")</f>
        <v>#N/A Requesting Data...</v>
      </c>
      <c r="I870" t="str">
        <f>_xll.BDS("194469EP Muni","MUNI_PURPOSE_SCHED", "aggregate=y")</f>
        <v>#N/A Review</v>
      </c>
      <c r="J870" t="str">
        <f>_xll.BDP("194469EP Muni","CPN")</f>
        <v>#N/A Requesting Data...</v>
      </c>
      <c r="K870" t="str">
        <f>_xll.BDP("194469EP Muni","MATURITY")</f>
        <v>#N/A Requesting Data...</v>
      </c>
      <c r="L870">
        <v>1460000</v>
      </c>
      <c r="M870" t="str">
        <f>_xll.BDP("194469EP Muni","YIELD_ON_ISSUE_DATE")</f>
        <v>#N/A Requesting Data...</v>
      </c>
      <c r="N870" t="str">
        <f>_xll.BDP("194469EP Muni","YTW_SPREAD_TO_MATURITY_AT_ISSU")</f>
        <v>#N/A Requesting Data...</v>
      </c>
      <c r="O870" t="str">
        <f>_xll.BDP("194469EP Muni","BVAL_MID_YTM")</f>
        <v>#N/A Requesting Data...</v>
      </c>
      <c r="P870" t="str">
        <f>_xll.BDP("194469EP Muni","MUNI_TAX_PROV")</f>
        <v>#N/A Requesting Data...</v>
      </c>
      <c r="Q870" t="str">
        <f>_xll.BDP("194469EP Muni","MUNI_FED_TAX")</f>
        <v>#N/A Requesting Data...</v>
      </c>
      <c r="R870" t="str">
        <f>_xll.BDP("194469EP Muni","MUNI_MSRB_VOLUME")</f>
        <v>#N/A Requesting Data...</v>
      </c>
      <c r="S870" t="str">
        <f>_xll.BDP("194469EP Muni","BB_COMPOSITE")</f>
        <v>#N/A Requesting Data...</v>
      </c>
      <c r="T870" t="str">
        <f>_xll.BDP("194469EP Muni","LQA_LIQUIDITY_SCORE")</f>
        <v>#N/A Requesting Data...</v>
      </c>
    </row>
    <row r="871" spans="1:20" x14ac:dyDescent="0.25">
      <c r="A871" t="str">
        <f>_xll.BDP("270424BY Muni","ID_CUSIP")</f>
        <v>#N/A Requesting Data...</v>
      </c>
      <c r="B871" t="s">
        <v>43</v>
      </c>
      <c r="C871" t="str">
        <f>_xll.BDP("270424BY Muni","INSURANCE_STATUS")</f>
        <v>#N/A Requesting Data...</v>
      </c>
      <c r="D871" t="str">
        <f>_xll.BDP("270424BY Muni","STATE_CODE")</f>
        <v>#N/A Requesting Data...</v>
      </c>
      <c r="E871" t="str">
        <f>_xll.BDP("270424BY Muni","COUNTY_LOCATION_ISSUER")</f>
        <v>#N/A Requesting Data...</v>
      </c>
      <c r="F871" t="str">
        <f>_xll.BDP("270424BY Muni","DUR_ADJ_MID")</f>
        <v>#N/A Requesting Data...</v>
      </c>
      <c r="G871" t="str">
        <f>_xll.BDP("270424BY Muni","SPREAD_AT_ISSUANCE_TO_WORST")</f>
        <v>#N/A Requesting Data...</v>
      </c>
      <c r="H871" t="str">
        <f>_xll.BDP("270424BY Muni","ISSUE_DT")</f>
        <v>#N/A Requesting Data...</v>
      </c>
      <c r="I871" t="str">
        <f>_xll.BDS("270424BY Muni","MUNI_PURPOSE_SCHED", "aggregate=y")</f>
        <v>#N/A Review</v>
      </c>
      <c r="J871" t="str">
        <f>_xll.BDP("270424BY Muni","CPN")</f>
        <v>#N/A Requesting Data...</v>
      </c>
      <c r="K871" t="str">
        <f>_xll.BDP("270424BY Muni","MATURITY")</f>
        <v>#N/A Requesting Data...</v>
      </c>
      <c r="L871">
        <v>1635000</v>
      </c>
      <c r="M871" t="str">
        <f>_xll.BDP("270424BY Muni","YIELD_ON_ISSUE_DATE")</f>
        <v>#N/A Requesting Data...</v>
      </c>
      <c r="N871" t="str">
        <f>_xll.BDP("270424BY Muni","YTW_SPREAD_TO_MATURITY_AT_ISSU")</f>
        <v>#N/A Requesting Data...</v>
      </c>
      <c r="O871" t="str">
        <f>_xll.BDP("270424BY Muni","BVAL_MID_YTM")</f>
        <v>#N/A Requesting Data...</v>
      </c>
      <c r="P871" t="str">
        <f>_xll.BDP("270424BY Muni","MUNI_TAX_PROV")</f>
        <v>#N/A Requesting Data...</v>
      </c>
      <c r="Q871" t="str">
        <f>_xll.BDP("270424BY Muni","MUNI_FED_TAX")</f>
        <v>#N/A Requesting Data...</v>
      </c>
      <c r="R871" t="str">
        <f>_xll.BDP("270424BY Muni","MUNI_MSRB_VOLUME")</f>
        <v>#N/A Requesting Data...</v>
      </c>
      <c r="S871" t="str">
        <f>_xll.BDP("270424BY Muni","BB_COMPOSITE")</f>
        <v>#N/A Requesting Data...</v>
      </c>
      <c r="T871" t="str">
        <f>_xll.BDP("270424BY Muni","LQA_LIQUIDITY_SCORE")</f>
        <v>#N/A Requesting Data...</v>
      </c>
    </row>
    <row r="872" spans="1:20" x14ac:dyDescent="0.25">
      <c r="A872" t="str">
        <f>_xll.BDP("272731S8 Muni","ID_CUSIP")</f>
        <v>#N/A Requesting Data...</v>
      </c>
      <c r="B872" t="s">
        <v>327</v>
      </c>
      <c r="C872" t="str">
        <f>_xll.BDP("272731S8 Muni","INSURANCE_STATUS")</f>
        <v>#N/A Requesting Data...</v>
      </c>
      <c r="D872" t="str">
        <f>_xll.BDP("272731S8 Muni","STATE_CODE")</f>
        <v>#N/A Requesting Data...</v>
      </c>
      <c r="E872" t="str">
        <f>_xll.BDP("272731S8 Muni","COUNTY_LOCATION_ISSUER")</f>
        <v>#N/A Requesting Data...</v>
      </c>
      <c r="F872" t="str">
        <f>_xll.BDP("272731S8 Muni","DUR_ADJ_MID")</f>
        <v>#N/A Requesting Data...</v>
      </c>
      <c r="G872" t="str">
        <f>_xll.BDP("272731S8 Muni","SPREAD_AT_ISSUANCE_TO_WORST")</f>
        <v>#N/A Requesting Data...</v>
      </c>
      <c r="H872" t="str">
        <f>_xll.BDP("272731S8 Muni","ISSUE_DT")</f>
        <v>#N/A Requesting Data...</v>
      </c>
      <c r="I872" t="str">
        <f>_xll.BDS("272731S8 Muni","MUNI_PURPOSE_SCHED", "aggregate=y")</f>
        <v>#N/A Review</v>
      </c>
      <c r="J872" t="str">
        <f>_xll.BDP("272731S8 Muni","CPN")</f>
        <v>#N/A Requesting Data...</v>
      </c>
      <c r="K872" t="str">
        <f>_xll.BDP("272731S8 Muni","MATURITY")</f>
        <v>#N/A Requesting Data...</v>
      </c>
      <c r="L872">
        <v>700000</v>
      </c>
      <c r="M872" t="str">
        <f>_xll.BDP("272731S8 Muni","YIELD_ON_ISSUE_DATE")</f>
        <v>#N/A Requesting Data...</v>
      </c>
      <c r="N872" t="str">
        <f>_xll.BDP("272731S8 Muni","YTW_SPREAD_TO_MATURITY_AT_ISSU")</f>
        <v>#N/A Requesting Data...</v>
      </c>
      <c r="O872" t="str">
        <f>_xll.BDP("272731S8 Muni","BVAL_MID_YTM")</f>
        <v>#N/A Requesting Data...</v>
      </c>
      <c r="P872" t="str">
        <f>_xll.BDP("272731S8 Muni","MUNI_TAX_PROV")</f>
        <v>#N/A Requesting Data...</v>
      </c>
      <c r="Q872" t="str">
        <f>_xll.BDP("272731S8 Muni","MUNI_FED_TAX")</f>
        <v>#N/A Requesting Data...</v>
      </c>
      <c r="R872" t="str">
        <f>_xll.BDP("272731S8 Muni","MUNI_MSRB_VOLUME")</f>
        <v>#N/A Requesting Data...</v>
      </c>
      <c r="S872" t="str">
        <f>_xll.BDP("272731S8 Muni","BB_COMPOSITE")</f>
        <v>#N/A Requesting Data...</v>
      </c>
      <c r="T872" t="str">
        <f>_xll.BDP("272731S8 Muni","LQA_LIQUIDITY_SCORE")</f>
        <v>#N/A Requesting Data...</v>
      </c>
    </row>
    <row r="873" spans="1:20" x14ac:dyDescent="0.25">
      <c r="A873" t="str">
        <f>_xll.BDP("272731S9 Muni","ID_CUSIP")</f>
        <v>#N/A Requesting Data...</v>
      </c>
      <c r="B873" t="s">
        <v>327</v>
      </c>
      <c r="C873" t="str">
        <f>_xll.BDP("272731S9 Muni","INSURANCE_STATUS")</f>
        <v>#N/A Requesting Data...</v>
      </c>
      <c r="D873" t="str">
        <f>_xll.BDP("272731S9 Muni","STATE_CODE")</f>
        <v>#N/A Requesting Data...</v>
      </c>
      <c r="E873" t="str">
        <f>_xll.BDP("272731S9 Muni","COUNTY_LOCATION_ISSUER")</f>
        <v>#N/A Requesting Data...</v>
      </c>
      <c r="F873" t="str">
        <f>_xll.BDP("272731S9 Muni","DUR_ADJ_MID")</f>
        <v>#N/A Requesting Data...</v>
      </c>
      <c r="G873" t="str">
        <f>_xll.BDP("272731S9 Muni","SPREAD_AT_ISSUANCE_TO_WORST")</f>
        <v>#N/A Requesting Data...</v>
      </c>
      <c r="H873" t="str">
        <f>_xll.BDP("272731S9 Muni","ISSUE_DT")</f>
        <v>#N/A Requesting Data...</v>
      </c>
      <c r="I873" t="str">
        <f>_xll.BDS("272731S9 Muni","MUNI_PURPOSE_SCHED", "aggregate=y")</f>
        <v>#N/A Review</v>
      </c>
      <c r="J873" t="str">
        <f>_xll.BDP("272731S9 Muni","CPN")</f>
        <v>#N/A Requesting Data...</v>
      </c>
      <c r="K873" t="str">
        <f>_xll.BDP("272731S9 Muni","MATURITY")</f>
        <v>#N/A Requesting Data...</v>
      </c>
      <c r="L873">
        <v>710000</v>
      </c>
      <c r="M873" t="str">
        <f>_xll.BDP("272731S9 Muni","YIELD_ON_ISSUE_DATE")</f>
        <v>#N/A Requesting Data...</v>
      </c>
      <c r="N873" t="str">
        <f>_xll.BDP("272731S9 Muni","YTW_SPREAD_TO_MATURITY_AT_ISSU")</f>
        <v>#N/A Requesting Data...</v>
      </c>
      <c r="O873" t="str">
        <f>_xll.BDP("272731S9 Muni","BVAL_MID_YTM")</f>
        <v>#N/A Requesting Data...</v>
      </c>
      <c r="P873" t="str">
        <f>_xll.BDP("272731S9 Muni","MUNI_TAX_PROV")</f>
        <v>#N/A Requesting Data...</v>
      </c>
      <c r="Q873" t="str">
        <f>_xll.BDP("272731S9 Muni","MUNI_FED_TAX")</f>
        <v>#N/A Requesting Data...</v>
      </c>
      <c r="R873" t="str">
        <f>_xll.BDP("272731S9 Muni","MUNI_MSRB_VOLUME")</f>
        <v>#N/A Requesting Data...</v>
      </c>
      <c r="S873" t="str">
        <f>_xll.BDP("272731S9 Muni","BB_COMPOSITE")</f>
        <v>#N/A Requesting Data...</v>
      </c>
      <c r="T873" t="str">
        <f>_xll.BDP("272731S9 Muni","LQA_LIQUIDITY_SCORE")</f>
        <v>#N/A Requesting Data...</v>
      </c>
    </row>
    <row r="874" spans="1:20" x14ac:dyDescent="0.25">
      <c r="A874" t="str">
        <f>_xll.BDP("272731T2 Muni","ID_CUSIP")</f>
        <v>#N/A Requesting Data...</v>
      </c>
      <c r="B874" t="s">
        <v>327</v>
      </c>
      <c r="C874" t="str">
        <f>_xll.BDP("272731T2 Muni","INSURANCE_STATUS")</f>
        <v>#N/A Requesting Data...</v>
      </c>
      <c r="D874" t="str">
        <f>_xll.BDP("272731T2 Muni","STATE_CODE")</f>
        <v>#N/A Requesting Data...</v>
      </c>
      <c r="E874" t="str">
        <f>_xll.BDP("272731T2 Muni","COUNTY_LOCATION_ISSUER")</f>
        <v>#N/A Requesting Data...</v>
      </c>
      <c r="F874" t="str">
        <f>_xll.BDP("272731T2 Muni","DUR_ADJ_MID")</f>
        <v>#N/A Requesting Data...</v>
      </c>
      <c r="G874" t="str">
        <f>_xll.BDP("272731T2 Muni","SPREAD_AT_ISSUANCE_TO_WORST")</f>
        <v>#N/A Requesting Data...</v>
      </c>
      <c r="H874" t="str">
        <f>_xll.BDP("272731T2 Muni","ISSUE_DT")</f>
        <v>#N/A Requesting Data...</v>
      </c>
      <c r="I874" t="str">
        <f>_xll.BDS("272731T2 Muni","MUNI_PURPOSE_SCHED", "aggregate=y")</f>
        <v>#N/A Review</v>
      </c>
      <c r="J874" t="str">
        <f>_xll.BDP("272731T2 Muni","CPN")</f>
        <v>#N/A Requesting Data...</v>
      </c>
      <c r="K874" t="str">
        <f>_xll.BDP("272731T2 Muni","MATURITY")</f>
        <v>#N/A Requesting Data...</v>
      </c>
      <c r="L874">
        <v>720000</v>
      </c>
      <c r="M874" t="str">
        <f>_xll.BDP("272731T2 Muni","YIELD_ON_ISSUE_DATE")</f>
        <v>#N/A Requesting Data...</v>
      </c>
      <c r="N874" t="str">
        <f>_xll.BDP("272731T2 Muni","YTW_SPREAD_TO_MATURITY_AT_ISSU")</f>
        <v>#N/A Requesting Data...</v>
      </c>
      <c r="O874" t="str">
        <f>_xll.BDP("272731T2 Muni","BVAL_MID_YTM")</f>
        <v>#N/A Requesting Data...</v>
      </c>
      <c r="P874" t="str">
        <f>_xll.BDP("272731T2 Muni","MUNI_TAX_PROV")</f>
        <v>#N/A Requesting Data...</v>
      </c>
      <c r="Q874" t="str">
        <f>_xll.BDP("272731T2 Muni","MUNI_FED_TAX")</f>
        <v>#N/A Requesting Data...</v>
      </c>
      <c r="R874" t="str">
        <f>_xll.BDP("272731T2 Muni","MUNI_MSRB_VOLUME")</f>
        <v>#N/A Requesting Data...</v>
      </c>
      <c r="S874" t="str">
        <f>_xll.BDP("272731T2 Muni","BB_COMPOSITE")</f>
        <v>#N/A Requesting Data...</v>
      </c>
      <c r="T874" t="str">
        <f>_xll.BDP("272731T2 Muni","LQA_LIQUIDITY_SCORE")</f>
        <v>#N/A Requesting Data...</v>
      </c>
    </row>
    <row r="875" spans="1:20" x14ac:dyDescent="0.25">
      <c r="A875" t="str">
        <f>_xll.BDP("27373PAF Muni","ID_CUSIP")</f>
        <v>#N/A Requesting Data...</v>
      </c>
      <c r="B875" t="s">
        <v>328</v>
      </c>
      <c r="C875" t="str">
        <f>_xll.BDP("27373PAF Muni","INSURANCE_STATUS")</f>
        <v>#N/A Requesting Data...</v>
      </c>
      <c r="D875" t="str">
        <f>_xll.BDP("27373PAF Muni","STATE_CODE")</f>
        <v>#N/A Requesting Data...</v>
      </c>
      <c r="E875" t="str">
        <f>_xll.BDP("27373PAF Muni","COUNTY_LOCATION_ISSUER")</f>
        <v>#N/A Requesting Data...</v>
      </c>
      <c r="F875" t="str">
        <f>_xll.BDP("27373PAF Muni","DUR_ADJ_MID")</f>
        <v>#N/A Requesting Data...</v>
      </c>
      <c r="G875" t="str">
        <f>_xll.BDP("27373PAF Muni","SPREAD_AT_ISSUANCE_TO_WORST")</f>
        <v>#N/A Requesting Data...</v>
      </c>
      <c r="H875" t="str">
        <f>_xll.BDP("27373PAF Muni","ISSUE_DT")</f>
        <v>#N/A Requesting Data...</v>
      </c>
      <c r="I875" t="str">
        <f>_xll.BDS("27373PAF Muni","MUNI_PURPOSE_SCHED", "aggregate=y")</f>
        <v>#N/A Review</v>
      </c>
      <c r="J875" t="str">
        <f>_xll.BDP("27373PAF Muni","CPN")</f>
        <v>#N/A Requesting Data...</v>
      </c>
      <c r="K875" t="str">
        <f>_xll.BDP("27373PAF Muni","MATURITY")</f>
        <v>#N/A Requesting Data...</v>
      </c>
      <c r="L875">
        <v>205000</v>
      </c>
      <c r="M875" t="str">
        <f>_xll.BDP("27373PAF Muni","YIELD_ON_ISSUE_DATE")</f>
        <v>#N/A Requesting Data...</v>
      </c>
      <c r="N875" t="str">
        <f>_xll.BDP("27373PAF Muni","YTW_SPREAD_TO_MATURITY_AT_ISSU")</f>
        <v>#N/A Requesting Data...</v>
      </c>
      <c r="O875" t="str">
        <f>_xll.BDP("27373PAF Muni","BVAL_MID_YTM")</f>
        <v>#N/A Requesting Data...</v>
      </c>
      <c r="P875" t="str">
        <f>_xll.BDP("27373PAF Muni","MUNI_TAX_PROV")</f>
        <v>#N/A Requesting Data...</v>
      </c>
      <c r="Q875" t="str">
        <f>_xll.BDP("27373PAF Muni","MUNI_FED_TAX")</f>
        <v>#N/A Requesting Data...</v>
      </c>
      <c r="R875" t="str">
        <f>_xll.BDP("27373PAF Muni","MUNI_MSRB_VOLUME")</f>
        <v>#N/A Requesting Data...</v>
      </c>
      <c r="S875" t="str">
        <f>_xll.BDP("27373PAF Muni","BB_COMPOSITE")</f>
        <v>#N/A Requesting Data...</v>
      </c>
      <c r="T875" t="str">
        <f>_xll.BDP("27373PAF Muni","LQA_LIQUIDITY_SCORE")</f>
        <v>#N/A Requesting Data...</v>
      </c>
    </row>
    <row r="876" spans="1:20" x14ac:dyDescent="0.25">
      <c r="A876" t="str">
        <f>_xll.BDP("220741JX Muni","ID_CUSIP")</f>
        <v>#N/A Requesting Data...</v>
      </c>
      <c r="B876" t="s">
        <v>329</v>
      </c>
      <c r="C876" t="str">
        <f>_xll.BDP("220741JX Muni","INSURANCE_STATUS")</f>
        <v>#N/A Requesting Data...</v>
      </c>
      <c r="D876" t="str">
        <f>_xll.BDP("220741JX Muni","STATE_CODE")</f>
        <v>#N/A Requesting Data...</v>
      </c>
      <c r="E876" t="str">
        <f>_xll.BDP("220741JX Muni","COUNTY_LOCATION_ISSUER")</f>
        <v>#N/A Requesting Data...</v>
      </c>
      <c r="F876" t="str">
        <f>_xll.BDP("220741JX Muni","DUR_ADJ_MID")</f>
        <v>#N/A Requesting Data...</v>
      </c>
      <c r="G876" t="str">
        <f>_xll.BDP("220741JX Muni","SPREAD_AT_ISSUANCE_TO_WORST")</f>
        <v>#N/A Requesting Data...</v>
      </c>
      <c r="H876" t="str">
        <f>_xll.BDP("220741JX Muni","ISSUE_DT")</f>
        <v>#N/A Requesting Data...</v>
      </c>
      <c r="I876" t="str">
        <f>_xll.BDS("220741JX Muni","MUNI_PURPOSE_SCHED", "aggregate=y")</f>
        <v>#N/A Review</v>
      </c>
      <c r="J876" t="str">
        <f>_xll.BDP("220741JX Muni","CPN")</f>
        <v>#N/A Requesting Data...</v>
      </c>
      <c r="K876" t="str">
        <f>_xll.BDP("220741JX Muni","MATURITY")</f>
        <v>#N/A Requesting Data...</v>
      </c>
      <c r="L876">
        <v>120000</v>
      </c>
      <c r="M876" t="str">
        <f>_xll.BDP("220741JX Muni","YIELD_ON_ISSUE_DATE")</f>
        <v>#N/A Requesting Data...</v>
      </c>
      <c r="N876" t="str">
        <f>_xll.BDP("220741JX Muni","YTW_SPREAD_TO_MATURITY_AT_ISSU")</f>
        <v>#N/A Requesting Data...</v>
      </c>
      <c r="O876" t="str">
        <f>_xll.BDP("220741JX Muni","BVAL_MID_YTM")</f>
        <v>#N/A Requesting Data...</v>
      </c>
      <c r="P876" t="str">
        <f>_xll.BDP("220741JX Muni","MUNI_TAX_PROV")</f>
        <v>#N/A Requesting Data...</v>
      </c>
      <c r="Q876" t="str">
        <f>_xll.BDP("220741JX Muni","MUNI_FED_TAX")</f>
        <v>#N/A Requesting Data...</v>
      </c>
      <c r="R876" t="str">
        <f>_xll.BDP("220741JX Muni","MUNI_MSRB_VOLUME")</f>
        <v>#N/A Requesting Data...</v>
      </c>
      <c r="S876" t="str">
        <f>_xll.BDP("220741JX Muni","BB_COMPOSITE")</f>
        <v>#N/A Requesting Data...</v>
      </c>
      <c r="T876" t="str">
        <f>_xll.BDP("220741JX Muni","LQA_LIQUIDITY_SCORE")</f>
        <v>#N/A Requesting Data...</v>
      </c>
    </row>
    <row r="877" spans="1:20" x14ac:dyDescent="0.25">
      <c r="A877" t="str">
        <f>_xll.BDP("221876ER Muni","ID_CUSIP")</f>
        <v>#N/A Requesting Data...</v>
      </c>
      <c r="B877" t="s">
        <v>330</v>
      </c>
      <c r="C877" t="str">
        <f>_xll.BDP("221876ER Muni","INSURANCE_STATUS")</f>
        <v>#N/A Requesting Data...</v>
      </c>
      <c r="D877" t="str">
        <f>_xll.BDP("221876ER Muni","STATE_CODE")</f>
        <v>#N/A Requesting Data...</v>
      </c>
      <c r="E877" t="str">
        <f>_xll.BDP("221876ER Muni","COUNTY_LOCATION_ISSUER")</f>
        <v>#N/A Requesting Data...</v>
      </c>
      <c r="F877" t="str">
        <f>_xll.BDP("221876ER Muni","DUR_ADJ_MID")</f>
        <v>#N/A Requesting Data...</v>
      </c>
      <c r="G877" t="str">
        <f>_xll.BDP("221876ER Muni","SPREAD_AT_ISSUANCE_TO_WORST")</f>
        <v>#N/A Requesting Data...</v>
      </c>
      <c r="H877" t="str">
        <f>_xll.BDP("221876ER Muni","ISSUE_DT")</f>
        <v>#N/A Requesting Data...</v>
      </c>
      <c r="I877" t="str">
        <f>_xll.BDS("221876ER Muni","MUNI_PURPOSE_SCHED", "aggregate=y")</f>
        <v>#N/A Review</v>
      </c>
      <c r="J877" t="str">
        <f>_xll.BDP("221876ER Muni","CPN")</f>
        <v>#N/A Requesting Data...</v>
      </c>
      <c r="K877" t="str">
        <f>_xll.BDP("221876ER Muni","MATURITY")</f>
        <v>#N/A Requesting Data...</v>
      </c>
      <c r="L877">
        <v>75000</v>
      </c>
      <c r="M877" t="str">
        <f>_xll.BDP("221876ER Muni","YIELD_ON_ISSUE_DATE")</f>
        <v>#N/A Requesting Data...</v>
      </c>
      <c r="N877" t="str">
        <f>_xll.BDP("221876ER Muni","YTW_SPREAD_TO_MATURITY_AT_ISSU")</f>
        <v>#N/A Requesting Data...</v>
      </c>
      <c r="O877" t="str">
        <f>_xll.BDP("221876ER Muni","BVAL_MID_YTM")</f>
        <v>#N/A Requesting Data...</v>
      </c>
      <c r="P877" t="str">
        <f>_xll.BDP("221876ER Muni","MUNI_TAX_PROV")</f>
        <v>#N/A Requesting Data...</v>
      </c>
      <c r="Q877" t="str">
        <f>_xll.BDP("221876ER Muni","MUNI_FED_TAX")</f>
        <v>#N/A Requesting Data...</v>
      </c>
      <c r="R877" t="str">
        <f>_xll.BDP("221876ER Muni","MUNI_MSRB_VOLUME")</f>
        <v>#N/A Requesting Data...</v>
      </c>
      <c r="S877" t="str">
        <f>_xll.BDP("221876ER Muni","BB_COMPOSITE")</f>
        <v>#N/A Requesting Data...</v>
      </c>
      <c r="T877" t="str">
        <f>_xll.BDP("221876ER Muni","LQA_LIQUIDITY_SCORE")</f>
        <v>#N/A Requesting Data...</v>
      </c>
    </row>
    <row r="878" spans="1:20" x14ac:dyDescent="0.25">
      <c r="A878" t="str">
        <f>_xll.BDP("221876ES Muni","ID_CUSIP")</f>
        <v>#N/A Requesting Data...</v>
      </c>
      <c r="B878" t="s">
        <v>330</v>
      </c>
      <c r="C878" t="str">
        <f>_xll.BDP("221876ES Muni","INSURANCE_STATUS")</f>
        <v>#N/A Requesting Data...</v>
      </c>
      <c r="D878" t="str">
        <f>_xll.BDP("221876ES Muni","STATE_CODE")</f>
        <v>#N/A Requesting Data...</v>
      </c>
      <c r="E878" t="str">
        <f>_xll.BDP("221876ES Muni","COUNTY_LOCATION_ISSUER")</f>
        <v>#N/A Requesting Data...</v>
      </c>
      <c r="F878" t="str">
        <f>_xll.BDP("221876ES Muni","DUR_ADJ_MID")</f>
        <v>#N/A Requesting Data...</v>
      </c>
      <c r="G878" t="str">
        <f>_xll.BDP("221876ES Muni","SPREAD_AT_ISSUANCE_TO_WORST")</f>
        <v>#N/A Requesting Data...</v>
      </c>
      <c r="H878" t="str">
        <f>_xll.BDP("221876ES Muni","ISSUE_DT")</f>
        <v>#N/A Requesting Data...</v>
      </c>
      <c r="I878" t="str">
        <f>_xll.BDS("221876ES Muni","MUNI_PURPOSE_SCHED", "aggregate=y")</f>
        <v>#N/A Review</v>
      </c>
      <c r="J878" t="str">
        <f>_xll.BDP("221876ES Muni","CPN")</f>
        <v>#N/A Requesting Data...</v>
      </c>
      <c r="K878" t="str">
        <f>_xll.BDP("221876ES Muni","MATURITY")</f>
        <v>#N/A Requesting Data...</v>
      </c>
      <c r="L878">
        <v>125000</v>
      </c>
      <c r="M878" t="str">
        <f>_xll.BDP("221876ES Muni","YIELD_ON_ISSUE_DATE")</f>
        <v>#N/A Requesting Data...</v>
      </c>
      <c r="N878" t="str">
        <f>_xll.BDP("221876ES Muni","YTW_SPREAD_TO_MATURITY_AT_ISSU")</f>
        <v>#N/A Requesting Data...</v>
      </c>
      <c r="O878" t="str">
        <f>_xll.BDP("221876ES Muni","BVAL_MID_YTM")</f>
        <v>#N/A Requesting Data...</v>
      </c>
      <c r="P878" t="str">
        <f>_xll.BDP("221876ES Muni","MUNI_TAX_PROV")</f>
        <v>#N/A Requesting Data...</v>
      </c>
      <c r="Q878" t="str">
        <f>_xll.BDP("221876ES Muni","MUNI_FED_TAX")</f>
        <v>#N/A Requesting Data...</v>
      </c>
      <c r="R878" t="str">
        <f>_xll.BDP("221876ES Muni","MUNI_MSRB_VOLUME")</f>
        <v>#N/A Requesting Data...</v>
      </c>
      <c r="S878" t="str">
        <f>_xll.BDP("221876ES Muni","BB_COMPOSITE")</f>
        <v>#N/A Requesting Data...</v>
      </c>
      <c r="T878" t="str">
        <f>_xll.BDP("221876ES Muni","LQA_LIQUIDITY_SCORE")</f>
        <v>#N/A Requesting Data...</v>
      </c>
    </row>
    <row r="879" spans="1:20" x14ac:dyDescent="0.25">
      <c r="A879" t="str">
        <f>_xll.BDP("2221295K Muni","ID_CUSIP")</f>
        <v>#N/A Requesting Data...</v>
      </c>
      <c r="B879" t="s">
        <v>299</v>
      </c>
      <c r="C879" t="str">
        <f>_xll.BDP("2221295K Muni","INSURANCE_STATUS")</f>
        <v>#N/A Requesting Data...</v>
      </c>
      <c r="D879" t="str">
        <f>_xll.BDP("2221295K Muni","STATE_CODE")</f>
        <v>#N/A Requesting Data...</v>
      </c>
      <c r="E879" t="str">
        <f>_xll.BDP("2221295K Muni","COUNTY_LOCATION_ISSUER")</f>
        <v>#N/A Requesting Data...</v>
      </c>
      <c r="F879" t="str">
        <f>_xll.BDP("2221295K Muni","DUR_ADJ_MID")</f>
        <v>#N/A Requesting Data...</v>
      </c>
      <c r="G879" t="str">
        <f>_xll.BDP("2221295K Muni","SPREAD_AT_ISSUANCE_TO_WORST")</f>
        <v>#N/A Requesting Data...</v>
      </c>
      <c r="H879" t="str">
        <f>_xll.BDP("2221295K Muni","ISSUE_DT")</f>
        <v>#N/A Requesting Data...</v>
      </c>
      <c r="I879" t="str">
        <f>_xll.BDS("2221295K Muni","MUNI_PURPOSE_SCHED", "aggregate=y")</f>
        <v>#N/A Review</v>
      </c>
      <c r="J879" t="str">
        <f>_xll.BDP("2221295K Muni","CPN")</f>
        <v>#N/A Requesting Data...</v>
      </c>
      <c r="K879" t="str">
        <f>_xll.BDP("2221295K Muni","MATURITY")</f>
        <v>#N/A Requesting Data...</v>
      </c>
      <c r="L879">
        <v>1005000</v>
      </c>
      <c r="M879" t="str">
        <f>_xll.BDP("2221295K Muni","YIELD_ON_ISSUE_DATE")</f>
        <v>#N/A Requesting Data...</v>
      </c>
      <c r="N879" t="str">
        <f>_xll.BDP("2221295K Muni","YTW_SPREAD_TO_MATURITY_AT_ISSU")</f>
        <v>#N/A Requesting Data...</v>
      </c>
      <c r="O879" t="str">
        <f>_xll.BDP("2221295K Muni","BVAL_MID_YTM")</f>
        <v>#N/A Requesting Data...</v>
      </c>
      <c r="P879" t="str">
        <f>_xll.BDP("2221295K Muni","MUNI_TAX_PROV")</f>
        <v>#N/A Requesting Data...</v>
      </c>
      <c r="Q879" t="str">
        <f>_xll.BDP("2221295K Muni","MUNI_FED_TAX")</f>
        <v>#N/A Requesting Data...</v>
      </c>
      <c r="R879" t="str">
        <f>_xll.BDP("2221295K Muni","MUNI_MSRB_VOLUME")</f>
        <v>#N/A Requesting Data...</v>
      </c>
      <c r="S879" t="str">
        <f>_xll.BDP("2221295K Muni","BB_COMPOSITE")</f>
        <v>#N/A Requesting Data...</v>
      </c>
      <c r="T879" t="str">
        <f>_xll.BDP("2221295K Muni","LQA_LIQUIDITY_SCORE")</f>
        <v>#N/A Requesting Data...</v>
      </c>
    </row>
    <row r="880" spans="1:20" x14ac:dyDescent="0.25">
      <c r="A880" t="str">
        <f>_xll.BDP("541653BY Muni","ID_CUSIP")</f>
        <v>#N/A Requesting Data...</v>
      </c>
      <c r="B880" t="s">
        <v>331</v>
      </c>
      <c r="C880" t="str">
        <f>_xll.BDP("541653BY Muni","INSURANCE_STATUS")</f>
        <v>#N/A Requesting Data...</v>
      </c>
      <c r="D880" t="str">
        <f>_xll.BDP("541653BY Muni","STATE_CODE")</f>
        <v>#N/A Requesting Data...</v>
      </c>
      <c r="E880" t="str">
        <f>_xll.BDP("541653BY Muni","COUNTY_LOCATION_ISSUER")</f>
        <v>#N/A Requesting Data...</v>
      </c>
      <c r="F880" t="str">
        <f>_xll.BDP("541653BY Muni","DUR_ADJ_MID")</f>
        <v>#N/A Requesting Data...</v>
      </c>
      <c r="G880" t="str">
        <f>_xll.BDP("541653BY Muni","SPREAD_AT_ISSUANCE_TO_WORST")</f>
        <v>#N/A Requesting Data...</v>
      </c>
      <c r="H880" t="str">
        <f>_xll.BDP("541653BY Muni","ISSUE_DT")</f>
        <v>#N/A Requesting Data...</v>
      </c>
      <c r="I880" t="str">
        <f>_xll.BDS("541653BY Muni","MUNI_PURPOSE_SCHED", "aggregate=y")</f>
        <v>#N/A Review</v>
      </c>
      <c r="J880" t="str">
        <f>_xll.BDP("541653BY Muni","CPN")</f>
        <v>#N/A Requesting Data...</v>
      </c>
      <c r="K880" t="str">
        <f>_xll.BDP("541653BY Muni","MATURITY")</f>
        <v>#N/A Requesting Data...</v>
      </c>
      <c r="L880">
        <v>130000</v>
      </c>
      <c r="M880" t="str">
        <f>_xll.BDP("541653BY Muni","YIELD_ON_ISSUE_DATE")</f>
        <v>#N/A Requesting Data...</v>
      </c>
      <c r="N880" t="str">
        <f>_xll.BDP("541653BY Muni","YTW_SPREAD_TO_MATURITY_AT_ISSU")</f>
        <v>#N/A Requesting Data...</v>
      </c>
      <c r="O880" t="str">
        <f>_xll.BDP("541653BY Muni","BVAL_MID_YTM")</f>
        <v>#N/A Requesting Data...</v>
      </c>
      <c r="P880" t="str">
        <f>_xll.BDP("541653BY Muni","MUNI_TAX_PROV")</f>
        <v>#N/A Requesting Data...</v>
      </c>
      <c r="Q880" t="str">
        <f>_xll.BDP("541653BY Muni","MUNI_FED_TAX")</f>
        <v>#N/A Requesting Data...</v>
      </c>
      <c r="R880" t="str">
        <f>_xll.BDP("541653BY Muni","MUNI_MSRB_VOLUME")</f>
        <v>#N/A Requesting Data...</v>
      </c>
      <c r="S880" t="str">
        <f>_xll.BDP("541653BY Muni","BB_COMPOSITE")</f>
        <v>#N/A Requesting Data...</v>
      </c>
      <c r="T880" t="str">
        <f>_xll.BDP("541653BY Muni","LQA_LIQUIDITY_SCORE")</f>
        <v>#N/A Requesting Data...</v>
      </c>
    </row>
    <row r="881" spans="1:20" x14ac:dyDescent="0.25">
      <c r="A881" t="str">
        <f>_xll.BDP("544060DY Muni","ID_CUSIP")</f>
        <v>#N/A Requesting Data...</v>
      </c>
      <c r="B881" t="s">
        <v>332</v>
      </c>
      <c r="C881" t="str">
        <f>_xll.BDP("544060DY Muni","INSURANCE_STATUS")</f>
        <v>#N/A Requesting Data...</v>
      </c>
      <c r="D881" t="str">
        <f>_xll.BDP("544060DY Muni","STATE_CODE")</f>
        <v>#N/A Requesting Data...</v>
      </c>
      <c r="E881" t="str">
        <f>_xll.BDP("544060DY Muni","COUNTY_LOCATION_ISSUER")</f>
        <v>#N/A Requesting Data...</v>
      </c>
      <c r="F881" t="str">
        <f>_xll.BDP("544060DY Muni","DUR_ADJ_MID")</f>
        <v>#N/A Requesting Data...</v>
      </c>
      <c r="G881" t="str">
        <f>_xll.BDP("544060DY Muni","SPREAD_AT_ISSUANCE_TO_WORST")</f>
        <v>#N/A Requesting Data...</v>
      </c>
      <c r="H881" t="str">
        <f>_xll.BDP("544060DY Muni","ISSUE_DT")</f>
        <v>#N/A Requesting Data...</v>
      </c>
      <c r="I881" t="str">
        <f>_xll.BDS("544060DY Muni","MUNI_PURPOSE_SCHED", "aggregate=y")</f>
        <v>#N/A Review</v>
      </c>
      <c r="J881" t="str">
        <f>_xll.BDP("544060DY Muni","CPN")</f>
        <v>#N/A Requesting Data...</v>
      </c>
      <c r="K881" t="str">
        <f>_xll.BDP("544060DY Muni","MATURITY")</f>
        <v>#N/A Requesting Data...</v>
      </c>
      <c r="L881">
        <v>45000</v>
      </c>
      <c r="M881" t="str">
        <f>_xll.BDP("544060DY Muni","YIELD_ON_ISSUE_DATE")</f>
        <v>#N/A Requesting Data...</v>
      </c>
      <c r="N881" t="str">
        <f>_xll.BDP("544060DY Muni","YTW_SPREAD_TO_MATURITY_AT_ISSU")</f>
        <v>#N/A Requesting Data...</v>
      </c>
      <c r="O881" t="str">
        <f>_xll.BDP("544060DY Muni","BVAL_MID_YTM")</f>
        <v>#N/A Requesting Data...</v>
      </c>
      <c r="P881" t="str">
        <f>_xll.BDP("544060DY Muni","MUNI_TAX_PROV")</f>
        <v>#N/A Requesting Data...</v>
      </c>
      <c r="Q881" t="str">
        <f>_xll.BDP("544060DY Muni","MUNI_FED_TAX")</f>
        <v>#N/A Requesting Data...</v>
      </c>
      <c r="R881" t="str">
        <f>_xll.BDP("544060DY Muni","MUNI_MSRB_VOLUME")</f>
        <v>#N/A Requesting Data...</v>
      </c>
      <c r="S881" t="str">
        <f>_xll.BDP("544060DY Muni","BB_COMPOSITE")</f>
        <v>#N/A Requesting Data...</v>
      </c>
      <c r="T881" t="str">
        <f>_xll.BDP("544060DY Muni","LQA_LIQUIDITY_SCORE")</f>
        <v>#N/A Requesting Data...</v>
      </c>
    </row>
    <row r="882" spans="1:20" x14ac:dyDescent="0.25">
      <c r="A882" t="str">
        <f>_xll.BDP("544060EA Muni","ID_CUSIP")</f>
        <v>#N/A Requesting Data...</v>
      </c>
      <c r="B882" t="s">
        <v>332</v>
      </c>
      <c r="C882" t="str">
        <f>_xll.BDP("544060EA Muni","INSURANCE_STATUS")</f>
        <v>#N/A Requesting Data...</v>
      </c>
      <c r="D882" t="str">
        <f>_xll.BDP("544060EA Muni","STATE_CODE")</f>
        <v>#N/A Requesting Data...</v>
      </c>
      <c r="E882" t="str">
        <f>_xll.BDP("544060EA Muni","COUNTY_LOCATION_ISSUER")</f>
        <v>#N/A Requesting Data...</v>
      </c>
      <c r="F882" t="str">
        <f>_xll.BDP("544060EA Muni","DUR_ADJ_MID")</f>
        <v>#N/A Requesting Data...</v>
      </c>
      <c r="G882" t="str">
        <f>_xll.BDP("544060EA Muni","SPREAD_AT_ISSUANCE_TO_WORST")</f>
        <v>#N/A Requesting Data...</v>
      </c>
      <c r="H882" t="str">
        <f>_xll.BDP("544060EA Muni","ISSUE_DT")</f>
        <v>#N/A Requesting Data...</v>
      </c>
      <c r="I882" t="str">
        <f>_xll.BDS("544060EA Muni","MUNI_PURPOSE_SCHED", "aggregate=y")</f>
        <v>#N/A Review</v>
      </c>
      <c r="J882" t="str">
        <f>_xll.BDP("544060EA Muni","CPN")</f>
        <v>#N/A Requesting Data...</v>
      </c>
      <c r="K882" t="str">
        <f>_xll.BDP("544060EA Muni","MATURITY")</f>
        <v>#N/A Requesting Data...</v>
      </c>
      <c r="L882">
        <v>55000</v>
      </c>
      <c r="M882" t="str">
        <f>_xll.BDP("544060EA Muni","YIELD_ON_ISSUE_DATE")</f>
        <v>#N/A Requesting Data...</v>
      </c>
      <c r="N882" t="str">
        <f>_xll.BDP("544060EA Muni","YTW_SPREAD_TO_MATURITY_AT_ISSU")</f>
        <v>#N/A Requesting Data...</v>
      </c>
      <c r="O882" t="str">
        <f>_xll.BDP("544060EA Muni","BVAL_MID_YTM")</f>
        <v>#N/A Requesting Data...</v>
      </c>
      <c r="P882" t="str">
        <f>_xll.BDP("544060EA Muni","MUNI_TAX_PROV")</f>
        <v>#N/A Requesting Data...</v>
      </c>
      <c r="Q882" t="str">
        <f>_xll.BDP("544060EA Muni","MUNI_FED_TAX")</f>
        <v>#N/A Requesting Data...</v>
      </c>
      <c r="R882" t="str">
        <f>_xll.BDP("544060EA Muni","MUNI_MSRB_VOLUME")</f>
        <v>#N/A Requesting Data...</v>
      </c>
      <c r="S882" t="str">
        <f>_xll.BDP("544060EA Muni","BB_COMPOSITE")</f>
        <v>#N/A Requesting Data...</v>
      </c>
      <c r="T882" t="str">
        <f>_xll.BDP("544060EA Muni","LQA_LIQUIDITY_SCORE")</f>
        <v>#N/A Requesting Data...</v>
      </c>
    </row>
    <row r="883" spans="1:20" x14ac:dyDescent="0.25">
      <c r="A883" t="str">
        <f>_xll.BDP("544060EB Muni","ID_CUSIP")</f>
        <v>#N/A Requesting Data...</v>
      </c>
      <c r="B883" t="s">
        <v>332</v>
      </c>
      <c r="C883" t="str">
        <f>_xll.BDP("544060EB Muni","INSURANCE_STATUS")</f>
        <v>#N/A Requesting Data...</v>
      </c>
      <c r="D883" t="str">
        <f>_xll.BDP("544060EB Muni","STATE_CODE")</f>
        <v>#N/A Requesting Data...</v>
      </c>
      <c r="E883" t="str">
        <f>_xll.BDP("544060EB Muni","COUNTY_LOCATION_ISSUER")</f>
        <v>#N/A Requesting Data...</v>
      </c>
      <c r="F883" t="str">
        <f>_xll.BDP("544060EB Muni","DUR_ADJ_MID")</f>
        <v>#N/A Requesting Data...</v>
      </c>
      <c r="G883" t="str">
        <f>_xll.BDP("544060EB Muni","SPREAD_AT_ISSUANCE_TO_WORST")</f>
        <v>#N/A Requesting Data...</v>
      </c>
      <c r="H883" t="str">
        <f>_xll.BDP("544060EB Muni","ISSUE_DT")</f>
        <v>#N/A Requesting Data...</v>
      </c>
      <c r="I883" t="str">
        <f>_xll.BDS("544060EB Muni","MUNI_PURPOSE_SCHED", "aggregate=y")</f>
        <v>#N/A Review</v>
      </c>
      <c r="J883" t="str">
        <f>_xll.BDP("544060EB Muni","CPN")</f>
        <v>#N/A Requesting Data...</v>
      </c>
      <c r="K883" t="str">
        <f>_xll.BDP("544060EB Muni","MATURITY")</f>
        <v>#N/A Requesting Data...</v>
      </c>
      <c r="L883">
        <v>50000</v>
      </c>
      <c r="M883" t="str">
        <f>_xll.BDP("544060EB Muni","YIELD_ON_ISSUE_DATE")</f>
        <v>#N/A Requesting Data...</v>
      </c>
      <c r="N883" t="str">
        <f>_xll.BDP("544060EB Muni","YTW_SPREAD_TO_MATURITY_AT_ISSU")</f>
        <v>#N/A Requesting Data...</v>
      </c>
      <c r="O883" t="str">
        <f>_xll.BDP("544060EB Muni","BVAL_MID_YTM")</f>
        <v>#N/A Requesting Data...</v>
      </c>
      <c r="P883" t="str">
        <f>_xll.BDP("544060EB Muni","MUNI_TAX_PROV")</f>
        <v>#N/A Requesting Data...</v>
      </c>
      <c r="Q883" t="str">
        <f>_xll.BDP("544060EB Muni","MUNI_FED_TAX")</f>
        <v>#N/A Requesting Data...</v>
      </c>
      <c r="R883" t="str">
        <f>_xll.BDP("544060EB Muni","MUNI_MSRB_VOLUME")</f>
        <v>#N/A Requesting Data...</v>
      </c>
      <c r="S883" t="str">
        <f>_xll.BDP("544060EB Muni","BB_COMPOSITE")</f>
        <v>#N/A Requesting Data...</v>
      </c>
      <c r="T883" t="str">
        <f>_xll.BDP("544060EB Muni","LQA_LIQUIDITY_SCORE")</f>
        <v>#N/A Requesting Data...</v>
      </c>
    </row>
    <row r="884" spans="1:20" x14ac:dyDescent="0.25">
      <c r="A884" t="str">
        <f>_xll.BDP("544060FB Muni","ID_CUSIP")</f>
        <v>#N/A Requesting Data...</v>
      </c>
      <c r="B884" t="s">
        <v>332</v>
      </c>
      <c r="C884" t="str">
        <f>_xll.BDP("544060FB Muni","INSURANCE_STATUS")</f>
        <v>#N/A Requesting Data...</v>
      </c>
      <c r="D884" t="str">
        <f>_xll.BDP("544060FB Muni","STATE_CODE")</f>
        <v>#N/A Requesting Data...</v>
      </c>
      <c r="E884" t="str">
        <f>_xll.BDP("544060FB Muni","COUNTY_LOCATION_ISSUER")</f>
        <v>#N/A Requesting Data...</v>
      </c>
      <c r="F884" t="str">
        <f>_xll.BDP("544060FB Muni","DUR_ADJ_MID")</f>
        <v>#N/A Requesting Data...</v>
      </c>
      <c r="G884" t="str">
        <f>_xll.BDP("544060FB Muni","SPREAD_AT_ISSUANCE_TO_WORST")</f>
        <v>#N/A Requesting Data...</v>
      </c>
      <c r="H884" t="str">
        <f>_xll.BDP("544060FB Muni","ISSUE_DT")</f>
        <v>#N/A Requesting Data...</v>
      </c>
      <c r="I884" t="str">
        <f>_xll.BDS("544060FB Muni","MUNI_PURPOSE_SCHED", "aggregate=y")</f>
        <v>#N/A Review</v>
      </c>
      <c r="J884" t="str">
        <f>_xll.BDP("544060FB Muni","CPN")</f>
        <v>#N/A Requesting Data...</v>
      </c>
      <c r="K884" t="str">
        <f>_xll.BDP("544060FB Muni","MATURITY")</f>
        <v>#N/A Requesting Data...</v>
      </c>
      <c r="L884">
        <v>40000</v>
      </c>
      <c r="M884" t="str">
        <f>_xll.BDP("544060FB Muni","YIELD_ON_ISSUE_DATE")</f>
        <v>#N/A Requesting Data...</v>
      </c>
      <c r="N884" t="str">
        <f>_xll.BDP("544060FB Muni","YTW_SPREAD_TO_MATURITY_AT_ISSU")</f>
        <v>#N/A Requesting Data...</v>
      </c>
      <c r="O884" t="str">
        <f>_xll.BDP("544060FB Muni","BVAL_MID_YTM")</f>
        <v>#N/A Requesting Data...</v>
      </c>
      <c r="P884" t="str">
        <f>_xll.BDP("544060FB Muni","MUNI_TAX_PROV")</f>
        <v>#N/A Requesting Data...</v>
      </c>
      <c r="Q884" t="str">
        <f>_xll.BDP("544060FB Muni","MUNI_FED_TAX")</f>
        <v>#N/A Requesting Data...</v>
      </c>
      <c r="R884" t="str">
        <f>_xll.BDP("544060FB Muni","MUNI_MSRB_VOLUME")</f>
        <v>#N/A Requesting Data...</v>
      </c>
      <c r="S884" t="str">
        <f>_xll.BDP("544060FB Muni","BB_COMPOSITE")</f>
        <v>#N/A Requesting Data...</v>
      </c>
      <c r="T884" t="str">
        <f>_xll.BDP("544060FB Muni","LQA_LIQUIDITY_SCORE")</f>
        <v>#N/A Requesting Data...</v>
      </c>
    </row>
    <row r="885" spans="1:20" x14ac:dyDescent="0.25">
      <c r="A885" t="str">
        <f>_xll.BDP("544060DZ Muni","ID_CUSIP")</f>
        <v>#N/A Requesting Data...</v>
      </c>
      <c r="B885" t="s">
        <v>332</v>
      </c>
      <c r="C885" t="str">
        <f>_xll.BDP("544060DZ Muni","INSURANCE_STATUS")</f>
        <v>#N/A Requesting Data...</v>
      </c>
      <c r="D885" t="str">
        <f>_xll.BDP("544060DZ Muni","STATE_CODE")</f>
        <v>#N/A Requesting Data...</v>
      </c>
      <c r="E885" t="str">
        <f>_xll.BDP("544060DZ Muni","COUNTY_LOCATION_ISSUER")</f>
        <v>#N/A Requesting Data...</v>
      </c>
      <c r="F885" t="str">
        <f>_xll.BDP("544060DZ Muni","DUR_ADJ_MID")</f>
        <v>#N/A Requesting Data...</v>
      </c>
      <c r="G885" t="str">
        <f>_xll.BDP("544060DZ Muni","SPREAD_AT_ISSUANCE_TO_WORST")</f>
        <v>#N/A Requesting Data...</v>
      </c>
      <c r="H885" t="str">
        <f>_xll.BDP("544060DZ Muni","ISSUE_DT")</f>
        <v>#N/A Requesting Data...</v>
      </c>
      <c r="I885" t="str">
        <f>_xll.BDS("544060DZ Muni","MUNI_PURPOSE_SCHED", "aggregate=y")</f>
        <v>#N/A Review</v>
      </c>
      <c r="J885" t="str">
        <f>_xll.BDP("544060DZ Muni","CPN")</f>
        <v>#N/A Requesting Data...</v>
      </c>
      <c r="K885" t="str">
        <f>_xll.BDP("544060DZ Muni","MATURITY")</f>
        <v>#N/A Requesting Data...</v>
      </c>
      <c r="L885">
        <v>50000</v>
      </c>
      <c r="M885" t="str">
        <f>_xll.BDP("544060DZ Muni","YIELD_ON_ISSUE_DATE")</f>
        <v>#N/A Requesting Data...</v>
      </c>
      <c r="N885" t="str">
        <f>_xll.BDP("544060DZ Muni","YTW_SPREAD_TO_MATURITY_AT_ISSU")</f>
        <v>#N/A Requesting Data...</v>
      </c>
      <c r="O885" t="str">
        <f>_xll.BDP("544060DZ Muni","BVAL_MID_YTM")</f>
        <v>#N/A Requesting Data...</v>
      </c>
      <c r="P885" t="str">
        <f>_xll.BDP("544060DZ Muni","MUNI_TAX_PROV")</f>
        <v>#N/A Requesting Data...</v>
      </c>
      <c r="Q885" t="str">
        <f>_xll.BDP("544060DZ Muni","MUNI_FED_TAX")</f>
        <v>#N/A Requesting Data...</v>
      </c>
      <c r="R885" t="str">
        <f>_xll.BDP("544060DZ Muni","MUNI_MSRB_VOLUME")</f>
        <v>#N/A Requesting Data...</v>
      </c>
      <c r="S885" t="str">
        <f>_xll.BDP("544060DZ Muni","BB_COMPOSITE")</f>
        <v>#N/A Requesting Data...</v>
      </c>
      <c r="T885" t="str">
        <f>_xll.BDP("544060DZ Muni","LQA_LIQUIDITY_SCORE")</f>
        <v>#N/A Requesting Data...</v>
      </c>
    </row>
    <row r="886" spans="1:20" x14ac:dyDescent="0.25">
      <c r="A886" t="str">
        <f>_xll.BDP("544060EZ Muni","ID_CUSIP")</f>
        <v>#N/A Requesting Data...</v>
      </c>
      <c r="B886" t="s">
        <v>332</v>
      </c>
      <c r="C886" t="str">
        <f>_xll.BDP("544060EZ Muni","INSURANCE_STATUS")</f>
        <v>#N/A Requesting Data...</v>
      </c>
      <c r="D886" t="str">
        <f>_xll.BDP("544060EZ Muni","STATE_CODE")</f>
        <v>#N/A Requesting Data...</v>
      </c>
      <c r="E886" t="str">
        <f>_xll.BDP("544060EZ Muni","COUNTY_LOCATION_ISSUER")</f>
        <v>#N/A Requesting Data...</v>
      </c>
      <c r="F886" t="str">
        <f>_xll.BDP("544060EZ Muni","DUR_ADJ_MID")</f>
        <v>#N/A Requesting Data...</v>
      </c>
      <c r="G886" t="str">
        <f>_xll.BDP("544060EZ Muni","SPREAD_AT_ISSUANCE_TO_WORST")</f>
        <v>#N/A Requesting Data...</v>
      </c>
      <c r="H886" t="str">
        <f>_xll.BDP("544060EZ Muni","ISSUE_DT")</f>
        <v>#N/A Requesting Data...</v>
      </c>
      <c r="I886" t="str">
        <f>_xll.BDS("544060EZ Muni","MUNI_PURPOSE_SCHED", "aggregate=y")</f>
        <v>#N/A Review</v>
      </c>
      <c r="J886" t="str">
        <f>_xll.BDP("544060EZ Muni","CPN")</f>
        <v>#N/A Requesting Data...</v>
      </c>
      <c r="K886" t="str">
        <f>_xll.BDP("544060EZ Muni","MATURITY")</f>
        <v>#N/A Requesting Data...</v>
      </c>
      <c r="L886">
        <v>40000</v>
      </c>
      <c r="M886" t="str">
        <f>_xll.BDP("544060EZ Muni","YIELD_ON_ISSUE_DATE")</f>
        <v>#N/A Requesting Data...</v>
      </c>
      <c r="N886" t="str">
        <f>_xll.BDP("544060EZ Muni","YTW_SPREAD_TO_MATURITY_AT_ISSU")</f>
        <v>#N/A Requesting Data...</v>
      </c>
      <c r="O886" t="str">
        <f>_xll.BDP("544060EZ Muni","BVAL_MID_YTM")</f>
        <v>#N/A Requesting Data...</v>
      </c>
      <c r="P886" t="str">
        <f>_xll.BDP("544060EZ Muni","MUNI_TAX_PROV")</f>
        <v>#N/A Requesting Data...</v>
      </c>
      <c r="Q886" t="str">
        <f>_xll.BDP("544060EZ Muni","MUNI_FED_TAX")</f>
        <v>#N/A Requesting Data...</v>
      </c>
      <c r="R886" t="str">
        <f>_xll.BDP("544060EZ Muni","MUNI_MSRB_VOLUME")</f>
        <v>#N/A Requesting Data...</v>
      </c>
      <c r="S886" t="str">
        <f>_xll.BDP("544060EZ Muni","BB_COMPOSITE")</f>
        <v>#N/A Requesting Data...</v>
      </c>
      <c r="T886" t="str">
        <f>_xll.BDP("544060EZ Muni","LQA_LIQUIDITY_SCORE")</f>
        <v>#N/A Requesting Data...</v>
      </c>
    </row>
    <row r="887" spans="1:20" x14ac:dyDescent="0.25">
      <c r="A887" t="str">
        <f>_xll.BDP("544060FA Muni","ID_CUSIP")</f>
        <v>#N/A Requesting Data...</v>
      </c>
      <c r="B887" t="s">
        <v>332</v>
      </c>
      <c r="C887" t="str">
        <f>_xll.BDP("544060FA Muni","INSURANCE_STATUS")</f>
        <v>#N/A Requesting Data...</v>
      </c>
      <c r="D887" t="str">
        <f>_xll.BDP("544060FA Muni","STATE_CODE")</f>
        <v>#N/A Requesting Data...</v>
      </c>
      <c r="E887" t="str">
        <f>_xll.BDP("544060FA Muni","COUNTY_LOCATION_ISSUER")</f>
        <v>#N/A Requesting Data...</v>
      </c>
      <c r="F887" t="str">
        <f>_xll.BDP("544060FA Muni","DUR_ADJ_MID")</f>
        <v>#N/A Requesting Data...</v>
      </c>
      <c r="G887" t="str">
        <f>_xll.BDP("544060FA Muni","SPREAD_AT_ISSUANCE_TO_WORST")</f>
        <v>#N/A Requesting Data...</v>
      </c>
      <c r="H887" t="str">
        <f>_xll.BDP("544060FA Muni","ISSUE_DT")</f>
        <v>#N/A Requesting Data...</v>
      </c>
      <c r="I887" t="str">
        <f>_xll.BDS("544060FA Muni","MUNI_PURPOSE_SCHED", "aggregate=y")</f>
        <v>#N/A Review</v>
      </c>
      <c r="J887" t="str">
        <f>_xll.BDP("544060FA Muni","CPN")</f>
        <v>#N/A Requesting Data...</v>
      </c>
      <c r="K887" t="str">
        <f>_xll.BDP("544060FA Muni","MATURITY")</f>
        <v>#N/A Requesting Data...</v>
      </c>
      <c r="L887">
        <v>40000</v>
      </c>
      <c r="M887" t="str">
        <f>_xll.BDP("544060FA Muni","YIELD_ON_ISSUE_DATE")</f>
        <v>#N/A Requesting Data...</v>
      </c>
      <c r="N887" t="str">
        <f>_xll.BDP("544060FA Muni","YTW_SPREAD_TO_MATURITY_AT_ISSU")</f>
        <v>#N/A Requesting Data...</v>
      </c>
      <c r="O887" t="str">
        <f>_xll.BDP("544060FA Muni","BVAL_MID_YTM")</f>
        <v>#N/A Requesting Data...</v>
      </c>
      <c r="P887" t="str">
        <f>_xll.BDP("544060FA Muni","MUNI_TAX_PROV")</f>
        <v>#N/A Requesting Data...</v>
      </c>
      <c r="Q887" t="str">
        <f>_xll.BDP("544060FA Muni","MUNI_FED_TAX")</f>
        <v>#N/A Requesting Data...</v>
      </c>
      <c r="R887" t="str">
        <f>_xll.BDP("544060FA Muni","MUNI_MSRB_VOLUME")</f>
        <v>#N/A Requesting Data...</v>
      </c>
      <c r="S887" t="str">
        <f>_xll.BDP("544060FA Muni","BB_COMPOSITE")</f>
        <v>#N/A Requesting Data...</v>
      </c>
      <c r="T887" t="str">
        <f>_xll.BDP("544060FA Muni","LQA_LIQUIDITY_SCORE")</f>
        <v>#N/A Requesting Data...</v>
      </c>
    </row>
    <row r="888" spans="1:20" x14ac:dyDescent="0.25">
      <c r="A888" t="str">
        <f>_xll.BDP("544060FC Muni","ID_CUSIP")</f>
        <v>#N/A Requesting Data...</v>
      </c>
      <c r="B888" t="s">
        <v>332</v>
      </c>
      <c r="C888" t="str">
        <f>_xll.BDP("544060FC Muni","INSURANCE_STATUS")</f>
        <v>#N/A Requesting Data...</v>
      </c>
      <c r="D888" t="str">
        <f>_xll.BDP("544060FC Muni","STATE_CODE")</f>
        <v>#N/A Requesting Data...</v>
      </c>
      <c r="E888" t="str">
        <f>_xll.BDP("544060FC Muni","COUNTY_LOCATION_ISSUER")</f>
        <v>#N/A Requesting Data...</v>
      </c>
      <c r="F888" t="str">
        <f>_xll.BDP("544060FC Muni","DUR_ADJ_MID")</f>
        <v>#N/A Requesting Data...</v>
      </c>
      <c r="G888" t="str">
        <f>_xll.BDP("544060FC Muni","SPREAD_AT_ISSUANCE_TO_WORST")</f>
        <v>#N/A Requesting Data...</v>
      </c>
      <c r="H888" t="str">
        <f>_xll.BDP("544060FC Muni","ISSUE_DT")</f>
        <v>#N/A Requesting Data...</v>
      </c>
      <c r="I888" t="str">
        <f>_xll.BDS("544060FC Muni","MUNI_PURPOSE_SCHED", "aggregate=y")</f>
        <v>#N/A Review</v>
      </c>
      <c r="J888" t="str">
        <f>_xll.BDP("544060FC Muni","CPN")</f>
        <v>#N/A Requesting Data...</v>
      </c>
      <c r="K888" t="str">
        <f>_xll.BDP("544060FC Muni","MATURITY")</f>
        <v>#N/A Requesting Data...</v>
      </c>
      <c r="L888">
        <v>45000</v>
      </c>
      <c r="M888" t="str">
        <f>_xll.BDP("544060FC Muni","YIELD_ON_ISSUE_DATE")</f>
        <v>#N/A Requesting Data...</v>
      </c>
      <c r="N888" t="str">
        <f>_xll.BDP("544060FC Muni","YTW_SPREAD_TO_MATURITY_AT_ISSU")</f>
        <v>#N/A Requesting Data...</v>
      </c>
      <c r="O888" t="str">
        <f>_xll.BDP("544060FC Muni","BVAL_MID_YTM")</f>
        <v>#N/A Requesting Data...</v>
      </c>
      <c r="P888" t="str">
        <f>_xll.BDP("544060FC Muni","MUNI_TAX_PROV")</f>
        <v>#N/A Requesting Data...</v>
      </c>
      <c r="Q888" t="str">
        <f>_xll.BDP("544060FC Muni","MUNI_FED_TAX")</f>
        <v>#N/A Requesting Data...</v>
      </c>
      <c r="R888" t="str">
        <f>_xll.BDP("544060FC Muni","MUNI_MSRB_VOLUME")</f>
        <v>#N/A Requesting Data...</v>
      </c>
      <c r="S888" t="str">
        <f>_xll.BDP("544060FC Muni","BB_COMPOSITE")</f>
        <v>#N/A Requesting Data...</v>
      </c>
      <c r="T888" t="str">
        <f>_xll.BDP("544060FC Muni","LQA_LIQUIDITY_SCORE")</f>
        <v>#N/A Requesting Data...</v>
      </c>
    </row>
    <row r="889" spans="1:20" x14ac:dyDescent="0.25">
      <c r="A889" t="str">
        <f>_xll.BDP("38527UHA Muni","ID_CUSIP")</f>
        <v>#N/A Requesting Data...</v>
      </c>
      <c r="B889" t="s">
        <v>300</v>
      </c>
      <c r="C889" t="str">
        <f>_xll.BDP("38527UHA Muni","INSURANCE_STATUS")</f>
        <v>#N/A Requesting Data...</v>
      </c>
      <c r="D889" t="str">
        <f>_xll.BDP("38527UHA Muni","STATE_CODE")</f>
        <v>#N/A Requesting Data...</v>
      </c>
      <c r="E889" t="str">
        <f>_xll.BDP("38527UHA Muni","COUNTY_LOCATION_ISSUER")</f>
        <v>#N/A Requesting Data...</v>
      </c>
      <c r="F889" t="str">
        <f>_xll.BDP("38527UHA Muni","DUR_ADJ_MID")</f>
        <v>#N/A Requesting Data...</v>
      </c>
      <c r="G889" t="str">
        <f>_xll.BDP("38527UHA Muni","SPREAD_AT_ISSUANCE_TO_WORST")</f>
        <v>#N/A Requesting Data...</v>
      </c>
      <c r="H889" t="str">
        <f>_xll.BDP("38527UHA Muni","ISSUE_DT")</f>
        <v>#N/A Requesting Data...</v>
      </c>
      <c r="I889" t="str">
        <f>_xll.BDS("38527UHA Muni","MUNI_PURPOSE_SCHED", "aggregate=y")</f>
        <v>#N/A Review</v>
      </c>
      <c r="J889" t="str">
        <f>_xll.BDP("38527UHA Muni","CPN")</f>
        <v>#N/A Requesting Data...</v>
      </c>
      <c r="K889" t="str">
        <f>_xll.BDP("38527UHA Muni","MATURITY")</f>
        <v>#N/A Requesting Data...</v>
      </c>
      <c r="L889">
        <v>975000</v>
      </c>
      <c r="M889" t="str">
        <f>_xll.BDP("38527UHA Muni","YIELD_ON_ISSUE_DATE")</f>
        <v>#N/A Requesting Data...</v>
      </c>
      <c r="N889" t="str">
        <f>_xll.BDP("38527UHA Muni","YTW_SPREAD_TO_MATURITY_AT_ISSU")</f>
        <v>#N/A Requesting Data...</v>
      </c>
      <c r="O889" t="str">
        <f>_xll.BDP("38527UHA Muni","BVAL_MID_YTM")</f>
        <v>#N/A Requesting Data...</v>
      </c>
      <c r="P889" t="str">
        <f>_xll.BDP("38527UHA Muni","MUNI_TAX_PROV")</f>
        <v>#N/A Requesting Data...</v>
      </c>
      <c r="Q889" t="str">
        <f>_xll.BDP("38527UHA Muni","MUNI_FED_TAX")</f>
        <v>#N/A Requesting Data...</v>
      </c>
      <c r="R889" t="str">
        <f>_xll.BDP("38527UHA Muni","MUNI_MSRB_VOLUME")</f>
        <v>#N/A Requesting Data...</v>
      </c>
      <c r="S889" t="str">
        <f>_xll.BDP("38527UHA Muni","BB_COMPOSITE")</f>
        <v>#N/A Requesting Data...</v>
      </c>
      <c r="T889" t="str">
        <f>_xll.BDP("38527UHA Muni","LQA_LIQUIDITY_SCORE")</f>
        <v>#N/A Requesting Data...</v>
      </c>
    </row>
    <row r="890" spans="1:20" x14ac:dyDescent="0.25">
      <c r="A890" t="str">
        <f>_xll.BDP("38527UHC Muni","ID_CUSIP")</f>
        <v>#N/A Requesting Data...</v>
      </c>
      <c r="B890" t="s">
        <v>300</v>
      </c>
      <c r="C890" t="str">
        <f>_xll.BDP("38527UHC Muni","INSURANCE_STATUS")</f>
        <v>#N/A Requesting Data...</v>
      </c>
      <c r="D890" t="str">
        <f>_xll.BDP("38527UHC Muni","STATE_CODE")</f>
        <v>#N/A Requesting Data...</v>
      </c>
      <c r="E890" t="str">
        <f>_xll.BDP("38527UHC Muni","COUNTY_LOCATION_ISSUER")</f>
        <v>#N/A Requesting Data...</v>
      </c>
      <c r="F890" t="str">
        <f>_xll.BDP("38527UHC Muni","DUR_ADJ_MID")</f>
        <v>#N/A Requesting Data...</v>
      </c>
      <c r="G890" t="str">
        <f>_xll.BDP("38527UHC Muni","SPREAD_AT_ISSUANCE_TO_WORST")</f>
        <v>#N/A Requesting Data...</v>
      </c>
      <c r="H890" t="str">
        <f>_xll.BDP("38527UHC Muni","ISSUE_DT")</f>
        <v>#N/A Requesting Data...</v>
      </c>
      <c r="I890" t="str">
        <f>_xll.BDS("38527UHC Muni","MUNI_PURPOSE_SCHED", "aggregate=y")</f>
        <v>#N/A Review</v>
      </c>
      <c r="J890" t="str">
        <f>_xll.BDP("38527UHC Muni","CPN")</f>
        <v>#N/A Requesting Data...</v>
      </c>
      <c r="K890" t="str">
        <f>_xll.BDP("38527UHC Muni","MATURITY")</f>
        <v>#N/A Requesting Data...</v>
      </c>
      <c r="L890">
        <v>1020000</v>
      </c>
      <c r="M890" t="str">
        <f>_xll.BDP("38527UHC Muni","YIELD_ON_ISSUE_DATE")</f>
        <v>#N/A Requesting Data...</v>
      </c>
      <c r="N890" t="str">
        <f>_xll.BDP("38527UHC Muni","YTW_SPREAD_TO_MATURITY_AT_ISSU")</f>
        <v>#N/A Requesting Data...</v>
      </c>
      <c r="O890" t="str">
        <f>_xll.BDP("38527UHC Muni","BVAL_MID_YTM")</f>
        <v>#N/A Requesting Data...</v>
      </c>
      <c r="P890" t="str">
        <f>_xll.BDP("38527UHC Muni","MUNI_TAX_PROV")</f>
        <v>#N/A Requesting Data...</v>
      </c>
      <c r="Q890" t="str">
        <f>_xll.BDP("38527UHC Muni","MUNI_FED_TAX")</f>
        <v>#N/A Requesting Data...</v>
      </c>
      <c r="R890" t="str">
        <f>_xll.BDP("38527UHC Muni","MUNI_MSRB_VOLUME")</f>
        <v>#N/A Requesting Data...</v>
      </c>
      <c r="S890" t="str">
        <f>_xll.BDP("38527UHC Muni","BB_COMPOSITE")</f>
        <v>#N/A Requesting Data...</v>
      </c>
      <c r="T890" t="str">
        <f>_xll.BDP("38527UHC Muni","LQA_LIQUIDITY_SCORE")</f>
        <v>#N/A Requesting Data...</v>
      </c>
    </row>
    <row r="891" spans="1:20" x14ac:dyDescent="0.25">
      <c r="A891" t="str">
        <f>_xll.BDP("259687KV Muni","ID_CUSIP")</f>
        <v>#N/A Requesting Data...</v>
      </c>
      <c r="B891" t="s">
        <v>333</v>
      </c>
      <c r="C891" t="str">
        <f>_xll.BDP("259687KV Muni","INSURANCE_STATUS")</f>
        <v>#N/A Requesting Data...</v>
      </c>
      <c r="D891" t="str">
        <f>_xll.BDP("259687KV Muni","STATE_CODE")</f>
        <v>#N/A Requesting Data...</v>
      </c>
      <c r="E891" t="str">
        <f>_xll.BDP("259687KV Muni","COUNTY_LOCATION_ISSUER")</f>
        <v>#N/A Requesting Data...</v>
      </c>
      <c r="F891" t="str">
        <f>_xll.BDP("259687KV Muni","DUR_ADJ_MID")</f>
        <v>#N/A Requesting Data...</v>
      </c>
      <c r="G891" t="str">
        <f>_xll.BDP("259687KV Muni","SPREAD_AT_ISSUANCE_TO_WORST")</f>
        <v>#N/A Requesting Data...</v>
      </c>
      <c r="H891" t="str">
        <f>_xll.BDP("259687KV Muni","ISSUE_DT")</f>
        <v>#N/A Requesting Data...</v>
      </c>
      <c r="I891" t="str">
        <f>_xll.BDS("259687KV Muni","MUNI_PURPOSE_SCHED", "aggregate=y")</f>
        <v>#N/A Review</v>
      </c>
      <c r="J891" t="str">
        <f>_xll.BDP("259687KV Muni","CPN")</f>
        <v>#N/A Requesting Data...</v>
      </c>
      <c r="K891" t="str">
        <f>_xll.BDP("259687KV Muni","MATURITY")</f>
        <v>#N/A Requesting Data...</v>
      </c>
      <c r="L891">
        <v>340000</v>
      </c>
      <c r="M891" t="str">
        <f>_xll.BDP("259687KV Muni","YIELD_ON_ISSUE_DATE")</f>
        <v>#N/A Requesting Data...</v>
      </c>
      <c r="N891" t="str">
        <f>_xll.BDP("259687KV Muni","YTW_SPREAD_TO_MATURITY_AT_ISSU")</f>
        <v>#N/A Requesting Data...</v>
      </c>
      <c r="O891" t="str">
        <f>_xll.BDP("259687KV Muni","BVAL_MID_YTM")</f>
        <v>#N/A Requesting Data...</v>
      </c>
      <c r="P891" t="str">
        <f>_xll.BDP("259687KV Muni","MUNI_TAX_PROV")</f>
        <v>#N/A Requesting Data...</v>
      </c>
      <c r="Q891" t="str">
        <f>_xll.BDP("259687KV Muni","MUNI_FED_TAX")</f>
        <v>#N/A Requesting Data...</v>
      </c>
      <c r="R891" t="str">
        <f>_xll.BDP("259687KV Muni","MUNI_MSRB_VOLUME")</f>
        <v>#N/A Requesting Data...</v>
      </c>
      <c r="S891" t="str">
        <f>_xll.BDP("259687KV Muni","BB_COMPOSITE")</f>
        <v>#N/A Requesting Data...</v>
      </c>
      <c r="T891" t="str">
        <f>_xll.BDP("259687KV Muni","LQA_LIQUIDITY_SCORE")</f>
        <v>#N/A Requesting Data...</v>
      </c>
    </row>
    <row r="892" spans="1:20" x14ac:dyDescent="0.25">
      <c r="A892" t="str">
        <f>_xll.BDP("263713B4 Muni","ID_CUSIP")</f>
        <v>#N/A Requesting Data...</v>
      </c>
      <c r="B892" t="s">
        <v>334</v>
      </c>
      <c r="C892" t="str">
        <f>_xll.BDP("263713B4 Muni","INSURANCE_STATUS")</f>
        <v>#N/A Requesting Data...</v>
      </c>
      <c r="D892" t="str">
        <f>_xll.BDP("263713B4 Muni","STATE_CODE")</f>
        <v>#N/A Requesting Data...</v>
      </c>
      <c r="E892" t="str">
        <f>_xll.BDP("263713B4 Muni","COUNTY_LOCATION_ISSUER")</f>
        <v>#N/A Requesting Data...</v>
      </c>
      <c r="F892" t="str">
        <f>_xll.BDP("263713B4 Muni","DUR_ADJ_MID")</f>
        <v>#N/A Requesting Data...</v>
      </c>
      <c r="G892" t="str">
        <f>_xll.BDP("263713B4 Muni","SPREAD_AT_ISSUANCE_TO_WORST")</f>
        <v>#N/A Requesting Data...</v>
      </c>
      <c r="H892" t="str">
        <f>_xll.BDP("263713B4 Muni","ISSUE_DT")</f>
        <v>#N/A Requesting Data...</v>
      </c>
      <c r="I892" t="str">
        <f>_xll.BDS("263713B4 Muni","MUNI_PURPOSE_SCHED", "aggregate=y")</f>
        <v>#N/A Review</v>
      </c>
      <c r="J892" t="str">
        <f>_xll.BDP("263713B4 Muni","CPN")</f>
        <v>#N/A Requesting Data...</v>
      </c>
      <c r="K892" t="str">
        <f>_xll.BDP("263713B4 Muni","MATURITY")</f>
        <v>#N/A Requesting Data...</v>
      </c>
      <c r="L892">
        <v>410000</v>
      </c>
      <c r="M892" t="str">
        <f>_xll.BDP("263713B4 Muni","YIELD_ON_ISSUE_DATE")</f>
        <v>#N/A Requesting Data...</v>
      </c>
      <c r="N892" t="str">
        <f>_xll.BDP("263713B4 Muni","YTW_SPREAD_TO_MATURITY_AT_ISSU")</f>
        <v>#N/A Requesting Data...</v>
      </c>
      <c r="O892" t="str">
        <f>_xll.BDP("263713B4 Muni","BVAL_MID_YTM")</f>
        <v>#N/A Requesting Data...</v>
      </c>
      <c r="P892" t="str">
        <f>_xll.BDP("263713B4 Muni","MUNI_TAX_PROV")</f>
        <v>#N/A Requesting Data...</v>
      </c>
      <c r="Q892" t="str">
        <f>_xll.BDP("263713B4 Muni","MUNI_FED_TAX")</f>
        <v>#N/A Requesting Data...</v>
      </c>
      <c r="R892" t="str">
        <f>_xll.BDP("263713B4 Muni","MUNI_MSRB_VOLUME")</f>
        <v>#N/A Requesting Data...</v>
      </c>
      <c r="S892" t="str">
        <f>_xll.BDP("263713B4 Muni","BB_COMPOSITE")</f>
        <v>#N/A Requesting Data...</v>
      </c>
      <c r="T892" t="str">
        <f>_xll.BDP("263713B4 Muni","LQA_LIQUIDITY_SCORE")</f>
        <v>#N/A Requesting Data...</v>
      </c>
    </row>
    <row r="893" spans="1:20" x14ac:dyDescent="0.25">
      <c r="A893" t="str">
        <f>_xll.BDP("263713B6 Muni","ID_CUSIP")</f>
        <v>#N/A Requesting Data...</v>
      </c>
      <c r="B893" t="s">
        <v>334</v>
      </c>
      <c r="C893" t="str">
        <f>_xll.BDP("263713B6 Muni","INSURANCE_STATUS")</f>
        <v>#N/A Requesting Data...</v>
      </c>
      <c r="D893" t="str">
        <f>_xll.BDP("263713B6 Muni","STATE_CODE")</f>
        <v>#N/A Requesting Data...</v>
      </c>
      <c r="E893" t="str">
        <f>_xll.BDP("263713B6 Muni","COUNTY_LOCATION_ISSUER")</f>
        <v>#N/A Requesting Data...</v>
      </c>
      <c r="F893" t="str">
        <f>_xll.BDP("263713B6 Muni","DUR_ADJ_MID")</f>
        <v>#N/A Requesting Data...</v>
      </c>
      <c r="G893" t="str">
        <f>_xll.BDP("263713B6 Muni","SPREAD_AT_ISSUANCE_TO_WORST")</f>
        <v>#N/A Requesting Data...</v>
      </c>
      <c r="H893" t="str">
        <f>_xll.BDP("263713B6 Muni","ISSUE_DT")</f>
        <v>#N/A Requesting Data...</v>
      </c>
      <c r="I893" t="str">
        <f>_xll.BDS("263713B6 Muni","MUNI_PURPOSE_SCHED", "aggregate=y")</f>
        <v>#N/A Review</v>
      </c>
      <c r="J893" t="str">
        <f>_xll.BDP("263713B6 Muni","CPN")</f>
        <v>#N/A Requesting Data...</v>
      </c>
      <c r="K893" t="str">
        <f>_xll.BDP("263713B6 Muni","MATURITY")</f>
        <v>#N/A Requesting Data...</v>
      </c>
      <c r="L893">
        <v>440000</v>
      </c>
      <c r="M893" t="str">
        <f>_xll.BDP("263713B6 Muni","YIELD_ON_ISSUE_DATE")</f>
        <v>#N/A Requesting Data...</v>
      </c>
      <c r="N893" t="str">
        <f>_xll.BDP("263713B6 Muni","YTW_SPREAD_TO_MATURITY_AT_ISSU")</f>
        <v>#N/A Requesting Data...</v>
      </c>
      <c r="O893" t="str">
        <f>_xll.BDP("263713B6 Muni","BVAL_MID_YTM")</f>
        <v>#N/A Requesting Data...</v>
      </c>
      <c r="P893" t="str">
        <f>_xll.BDP("263713B6 Muni","MUNI_TAX_PROV")</f>
        <v>#N/A Requesting Data...</v>
      </c>
      <c r="Q893" t="str">
        <f>_xll.BDP("263713B6 Muni","MUNI_FED_TAX")</f>
        <v>#N/A Requesting Data...</v>
      </c>
      <c r="R893" t="str">
        <f>_xll.BDP("263713B6 Muni","MUNI_MSRB_VOLUME")</f>
        <v>#N/A Requesting Data...</v>
      </c>
      <c r="S893" t="str">
        <f>_xll.BDP("263713B6 Muni","BB_COMPOSITE")</f>
        <v>#N/A Requesting Data...</v>
      </c>
      <c r="T893" t="str">
        <f>_xll.BDP("263713B6 Muni","LQA_LIQUIDITY_SCORE")</f>
        <v>#N/A Requesting Data...</v>
      </c>
    </row>
    <row r="894" spans="1:20" x14ac:dyDescent="0.25">
      <c r="A894" t="str">
        <f>_xll.BDP("265543QE Muni","ID_CUSIP")</f>
        <v>#N/A Requesting Data...</v>
      </c>
      <c r="B894" t="s">
        <v>335</v>
      </c>
      <c r="C894" t="str">
        <f>_xll.BDP("265543QE Muni","INSURANCE_STATUS")</f>
        <v>#N/A Requesting Data...</v>
      </c>
      <c r="D894" t="str">
        <f>_xll.BDP("265543QE Muni","STATE_CODE")</f>
        <v>#N/A Requesting Data...</v>
      </c>
      <c r="E894" t="str">
        <f>_xll.BDP("265543QE Muni","COUNTY_LOCATION_ISSUER")</f>
        <v>#N/A Requesting Data...</v>
      </c>
      <c r="F894" t="str">
        <f>_xll.BDP("265543QE Muni","DUR_ADJ_MID")</f>
        <v>#N/A Requesting Data...</v>
      </c>
      <c r="G894" t="str">
        <f>_xll.BDP("265543QE Muni","SPREAD_AT_ISSUANCE_TO_WORST")</f>
        <v>#N/A Requesting Data...</v>
      </c>
      <c r="H894" t="str">
        <f>_xll.BDP("265543QE Muni","ISSUE_DT")</f>
        <v>#N/A Requesting Data...</v>
      </c>
      <c r="I894" t="str">
        <f>_xll.BDS("265543QE Muni","MUNI_PURPOSE_SCHED", "aggregate=y")</f>
        <v>#N/A Review</v>
      </c>
      <c r="J894" t="str">
        <f>_xll.BDP("265543QE Muni","CPN")</f>
        <v>#N/A Requesting Data...</v>
      </c>
      <c r="K894" t="str">
        <f>_xll.BDP("265543QE Muni","MATURITY")</f>
        <v>#N/A Requesting Data...</v>
      </c>
      <c r="L894">
        <v>210000</v>
      </c>
      <c r="M894" t="str">
        <f>_xll.BDP("265543QE Muni","YIELD_ON_ISSUE_DATE")</f>
        <v>#N/A Requesting Data...</v>
      </c>
      <c r="N894" t="str">
        <f>_xll.BDP("265543QE Muni","YTW_SPREAD_TO_MATURITY_AT_ISSU")</f>
        <v>#N/A Requesting Data...</v>
      </c>
      <c r="O894" t="str">
        <f>_xll.BDP("265543QE Muni","BVAL_MID_YTM")</f>
        <v>#N/A Requesting Data...</v>
      </c>
      <c r="P894" t="str">
        <f>_xll.BDP("265543QE Muni","MUNI_TAX_PROV")</f>
        <v>#N/A Requesting Data...</v>
      </c>
      <c r="Q894" t="str">
        <f>_xll.BDP("265543QE Muni","MUNI_FED_TAX")</f>
        <v>#N/A Requesting Data...</v>
      </c>
      <c r="R894" t="str">
        <f>_xll.BDP("265543QE Muni","MUNI_MSRB_VOLUME")</f>
        <v>#N/A Requesting Data...</v>
      </c>
      <c r="S894" t="str">
        <f>_xll.BDP("265543QE Muni","BB_COMPOSITE")</f>
        <v>#N/A Requesting Data...</v>
      </c>
      <c r="T894" t="str">
        <f>_xll.BDP("265543QE Muni","LQA_LIQUIDITY_SCORE")</f>
        <v>#N/A Requesting Data...</v>
      </c>
    </row>
    <row r="895" spans="1:20" x14ac:dyDescent="0.25">
      <c r="A895" t="str">
        <f>_xll.BDP("266518CX Muni","ID_CUSIP")</f>
        <v>#N/A Requesting Data...</v>
      </c>
      <c r="B895" t="s">
        <v>237</v>
      </c>
      <c r="C895" t="str">
        <f>_xll.BDP("266518CX Muni","INSURANCE_STATUS")</f>
        <v>#N/A Requesting Data...</v>
      </c>
      <c r="D895" t="str">
        <f>_xll.BDP("266518CX Muni","STATE_CODE")</f>
        <v>#N/A Requesting Data...</v>
      </c>
      <c r="E895" t="str">
        <f>_xll.BDP("266518CX Muni","COUNTY_LOCATION_ISSUER")</f>
        <v>#N/A Requesting Data...</v>
      </c>
      <c r="F895" t="str">
        <f>_xll.BDP("266518CX Muni","DUR_ADJ_MID")</f>
        <v>#N/A Requesting Data...</v>
      </c>
      <c r="G895" t="str">
        <f>_xll.BDP("266518CX Muni","SPREAD_AT_ISSUANCE_TO_WORST")</f>
        <v>#N/A Requesting Data...</v>
      </c>
      <c r="H895" t="str">
        <f>_xll.BDP("266518CX Muni","ISSUE_DT")</f>
        <v>#N/A Requesting Data...</v>
      </c>
      <c r="I895" t="str">
        <f>_xll.BDS("266518CX Muni","MUNI_PURPOSE_SCHED", "aggregate=y")</f>
        <v>#N/A Review</v>
      </c>
      <c r="J895" t="str">
        <f>_xll.BDP("266518CX Muni","CPN")</f>
        <v>#N/A Requesting Data...</v>
      </c>
      <c r="K895" t="str">
        <f>_xll.BDP("266518CX Muni","MATURITY")</f>
        <v>#N/A Requesting Data...</v>
      </c>
      <c r="L895">
        <v>230000</v>
      </c>
      <c r="M895" t="str">
        <f>_xll.BDP("266518CX Muni","YIELD_ON_ISSUE_DATE")</f>
        <v>#N/A Requesting Data...</v>
      </c>
      <c r="N895" t="str">
        <f>_xll.BDP("266518CX Muni","YTW_SPREAD_TO_MATURITY_AT_ISSU")</f>
        <v>#N/A Requesting Data...</v>
      </c>
      <c r="O895" t="str">
        <f>_xll.BDP("266518CX Muni","BVAL_MID_YTM")</f>
        <v>#N/A Requesting Data...</v>
      </c>
      <c r="P895" t="str">
        <f>_xll.BDP("266518CX Muni","MUNI_TAX_PROV")</f>
        <v>#N/A Requesting Data...</v>
      </c>
      <c r="Q895" t="str">
        <f>_xll.BDP("266518CX Muni","MUNI_FED_TAX")</f>
        <v>#N/A Requesting Data...</v>
      </c>
      <c r="R895" t="str">
        <f>_xll.BDP("266518CX Muni","MUNI_MSRB_VOLUME")</f>
        <v>#N/A Requesting Data...</v>
      </c>
      <c r="S895" t="str">
        <f>_xll.BDP("266518CX Muni","BB_COMPOSITE")</f>
        <v>#N/A Requesting Data...</v>
      </c>
      <c r="T895" t="str">
        <f>_xll.BDP("266518CX Muni","LQA_LIQUIDITY_SCORE")</f>
        <v>#N/A Requesting Data...</v>
      </c>
    </row>
    <row r="896" spans="1:20" x14ac:dyDescent="0.25">
      <c r="A896" t="str">
        <f>_xll.BDP("558272DE Muni","ID_CUSIP")</f>
        <v>#N/A Requesting Data...</v>
      </c>
      <c r="B896" t="s">
        <v>336</v>
      </c>
      <c r="C896" t="str">
        <f>_xll.BDP("558272DE Muni","INSURANCE_STATUS")</f>
        <v>#N/A Requesting Data...</v>
      </c>
      <c r="D896" t="str">
        <f>_xll.BDP("558272DE Muni","STATE_CODE")</f>
        <v>#N/A Requesting Data...</v>
      </c>
      <c r="E896" t="str">
        <f>_xll.BDP("558272DE Muni","COUNTY_LOCATION_ISSUER")</f>
        <v>#N/A Requesting Data...</v>
      </c>
      <c r="F896" t="str">
        <f>_xll.BDP("558272DE Muni","DUR_ADJ_MID")</f>
        <v>#N/A Requesting Data...</v>
      </c>
      <c r="G896" t="str">
        <f>_xll.BDP("558272DE Muni","SPREAD_AT_ISSUANCE_TO_WORST")</f>
        <v>#N/A Requesting Data...</v>
      </c>
      <c r="H896" t="str">
        <f>_xll.BDP("558272DE Muni","ISSUE_DT")</f>
        <v>#N/A Requesting Data...</v>
      </c>
      <c r="I896" t="str">
        <f>_xll.BDS("558272DE Muni","MUNI_PURPOSE_SCHED", "aggregate=y")</f>
        <v>#N/A Review</v>
      </c>
      <c r="J896" t="str">
        <f>_xll.BDP("558272DE Muni","CPN")</f>
        <v>#N/A Requesting Data...</v>
      </c>
      <c r="K896" t="str">
        <f>_xll.BDP("558272DE Muni","MATURITY")</f>
        <v>#N/A Requesting Data...</v>
      </c>
      <c r="L896">
        <v>625000</v>
      </c>
      <c r="M896" t="str">
        <f>_xll.BDP("558272DE Muni","YIELD_ON_ISSUE_DATE")</f>
        <v>#N/A Requesting Data...</v>
      </c>
      <c r="N896" t="str">
        <f>_xll.BDP("558272DE Muni","YTW_SPREAD_TO_MATURITY_AT_ISSU")</f>
        <v>#N/A Requesting Data...</v>
      </c>
      <c r="O896" t="str">
        <f>_xll.BDP("558272DE Muni","BVAL_MID_YTM")</f>
        <v>#N/A Requesting Data...</v>
      </c>
      <c r="P896" t="str">
        <f>_xll.BDP("558272DE Muni","MUNI_TAX_PROV")</f>
        <v>#N/A Requesting Data...</v>
      </c>
      <c r="Q896" t="str">
        <f>_xll.BDP("558272DE Muni","MUNI_FED_TAX")</f>
        <v>#N/A Requesting Data...</v>
      </c>
      <c r="R896" t="str">
        <f>_xll.BDP("558272DE Muni","MUNI_MSRB_VOLUME")</f>
        <v>#N/A Requesting Data...</v>
      </c>
      <c r="S896" t="str">
        <f>_xll.BDP("558272DE Muni","BB_COMPOSITE")</f>
        <v>#N/A Requesting Data...</v>
      </c>
      <c r="T896" t="str">
        <f>_xll.BDP("558272DE Muni","LQA_LIQUIDITY_SCORE")</f>
        <v>#N/A Requesting Data...</v>
      </c>
    </row>
    <row r="897" spans="1:20" x14ac:dyDescent="0.25">
      <c r="A897" t="str">
        <f>_xll.BDP("558614GH Muni","ID_CUSIP")</f>
        <v>#N/A Requesting Data...</v>
      </c>
      <c r="B897" t="s">
        <v>41</v>
      </c>
      <c r="C897" t="str">
        <f>_xll.BDP("558614GH Muni","INSURANCE_STATUS")</f>
        <v>#N/A Requesting Data...</v>
      </c>
      <c r="D897" t="str">
        <f>_xll.BDP("558614GH Muni","STATE_CODE")</f>
        <v>#N/A Requesting Data...</v>
      </c>
      <c r="E897" t="str">
        <f>_xll.BDP("558614GH Muni","COUNTY_LOCATION_ISSUER")</f>
        <v>#N/A Requesting Data...</v>
      </c>
      <c r="F897" t="str">
        <f>_xll.BDP("558614GH Muni","DUR_ADJ_MID")</f>
        <v>#N/A Requesting Data...</v>
      </c>
      <c r="G897" t="str">
        <f>_xll.BDP("558614GH Muni","SPREAD_AT_ISSUANCE_TO_WORST")</f>
        <v>#N/A Requesting Data...</v>
      </c>
      <c r="H897" t="str">
        <f>_xll.BDP("558614GH Muni","ISSUE_DT")</f>
        <v>#N/A Requesting Data...</v>
      </c>
      <c r="I897" t="str">
        <f>_xll.BDS("558614GH Muni","MUNI_PURPOSE_SCHED", "aggregate=y")</f>
        <v>#N/A Review</v>
      </c>
      <c r="J897" t="str">
        <f>_xll.BDP("558614GH Muni","CPN")</f>
        <v>#N/A Requesting Data...</v>
      </c>
      <c r="K897" t="str">
        <f>_xll.BDP("558614GH Muni","MATURITY")</f>
        <v>#N/A Requesting Data...</v>
      </c>
      <c r="L897">
        <v>2320000</v>
      </c>
      <c r="M897" t="str">
        <f>_xll.BDP("558614GH Muni","YIELD_ON_ISSUE_DATE")</f>
        <v>#N/A Requesting Data...</v>
      </c>
      <c r="N897" t="str">
        <f>_xll.BDP("558614GH Muni","YTW_SPREAD_TO_MATURITY_AT_ISSU")</f>
        <v>#N/A Requesting Data...</v>
      </c>
      <c r="O897" t="str">
        <f>_xll.BDP("558614GH Muni","BVAL_MID_YTM")</f>
        <v>#N/A Requesting Data...</v>
      </c>
      <c r="P897" t="str">
        <f>_xll.BDP("558614GH Muni","MUNI_TAX_PROV")</f>
        <v>#N/A Requesting Data...</v>
      </c>
      <c r="Q897" t="str">
        <f>_xll.BDP("558614GH Muni","MUNI_FED_TAX")</f>
        <v>#N/A Requesting Data...</v>
      </c>
      <c r="R897" t="str">
        <f>_xll.BDP("558614GH Muni","MUNI_MSRB_VOLUME")</f>
        <v>#N/A Requesting Data...</v>
      </c>
      <c r="S897" t="str">
        <f>_xll.BDP("558614GH Muni","BB_COMPOSITE")</f>
        <v>#N/A Requesting Data...</v>
      </c>
      <c r="T897" t="str">
        <f>_xll.BDP("558614GH Muni","LQA_LIQUIDITY_SCORE")</f>
        <v>#N/A Requesting Data...</v>
      </c>
    </row>
    <row r="898" spans="1:20" x14ac:dyDescent="0.25">
      <c r="A898" t="str">
        <f>_xll.BDP("558614GJ Muni","ID_CUSIP")</f>
        <v>#N/A Requesting Data...</v>
      </c>
      <c r="B898" t="s">
        <v>41</v>
      </c>
      <c r="C898" t="str">
        <f>_xll.BDP("558614GJ Muni","INSURANCE_STATUS")</f>
        <v>#N/A Requesting Data...</v>
      </c>
      <c r="D898" t="str">
        <f>_xll.BDP("558614GJ Muni","STATE_CODE")</f>
        <v>#N/A Requesting Data...</v>
      </c>
      <c r="E898" t="str">
        <f>_xll.BDP("558614GJ Muni","COUNTY_LOCATION_ISSUER")</f>
        <v>#N/A Requesting Data...</v>
      </c>
      <c r="F898" t="str">
        <f>_xll.BDP("558614GJ Muni","DUR_ADJ_MID")</f>
        <v>#N/A Requesting Data...</v>
      </c>
      <c r="G898" t="str">
        <f>_xll.BDP("558614GJ Muni","SPREAD_AT_ISSUANCE_TO_WORST")</f>
        <v>#N/A Requesting Data...</v>
      </c>
      <c r="H898" t="str">
        <f>_xll.BDP("558614GJ Muni","ISSUE_DT")</f>
        <v>#N/A Requesting Data...</v>
      </c>
      <c r="I898" t="str">
        <f>_xll.BDS("558614GJ Muni","MUNI_PURPOSE_SCHED", "aggregate=y")</f>
        <v>#N/A Review</v>
      </c>
      <c r="J898" t="str">
        <f>_xll.BDP("558614GJ Muni","CPN")</f>
        <v>#N/A Requesting Data...</v>
      </c>
      <c r="K898" t="str">
        <f>_xll.BDP("558614GJ Muni","MATURITY")</f>
        <v>#N/A Requesting Data...</v>
      </c>
      <c r="L898">
        <v>2430000</v>
      </c>
      <c r="M898" t="str">
        <f>_xll.BDP("558614GJ Muni","YIELD_ON_ISSUE_DATE")</f>
        <v>#N/A Requesting Data...</v>
      </c>
      <c r="N898" t="str">
        <f>_xll.BDP("558614GJ Muni","YTW_SPREAD_TO_MATURITY_AT_ISSU")</f>
        <v>#N/A Requesting Data...</v>
      </c>
      <c r="O898" t="str">
        <f>_xll.BDP("558614GJ Muni","BVAL_MID_YTM")</f>
        <v>#N/A Requesting Data...</v>
      </c>
      <c r="P898" t="str">
        <f>_xll.BDP("558614GJ Muni","MUNI_TAX_PROV")</f>
        <v>#N/A Requesting Data...</v>
      </c>
      <c r="Q898" t="str">
        <f>_xll.BDP("558614GJ Muni","MUNI_FED_TAX")</f>
        <v>#N/A Requesting Data...</v>
      </c>
      <c r="R898" t="str">
        <f>_xll.BDP("558614GJ Muni","MUNI_MSRB_VOLUME")</f>
        <v>#N/A Requesting Data...</v>
      </c>
      <c r="S898" t="str">
        <f>_xll.BDP("558614GJ Muni","BB_COMPOSITE")</f>
        <v>#N/A Requesting Data...</v>
      </c>
      <c r="T898" t="str">
        <f>_xll.BDP("558614GJ Muni","LQA_LIQUIDITY_SCORE")</f>
        <v>#N/A Requesting Data...</v>
      </c>
    </row>
    <row r="899" spans="1:20" x14ac:dyDescent="0.25">
      <c r="A899" t="str">
        <f>_xll.BDP("220741JW Muni","ID_CUSIP")</f>
        <v>#N/A Requesting Data...</v>
      </c>
      <c r="B899" t="s">
        <v>329</v>
      </c>
      <c r="C899" t="str">
        <f>_xll.BDP("220741JW Muni","INSURANCE_STATUS")</f>
        <v>#N/A Requesting Data...</v>
      </c>
      <c r="D899" t="str">
        <f>_xll.BDP("220741JW Muni","STATE_CODE")</f>
        <v>#N/A Requesting Data...</v>
      </c>
      <c r="E899" t="str">
        <f>_xll.BDP("220741JW Muni","COUNTY_LOCATION_ISSUER")</f>
        <v>#N/A Requesting Data...</v>
      </c>
      <c r="F899" t="str">
        <f>_xll.BDP("220741JW Muni","DUR_ADJ_MID")</f>
        <v>#N/A Requesting Data...</v>
      </c>
      <c r="G899" t="str">
        <f>_xll.BDP("220741JW Muni","SPREAD_AT_ISSUANCE_TO_WORST")</f>
        <v>#N/A Requesting Data...</v>
      </c>
      <c r="H899" t="str">
        <f>_xll.BDP("220741JW Muni","ISSUE_DT")</f>
        <v>#N/A Requesting Data...</v>
      </c>
      <c r="I899" t="str">
        <f>_xll.BDS("220741JW Muni","MUNI_PURPOSE_SCHED", "aggregate=y")</f>
        <v>#N/A Review</v>
      </c>
      <c r="J899" t="str">
        <f>_xll.BDP("220741JW Muni","CPN")</f>
        <v>#N/A Requesting Data...</v>
      </c>
      <c r="K899" t="str">
        <f>_xll.BDP("220741JW Muni","MATURITY")</f>
        <v>#N/A Requesting Data...</v>
      </c>
      <c r="L899">
        <v>120000</v>
      </c>
      <c r="M899" t="str">
        <f>_xll.BDP("220741JW Muni","YIELD_ON_ISSUE_DATE")</f>
        <v>#N/A Requesting Data...</v>
      </c>
      <c r="N899" t="str">
        <f>_xll.BDP("220741JW Muni","YTW_SPREAD_TO_MATURITY_AT_ISSU")</f>
        <v>#N/A Requesting Data...</v>
      </c>
      <c r="O899" t="str">
        <f>_xll.BDP("220741JW Muni","BVAL_MID_YTM")</f>
        <v>#N/A Requesting Data...</v>
      </c>
      <c r="P899" t="str">
        <f>_xll.BDP("220741JW Muni","MUNI_TAX_PROV")</f>
        <v>#N/A Requesting Data...</v>
      </c>
      <c r="Q899" t="str">
        <f>_xll.BDP("220741JW Muni","MUNI_FED_TAX")</f>
        <v>#N/A Requesting Data...</v>
      </c>
      <c r="R899" t="str">
        <f>_xll.BDP("220741JW Muni","MUNI_MSRB_VOLUME")</f>
        <v>#N/A Requesting Data...</v>
      </c>
      <c r="S899" t="str">
        <f>_xll.BDP("220741JW Muni","BB_COMPOSITE")</f>
        <v>#N/A Requesting Data...</v>
      </c>
      <c r="T899" t="str">
        <f>_xll.BDP("220741JW Muni","LQA_LIQUIDITY_SCORE")</f>
        <v>#N/A Requesting Data...</v>
      </c>
    </row>
    <row r="900" spans="1:20" x14ac:dyDescent="0.25">
      <c r="A900" t="str">
        <f>_xll.BDP("414513HX Muni","ID_CUSIP")</f>
        <v>#N/A Requesting Data...</v>
      </c>
      <c r="B900" t="s">
        <v>337</v>
      </c>
      <c r="C900" t="str">
        <f>_xll.BDP("414513HX Muni","INSURANCE_STATUS")</f>
        <v>#N/A Requesting Data...</v>
      </c>
      <c r="D900" t="str">
        <f>_xll.BDP("414513HX Muni","STATE_CODE")</f>
        <v>#N/A Requesting Data...</v>
      </c>
      <c r="E900" t="str">
        <f>_xll.BDP("414513HX Muni","COUNTY_LOCATION_ISSUER")</f>
        <v>#N/A Requesting Data...</v>
      </c>
      <c r="F900" t="str">
        <f>_xll.BDP("414513HX Muni","DUR_ADJ_MID")</f>
        <v>#N/A Requesting Data...</v>
      </c>
      <c r="G900" t="str">
        <f>_xll.BDP("414513HX Muni","SPREAD_AT_ISSUANCE_TO_WORST")</f>
        <v>#N/A Requesting Data...</v>
      </c>
      <c r="H900" t="str">
        <f>_xll.BDP("414513HX Muni","ISSUE_DT")</f>
        <v>#N/A Requesting Data...</v>
      </c>
      <c r="I900" t="str">
        <f>_xll.BDS("414513HX Muni","MUNI_PURPOSE_SCHED", "aggregate=y")</f>
        <v>#N/A Review</v>
      </c>
      <c r="J900" t="str">
        <f>_xll.BDP("414513HX Muni","CPN")</f>
        <v>#N/A Requesting Data...</v>
      </c>
      <c r="K900" t="str">
        <f>_xll.BDP("414513HX Muni","MATURITY")</f>
        <v>#N/A Requesting Data...</v>
      </c>
      <c r="L900">
        <v>100000</v>
      </c>
      <c r="M900" t="str">
        <f>_xll.BDP("414513HX Muni","YIELD_ON_ISSUE_DATE")</f>
        <v>#N/A Requesting Data...</v>
      </c>
      <c r="N900" t="str">
        <f>_xll.BDP("414513HX Muni","YTW_SPREAD_TO_MATURITY_AT_ISSU")</f>
        <v>#N/A Requesting Data...</v>
      </c>
      <c r="O900" t="str">
        <f>_xll.BDP("414513HX Muni","BVAL_MID_YTM")</f>
        <v>#N/A Requesting Data...</v>
      </c>
      <c r="P900" t="str">
        <f>_xll.BDP("414513HX Muni","MUNI_TAX_PROV")</f>
        <v>#N/A Requesting Data...</v>
      </c>
      <c r="Q900" t="str">
        <f>_xll.BDP("414513HX Muni","MUNI_FED_TAX")</f>
        <v>#N/A Requesting Data...</v>
      </c>
      <c r="R900" t="str">
        <f>_xll.BDP("414513HX Muni","MUNI_MSRB_VOLUME")</f>
        <v>#N/A Requesting Data...</v>
      </c>
      <c r="S900" t="str">
        <f>_xll.BDP("414513HX Muni","BB_COMPOSITE")</f>
        <v>#N/A Requesting Data...</v>
      </c>
      <c r="T900" t="str">
        <f>_xll.BDP("414513HX Muni","LQA_LIQUIDITY_SCORE")</f>
        <v>#N/A Requesting Data...</v>
      </c>
    </row>
    <row r="901" spans="1:20" x14ac:dyDescent="0.25">
      <c r="A901" t="str">
        <f>_xll.BDP("414513HY Muni","ID_CUSIP")</f>
        <v>#N/A Requesting Data...</v>
      </c>
      <c r="B901" t="s">
        <v>337</v>
      </c>
      <c r="C901" t="str">
        <f>_xll.BDP("414513HY Muni","INSURANCE_STATUS")</f>
        <v>#N/A Requesting Data...</v>
      </c>
      <c r="D901" t="str">
        <f>_xll.BDP("414513HY Muni","STATE_CODE")</f>
        <v>#N/A Requesting Data...</v>
      </c>
      <c r="E901" t="str">
        <f>_xll.BDP("414513HY Muni","COUNTY_LOCATION_ISSUER")</f>
        <v>#N/A Requesting Data...</v>
      </c>
      <c r="F901" t="str">
        <f>_xll.BDP("414513HY Muni","DUR_ADJ_MID")</f>
        <v>#N/A Requesting Data...</v>
      </c>
      <c r="G901" t="str">
        <f>_xll.BDP("414513HY Muni","SPREAD_AT_ISSUANCE_TO_WORST")</f>
        <v>#N/A Requesting Data...</v>
      </c>
      <c r="H901" t="str">
        <f>_xll.BDP("414513HY Muni","ISSUE_DT")</f>
        <v>#N/A Requesting Data...</v>
      </c>
      <c r="I901" t="str">
        <f>_xll.BDS("414513HY Muni","MUNI_PURPOSE_SCHED", "aggregate=y")</f>
        <v>#N/A Review</v>
      </c>
      <c r="J901" t="str">
        <f>_xll.BDP("414513HY Muni","CPN")</f>
        <v>#N/A Requesting Data...</v>
      </c>
      <c r="K901" t="str">
        <f>_xll.BDP("414513HY Muni","MATURITY")</f>
        <v>#N/A Requesting Data...</v>
      </c>
      <c r="L901">
        <v>100000</v>
      </c>
      <c r="M901" t="str">
        <f>_xll.BDP("414513HY Muni","YIELD_ON_ISSUE_DATE")</f>
        <v>#N/A Requesting Data...</v>
      </c>
      <c r="N901" t="str">
        <f>_xll.BDP("414513HY Muni","YTW_SPREAD_TO_MATURITY_AT_ISSU")</f>
        <v>#N/A Requesting Data...</v>
      </c>
      <c r="O901" t="str">
        <f>_xll.BDP("414513HY Muni","BVAL_MID_YTM")</f>
        <v>#N/A Requesting Data...</v>
      </c>
      <c r="P901" t="str">
        <f>_xll.BDP("414513HY Muni","MUNI_TAX_PROV")</f>
        <v>#N/A Requesting Data...</v>
      </c>
      <c r="Q901" t="str">
        <f>_xll.BDP("414513HY Muni","MUNI_FED_TAX")</f>
        <v>#N/A Requesting Data...</v>
      </c>
      <c r="R901" t="str">
        <f>_xll.BDP("414513HY Muni","MUNI_MSRB_VOLUME")</f>
        <v>#N/A Requesting Data...</v>
      </c>
      <c r="S901" t="str">
        <f>_xll.BDP("414513HY Muni","BB_COMPOSITE")</f>
        <v>#N/A Requesting Data...</v>
      </c>
      <c r="T901" t="str">
        <f>_xll.BDP("414513HY Muni","LQA_LIQUIDITY_SCORE")</f>
        <v>#N/A Requesting Data...</v>
      </c>
    </row>
    <row r="902" spans="1:20" x14ac:dyDescent="0.25">
      <c r="A902" t="str">
        <f>_xll.BDP("41453TAF Muni","ID_CUSIP")</f>
        <v>#N/A Requesting Data...</v>
      </c>
      <c r="B902" t="s">
        <v>306</v>
      </c>
      <c r="C902" t="str">
        <f>_xll.BDP("41453TAF Muni","INSURANCE_STATUS")</f>
        <v>#N/A Requesting Data...</v>
      </c>
      <c r="D902" t="str">
        <f>_xll.BDP("41453TAF Muni","STATE_CODE")</f>
        <v>#N/A Requesting Data...</v>
      </c>
      <c r="E902" t="str">
        <f>_xll.BDP("41453TAF Muni","COUNTY_LOCATION_ISSUER")</f>
        <v>#N/A Requesting Data...</v>
      </c>
      <c r="F902" t="str">
        <f>_xll.BDP("41453TAF Muni","DUR_ADJ_MID")</f>
        <v>#N/A Requesting Data...</v>
      </c>
      <c r="G902" t="str">
        <f>_xll.BDP("41453TAF Muni","SPREAD_AT_ISSUANCE_TO_WORST")</f>
        <v>#N/A Requesting Data...</v>
      </c>
      <c r="H902" t="str">
        <f>_xll.BDP("41453TAF Muni","ISSUE_DT")</f>
        <v>#N/A Requesting Data...</v>
      </c>
      <c r="I902" t="str">
        <f>_xll.BDS("41453TAF Muni","MUNI_PURPOSE_SCHED", "aggregate=y")</f>
        <v>#N/A Review</v>
      </c>
      <c r="J902" t="str">
        <f>_xll.BDP("41453TAF Muni","CPN")</f>
        <v>#N/A Requesting Data...</v>
      </c>
      <c r="K902" t="str">
        <f>_xll.BDP("41453TAF Muni","MATURITY")</f>
        <v>#N/A Requesting Data...</v>
      </c>
      <c r="L902">
        <v>120000</v>
      </c>
      <c r="M902" t="str">
        <f>_xll.BDP("41453TAF Muni","YIELD_ON_ISSUE_DATE")</f>
        <v>#N/A Requesting Data...</v>
      </c>
      <c r="N902" t="str">
        <f>_xll.BDP("41453TAF Muni","YTW_SPREAD_TO_MATURITY_AT_ISSU")</f>
        <v>#N/A Requesting Data...</v>
      </c>
      <c r="O902" t="str">
        <f>_xll.BDP("41453TAF Muni","BVAL_MID_YTM")</f>
        <v>#N/A Requesting Data...</v>
      </c>
      <c r="P902" t="str">
        <f>_xll.BDP("41453TAF Muni","MUNI_TAX_PROV")</f>
        <v>#N/A Requesting Data...</v>
      </c>
      <c r="Q902" t="str">
        <f>_xll.BDP("41453TAF Muni","MUNI_FED_TAX")</f>
        <v>#N/A Requesting Data...</v>
      </c>
      <c r="R902" t="str">
        <f>_xll.BDP("41453TAF Muni","MUNI_MSRB_VOLUME")</f>
        <v>#N/A Requesting Data...</v>
      </c>
      <c r="S902" t="str">
        <f>_xll.BDP("41453TAF Muni","BB_COMPOSITE")</f>
        <v>#N/A Requesting Data...</v>
      </c>
      <c r="T902" t="str">
        <f>_xll.BDP("41453TAF Muni","LQA_LIQUIDITY_SCORE")</f>
        <v>#N/A Requesting Data...</v>
      </c>
    </row>
    <row r="903" spans="1:20" x14ac:dyDescent="0.25">
      <c r="A903" t="str">
        <f>_xll.BDP("41423EBE Muni","ID_CUSIP")</f>
        <v>#N/A Requesting Data...</v>
      </c>
      <c r="B903" t="s">
        <v>322</v>
      </c>
      <c r="C903" t="str">
        <f>_xll.BDP("41423EBE Muni","INSURANCE_STATUS")</f>
        <v>#N/A Requesting Data...</v>
      </c>
      <c r="D903" t="str">
        <f>_xll.BDP("41423EBE Muni","STATE_CODE")</f>
        <v>#N/A Requesting Data...</v>
      </c>
      <c r="E903" t="str">
        <f>_xll.BDP("41423EBE Muni","COUNTY_LOCATION_ISSUER")</f>
        <v>#N/A Requesting Data...</v>
      </c>
      <c r="F903" t="str">
        <f>_xll.BDP("41423EBE Muni","DUR_ADJ_MID")</f>
        <v>#N/A Requesting Data...</v>
      </c>
      <c r="G903" t="str">
        <f>_xll.BDP("41423EBE Muni","SPREAD_AT_ISSUANCE_TO_WORST")</f>
        <v>#N/A Requesting Data...</v>
      </c>
      <c r="H903" t="str">
        <f>_xll.BDP("41423EBE Muni","ISSUE_DT")</f>
        <v>#N/A Requesting Data...</v>
      </c>
      <c r="I903" t="str">
        <f>_xll.BDS("41423EBE Muni","MUNI_PURPOSE_SCHED", "aggregate=y")</f>
        <v>#N/A Review</v>
      </c>
      <c r="J903" t="str">
        <f>_xll.BDP("41423EBE Muni","CPN")</f>
        <v>#N/A Requesting Data...</v>
      </c>
      <c r="K903" t="str">
        <f>_xll.BDP("41423EBE Muni","MATURITY")</f>
        <v>#N/A Requesting Data...</v>
      </c>
      <c r="L903">
        <v>310000</v>
      </c>
      <c r="M903" t="str">
        <f>_xll.BDP("41423EBE Muni","YIELD_ON_ISSUE_DATE")</f>
        <v>#N/A Requesting Data...</v>
      </c>
      <c r="N903" t="str">
        <f>_xll.BDP("41423EBE Muni","YTW_SPREAD_TO_MATURITY_AT_ISSU")</f>
        <v>#N/A Requesting Data...</v>
      </c>
      <c r="O903" t="str">
        <f>_xll.BDP("41423EBE Muni","BVAL_MID_YTM")</f>
        <v>#N/A Requesting Data...</v>
      </c>
      <c r="P903" t="str">
        <f>_xll.BDP("41423EBE Muni","MUNI_TAX_PROV")</f>
        <v>#N/A Requesting Data...</v>
      </c>
      <c r="Q903" t="str">
        <f>_xll.BDP("41423EBE Muni","MUNI_FED_TAX")</f>
        <v>#N/A Requesting Data...</v>
      </c>
      <c r="R903" t="str">
        <f>_xll.BDP("41423EBE Muni","MUNI_MSRB_VOLUME")</f>
        <v>#N/A Requesting Data...</v>
      </c>
      <c r="S903" t="str">
        <f>_xll.BDP("41423EBE Muni","BB_COMPOSITE")</f>
        <v>#N/A Requesting Data...</v>
      </c>
      <c r="T903" t="str">
        <f>_xll.BDP("41423EBE Muni","LQA_LIQUIDITY_SCORE")</f>
        <v>#N/A Requesting Data...</v>
      </c>
    </row>
    <row r="904" spans="1:20" x14ac:dyDescent="0.25">
      <c r="A904" t="str">
        <f>_xll.BDP("41423EBG Muni","ID_CUSIP")</f>
        <v>#N/A Requesting Data...</v>
      </c>
      <c r="B904" t="s">
        <v>322</v>
      </c>
      <c r="C904" t="str">
        <f>_xll.BDP("41423EBG Muni","INSURANCE_STATUS")</f>
        <v>#N/A Requesting Data...</v>
      </c>
      <c r="D904" t="str">
        <f>_xll.BDP("41423EBG Muni","STATE_CODE")</f>
        <v>#N/A Requesting Data...</v>
      </c>
      <c r="E904" t="str">
        <f>_xll.BDP("41423EBG Muni","COUNTY_LOCATION_ISSUER")</f>
        <v>#N/A Requesting Data...</v>
      </c>
      <c r="F904" t="str">
        <f>_xll.BDP("41423EBG Muni","DUR_ADJ_MID")</f>
        <v>#N/A Requesting Data...</v>
      </c>
      <c r="G904" t="str">
        <f>_xll.BDP("41423EBG Muni","SPREAD_AT_ISSUANCE_TO_WORST")</f>
        <v>#N/A Requesting Data...</v>
      </c>
      <c r="H904" t="str">
        <f>_xll.BDP("41423EBG Muni","ISSUE_DT")</f>
        <v>#N/A Requesting Data...</v>
      </c>
      <c r="I904" t="str">
        <f>_xll.BDS("41423EBG Muni","MUNI_PURPOSE_SCHED", "aggregate=y")</f>
        <v>#N/A Review</v>
      </c>
      <c r="J904" t="str">
        <f>_xll.BDP("41423EBG Muni","CPN")</f>
        <v>#N/A Requesting Data...</v>
      </c>
      <c r="K904" t="str">
        <f>_xll.BDP("41423EBG Muni","MATURITY")</f>
        <v>#N/A Requesting Data...</v>
      </c>
      <c r="L904">
        <v>335000</v>
      </c>
      <c r="M904" t="str">
        <f>_xll.BDP("41423EBG Muni","YIELD_ON_ISSUE_DATE")</f>
        <v>#N/A Requesting Data...</v>
      </c>
      <c r="N904" t="str">
        <f>_xll.BDP("41423EBG Muni","YTW_SPREAD_TO_MATURITY_AT_ISSU")</f>
        <v>#N/A Requesting Data...</v>
      </c>
      <c r="O904" t="str">
        <f>_xll.BDP("41423EBG Muni","BVAL_MID_YTM")</f>
        <v>#N/A Requesting Data...</v>
      </c>
      <c r="P904" t="str">
        <f>_xll.BDP("41423EBG Muni","MUNI_TAX_PROV")</f>
        <v>#N/A Requesting Data...</v>
      </c>
      <c r="Q904" t="str">
        <f>_xll.BDP("41423EBG Muni","MUNI_FED_TAX")</f>
        <v>#N/A Requesting Data...</v>
      </c>
      <c r="R904" t="str">
        <f>_xll.BDP("41423EBG Muni","MUNI_MSRB_VOLUME")</f>
        <v>#N/A Requesting Data...</v>
      </c>
      <c r="S904" t="str">
        <f>_xll.BDP("41423EBG Muni","BB_COMPOSITE")</f>
        <v>#N/A Requesting Data...</v>
      </c>
      <c r="T904" t="str">
        <f>_xll.BDP("41423EBG Muni","LQA_LIQUIDITY_SCORE")</f>
        <v>#N/A Requesting Data...</v>
      </c>
    </row>
    <row r="905" spans="1:20" x14ac:dyDescent="0.25">
      <c r="A905" t="str">
        <f>_xll.BDP("265543QF Muni","ID_CUSIP")</f>
        <v>#N/A Requesting Data...</v>
      </c>
      <c r="B905" t="s">
        <v>335</v>
      </c>
      <c r="C905" t="str">
        <f>_xll.BDP("265543QF Muni","INSURANCE_STATUS")</f>
        <v>#N/A Requesting Data...</v>
      </c>
      <c r="D905" t="str">
        <f>_xll.BDP("265543QF Muni","STATE_CODE")</f>
        <v>#N/A Requesting Data...</v>
      </c>
      <c r="E905" t="str">
        <f>_xll.BDP("265543QF Muni","COUNTY_LOCATION_ISSUER")</f>
        <v>#N/A Requesting Data...</v>
      </c>
      <c r="F905" t="str">
        <f>_xll.BDP("265543QF Muni","DUR_ADJ_MID")</f>
        <v>#N/A Requesting Data...</v>
      </c>
      <c r="G905" t="str">
        <f>_xll.BDP("265543QF Muni","SPREAD_AT_ISSUANCE_TO_WORST")</f>
        <v>#N/A Requesting Data...</v>
      </c>
      <c r="H905" t="str">
        <f>_xll.BDP("265543QF Muni","ISSUE_DT")</f>
        <v>#N/A Requesting Data...</v>
      </c>
      <c r="I905" t="str">
        <f>_xll.BDS("265543QF Muni","MUNI_PURPOSE_SCHED", "aggregate=y")</f>
        <v>#N/A Review</v>
      </c>
      <c r="J905" t="str">
        <f>_xll.BDP("265543QF Muni","CPN")</f>
        <v>#N/A Requesting Data...</v>
      </c>
      <c r="K905" t="str">
        <f>_xll.BDP("265543QF Muni","MATURITY")</f>
        <v>#N/A Requesting Data...</v>
      </c>
      <c r="L905">
        <v>220000</v>
      </c>
      <c r="M905" t="str">
        <f>_xll.BDP("265543QF Muni","YIELD_ON_ISSUE_DATE")</f>
        <v>#N/A Requesting Data...</v>
      </c>
      <c r="N905" t="str">
        <f>_xll.BDP("265543QF Muni","YTW_SPREAD_TO_MATURITY_AT_ISSU")</f>
        <v>#N/A Requesting Data...</v>
      </c>
      <c r="O905" t="str">
        <f>_xll.BDP("265543QF Muni","BVAL_MID_YTM")</f>
        <v>#N/A Requesting Data...</v>
      </c>
      <c r="P905" t="str">
        <f>_xll.BDP("265543QF Muni","MUNI_TAX_PROV")</f>
        <v>#N/A Requesting Data...</v>
      </c>
      <c r="Q905" t="str">
        <f>_xll.BDP("265543QF Muni","MUNI_FED_TAX")</f>
        <v>#N/A Requesting Data...</v>
      </c>
      <c r="R905" t="str">
        <f>_xll.BDP("265543QF Muni","MUNI_MSRB_VOLUME")</f>
        <v>#N/A Requesting Data...</v>
      </c>
      <c r="S905" t="str">
        <f>_xll.BDP("265543QF Muni","BB_COMPOSITE")</f>
        <v>#N/A Requesting Data...</v>
      </c>
      <c r="T905" t="str">
        <f>_xll.BDP("265543QF Muni","LQA_LIQUIDITY_SCORE")</f>
        <v>#N/A Requesting Data...</v>
      </c>
    </row>
    <row r="906" spans="1:20" x14ac:dyDescent="0.25">
      <c r="A906" t="str">
        <f>_xll.BDP("21657APE Muni","ID_CUSIP")</f>
        <v>#N/A Requesting Data...</v>
      </c>
      <c r="B906" t="s">
        <v>138</v>
      </c>
      <c r="C906" t="str">
        <f>_xll.BDP("21657APE Muni","INSURANCE_STATUS")</f>
        <v>#N/A Requesting Data...</v>
      </c>
      <c r="D906" t="str">
        <f>_xll.BDP("21657APE Muni","STATE_CODE")</f>
        <v>#N/A Requesting Data...</v>
      </c>
      <c r="E906" t="str">
        <f>_xll.BDP("21657APE Muni","COUNTY_LOCATION_ISSUER")</f>
        <v>#N/A Requesting Data...</v>
      </c>
      <c r="F906" t="str">
        <f>_xll.BDP("21657APE Muni","DUR_ADJ_MID")</f>
        <v>#N/A Requesting Data...</v>
      </c>
      <c r="G906" t="str">
        <f>_xll.BDP("21657APE Muni","SPREAD_AT_ISSUANCE_TO_WORST")</f>
        <v>#N/A Requesting Data...</v>
      </c>
      <c r="H906" t="str">
        <f>_xll.BDP("21657APE Muni","ISSUE_DT")</f>
        <v>#N/A Requesting Data...</v>
      </c>
      <c r="I906" t="str">
        <f>_xll.BDS("21657APE Muni","MUNI_PURPOSE_SCHED", "aggregate=y")</f>
        <v>#N/A Review</v>
      </c>
      <c r="J906" t="str">
        <f>_xll.BDP("21657APE Muni","CPN")</f>
        <v>#N/A Requesting Data...</v>
      </c>
      <c r="K906" t="str">
        <f>_xll.BDP("21657APE Muni","MATURITY")</f>
        <v>#N/A Requesting Data...</v>
      </c>
      <c r="L906">
        <v>895000</v>
      </c>
      <c r="M906" t="str">
        <f>_xll.BDP("21657APE Muni","YIELD_ON_ISSUE_DATE")</f>
        <v>#N/A Requesting Data...</v>
      </c>
      <c r="N906" t="str">
        <f>_xll.BDP("21657APE Muni","YTW_SPREAD_TO_MATURITY_AT_ISSU")</f>
        <v>#N/A Requesting Data...</v>
      </c>
      <c r="O906" t="str">
        <f>_xll.BDP("21657APE Muni","BVAL_MID_YTM")</f>
        <v>#N/A Requesting Data...</v>
      </c>
      <c r="P906" t="str">
        <f>_xll.BDP("21657APE Muni","MUNI_TAX_PROV")</f>
        <v>#N/A Requesting Data...</v>
      </c>
      <c r="Q906" t="str">
        <f>_xll.BDP("21657APE Muni","MUNI_FED_TAX")</f>
        <v>#N/A Requesting Data...</v>
      </c>
      <c r="R906" t="str">
        <f>_xll.BDP("21657APE Muni","MUNI_MSRB_VOLUME")</f>
        <v>#N/A Requesting Data...</v>
      </c>
      <c r="S906" t="str">
        <f>_xll.BDP("21657APE Muni","BB_COMPOSITE")</f>
        <v>#N/A Requesting Data...</v>
      </c>
      <c r="T906" t="str">
        <f>_xll.BDP("21657APE Muni","LQA_LIQUIDITY_SCORE")</f>
        <v>#N/A Requesting Data...</v>
      </c>
    </row>
    <row r="907" spans="1:20" x14ac:dyDescent="0.25">
      <c r="A907" t="str">
        <f>_xll.BDP("21885AKG Muni","ID_CUSIP")</f>
        <v>#N/A Requesting Data...</v>
      </c>
      <c r="B907" t="s">
        <v>338</v>
      </c>
      <c r="C907" t="str">
        <f>_xll.BDP("21885AKG Muni","INSURANCE_STATUS")</f>
        <v>#N/A Requesting Data...</v>
      </c>
      <c r="D907" t="str">
        <f>_xll.BDP("21885AKG Muni","STATE_CODE")</f>
        <v>#N/A Requesting Data...</v>
      </c>
      <c r="E907" t="str">
        <f>_xll.BDP("21885AKG Muni","COUNTY_LOCATION_ISSUER")</f>
        <v>#N/A Requesting Data...</v>
      </c>
      <c r="F907" t="str">
        <f>_xll.BDP("21885AKG Muni","DUR_ADJ_MID")</f>
        <v>#N/A Requesting Data...</v>
      </c>
      <c r="G907" t="str">
        <f>_xll.BDP("21885AKG Muni","SPREAD_AT_ISSUANCE_TO_WORST")</f>
        <v>#N/A Requesting Data...</v>
      </c>
      <c r="H907" t="str">
        <f>_xll.BDP("21885AKG Muni","ISSUE_DT")</f>
        <v>#N/A Requesting Data...</v>
      </c>
      <c r="I907" t="str">
        <f>_xll.BDS("21885AKG Muni","MUNI_PURPOSE_SCHED", "aggregate=y")</f>
        <v>#N/A Review</v>
      </c>
      <c r="J907" t="str">
        <f>_xll.BDP("21885AKG Muni","CPN")</f>
        <v>#N/A Requesting Data...</v>
      </c>
      <c r="K907" t="str">
        <f>_xll.BDP("21885AKG Muni","MATURITY")</f>
        <v>#N/A Requesting Data...</v>
      </c>
      <c r="L907">
        <v>640000</v>
      </c>
      <c r="M907" t="str">
        <f>_xll.BDP("21885AKG Muni","YIELD_ON_ISSUE_DATE")</f>
        <v>#N/A Requesting Data...</v>
      </c>
      <c r="N907" t="str">
        <f>_xll.BDP("21885AKG Muni","YTW_SPREAD_TO_MATURITY_AT_ISSU")</f>
        <v>#N/A Requesting Data...</v>
      </c>
      <c r="O907" t="str">
        <f>_xll.BDP("21885AKG Muni","BVAL_MID_YTM")</f>
        <v>#N/A Requesting Data...</v>
      </c>
      <c r="P907" t="str">
        <f>_xll.BDP("21885AKG Muni","MUNI_TAX_PROV")</f>
        <v>#N/A Requesting Data...</v>
      </c>
      <c r="Q907" t="str">
        <f>_xll.BDP("21885AKG Muni","MUNI_FED_TAX")</f>
        <v>#N/A Requesting Data...</v>
      </c>
      <c r="R907" t="str">
        <f>_xll.BDP("21885AKG Muni","MUNI_MSRB_VOLUME")</f>
        <v>#N/A Requesting Data...</v>
      </c>
      <c r="S907" t="str">
        <f>_xll.BDP("21885AKG Muni","BB_COMPOSITE")</f>
        <v>#N/A Requesting Data...</v>
      </c>
      <c r="T907" t="str">
        <f>_xll.BDP("21885AKG Muni","LQA_LIQUIDITY_SCORE")</f>
        <v>#N/A Requesting Data...</v>
      </c>
    </row>
    <row r="908" spans="1:20" x14ac:dyDescent="0.25">
      <c r="A908" t="str">
        <f>_xll.BDP("21885AKJ Muni","ID_CUSIP")</f>
        <v>#N/A Requesting Data...</v>
      </c>
      <c r="B908" t="s">
        <v>338</v>
      </c>
      <c r="C908" t="str">
        <f>_xll.BDP("21885AKJ Muni","INSURANCE_STATUS")</f>
        <v>#N/A Requesting Data...</v>
      </c>
      <c r="D908" t="str">
        <f>_xll.BDP("21885AKJ Muni","STATE_CODE")</f>
        <v>#N/A Requesting Data...</v>
      </c>
      <c r="E908" t="str">
        <f>_xll.BDP("21885AKJ Muni","COUNTY_LOCATION_ISSUER")</f>
        <v>#N/A Requesting Data...</v>
      </c>
      <c r="F908" t="str">
        <f>_xll.BDP("21885AKJ Muni","DUR_ADJ_MID")</f>
        <v>#N/A Requesting Data...</v>
      </c>
      <c r="G908" t="str">
        <f>_xll.BDP("21885AKJ Muni","SPREAD_AT_ISSUANCE_TO_WORST")</f>
        <v>#N/A Requesting Data...</v>
      </c>
      <c r="H908" t="str">
        <f>_xll.BDP("21885AKJ Muni","ISSUE_DT")</f>
        <v>#N/A Requesting Data...</v>
      </c>
      <c r="I908" t="str">
        <f>_xll.BDS("21885AKJ Muni","MUNI_PURPOSE_SCHED", "aggregate=y")</f>
        <v>#N/A Review</v>
      </c>
      <c r="J908" t="str">
        <f>_xll.BDP("21885AKJ Muni","CPN")</f>
        <v>#N/A Requesting Data...</v>
      </c>
      <c r="K908" t="str">
        <f>_xll.BDP("21885AKJ Muni","MATURITY")</f>
        <v>#N/A Requesting Data...</v>
      </c>
      <c r="L908">
        <v>700000</v>
      </c>
      <c r="M908" t="str">
        <f>_xll.BDP("21885AKJ Muni","YIELD_ON_ISSUE_DATE")</f>
        <v>#N/A Requesting Data...</v>
      </c>
      <c r="N908" t="str">
        <f>_xll.BDP("21885AKJ Muni","YTW_SPREAD_TO_MATURITY_AT_ISSU")</f>
        <v>#N/A Requesting Data...</v>
      </c>
      <c r="O908" t="str">
        <f>_xll.BDP("21885AKJ Muni","BVAL_MID_YTM")</f>
        <v>#N/A Requesting Data...</v>
      </c>
      <c r="P908" t="str">
        <f>_xll.BDP("21885AKJ Muni","MUNI_TAX_PROV")</f>
        <v>#N/A Requesting Data...</v>
      </c>
      <c r="Q908" t="str">
        <f>_xll.BDP("21885AKJ Muni","MUNI_FED_TAX")</f>
        <v>#N/A Requesting Data...</v>
      </c>
      <c r="R908" t="str">
        <f>_xll.BDP("21885AKJ Muni","MUNI_MSRB_VOLUME")</f>
        <v>#N/A Requesting Data...</v>
      </c>
      <c r="S908" t="str">
        <f>_xll.BDP("21885AKJ Muni","BB_COMPOSITE")</f>
        <v>#N/A Requesting Data...</v>
      </c>
      <c r="T908" t="str">
        <f>_xll.BDP("21885AKJ Muni","LQA_LIQUIDITY_SCORE")</f>
        <v>#N/A Requesting Data...</v>
      </c>
    </row>
    <row r="909" spans="1:20" x14ac:dyDescent="0.25">
      <c r="A909" t="str">
        <f>_xll.BDP("283059FE Muni","ID_CUSIP")</f>
        <v>#N/A Requesting Data...</v>
      </c>
      <c r="B909" t="s">
        <v>103</v>
      </c>
      <c r="C909" t="str">
        <f>_xll.BDP("283059FE Muni","INSURANCE_STATUS")</f>
        <v>#N/A Requesting Data...</v>
      </c>
      <c r="D909" t="str">
        <f>_xll.BDP("283059FE Muni","STATE_CODE")</f>
        <v>#N/A Requesting Data...</v>
      </c>
      <c r="E909" t="str">
        <f>_xll.BDP("283059FE Muni","COUNTY_LOCATION_ISSUER")</f>
        <v>#N/A Requesting Data...</v>
      </c>
      <c r="F909" t="str">
        <f>_xll.BDP("283059FE Muni","DUR_ADJ_MID")</f>
        <v>#N/A Requesting Data...</v>
      </c>
      <c r="G909" t="str">
        <f>_xll.BDP("283059FE Muni","SPREAD_AT_ISSUANCE_TO_WORST")</f>
        <v>#N/A Requesting Data...</v>
      </c>
      <c r="H909" t="str">
        <f>_xll.BDP("283059FE Muni","ISSUE_DT")</f>
        <v>#N/A Requesting Data...</v>
      </c>
      <c r="I909" t="str">
        <f>_xll.BDS("283059FE Muni","MUNI_PURPOSE_SCHED", "aggregate=y")</f>
        <v>#N/A Review</v>
      </c>
      <c r="J909" t="str">
        <f>_xll.BDP("283059FE Muni","CPN")</f>
        <v>#N/A Requesting Data...</v>
      </c>
      <c r="K909" t="str">
        <f>_xll.BDP("283059FE Muni","MATURITY")</f>
        <v>#N/A Requesting Data...</v>
      </c>
      <c r="L909">
        <v>640000</v>
      </c>
      <c r="M909" t="str">
        <f>_xll.BDP("283059FE Muni","YIELD_ON_ISSUE_DATE")</f>
        <v>#N/A Requesting Data...</v>
      </c>
      <c r="N909" t="str">
        <f>_xll.BDP("283059FE Muni","YTW_SPREAD_TO_MATURITY_AT_ISSU")</f>
        <v>#N/A Requesting Data...</v>
      </c>
      <c r="O909" t="str">
        <f>_xll.BDP("283059FE Muni","BVAL_MID_YTM")</f>
        <v>#N/A Requesting Data...</v>
      </c>
      <c r="P909" t="str">
        <f>_xll.BDP("283059FE Muni","MUNI_TAX_PROV")</f>
        <v>#N/A Requesting Data...</v>
      </c>
      <c r="Q909" t="str">
        <f>_xll.BDP("283059FE Muni","MUNI_FED_TAX")</f>
        <v>#N/A Requesting Data...</v>
      </c>
      <c r="R909" t="str">
        <f>_xll.BDP("283059FE Muni","MUNI_MSRB_VOLUME")</f>
        <v>#N/A Requesting Data...</v>
      </c>
      <c r="S909" t="str">
        <f>_xll.BDP("283059FE Muni","BB_COMPOSITE")</f>
        <v>#N/A Requesting Data...</v>
      </c>
      <c r="T909" t="str">
        <f>_xll.BDP("283059FE Muni","LQA_LIQUIDITY_SCORE")</f>
        <v>#N/A Requesting Data...</v>
      </c>
    </row>
    <row r="910" spans="1:20" x14ac:dyDescent="0.25">
      <c r="A910" t="str">
        <f>_xll.BDP("283113HQ Muni","ID_CUSIP")</f>
        <v>#N/A Requesting Data...</v>
      </c>
      <c r="B910" t="s">
        <v>339</v>
      </c>
      <c r="C910" t="str">
        <f>_xll.BDP("283113HQ Muni","INSURANCE_STATUS")</f>
        <v>#N/A Requesting Data...</v>
      </c>
      <c r="D910" t="str">
        <f>_xll.BDP("283113HQ Muni","STATE_CODE")</f>
        <v>#N/A Requesting Data...</v>
      </c>
      <c r="E910" t="str">
        <f>_xll.BDP("283113HQ Muni","COUNTY_LOCATION_ISSUER")</f>
        <v>#N/A Requesting Data...</v>
      </c>
      <c r="F910" t="str">
        <f>_xll.BDP("283113HQ Muni","DUR_ADJ_MID")</f>
        <v>#N/A Requesting Data...</v>
      </c>
      <c r="G910" t="str">
        <f>_xll.BDP("283113HQ Muni","SPREAD_AT_ISSUANCE_TO_WORST")</f>
        <v>#N/A Requesting Data...</v>
      </c>
      <c r="H910" t="str">
        <f>_xll.BDP("283113HQ Muni","ISSUE_DT")</f>
        <v>#N/A Requesting Data...</v>
      </c>
      <c r="I910" t="str">
        <f>_xll.BDS("283113HQ Muni","MUNI_PURPOSE_SCHED", "aggregate=y")</f>
        <v>#N/A Review</v>
      </c>
      <c r="J910" t="str">
        <f>_xll.BDP("283113HQ Muni","CPN")</f>
        <v>#N/A Requesting Data...</v>
      </c>
      <c r="K910" t="str">
        <f>_xll.BDP("283113HQ Muni","MATURITY")</f>
        <v>#N/A Requesting Data...</v>
      </c>
      <c r="L910">
        <v>180000</v>
      </c>
      <c r="M910" t="str">
        <f>_xll.BDP("283113HQ Muni","YIELD_ON_ISSUE_DATE")</f>
        <v>#N/A Requesting Data...</v>
      </c>
      <c r="N910" t="str">
        <f>_xll.BDP("283113HQ Muni","YTW_SPREAD_TO_MATURITY_AT_ISSU")</f>
        <v>#N/A Requesting Data...</v>
      </c>
      <c r="O910" t="str">
        <f>_xll.BDP("283113HQ Muni","BVAL_MID_YTM")</f>
        <v>#N/A Requesting Data...</v>
      </c>
      <c r="P910" t="str">
        <f>_xll.BDP("283113HQ Muni","MUNI_TAX_PROV")</f>
        <v>#N/A Requesting Data...</v>
      </c>
      <c r="Q910" t="str">
        <f>_xll.BDP("283113HQ Muni","MUNI_FED_TAX")</f>
        <v>#N/A Requesting Data...</v>
      </c>
      <c r="R910" t="str">
        <f>_xll.BDP("283113HQ Muni","MUNI_MSRB_VOLUME")</f>
        <v>#N/A Requesting Data...</v>
      </c>
      <c r="S910" t="str">
        <f>_xll.BDP("283113HQ Muni","BB_COMPOSITE")</f>
        <v>#N/A Requesting Data...</v>
      </c>
      <c r="T910" t="str">
        <f>_xll.BDP("283113HQ Muni","LQA_LIQUIDITY_SCORE")</f>
        <v>#N/A Requesting Data...</v>
      </c>
    </row>
    <row r="911" spans="1:20" x14ac:dyDescent="0.25">
      <c r="A911" t="str">
        <f>_xll.BDP("21657APG Muni","ID_CUSIP")</f>
        <v>#N/A Requesting Data...</v>
      </c>
      <c r="B911" t="s">
        <v>138</v>
      </c>
      <c r="C911" t="str">
        <f>_xll.BDP("21657APG Muni","INSURANCE_STATUS")</f>
        <v>#N/A Requesting Data...</v>
      </c>
      <c r="D911" t="str">
        <f>_xll.BDP("21657APG Muni","STATE_CODE")</f>
        <v>#N/A Requesting Data...</v>
      </c>
      <c r="E911" t="str">
        <f>_xll.BDP("21657APG Muni","COUNTY_LOCATION_ISSUER")</f>
        <v>#N/A Requesting Data...</v>
      </c>
      <c r="F911" t="str">
        <f>_xll.BDP("21657APG Muni","DUR_ADJ_MID")</f>
        <v>#N/A Requesting Data...</v>
      </c>
      <c r="G911" t="str">
        <f>_xll.BDP("21657APG Muni","SPREAD_AT_ISSUANCE_TO_WORST")</f>
        <v>#N/A Requesting Data...</v>
      </c>
      <c r="H911" t="str">
        <f>_xll.BDP("21657APG Muni","ISSUE_DT")</f>
        <v>#N/A Requesting Data...</v>
      </c>
      <c r="I911" t="str">
        <f>_xll.BDS("21657APG Muni","MUNI_PURPOSE_SCHED", "aggregate=y")</f>
        <v>#N/A Review</v>
      </c>
      <c r="J911" t="str">
        <f>_xll.BDP("21657APG Muni","CPN")</f>
        <v>#N/A Requesting Data...</v>
      </c>
      <c r="K911" t="str">
        <f>_xll.BDP("21657APG Muni","MATURITY")</f>
        <v>#N/A Requesting Data...</v>
      </c>
      <c r="L911">
        <v>950000</v>
      </c>
      <c r="M911" t="str">
        <f>_xll.BDP("21657APG Muni","YIELD_ON_ISSUE_DATE")</f>
        <v>#N/A Requesting Data...</v>
      </c>
      <c r="N911" t="str">
        <f>_xll.BDP("21657APG Muni","YTW_SPREAD_TO_MATURITY_AT_ISSU")</f>
        <v>#N/A Requesting Data...</v>
      </c>
      <c r="O911" t="str">
        <f>_xll.BDP("21657APG Muni","BVAL_MID_YTM")</f>
        <v>#N/A Requesting Data...</v>
      </c>
      <c r="P911" t="str">
        <f>_xll.BDP("21657APG Muni","MUNI_TAX_PROV")</f>
        <v>#N/A Requesting Data...</v>
      </c>
      <c r="Q911" t="str">
        <f>_xll.BDP("21657APG Muni","MUNI_FED_TAX")</f>
        <v>#N/A Requesting Data...</v>
      </c>
      <c r="R911" t="str">
        <f>_xll.BDP("21657APG Muni","MUNI_MSRB_VOLUME")</f>
        <v>#N/A Requesting Data...</v>
      </c>
      <c r="S911" t="str">
        <f>_xll.BDP("21657APG Muni","BB_COMPOSITE")</f>
        <v>#N/A Requesting Data...</v>
      </c>
      <c r="T911" t="str">
        <f>_xll.BDP("21657APG Muni","LQA_LIQUIDITY_SCORE")</f>
        <v>#N/A Requesting Data...</v>
      </c>
    </row>
    <row r="912" spans="1:20" x14ac:dyDescent="0.25">
      <c r="A912" t="str">
        <f>_xll.BDP("218388DL Muni","ID_CUSIP")</f>
        <v>#N/A Requesting Data...</v>
      </c>
      <c r="B912" t="s">
        <v>340</v>
      </c>
      <c r="C912" t="str">
        <f>_xll.BDP("218388DL Muni","INSURANCE_STATUS")</f>
        <v>#N/A Requesting Data...</v>
      </c>
      <c r="D912" t="str">
        <f>_xll.BDP("218388DL Muni","STATE_CODE")</f>
        <v>#N/A Requesting Data...</v>
      </c>
      <c r="E912" t="str">
        <f>_xll.BDP("218388DL Muni","COUNTY_LOCATION_ISSUER")</f>
        <v>#N/A Requesting Data...</v>
      </c>
      <c r="F912" t="str">
        <f>_xll.BDP("218388DL Muni","DUR_ADJ_MID")</f>
        <v>#N/A Requesting Data...</v>
      </c>
      <c r="G912" t="str">
        <f>_xll.BDP("218388DL Muni","SPREAD_AT_ISSUANCE_TO_WORST")</f>
        <v>#N/A Requesting Data...</v>
      </c>
      <c r="H912" t="str">
        <f>_xll.BDP("218388DL Muni","ISSUE_DT")</f>
        <v>#N/A Requesting Data...</v>
      </c>
      <c r="I912" t="str">
        <f>_xll.BDS("218388DL Muni","MUNI_PURPOSE_SCHED", "aggregate=y")</f>
        <v>#N/A Review</v>
      </c>
      <c r="J912" t="str">
        <f>_xll.BDP("218388DL Muni","CPN")</f>
        <v>#N/A Requesting Data...</v>
      </c>
      <c r="K912" t="str">
        <f>_xll.BDP("218388DL Muni","MATURITY")</f>
        <v>#N/A Requesting Data...</v>
      </c>
      <c r="L912">
        <v>270000</v>
      </c>
      <c r="M912" t="str">
        <f>_xll.BDP("218388DL Muni","YIELD_ON_ISSUE_DATE")</f>
        <v>#N/A Requesting Data...</v>
      </c>
      <c r="N912" t="str">
        <f>_xll.BDP("218388DL Muni","YTW_SPREAD_TO_MATURITY_AT_ISSU")</f>
        <v>#N/A Requesting Data...</v>
      </c>
      <c r="O912" t="str">
        <f>_xll.BDP("218388DL Muni","BVAL_MID_YTM")</f>
        <v>#N/A Requesting Data...</v>
      </c>
      <c r="P912" t="str">
        <f>_xll.BDP("218388DL Muni","MUNI_TAX_PROV")</f>
        <v>#N/A Requesting Data...</v>
      </c>
      <c r="Q912" t="str">
        <f>_xll.BDP("218388DL Muni","MUNI_FED_TAX")</f>
        <v>#N/A Requesting Data...</v>
      </c>
      <c r="R912" t="str">
        <f>_xll.BDP("218388DL Muni","MUNI_MSRB_VOLUME")</f>
        <v>#N/A Requesting Data...</v>
      </c>
      <c r="S912" t="str">
        <f>_xll.BDP("218388DL Muni","BB_COMPOSITE")</f>
        <v>#N/A Requesting Data...</v>
      </c>
      <c r="T912" t="str">
        <f>_xll.BDP("218388DL Muni","LQA_LIQUIDITY_SCORE")</f>
        <v>#N/A Requesting Data...</v>
      </c>
    </row>
    <row r="913" spans="1:20" x14ac:dyDescent="0.25">
      <c r="A913" t="str">
        <f>_xll.BDP("21885AKF Muni","ID_CUSIP")</f>
        <v>#N/A Requesting Data...</v>
      </c>
      <c r="B913" t="s">
        <v>338</v>
      </c>
      <c r="C913" t="str">
        <f>_xll.BDP("21885AKF Muni","INSURANCE_STATUS")</f>
        <v>#N/A Requesting Data...</v>
      </c>
      <c r="D913" t="str">
        <f>_xll.BDP("21885AKF Muni","STATE_CODE")</f>
        <v>#N/A Requesting Data...</v>
      </c>
      <c r="E913" t="str">
        <f>_xll.BDP("21885AKF Muni","COUNTY_LOCATION_ISSUER")</f>
        <v>#N/A Requesting Data...</v>
      </c>
      <c r="F913" t="str">
        <f>_xll.BDP("21885AKF Muni","DUR_ADJ_MID")</f>
        <v>#N/A Requesting Data...</v>
      </c>
      <c r="G913" t="str">
        <f>_xll.BDP("21885AKF Muni","SPREAD_AT_ISSUANCE_TO_WORST")</f>
        <v>#N/A Requesting Data...</v>
      </c>
      <c r="H913" t="str">
        <f>_xll.BDP("21885AKF Muni","ISSUE_DT")</f>
        <v>#N/A Requesting Data...</v>
      </c>
      <c r="I913" t="str">
        <f>_xll.BDS("21885AKF Muni","MUNI_PURPOSE_SCHED", "aggregate=y")</f>
        <v>#N/A Review</v>
      </c>
      <c r="J913" t="str">
        <f>_xll.BDP("21885AKF Muni","CPN")</f>
        <v>#N/A Requesting Data...</v>
      </c>
      <c r="K913" t="str">
        <f>_xll.BDP("21885AKF Muni","MATURITY")</f>
        <v>#N/A Requesting Data...</v>
      </c>
      <c r="L913">
        <v>615000</v>
      </c>
      <c r="M913" t="str">
        <f>_xll.BDP("21885AKF Muni","YIELD_ON_ISSUE_DATE")</f>
        <v>#N/A Requesting Data...</v>
      </c>
      <c r="N913" t="str">
        <f>_xll.BDP("21885AKF Muni","YTW_SPREAD_TO_MATURITY_AT_ISSU")</f>
        <v>#N/A Requesting Data...</v>
      </c>
      <c r="O913" t="str">
        <f>_xll.BDP("21885AKF Muni","BVAL_MID_YTM")</f>
        <v>#N/A Requesting Data...</v>
      </c>
      <c r="P913" t="str">
        <f>_xll.BDP("21885AKF Muni","MUNI_TAX_PROV")</f>
        <v>#N/A Requesting Data...</v>
      </c>
      <c r="Q913" t="str">
        <f>_xll.BDP("21885AKF Muni","MUNI_FED_TAX")</f>
        <v>#N/A Requesting Data...</v>
      </c>
      <c r="R913" t="str">
        <f>_xll.BDP("21885AKF Muni","MUNI_MSRB_VOLUME")</f>
        <v>#N/A Requesting Data...</v>
      </c>
      <c r="S913" t="str">
        <f>_xll.BDP("21885AKF Muni","BB_COMPOSITE")</f>
        <v>#N/A Requesting Data...</v>
      </c>
      <c r="T913" t="str">
        <f>_xll.BDP("21885AKF Muni","LQA_LIQUIDITY_SCORE")</f>
        <v>#N/A Requesting Data...</v>
      </c>
    </row>
    <row r="914" spans="1:20" x14ac:dyDescent="0.25">
      <c r="A914" t="str">
        <f>_xll.BDP("21885AKH Muni","ID_CUSIP")</f>
        <v>#N/A Requesting Data...</v>
      </c>
      <c r="B914" t="s">
        <v>338</v>
      </c>
      <c r="C914" t="str">
        <f>_xll.BDP("21885AKH Muni","INSURANCE_STATUS")</f>
        <v>#N/A Requesting Data...</v>
      </c>
      <c r="D914" t="str">
        <f>_xll.BDP("21885AKH Muni","STATE_CODE")</f>
        <v>#N/A Requesting Data...</v>
      </c>
      <c r="E914" t="str">
        <f>_xll.BDP("21885AKH Muni","COUNTY_LOCATION_ISSUER")</f>
        <v>#N/A Requesting Data...</v>
      </c>
      <c r="F914" t="str">
        <f>_xll.BDP("21885AKH Muni","DUR_ADJ_MID")</f>
        <v>#N/A Requesting Data...</v>
      </c>
      <c r="G914" t="str">
        <f>_xll.BDP("21885AKH Muni","SPREAD_AT_ISSUANCE_TO_WORST")</f>
        <v>#N/A Requesting Data...</v>
      </c>
      <c r="H914" t="str">
        <f>_xll.BDP("21885AKH Muni","ISSUE_DT")</f>
        <v>#N/A Requesting Data...</v>
      </c>
      <c r="I914" t="str">
        <f>_xll.BDS("21885AKH Muni","MUNI_PURPOSE_SCHED", "aggregate=y")</f>
        <v>#N/A Review</v>
      </c>
      <c r="J914" t="str">
        <f>_xll.BDP("21885AKH Muni","CPN")</f>
        <v>#N/A Requesting Data...</v>
      </c>
      <c r="K914" t="str">
        <f>_xll.BDP("21885AKH Muni","MATURITY")</f>
        <v>#N/A Requesting Data...</v>
      </c>
      <c r="L914">
        <v>670000</v>
      </c>
      <c r="M914" t="str">
        <f>_xll.BDP("21885AKH Muni","YIELD_ON_ISSUE_DATE")</f>
        <v>#N/A Requesting Data...</v>
      </c>
      <c r="N914" t="str">
        <f>_xll.BDP("21885AKH Muni","YTW_SPREAD_TO_MATURITY_AT_ISSU")</f>
        <v>#N/A Requesting Data...</v>
      </c>
      <c r="O914" t="str">
        <f>_xll.BDP("21885AKH Muni","BVAL_MID_YTM")</f>
        <v>#N/A Requesting Data...</v>
      </c>
      <c r="P914" t="str">
        <f>_xll.BDP("21885AKH Muni","MUNI_TAX_PROV")</f>
        <v>#N/A Requesting Data...</v>
      </c>
      <c r="Q914" t="str">
        <f>_xll.BDP("21885AKH Muni","MUNI_FED_TAX")</f>
        <v>#N/A Requesting Data...</v>
      </c>
      <c r="R914" t="str">
        <f>_xll.BDP("21885AKH Muni","MUNI_MSRB_VOLUME")</f>
        <v>#N/A Requesting Data...</v>
      </c>
      <c r="S914" t="str">
        <f>_xll.BDP("21885AKH Muni","BB_COMPOSITE")</f>
        <v>#N/A Requesting Data...</v>
      </c>
      <c r="T914" t="str">
        <f>_xll.BDP("21885AKH Muni","LQA_LIQUIDITY_SCORE")</f>
        <v>#N/A Requesting Data...</v>
      </c>
    </row>
    <row r="915" spans="1:20" x14ac:dyDescent="0.25">
      <c r="A915" t="str">
        <f>_xll.BDP("248379UU Muni","ID_CUSIP")</f>
        <v>#N/A Requesting Data...</v>
      </c>
      <c r="B915" t="s">
        <v>341</v>
      </c>
      <c r="C915" t="str">
        <f>_xll.BDP("248379UU Muni","INSURANCE_STATUS")</f>
        <v>#N/A Requesting Data...</v>
      </c>
      <c r="D915" t="str">
        <f>_xll.BDP("248379UU Muni","STATE_CODE")</f>
        <v>#N/A Requesting Data...</v>
      </c>
      <c r="E915" t="str">
        <f>_xll.BDP("248379UU Muni","COUNTY_LOCATION_ISSUER")</f>
        <v>#N/A Requesting Data...</v>
      </c>
      <c r="F915" t="str">
        <f>_xll.BDP("248379UU Muni","DUR_ADJ_MID")</f>
        <v>#N/A Requesting Data...</v>
      </c>
      <c r="G915" t="str">
        <f>_xll.BDP("248379UU Muni","SPREAD_AT_ISSUANCE_TO_WORST")</f>
        <v>#N/A Requesting Data...</v>
      </c>
      <c r="H915" t="str">
        <f>_xll.BDP("248379UU Muni","ISSUE_DT")</f>
        <v>#N/A Requesting Data...</v>
      </c>
      <c r="I915" t="str">
        <f>_xll.BDS("248379UU Muni","MUNI_PURPOSE_SCHED", "aggregate=y")</f>
        <v>#N/A Review</v>
      </c>
      <c r="J915" t="str">
        <f>_xll.BDP("248379UU Muni","CPN")</f>
        <v>#N/A Requesting Data...</v>
      </c>
      <c r="K915" t="str">
        <f>_xll.BDP("248379UU Muni","MATURITY")</f>
        <v>#N/A Requesting Data...</v>
      </c>
      <c r="L915">
        <v>75000</v>
      </c>
      <c r="M915" t="str">
        <f>_xll.BDP("248379UU Muni","YIELD_ON_ISSUE_DATE")</f>
        <v>#N/A Requesting Data...</v>
      </c>
      <c r="N915" t="str">
        <f>_xll.BDP("248379UU Muni","YTW_SPREAD_TO_MATURITY_AT_ISSU")</f>
        <v>#N/A Requesting Data...</v>
      </c>
      <c r="O915" t="str">
        <f>_xll.BDP("248379UU Muni","BVAL_MID_YTM")</f>
        <v>#N/A Requesting Data...</v>
      </c>
      <c r="P915" t="str">
        <f>_xll.BDP("248379UU Muni","MUNI_TAX_PROV")</f>
        <v>#N/A Requesting Data...</v>
      </c>
      <c r="Q915" t="str">
        <f>_xll.BDP("248379UU Muni","MUNI_FED_TAX")</f>
        <v>#N/A Requesting Data...</v>
      </c>
      <c r="R915" t="str">
        <f>_xll.BDP("248379UU Muni","MUNI_MSRB_VOLUME")</f>
        <v>#N/A Requesting Data...</v>
      </c>
      <c r="S915" t="str">
        <f>_xll.BDP("248379UU Muni","BB_COMPOSITE")</f>
        <v>#N/A Requesting Data...</v>
      </c>
      <c r="T915" t="str">
        <f>_xll.BDP("248379UU Muni","LQA_LIQUIDITY_SCORE")</f>
        <v>#N/A Requesting Data...</v>
      </c>
    </row>
    <row r="916" spans="1:20" x14ac:dyDescent="0.25">
      <c r="A916" t="str">
        <f>_xll.BDP("248379UV Muni","ID_CUSIP")</f>
        <v>#N/A Requesting Data...</v>
      </c>
      <c r="B916" t="s">
        <v>341</v>
      </c>
      <c r="C916" t="str">
        <f>_xll.BDP("248379UV Muni","INSURANCE_STATUS")</f>
        <v>#N/A Requesting Data...</v>
      </c>
      <c r="D916" t="str">
        <f>_xll.BDP("248379UV Muni","STATE_CODE")</f>
        <v>#N/A Requesting Data...</v>
      </c>
      <c r="E916" t="str">
        <f>_xll.BDP("248379UV Muni","COUNTY_LOCATION_ISSUER")</f>
        <v>#N/A Requesting Data...</v>
      </c>
      <c r="F916" t="str">
        <f>_xll.BDP("248379UV Muni","DUR_ADJ_MID")</f>
        <v>#N/A Requesting Data...</v>
      </c>
      <c r="G916" t="str">
        <f>_xll.BDP("248379UV Muni","SPREAD_AT_ISSUANCE_TO_WORST")</f>
        <v>#N/A Requesting Data...</v>
      </c>
      <c r="H916" t="str">
        <f>_xll.BDP("248379UV Muni","ISSUE_DT")</f>
        <v>#N/A Requesting Data...</v>
      </c>
      <c r="I916" t="str">
        <f>_xll.BDS("248379UV Muni","MUNI_PURPOSE_SCHED", "aggregate=y")</f>
        <v>#N/A Review</v>
      </c>
      <c r="J916" t="str">
        <f>_xll.BDP("248379UV Muni","CPN")</f>
        <v>#N/A Requesting Data...</v>
      </c>
      <c r="K916" t="str">
        <f>_xll.BDP("248379UV Muni","MATURITY")</f>
        <v>#N/A Requesting Data...</v>
      </c>
      <c r="L916">
        <v>80000</v>
      </c>
      <c r="M916" t="str">
        <f>_xll.BDP("248379UV Muni","YIELD_ON_ISSUE_DATE")</f>
        <v>#N/A Requesting Data...</v>
      </c>
      <c r="N916" t="str">
        <f>_xll.BDP("248379UV Muni","YTW_SPREAD_TO_MATURITY_AT_ISSU")</f>
        <v>#N/A Requesting Data...</v>
      </c>
      <c r="O916" t="str">
        <f>_xll.BDP("248379UV Muni","BVAL_MID_YTM")</f>
        <v>#N/A Requesting Data...</v>
      </c>
      <c r="P916" t="str">
        <f>_xll.BDP("248379UV Muni","MUNI_TAX_PROV")</f>
        <v>#N/A Requesting Data...</v>
      </c>
      <c r="Q916" t="str">
        <f>_xll.BDP("248379UV Muni","MUNI_FED_TAX")</f>
        <v>#N/A Requesting Data...</v>
      </c>
      <c r="R916" t="str">
        <f>_xll.BDP("248379UV Muni","MUNI_MSRB_VOLUME")</f>
        <v>#N/A Requesting Data...</v>
      </c>
      <c r="S916" t="str">
        <f>_xll.BDP("248379UV Muni","BB_COMPOSITE")</f>
        <v>#N/A Requesting Data...</v>
      </c>
      <c r="T916" t="str">
        <f>_xll.BDP("248379UV Muni","LQA_LIQUIDITY_SCORE")</f>
        <v>#N/A Requesting Data...</v>
      </c>
    </row>
    <row r="917" spans="1:20" x14ac:dyDescent="0.25">
      <c r="A917" t="str">
        <f>_xll.BDP("24879TNN Muni","ID_CUSIP")</f>
        <v>#N/A Requesting Data...</v>
      </c>
      <c r="B917" t="s">
        <v>178</v>
      </c>
      <c r="C917" t="str">
        <f>_xll.BDP("24879TNN Muni","INSURANCE_STATUS")</f>
        <v>#N/A Requesting Data...</v>
      </c>
      <c r="D917" t="str">
        <f>_xll.BDP("24879TNN Muni","STATE_CODE")</f>
        <v>#N/A Requesting Data...</v>
      </c>
      <c r="E917" t="str">
        <f>_xll.BDP("24879TNN Muni","COUNTY_LOCATION_ISSUER")</f>
        <v>#N/A Requesting Data...</v>
      </c>
      <c r="F917" t="str">
        <f>_xll.BDP("24879TNN Muni","DUR_ADJ_MID")</f>
        <v>#N/A Requesting Data...</v>
      </c>
      <c r="G917" t="str">
        <f>_xll.BDP("24879TNN Muni","SPREAD_AT_ISSUANCE_TO_WORST")</f>
        <v>#N/A Requesting Data...</v>
      </c>
      <c r="H917" t="str">
        <f>_xll.BDP("24879TNN Muni","ISSUE_DT")</f>
        <v>#N/A Requesting Data...</v>
      </c>
      <c r="I917" t="str">
        <f>_xll.BDS("24879TNN Muni","MUNI_PURPOSE_SCHED", "aggregate=y")</f>
        <v>#N/A Review</v>
      </c>
      <c r="J917" t="str">
        <f>_xll.BDP("24879TNN Muni","CPN")</f>
        <v>#N/A Requesting Data...</v>
      </c>
      <c r="K917" t="str">
        <f>_xll.BDP("24879TNN Muni","MATURITY")</f>
        <v>#N/A Requesting Data...</v>
      </c>
      <c r="L917">
        <v>600000</v>
      </c>
      <c r="M917" t="str">
        <f>_xll.BDP("24879TNN Muni","YIELD_ON_ISSUE_DATE")</f>
        <v>#N/A Requesting Data...</v>
      </c>
      <c r="N917" t="str">
        <f>_xll.BDP("24879TNN Muni","YTW_SPREAD_TO_MATURITY_AT_ISSU")</f>
        <v>#N/A Requesting Data...</v>
      </c>
      <c r="O917" t="str">
        <f>_xll.BDP("24879TNN Muni","BVAL_MID_YTM")</f>
        <v>#N/A Requesting Data...</v>
      </c>
      <c r="P917" t="str">
        <f>_xll.BDP("24879TNN Muni","MUNI_TAX_PROV")</f>
        <v>#N/A Requesting Data...</v>
      </c>
      <c r="Q917" t="str">
        <f>_xll.BDP("24879TNN Muni","MUNI_FED_TAX")</f>
        <v>#N/A Requesting Data...</v>
      </c>
      <c r="R917" t="str">
        <f>_xll.BDP("24879TNN Muni","MUNI_MSRB_VOLUME")</f>
        <v>#N/A Requesting Data...</v>
      </c>
      <c r="S917" t="str">
        <f>_xll.BDP("24879TNN Muni","BB_COMPOSITE")</f>
        <v>#N/A Requesting Data...</v>
      </c>
      <c r="T917" t="str">
        <f>_xll.BDP("24879TNN Muni","LQA_LIQUIDITY_SCORE")</f>
        <v>#N/A Requesting Data...</v>
      </c>
    </row>
    <row r="918" spans="1:20" x14ac:dyDescent="0.25">
      <c r="A918" t="str">
        <f>_xll.BDP("24879UKJ Muni","ID_CUSIP")</f>
        <v>#N/A Requesting Data...</v>
      </c>
      <c r="B918" t="s">
        <v>179</v>
      </c>
      <c r="C918" t="str">
        <f>_xll.BDP("24879UKJ Muni","INSURANCE_STATUS")</f>
        <v>#N/A Requesting Data...</v>
      </c>
      <c r="D918" t="str">
        <f>_xll.BDP("24879UKJ Muni","STATE_CODE")</f>
        <v>#N/A Requesting Data...</v>
      </c>
      <c r="E918" t="str">
        <f>_xll.BDP("24879UKJ Muni","COUNTY_LOCATION_ISSUER")</f>
        <v>#N/A Requesting Data...</v>
      </c>
      <c r="F918" t="str">
        <f>_xll.BDP("24879UKJ Muni","DUR_ADJ_MID")</f>
        <v>#N/A Requesting Data...</v>
      </c>
      <c r="G918" t="str">
        <f>_xll.BDP("24879UKJ Muni","SPREAD_AT_ISSUANCE_TO_WORST")</f>
        <v>#N/A Requesting Data...</v>
      </c>
      <c r="H918" t="str">
        <f>_xll.BDP("24879UKJ Muni","ISSUE_DT")</f>
        <v>#N/A Requesting Data...</v>
      </c>
      <c r="I918" t="str">
        <f>_xll.BDS("24879UKJ Muni","MUNI_PURPOSE_SCHED", "aggregate=y")</f>
        <v>#N/A Review</v>
      </c>
      <c r="J918" t="str">
        <f>_xll.BDP("24879UKJ Muni","CPN")</f>
        <v>#N/A Requesting Data...</v>
      </c>
      <c r="K918" t="str">
        <f>_xll.BDP("24879UKJ Muni","MATURITY")</f>
        <v>#N/A Requesting Data...</v>
      </c>
      <c r="L918">
        <v>125000</v>
      </c>
      <c r="M918" t="str">
        <f>_xll.BDP("24879UKJ Muni","YIELD_ON_ISSUE_DATE")</f>
        <v>#N/A Requesting Data...</v>
      </c>
      <c r="N918" t="str">
        <f>_xll.BDP("24879UKJ Muni","YTW_SPREAD_TO_MATURITY_AT_ISSU")</f>
        <v>#N/A Requesting Data...</v>
      </c>
      <c r="O918" t="str">
        <f>_xll.BDP("24879UKJ Muni","BVAL_MID_YTM")</f>
        <v>#N/A Requesting Data...</v>
      </c>
      <c r="P918" t="str">
        <f>_xll.BDP("24879UKJ Muni","MUNI_TAX_PROV")</f>
        <v>#N/A Requesting Data...</v>
      </c>
      <c r="Q918" t="str">
        <f>_xll.BDP("24879UKJ Muni","MUNI_FED_TAX")</f>
        <v>#N/A Requesting Data...</v>
      </c>
      <c r="R918" t="str">
        <f>_xll.BDP("24879UKJ Muni","MUNI_MSRB_VOLUME")</f>
        <v>#N/A Requesting Data...</v>
      </c>
      <c r="S918" t="str">
        <f>_xll.BDP("24879UKJ Muni","BB_COMPOSITE")</f>
        <v>#N/A Requesting Data...</v>
      </c>
      <c r="T918" t="str">
        <f>_xll.BDP("24879UKJ Muni","LQA_LIQUIDITY_SCORE")</f>
        <v>#N/A Requesting Data...</v>
      </c>
    </row>
    <row r="919" spans="1:20" x14ac:dyDescent="0.25">
      <c r="A919" t="str">
        <f>_xll.BDP("24879UKL Muni","ID_CUSIP")</f>
        <v>#N/A Requesting Data...</v>
      </c>
      <c r="B919" t="s">
        <v>179</v>
      </c>
      <c r="C919" t="str">
        <f>_xll.BDP("24879UKL Muni","INSURANCE_STATUS")</f>
        <v>#N/A Requesting Data...</v>
      </c>
      <c r="D919" t="str">
        <f>_xll.BDP("24879UKL Muni","STATE_CODE")</f>
        <v>#N/A Requesting Data...</v>
      </c>
      <c r="E919" t="str">
        <f>_xll.BDP("24879UKL Muni","COUNTY_LOCATION_ISSUER")</f>
        <v>#N/A Requesting Data...</v>
      </c>
      <c r="F919" t="str">
        <f>_xll.BDP("24879UKL Muni","DUR_ADJ_MID")</f>
        <v>#N/A Requesting Data...</v>
      </c>
      <c r="G919" t="str">
        <f>_xll.BDP("24879UKL Muni","SPREAD_AT_ISSUANCE_TO_WORST")</f>
        <v>#N/A Requesting Data...</v>
      </c>
      <c r="H919" t="str">
        <f>_xll.BDP("24879UKL Muni","ISSUE_DT")</f>
        <v>#N/A Requesting Data...</v>
      </c>
      <c r="I919" t="str">
        <f>_xll.BDS("24879UKL Muni","MUNI_PURPOSE_SCHED", "aggregate=y")</f>
        <v>#N/A Review</v>
      </c>
      <c r="J919" t="str">
        <f>_xll.BDP("24879UKL Muni","CPN")</f>
        <v>#N/A Requesting Data...</v>
      </c>
      <c r="K919" t="str">
        <f>_xll.BDP("24879UKL Muni","MATURITY")</f>
        <v>#N/A Requesting Data...</v>
      </c>
      <c r="L919">
        <v>135000</v>
      </c>
      <c r="M919" t="str">
        <f>_xll.BDP("24879UKL Muni","YIELD_ON_ISSUE_DATE")</f>
        <v>#N/A Requesting Data...</v>
      </c>
      <c r="N919" t="str">
        <f>_xll.BDP("24879UKL Muni","YTW_SPREAD_TO_MATURITY_AT_ISSU")</f>
        <v>#N/A Requesting Data...</v>
      </c>
      <c r="O919" t="str">
        <f>_xll.BDP("24879UKL Muni","BVAL_MID_YTM")</f>
        <v>#N/A Requesting Data...</v>
      </c>
      <c r="P919" t="str">
        <f>_xll.BDP("24879UKL Muni","MUNI_TAX_PROV")</f>
        <v>#N/A Requesting Data...</v>
      </c>
      <c r="Q919" t="str">
        <f>_xll.BDP("24879UKL Muni","MUNI_FED_TAX")</f>
        <v>#N/A Requesting Data...</v>
      </c>
      <c r="R919" t="str">
        <f>_xll.BDP("24879UKL Muni","MUNI_MSRB_VOLUME")</f>
        <v>#N/A Requesting Data...</v>
      </c>
      <c r="S919" t="str">
        <f>_xll.BDP("24879UKL Muni","BB_COMPOSITE")</f>
        <v>#N/A Requesting Data...</v>
      </c>
      <c r="T919" t="str">
        <f>_xll.BDP("24879UKL Muni","LQA_LIQUIDITY_SCORE")</f>
        <v>#N/A Requesting Data...</v>
      </c>
    </row>
    <row r="920" spans="1:20" x14ac:dyDescent="0.25">
      <c r="A920" t="str">
        <f>_xll.BDP("24879VDH Muni","ID_CUSIP")</f>
        <v>#N/A Requesting Data...</v>
      </c>
      <c r="B920" t="s">
        <v>180</v>
      </c>
      <c r="C920" t="str">
        <f>_xll.BDP("24879VDH Muni","INSURANCE_STATUS")</f>
        <v>#N/A Requesting Data...</v>
      </c>
      <c r="D920" t="str">
        <f>_xll.BDP("24879VDH Muni","STATE_CODE")</f>
        <v>#N/A Requesting Data...</v>
      </c>
      <c r="E920" t="str">
        <f>_xll.BDP("24879VDH Muni","COUNTY_LOCATION_ISSUER")</f>
        <v>#N/A Requesting Data...</v>
      </c>
      <c r="F920" t="str">
        <f>_xll.BDP("24879VDH Muni","DUR_ADJ_MID")</f>
        <v>#N/A Requesting Data...</v>
      </c>
      <c r="G920" t="str">
        <f>_xll.BDP("24879VDH Muni","SPREAD_AT_ISSUANCE_TO_WORST")</f>
        <v>#N/A Requesting Data...</v>
      </c>
      <c r="H920" t="str">
        <f>_xll.BDP("24879VDH Muni","ISSUE_DT")</f>
        <v>#N/A Requesting Data...</v>
      </c>
      <c r="I920" t="str">
        <f>_xll.BDS("24879VDH Muni","MUNI_PURPOSE_SCHED", "aggregate=y")</f>
        <v>#N/A Review</v>
      </c>
      <c r="J920" t="str">
        <f>_xll.BDP("24879VDH Muni","CPN")</f>
        <v>#N/A Requesting Data...</v>
      </c>
      <c r="K920" t="str">
        <f>_xll.BDP("24879VDH Muni","MATURITY")</f>
        <v>#N/A Requesting Data...</v>
      </c>
      <c r="L920">
        <v>165000</v>
      </c>
      <c r="M920" t="str">
        <f>_xll.BDP("24879VDH Muni","YIELD_ON_ISSUE_DATE")</f>
        <v>#N/A Requesting Data...</v>
      </c>
      <c r="N920" t="str">
        <f>_xll.BDP("24879VDH Muni","YTW_SPREAD_TO_MATURITY_AT_ISSU")</f>
        <v>#N/A Requesting Data...</v>
      </c>
      <c r="O920" t="str">
        <f>_xll.BDP("24879VDH Muni","BVAL_MID_YTM")</f>
        <v>#N/A Requesting Data...</v>
      </c>
      <c r="P920" t="str">
        <f>_xll.BDP("24879VDH Muni","MUNI_TAX_PROV")</f>
        <v>#N/A Requesting Data...</v>
      </c>
      <c r="Q920" t="str">
        <f>_xll.BDP("24879VDH Muni","MUNI_FED_TAX")</f>
        <v>#N/A Requesting Data...</v>
      </c>
      <c r="R920" t="str">
        <f>_xll.BDP("24879VDH Muni","MUNI_MSRB_VOLUME")</f>
        <v>#N/A Requesting Data...</v>
      </c>
      <c r="S920" t="str">
        <f>_xll.BDP("24879VDH Muni","BB_COMPOSITE")</f>
        <v>#N/A Requesting Data...</v>
      </c>
      <c r="T920" t="str">
        <f>_xll.BDP("24879VDH Muni","LQA_LIQUIDITY_SCORE")</f>
        <v>#N/A Requesting Data...</v>
      </c>
    </row>
    <row r="921" spans="1:20" x14ac:dyDescent="0.25">
      <c r="A921" t="str">
        <f>_xll.BDP("24880AHY Muni","ID_CUSIP")</f>
        <v>#N/A Requesting Data...</v>
      </c>
      <c r="B921" t="s">
        <v>181</v>
      </c>
      <c r="C921" t="str">
        <f>_xll.BDP("24880AHY Muni","INSURANCE_STATUS")</f>
        <v>#N/A Requesting Data...</v>
      </c>
      <c r="D921" t="str">
        <f>_xll.BDP("24880AHY Muni","STATE_CODE")</f>
        <v>#N/A Requesting Data...</v>
      </c>
      <c r="E921" t="str">
        <f>_xll.BDP("24880AHY Muni","COUNTY_LOCATION_ISSUER")</f>
        <v>#N/A Requesting Data...</v>
      </c>
      <c r="F921" t="str">
        <f>_xll.BDP("24880AHY Muni","DUR_ADJ_MID")</f>
        <v>#N/A Requesting Data...</v>
      </c>
      <c r="G921" t="str">
        <f>_xll.BDP("24880AHY Muni","SPREAD_AT_ISSUANCE_TO_WORST")</f>
        <v>#N/A Requesting Data...</v>
      </c>
      <c r="H921" t="str">
        <f>_xll.BDP("24880AHY Muni","ISSUE_DT")</f>
        <v>#N/A Requesting Data...</v>
      </c>
      <c r="I921" t="str">
        <f>_xll.BDS("24880AHY Muni","MUNI_PURPOSE_SCHED", "aggregate=y")</f>
        <v>#N/A Review</v>
      </c>
      <c r="J921" t="str">
        <f>_xll.BDP("24880AHY Muni","CPN")</f>
        <v>#N/A Requesting Data...</v>
      </c>
      <c r="K921" t="str">
        <f>_xll.BDP("24880AHY Muni","MATURITY")</f>
        <v>#N/A Requesting Data...</v>
      </c>
      <c r="L921">
        <v>95000</v>
      </c>
      <c r="M921" t="str">
        <f>_xll.BDP("24880AHY Muni","YIELD_ON_ISSUE_DATE")</f>
        <v>#N/A Requesting Data...</v>
      </c>
      <c r="N921" t="str">
        <f>_xll.BDP("24880AHY Muni","YTW_SPREAD_TO_MATURITY_AT_ISSU")</f>
        <v>#N/A Requesting Data...</v>
      </c>
      <c r="O921" t="str">
        <f>_xll.BDP("24880AHY Muni","BVAL_MID_YTM")</f>
        <v>#N/A Requesting Data...</v>
      </c>
      <c r="P921" t="str">
        <f>_xll.BDP("24880AHY Muni","MUNI_TAX_PROV")</f>
        <v>#N/A Requesting Data...</v>
      </c>
      <c r="Q921" t="str">
        <f>_xll.BDP("24880AHY Muni","MUNI_FED_TAX")</f>
        <v>#N/A Requesting Data...</v>
      </c>
      <c r="R921" t="str">
        <f>_xll.BDP("24880AHY Muni","MUNI_MSRB_VOLUME")</f>
        <v>#N/A Requesting Data...</v>
      </c>
      <c r="S921" t="str">
        <f>_xll.BDP("24880AHY Muni","BB_COMPOSITE")</f>
        <v>#N/A Requesting Data...</v>
      </c>
      <c r="T921" t="str">
        <f>_xll.BDP("24880AHY Muni","LQA_LIQUIDITY_SCORE")</f>
        <v>#N/A Requesting Data...</v>
      </c>
    </row>
    <row r="922" spans="1:20" x14ac:dyDescent="0.25">
      <c r="A922" t="str">
        <f>_xll.BDP("24880AJA Muni","ID_CUSIP")</f>
        <v>#N/A Requesting Data...</v>
      </c>
      <c r="B922" t="s">
        <v>181</v>
      </c>
      <c r="C922" t="str">
        <f>_xll.BDP("24880AJA Muni","INSURANCE_STATUS")</f>
        <v>#N/A Requesting Data...</v>
      </c>
      <c r="D922" t="str">
        <f>_xll.BDP("24880AJA Muni","STATE_CODE")</f>
        <v>#N/A Requesting Data...</v>
      </c>
      <c r="E922" t="str">
        <f>_xll.BDP("24880AJA Muni","COUNTY_LOCATION_ISSUER")</f>
        <v>#N/A Requesting Data...</v>
      </c>
      <c r="F922" t="str">
        <f>_xll.BDP("24880AJA Muni","DUR_ADJ_MID")</f>
        <v>#N/A Requesting Data...</v>
      </c>
      <c r="G922" t="str">
        <f>_xll.BDP("24880AJA Muni","SPREAD_AT_ISSUANCE_TO_WORST")</f>
        <v>#N/A Requesting Data...</v>
      </c>
      <c r="H922" t="str">
        <f>_xll.BDP("24880AJA Muni","ISSUE_DT")</f>
        <v>#N/A Requesting Data...</v>
      </c>
      <c r="I922" t="str">
        <f>_xll.BDS("24880AJA Muni","MUNI_PURPOSE_SCHED", "aggregate=y")</f>
        <v>#N/A Review</v>
      </c>
      <c r="J922" t="str">
        <f>_xll.BDP("24880AJA Muni","CPN")</f>
        <v>#N/A Requesting Data...</v>
      </c>
      <c r="K922" t="str">
        <f>_xll.BDP("24880AJA Muni","MATURITY")</f>
        <v>#N/A Requesting Data...</v>
      </c>
      <c r="L922">
        <v>100000</v>
      </c>
      <c r="M922" t="str">
        <f>_xll.BDP("24880AJA Muni","YIELD_ON_ISSUE_DATE")</f>
        <v>#N/A Requesting Data...</v>
      </c>
      <c r="N922" t="str">
        <f>_xll.BDP("24880AJA Muni","YTW_SPREAD_TO_MATURITY_AT_ISSU")</f>
        <v>#N/A Requesting Data...</v>
      </c>
      <c r="O922" t="str">
        <f>_xll.BDP("24880AJA Muni","BVAL_MID_YTM")</f>
        <v>#N/A Requesting Data...</v>
      </c>
      <c r="P922" t="str">
        <f>_xll.BDP("24880AJA Muni","MUNI_TAX_PROV")</f>
        <v>#N/A Requesting Data...</v>
      </c>
      <c r="Q922" t="str">
        <f>_xll.BDP("24880AJA Muni","MUNI_FED_TAX")</f>
        <v>#N/A Requesting Data...</v>
      </c>
      <c r="R922" t="str">
        <f>_xll.BDP("24880AJA Muni","MUNI_MSRB_VOLUME")</f>
        <v>#N/A Requesting Data...</v>
      </c>
      <c r="S922" t="str">
        <f>_xll.BDP("24880AJA Muni","BB_COMPOSITE")</f>
        <v>#N/A Requesting Data...</v>
      </c>
      <c r="T922" t="str">
        <f>_xll.BDP("24880AJA Muni","LQA_LIQUIDITY_SCORE")</f>
        <v>#N/A Requesting Data...</v>
      </c>
    </row>
    <row r="923" spans="1:20" x14ac:dyDescent="0.25">
      <c r="A923" t="str">
        <f>_xll.BDP("283822MP Muni","ID_CUSIP")</f>
        <v>#N/A Requesting Data...</v>
      </c>
      <c r="B923" t="s">
        <v>139</v>
      </c>
      <c r="C923" t="str">
        <f>_xll.BDP("283822MP Muni","INSURANCE_STATUS")</f>
        <v>#N/A Requesting Data...</v>
      </c>
      <c r="D923" t="str">
        <f>_xll.BDP("283822MP Muni","STATE_CODE")</f>
        <v>#N/A Requesting Data...</v>
      </c>
      <c r="E923" t="str">
        <f>_xll.BDP("283822MP Muni","COUNTY_LOCATION_ISSUER")</f>
        <v>#N/A Requesting Data...</v>
      </c>
      <c r="F923" t="str">
        <f>_xll.BDP("283822MP Muni","DUR_ADJ_MID")</f>
        <v>#N/A Requesting Data...</v>
      </c>
      <c r="G923" t="str">
        <f>_xll.BDP("283822MP Muni","SPREAD_AT_ISSUANCE_TO_WORST")</f>
        <v>#N/A Requesting Data...</v>
      </c>
      <c r="H923" t="str">
        <f>_xll.BDP("283822MP Muni","ISSUE_DT")</f>
        <v>#N/A Requesting Data...</v>
      </c>
      <c r="I923" t="str">
        <f>_xll.BDS("283822MP Muni","MUNI_PURPOSE_SCHED", "aggregate=y")</f>
        <v>#N/A Review</v>
      </c>
      <c r="J923" t="str">
        <f>_xll.BDP("283822MP Muni","CPN")</f>
        <v>#N/A Requesting Data...</v>
      </c>
      <c r="K923" t="str">
        <f>_xll.BDP("283822MP Muni","MATURITY")</f>
        <v>#N/A Requesting Data...</v>
      </c>
      <c r="L923">
        <v>3860000</v>
      </c>
      <c r="M923" t="str">
        <f>_xll.BDP("283822MP Muni","YIELD_ON_ISSUE_DATE")</f>
        <v>#N/A Requesting Data...</v>
      </c>
      <c r="N923" t="str">
        <f>_xll.BDP("283822MP Muni","YTW_SPREAD_TO_MATURITY_AT_ISSU")</f>
        <v>#N/A Requesting Data...</v>
      </c>
      <c r="O923" t="str">
        <f>_xll.BDP("283822MP Muni","BVAL_MID_YTM")</f>
        <v>#N/A Requesting Data...</v>
      </c>
      <c r="P923" t="str">
        <f>_xll.BDP("283822MP Muni","MUNI_TAX_PROV")</f>
        <v>#N/A Requesting Data...</v>
      </c>
      <c r="Q923" t="str">
        <f>_xll.BDP("283822MP Muni","MUNI_FED_TAX")</f>
        <v>#N/A Requesting Data...</v>
      </c>
      <c r="R923" t="str">
        <f>_xll.BDP("283822MP Muni","MUNI_MSRB_VOLUME")</f>
        <v>#N/A Requesting Data...</v>
      </c>
      <c r="S923" t="str">
        <f>_xll.BDP("283822MP Muni","BB_COMPOSITE")</f>
        <v>#N/A Requesting Data...</v>
      </c>
      <c r="T923" t="str">
        <f>_xll.BDP("283822MP Muni","LQA_LIQUIDITY_SCORE")</f>
        <v>#N/A Requesting Data...</v>
      </c>
    </row>
    <row r="924" spans="1:20" x14ac:dyDescent="0.25">
      <c r="A924" t="str">
        <f>_xll.BDP("283822MS Muni","ID_CUSIP")</f>
        <v>#N/A Requesting Data...</v>
      </c>
      <c r="B924" t="s">
        <v>139</v>
      </c>
      <c r="C924" t="str">
        <f>_xll.BDP("283822MS Muni","INSURANCE_STATUS")</f>
        <v>#N/A Requesting Data...</v>
      </c>
      <c r="D924" t="str">
        <f>_xll.BDP("283822MS Muni","STATE_CODE")</f>
        <v>#N/A Requesting Data...</v>
      </c>
      <c r="E924" t="str">
        <f>_xll.BDP("283822MS Muni","COUNTY_LOCATION_ISSUER")</f>
        <v>#N/A Requesting Data...</v>
      </c>
      <c r="F924" t="str">
        <f>_xll.BDP("283822MS Muni","DUR_ADJ_MID")</f>
        <v>#N/A Requesting Data...</v>
      </c>
      <c r="G924" t="str">
        <f>_xll.BDP("283822MS Muni","SPREAD_AT_ISSUANCE_TO_WORST")</f>
        <v>#N/A Requesting Data...</v>
      </c>
      <c r="H924" t="str">
        <f>_xll.BDP("283822MS Muni","ISSUE_DT")</f>
        <v>#N/A Requesting Data...</v>
      </c>
      <c r="I924" t="str">
        <f>_xll.BDS("283822MS Muni","MUNI_PURPOSE_SCHED", "aggregate=y")</f>
        <v>#N/A Review</v>
      </c>
      <c r="J924" t="str">
        <f>_xll.BDP("283822MS Muni","CPN")</f>
        <v>#N/A Requesting Data...</v>
      </c>
      <c r="K924" t="str">
        <f>_xll.BDP("283822MS Muni","MATURITY")</f>
        <v>#N/A Requesting Data...</v>
      </c>
      <c r="L924">
        <v>4465000</v>
      </c>
      <c r="M924" t="str">
        <f>_xll.BDP("283822MS Muni","YIELD_ON_ISSUE_DATE")</f>
        <v>#N/A Requesting Data...</v>
      </c>
      <c r="N924" t="str">
        <f>_xll.BDP("283822MS Muni","YTW_SPREAD_TO_MATURITY_AT_ISSU")</f>
        <v>#N/A Requesting Data...</v>
      </c>
      <c r="O924" t="str">
        <f>_xll.BDP("283822MS Muni","BVAL_MID_YTM")</f>
        <v>#N/A Requesting Data...</v>
      </c>
      <c r="P924" t="str">
        <f>_xll.BDP("283822MS Muni","MUNI_TAX_PROV")</f>
        <v>#N/A Requesting Data...</v>
      </c>
      <c r="Q924" t="str">
        <f>_xll.BDP("283822MS Muni","MUNI_FED_TAX")</f>
        <v>#N/A Requesting Data...</v>
      </c>
      <c r="R924" t="str">
        <f>_xll.BDP("283822MS Muni","MUNI_MSRB_VOLUME")</f>
        <v>#N/A Requesting Data...</v>
      </c>
      <c r="S924" t="str">
        <f>_xll.BDP("283822MS Muni","BB_COMPOSITE")</f>
        <v>#N/A Requesting Data...</v>
      </c>
      <c r="T924" t="str">
        <f>_xll.BDP("283822MS Muni","LQA_LIQUIDITY_SCORE")</f>
        <v>#N/A Requesting Data...</v>
      </c>
    </row>
    <row r="925" spans="1:20" x14ac:dyDescent="0.25">
      <c r="A925" t="str">
        <f>_xll.BDP("287371FF Muni","ID_CUSIP")</f>
        <v>#N/A Requesting Data...</v>
      </c>
      <c r="B925" t="s">
        <v>115</v>
      </c>
      <c r="C925" t="str">
        <f>_xll.BDP("287371FF Muni","INSURANCE_STATUS")</f>
        <v>#N/A Requesting Data...</v>
      </c>
      <c r="D925" t="str">
        <f>_xll.BDP("287371FF Muni","STATE_CODE")</f>
        <v>#N/A Requesting Data...</v>
      </c>
      <c r="E925" t="str">
        <f>_xll.BDP("287371FF Muni","COUNTY_LOCATION_ISSUER")</f>
        <v>#N/A Requesting Data...</v>
      </c>
      <c r="F925" t="str">
        <f>_xll.BDP("287371FF Muni","DUR_ADJ_MID")</f>
        <v>#N/A Requesting Data...</v>
      </c>
      <c r="G925" t="str">
        <f>_xll.BDP("287371FF Muni","SPREAD_AT_ISSUANCE_TO_WORST")</f>
        <v>#N/A Requesting Data...</v>
      </c>
      <c r="H925" t="str">
        <f>_xll.BDP("287371FF Muni","ISSUE_DT")</f>
        <v>#N/A Requesting Data...</v>
      </c>
      <c r="I925" t="str">
        <f>_xll.BDS("287371FF Muni","MUNI_PURPOSE_SCHED", "aggregate=y")</f>
        <v>#N/A Review</v>
      </c>
      <c r="J925" t="str">
        <f>_xll.BDP("287371FF Muni","CPN")</f>
        <v>#N/A Requesting Data...</v>
      </c>
      <c r="K925" t="str">
        <f>_xll.BDP("287371FF Muni","MATURITY")</f>
        <v>#N/A Requesting Data...</v>
      </c>
      <c r="L925">
        <v>85000</v>
      </c>
      <c r="M925" t="str">
        <f>_xll.BDP("287371FF Muni","YIELD_ON_ISSUE_DATE")</f>
        <v>#N/A Requesting Data...</v>
      </c>
      <c r="N925" t="str">
        <f>_xll.BDP("287371FF Muni","YTW_SPREAD_TO_MATURITY_AT_ISSU")</f>
        <v>#N/A Requesting Data...</v>
      </c>
      <c r="O925" t="str">
        <f>_xll.BDP("287371FF Muni","BVAL_MID_YTM")</f>
        <v>#N/A Requesting Data...</v>
      </c>
      <c r="P925" t="str">
        <f>_xll.BDP("287371FF Muni","MUNI_TAX_PROV")</f>
        <v>#N/A Requesting Data...</v>
      </c>
      <c r="Q925" t="str">
        <f>_xll.BDP("287371FF Muni","MUNI_FED_TAX")</f>
        <v>#N/A Requesting Data...</v>
      </c>
      <c r="R925" t="str">
        <f>_xll.BDP("287371FF Muni","MUNI_MSRB_VOLUME")</f>
        <v>#N/A Requesting Data...</v>
      </c>
      <c r="S925" t="str">
        <f>_xll.BDP("287371FF Muni","BB_COMPOSITE")</f>
        <v>#N/A Requesting Data...</v>
      </c>
      <c r="T925" t="str">
        <f>_xll.BDP("287371FF Muni","LQA_LIQUIDITY_SCORE")</f>
        <v>#N/A Requesting Data...</v>
      </c>
    </row>
    <row r="926" spans="1:20" x14ac:dyDescent="0.25">
      <c r="A926" t="str">
        <f>_xll.BDP("287371FG Muni","ID_CUSIP")</f>
        <v>#N/A Requesting Data...</v>
      </c>
      <c r="B926" t="s">
        <v>115</v>
      </c>
      <c r="C926" t="str">
        <f>_xll.BDP("287371FG Muni","INSURANCE_STATUS")</f>
        <v>#N/A Requesting Data...</v>
      </c>
      <c r="D926" t="str">
        <f>_xll.BDP("287371FG Muni","STATE_CODE")</f>
        <v>#N/A Requesting Data...</v>
      </c>
      <c r="E926" t="str">
        <f>_xll.BDP("287371FG Muni","COUNTY_LOCATION_ISSUER")</f>
        <v>#N/A Requesting Data...</v>
      </c>
      <c r="F926" t="str">
        <f>_xll.BDP("287371FG Muni","DUR_ADJ_MID")</f>
        <v>#N/A Requesting Data...</v>
      </c>
      <c r="G926" t="str">
        <f>_xll.BDP("287371FG Muni","SPREAD_AT_ISSUANCE_TO_WORST")</f>
        <v>#N/A Requesting Data...</v>
      </c>
      <c r="H926" t="str">
        <f>_xll.BDP("287371FG Muni","ISSUE_DT")</f>
        <v>#N/A Requesting Data...</v>
      </c>
      <c r="I926" t="str">
        <f>_xll.BDS("287371FG Muni","MUNI_PURPOSE_SCHED", "aggregate=y")</f>
        <v>#N/A Review</v>
      </c>
      <c r="J926" t="str">
        <f>_xll.BDP("287371FG Muni","CPN")</f>
        <v>#N/A Requesting Data...</v>
      </c>
      <c r="K926" t="str">
        <f>_xll.BDP("287371FG Muni","MATURITY")</f>
        <v>#N/A Requesting Data...</v>
      </c>
      <c r="L926">
        <v>90000</v>
      </c>
      <c r="M926" t="str">
        <f>_xll.BDP("287371FG Muni","YIELD_ON_ISSUE_DATE")</f>
        <v>#N/A Requesting Data...</v>
      </c>
      <c r="N926" t="str">
        <f>_xll.BDP("287371FG Muni","YTW_SPREAD_TO_MATURITY_AT_ISSU")</f>
        <v>#N/A Requesting Data...</v>
      </c>
      <c r="O926" t="str">
        <f>_xll.BDP("287371FG Muni","BVAL_MID_YTM")</f>
        <v>#N/A Requesting Data...</v>
      </c>
      <c r="P926" t="str">
        <f>_xll.BDP("287371FG Muni","MUNI_TAX_PROV")</f>
        <v>#N/A Requesting Data...</v>
      </c>
      <c r="Q926" t="str">
        <f>_xll.BDP("287371FG Muni","MUNI_FED_TAX")</f>
        <v>#N/A Requesting Data...</v>
      </c>
      <c r="R926" t="str">
        <f>_xll.BDP("287371FG Muni","MUNI_MSRB_VOLUME")</f>
        <v>#N/A Requesting Data...</v>
      </c>
      <c r="S926" t="str">
        <f>_xll.BDP("287371FG Muni","BB_COMPOSITE")</f>
        <v>#N/A Requesting Data...</v>
      </c>
      <c r="T926" t="str">
        <f>_xll.BDP("287371FG Muni","LQA_LIQUIDITY_SCORE")</f>
        <v>#N/A Requesting Data...</v>
      </c>
    </row>
    <row r="927" spans="1:20" x14ac:dyDescent="0.25">
      <c r="A927" t="str">
        <f>_xll.BDP("287371FH Muni","ID_CUSIP")</f>
        <v>#N/A Requesting Data...</v>
      </c>
      <c r="B927" t="s">
        <v>115</v>
      </c>
      <c r="C927" t="str">
        <f>_xll.BDP("287371FH Muni","INSURANCE_STATUS")</f>
        <v>#N/A Requesting Data...</v>
      </c>
      <c r="D927" t="str">
        <f>_xll.BDP("287371FH Muni","STATE_CODE")</f>
        <v>#N/A Requesting Data...</v>
      </c>
      <c r="E927" t="str">
        <f>_xll.BDP("287371FH Muni","COUNTY_LOCATION_ISSUER")</f>
        <v>#N/A Requesting Data...</v>
      </c>
      <c r="F927" t="str">
        <f>_xll.BDP("287371FH Muni","DUR_ADJ_MID")</f>
        <v>#N/A Requesting Data...</v>
      </c>
      <c r="G927" t="str">
        <f>_xll.BDP("287371FH Muni","SPREAD_AT_ISSUANCE_TO_WORST")</f>
        <v>#N/A Requesting Data...</v>
      </c>
      <c r="H927" t="str">
        <f>_xll.BDP("287371FH Muni","ISSUE_DT")</f>
        <v>#N/A Requesting Data...</v>
      </c>
      <c r="I927" t="str">
        <f>_xll.BDS("287371FH Muni","MUNI_PURPOSE_SCHED", "aggregate=y")</f>
        <v>#N/A Review</v>
      </c>
      <c r="J927" t="str">
        <f>_xll.BDP("287371FH Muni","CPN")</f>
        <v>#N/A Requesting Data...</v>
      </c>
      <c r="K927" t="str">
        <f>_xll.BDP("287371FH Muni","MATURITY")</f>
        <v>#N/A Requesting Data...</v>
      </c>
      <c r="L927">
        <v>90000</v>
      </c>
      <c r="M927" t="str">
        <f>_xll.BDP("287371FH Muni","YIELD_ON_ISSUE_DATE")</f>
        <v>#N/A Requesting Data...</v>
      </c>
      <c r="N927" t="str">
        <f>_xll.BDP("287371FH Muni","YTW_SPREAD_TO_MATURITY_AT_ISSU")</f>
        <v>#N/A Requesting Data...</v>
      </c>
      <c r="O927" t="str">
        <f>_xll.BDP("287371FH Muni","BVAL_MID_YTM")</f>
        <v>#N/A Requesting Data...</v>
      </c>
      <c r="P927" t="str">
        <f>_xll.BDP("287371FH Muni","MUNI_TAX_PROV")</f>
        <v>#N/A Requesting Data...</v>
      </c>
      <c r="Q927" t="str">
        <f>_xll.BDP("287371FH Muni","MUNI_FED_TAX")</f>
        <v>#N/A Requesting Data...</v>
      </c>
      <c r="R927" t="str">
        <f>_xll.BDP("287371FH Muni","MUNI_MSRB_VOLUME")</f>
        <v>#N/A Requesting Data...</v>
      </c>
      <c r="S927" t="str">
        <f>_xll.BDP("287371FH Muni","BB_COMPOSITE")</f>
        <v>#N/A Requesting Data...</v>
      </c>
      <c r="T927" t="str">
        <f>_xll.BDP("287371FH Muni","LQA_LIQUIDITY_SCORE")</f>
        <v>#N/A Requesting Data...</v>
      </c>
    </row>
    <row r="928" spans="1:20" x14ac:dyDescent="0.25">
      <c r="A928" t="str">
        <f>_xll.BDP("287371FK Muni","ID_CUSIP")</f>
        <v>#N/A Requesting Data...</v>
      </c>
      <c r="B928" t="s">
        <v>115</v>
      </c>
      <c r="C928" t="str">
        <f>_xll.BDP("287371FK Muni","INSURANCE_STATUS")</f>
        <v>#N/A Requesting Data...</v>
      </c>
      <c r="D928" t="str">
        <f>_xll.BDP("287371FK Muni","STATE_CODE")</f>
        <v>#N/A Requesting Data...</v>
      </c>
      <c r="E928" t="str">
        <f>_xll.BDP("287371FK Muni","COUNTY_LOCATION_ISSUER")</f>
        <v>#N/A Requesting Data...</v>
      </c>
      <c r="F928" t="str">
        <f>_xll.BDP("287371FK Muni","DUR_ADJ_MID")</f>
        <v>#N/A Requesting Data...</v>
      </c>
      <c r="G928" t="str">
        <f>_xll.BDP("287371FK Muni","SPREAD_AT_ISSUANCE_TO_WORST")</f>
        <v>#N/A Requesting Data...</v>
      </c>
      <c r="H928" t="str">
        <f>_xll.BDP("287371FK Muni","ISSUE_DT")</f>
        <v>#N/A Requesting Data...</v>
      </c>
      <c r="I928" t="str">
        <f>_xll.BDS("287371FK Muni","MUNI_PURPOSE_SCHED", "aggregate=y")</f>
        <v>#N/A Review</v>
      </c>
      <c r="J928" t="str">
        <f>_xll.BDP("287371FK Muni","CPN")</f>
        <v>#N/A Requesting Data...</v>
      </c>
      <c r="K928" t="str">
        <f>_xll.BDP("287371FK Muni","MATURITY")</f>
        <v>#N/A Requesting Data...</v>
      </c>
      <c r="L928">
        <v>95000</v>
      </c>
      <c r="M928" t="str">
        <f>_xll.BDP("287371FK Muni","YIELD_ON_ISSUE_DATE")</f>
        <v>#N/A Requesting Data...</v>
      </c>
      <c r="N928" t="str">
        <f>_xll.BDP("287371FK Muni","YTW_SPREAD_TO_MATURITY_AT_ISSU")</f>
        <v>#N/A Requesting Data...</v>
      </c>
      <c r="O928" t="str">
        <f>_xll.BDP("287371FK Muni","BVAL_MID_YTM")</f>
        <v>#N/A Requesting Data...</v>
      </c>
      <c r="P928" t="str">
        <f>_xll.BDP("287371FK Muni","MUNI_TAX_PROV")</f>
        <v>#N/A Requesting Data...</v>
      </c>
      <c r="Q928" t="str">
        <f>_xll.BDP("287371FK Muni","MUNI_FED_TAX")</f>
        <v>#N/A Requesting Data...</v>
      </c>
      <c r="R928" t="str">
        <f>_xll.BDP("287371FK Muni","MUNI_MSRB_VOLUME")</f>
        <v>#N/A Requesting Data...</v>
      </c>
      <c r="S928" t="str">
        <f>_xll.BDP("287371FK Muni","BB_COMPOSITE")</f>
        <v>#N/A Requesting Data...</v>
      </c>
      <c r="T928" t="str">
        <f>_xll.BDP("287371FK Muni","LQA_LIQUIDITY_SCORE")</f>
        <v>#N/A Requesting Data...</v>
      </c>
    </row>
    <row r="929" spans="1:20" x14ac:dyDescent="0.25">
      <c r="A929" t="str">
        <f>_xll.BDP("292281E3 Muni","ID_CUSIP")</f>
        <v>#N/A Requesting Data...</v>
      </c>
      <c r="B929" t="s">
        <v>342</v>
      </c>
      <c r="C929" t="str">
        <f>_xll.BDP("292281E3 Muni","INSURANCE_STATUS")</f>
        <v>#N/A Requesting Data...</v>
      </c>
      <c r="D929" t="str">
        <f>_xll.BDP("292281E3 Muni","STATE_CODE")</f>
        <v>#N/A Requesting Data...</v>
      </c>
      <c r="E929" t="str">
        <f>_xll.BDP("292281E3 Muni","COUNTY_LOCATION_ISSUER")</f>
        <v>#N/A Requesting Data...</v>
      </c>
      <c r="F929" t="str">
        <f>_xll.BDP("292281E3 Muni","DUR_ADJ_MID")</f>
        <v>#N/A Requesting Data...</v>
      </c>
      <c r="G929" t="str">
        <f>_xll.BDP("292281E3 Muni","SPREAD_AT_ISSUANCE_TO_WORST")</f>
        <v>#N/A Requesting Data...</v>
      </c>
      <c r="H929" t="str">
        <f>_xll.BDP("292281E3 Muni","ISSUE_DT")</f>
        <v>#N/A Requesting Data...</v>
      </c>
      <c r="I929" t="str">
        <f>_xll.BDS("292281E3 Muni","MUNI_PURPOSE_SCHED", "aggregate=y")</f>
        <v>#N/A Review</v>
      </c>
      <c r="J929" t="str">
        <f>_xll.BDP("292281E3 Muni","CPN")</f>
        <v>#N/A Requesting Data...</v>
      </c>
      <c r="K929" t="str">
        <f>_xll.BDP("292281E3 Muni","MATURITY")</f>
        <v>#N/A Requesting Data...</v>
      </c>
      <c r="L929">
        <v>500000</v>
      </c>
      <c r="M929" t="str">
        <f>_xll.BDP("292281E3 Muni","YIELD_ON_ISSUE_DATE")</f>
        <v>#N/A Requesting Data...</v>
      </c>
      <c r="N929" t="str">
        <f>_xll.BDP("292281E3 Muni","YTW_SPREAD_TO_MATURITY_AT_ISSU")</f>
        <v>#N/A Requesting Data...</v>
      </c>
      <c r="O929" t="str">
        <f>_xll.BDP("292281E3 Muni","BVAL_MID_YTM")</f>
        <v>#N/A Requesting Data...</v>
      </c>
      <c r="P929" t="str">
        <f>_xll.BDP("292281E3 Muni","MUNI_TAX_PROV")</f>
        <v>#N/A Requesting Data...</v>
      </c>
      <c r="Q929" t="str">
        <f>_xll.BDP("292281E3 Muni","MUNI_FED_TAX")</f>
        <v>#N/A Requesting Data...</v>
      </c>
      <c r="R929" t="str">
        <f>_xll.BDP("292281E3 Muni","MUNI_MSRB_VOLUME")</f>
        <v>#N/A Requesting Data...</v>
      </c>
      <c r="S929" t="str">
        <f>_xll.BDP("292281E3 Muni","BB_COMPOSITE")</f>
        <v>#N/A Requesting Data...</v>
      </c>
      <c r="T929" t="str">
        <f>_xll.BDP("292281E3 Muni","LQA_LIQUIDITY_SCORE")</f>
        <v>#N/A Requesting Data...</v>
      </c>
    </row>
    <row r="930" spans="1:20" x14ac:dyDescent="0.25">
      <c r="A930" t="str">
        <f>_xll.BDP("292281E4 Muni","ID_CUSIP")</f>
        <v>#N/A Requesting Data...</v>
      </c>
      <c r="B930" t="s">
        <v>342</v>
      </c>
      <c r="C930" t="str">
        <f>_xll.BDP("292281E4 Muni","INSURANCE_STATUS")</f>
        <v>#N/A Requesting Data...</v>
      </c>
      <c r="D930" t="str">
        <f>_xll.BDP("292281E4 Muni","STATE_CODE")</f>
        <v>#N/A Requesting Data...</v>
      </c>
      <c r="E930" t="str">
        <f>_xll.BDP("292281E4 Muni","COUNTY_LOCATION_ISSUER")</f>
        <v>#N/A Requesting Data...</v>
      </c>
      <c r="F930" t="str">
        <f>_xll.BDP("292281E4 Muni","DUR_ADJ_MID")</f>
        <v>#N/A Requesting Data...</v>
      </c>
      <c r="G930" t="str">
        <f>_xll.BDP("292281E4 Muni","SPREAD_AT_ISSUANCE_TO_WORST")</f>
        <v>#N/A Requesting Data...</v>
      </c>
      <c r="H930" t="str">
        <f>_xll.BDP("292281E4 Muni","ISSUE_DT")</f>
        <v>#N/A Requesting Data...</v>
      </c>
      <c r="I930" t="str">
        <f>_xll.BDS("292281E4 Muni","MUNI_PURPOSE_SCHED", "aggregate=y")</f>
        <v>#N/A Review</v>
      </c>
      <c r="J930" t="str">
        <f>_xll.BDP("292281E4 Muni","CPN")</f>
        <v>#N/A Requesting Data...</v>
      </c>
      <c r="K930" t="str">
        <f>_xll.BDP("292281E4 Muni","MATURITY")</f>
        <v>#N/A Requesting Data...</v>
      </c>
      <c r="L930">
        <v>400000</v>
      </c>
      <c r="M930" t="str">
        <f>_xll.BDP("292281E4 Muni","YIELD_ON_ISSUE_DATE")</f>
        <v>#N/A Requesting Data...</v>
      </c>
      <c r="N930" t="str">
        <f>_xll.BDP("292281E4 Muni","YTW_SPREAD_TO_MATURITY_AT_ISSU")</f>
        <v>#N/A Requesting Data...</v>
      </c>
      <c r="O930" t="str">
        <f>_xll.BDP("292281E4 Muni","BVAL_MID_YTM")</f>
        <v>#N/A Requesting Data...</v>
      </c>
      <c r="P930" t="str">
        <f>_xll.BDP("292281E4 Muni","MUNI_TAX_PROV")</f>
        <v>#N/A Requesting Data...</v>
      </c>
      <c r="Q930" t="str">
        <f>_xll.BDP("292281E4 Muni","MUNI_FED_TAX")</f>
        <v>#N/A Requesting Data...</v>
      </c>
      <c r="R930" t="str">
        <f>_xll.BDP("292281E4 Muni","MUNI_MSRB_VOLUME")</f>
        <v>#N/A Requesting Data...</v>
      </c>
      <c r="S930" t="str">
        <f>_xll.BDP("292281E4 Muni","BB_COMPOSITE")</f>
        <v>#N/A Requesting Data...</v>
      </c>
      <c r="T930" t="str">
        <f>_xll.BDP("292281E4 Muni","LQA_LIQUIDITY_SCORE")</f>
        <v>#N/A Requesting Data...</v>
      </c>
    </row>
    <row r="931" spans="1:20" x14ac:dyDescent="0.25">
      <c r="A931" t="str">
        <f>_xll.BDP("292281E5 Muni","ID_CUSIP")</f>
        <v>#N/A Requesting Data...</v>
      </c>
      <c r="B931" t="s">
        <v>342</v>
      </c>
      <c r="C931" t="str">
        <f>_xll.BDP("292281E5 Muni","INSURANCE_STATUS")</f>
        <v>#N/A Requesting Data...</v>
      </c>
      <c r="D931" t="str">
        <f>_xll.BDP("292281E5 Muni","STATE_CODE")</f>
        <v>#N/A Requesting Data...</v>
      </c>
      <c r="E931" t="str">
        <f>_xll.BDP("292281E5 Muni","COUNTY_LOCATION_ISSUER")</f>
        <v>#N/A Requesting Data...</v>
      </c>
      <c r="F931" t="str">
        <f>_xll.BDP("292281E5 Muni","DUR_ADJ_MID")</f>
        <v>#N/A Requesting Data...</v>
      </c>
      <c r="G931" t="str">
        <f>_xll.BDP("292281E5 Muni","SPREAD_AT_ISSUANCE_TO_WORST")</f>
        <v>#N/A Requesting Data...</v>
      </c>
      <c r="H931" t="str">
        <f>_xll.BDP("292281E5 Muni","ISSUE_DT")</f>
        <v>#N/A Requesting Data...</v>
      </c>
      <c r="I931" t="str">
        <f>_xll.BDS("292281E5 Muni","MUNI_PURPOSE_SCHED", "aggregate=y")</f>
        <v>#N/A Review</v>
      </c>
      <c r="J931" t="str">
        <f>_xll.BDP("292281E5 Muni","CPN")</f>
        <v>#N/A Requesting Data...</v>
      </c>
      <c r="K931" t="str">
        <f>_xll.BDP("292281E5 Muni","MATURITY")</f>
        <v>#N/A Requesting Data...</v>
      </c>
      <c r="L931">
        <v>300000</v>
      </c>
      <c r="M931" t="str">
        <f>_xll.BDP("292281E5 Muni","YIELD_ON_ISSUE_DATE")</f>
        <v>#N/A Requesting Data...</v>
      </c>
      <c r="N931" t="str">
        <f>_xll.BDP("292281E5 Muni","YTW_SPREAD_TO_MATURITY_AT_ISSU")</f>
        <v>#N/A Requesting Data...</v>
      </c>
      <c r="O931" t="str">
        <f>_xll.BDP("292281E5 Muni","BVAL_MID_YTM")</f>
        <v>#N/A Requesting Data...</v>
      </c>
      <c r="P931" t="str">
        <f>_xll.BDP("292281E5 Muni","MUNI_TAX_PROV")</f>
        <v>#N/A Requesting Data...</v>
      </c>
      <c r="Q931" t="str">
        <f>_xll.BDP("292281E5 Muni","MUNI_FED_TAX")</f>
        <v>#N/A Requesting Data...</v>
      </c>
      <c r="R931" t="str">
        <f>_xll.BDP("292281E5 Muni","MUNI_MSRB_VOLUME")</f>
        <v>#N/A Requesting Data...</v>
      </c>
      <c r="S931" t="str">
        <f>_xll.BDP("292281E5 Muni","BB_COMPOSITE")</f>
        <v>#N/A Requesting Data...</v>
      </c>
      <c r="T931" t="str">
        <f>_xll.BDP("292281E5 Muni","LQA_LIQUIDITY_SCORE")</f>
        <v>#N/A Requesting Data...</v>
      </c>
    </row>
    <row r="932" spans="1:20" x14ac:dyDescent="0.25">
      <c r="A932" t="str">
        <f>_xll.BDP("292281E6 Muni","ID_CUSIP")</f>
        <v>#N/A Requesting Data...</v>
      </c>
      <c r="B932" t="s">
        <v>342</v>
      </c>
      <c r="C932" t="str">
        <f>_xll.BDP("292281E6 Muni","INSURANCE_STATUS")</f>
        <v>#N/A Requesting Data...</v>
      </c>
      <c r="D932" t="str">
        <f>_xll.BDP("292281E6 Muni","STATE_CODE")</f>
        <v>#N/A Requesting Data...</v>
      </c>
      <c r="E932" t="str">
        <f>_xll.BDP("292281E6 Muni","COUNTY_LOCATION_ISSUER")</f>
        <v>#N/A Requesting Data...</v>
      </c>
      <c r="F932" t="str">
        <f>_xll.BDP("292281E6 Muni","DUR_ADJ_MID")</f>
        <v>#N/A Requesting Data...</v>
      </c>
      <c r="G932" t="str">
        <f>_xll.BDP("292281E6 Muni","SPREAD_AT_ISSUANCE_TO_WORST")</f>
        <v>#N/A Requesting Data...</v>
      </c>
      <c r="H932" t="str">
        <f>_xll.BDP("292281E6 Muni","ISSUE_DT")</f>
        <v>#N/A Requesting Data...</v>
      </c>
      <c r="I932" t="str">
        <f>_xll.BDS("292281E6 Muni","MUNI_PURPOSE_SCHED", "aggregate=y")</f>
        <v>#N/A Review</v>
      </c>
      <c r="J932" t="str">
        <f>_xll.BDP("292281E6 Muni","CPN")</f>
        <v>#N/A Requesting Data...</v>
      </c>
      <c r="K932" t="str">
        <f>_xll.BDP("292281E6 Muni","MATURITY")</f>
        <v>#N/A Requesting Data...</v>
      </c>
      <c r="L932">
        <v>265000</v>
      </c>
      <c r="M932" t="str">
        <f>_xll.BDP("292281E6 Muni","YIELD_ON_ISSUE_DATE")</f>
        <v>#N/A Requesting Data...</v>
      </c>
      <c r="N932" t="str">
        <f>_xll.BDP("292281E6 Muni","YTW_SPREAD_TO_MATURITY_AT_ISSU")</f>
        <v>#N/A Requesting Data...</v>
      </c>
      <c r="O932" t="str">
        <f>_xll.BDP("292281E6 Muni","BVAL_MID_YTM")</f>
        <v>#N/A Requesting Data...</v>
      </c>
      <c r="P932" t="str">
        <f>_xll.BDP("292281E6 Muni","MUNI_TAX_PROV")</f>
        <v>#N/A Requesting Data...</v>
      </c>
      <c r="Q932" t="str">
        <f>_xll.BDP("292281E6 Muni","MUNI_FED_TAX")</f>
        <v>#N/A Requesting Data...</v>
      </c>
      <c r="R932" t="str">
        <f>_xll.BDP("292281E6 Muni","MUNI_MSRB_VOLUME")</f>
        <v>#N/A Requesting Data...</v>
      </c>
      <c r="S932" t="str">
        <f>_xll.BDP("292281E6 Muni","BB_COMPOSITE")</f>
        <v>#N/A Requesting Data...</v>
      </c>
      <c r="T932" t="str">
        <f>_xll.BDP("292281E6 Muni","LQA_LIQUIDITY_SCORE")</f>
        <v>#N/A Requesting Data...</v>
      </c>
    </row>
    <row r="933" spans="1:20" x14ac:dyDescent="0.25">
      <c r="A933" t="str">
        <f>_xll.BDP("292507GF Muni","ID_CUSIP")</f>
        <v>#N/A Requesting Data...</v>
      </c>
      <c r="B933" t="s">
        <v>343</v>
      </c>
      <c r="C933" t="str">
        <f>_xll.BDP("292507GF Muni","INSURANCE_STATUS")</f>
        <v>#N/A Requesting Data...</v>
      </c>
      <c r="D933" t="str">
        <f>_xll.BDP("292507GF Muni","STATE_CODE")</f>
        <v>#N/A Requesting Data...</v>
      </c>
      <c r="E933" t="str">
        <f>_xll.BDP("292507GF Muni","COUNTY_LOCATION_ISSUER")</f>
        <v>#N/A Requesting Data...</v>
      </c>
      <c r="F933" t="str">
        <f>_xll.BDP("292507GF Muni","DUR_ADJ_MID")</f>
        <v>#N/A Requesting Data...</v>
      </c>
      <c r="G933" t="str">
        <f>_xll.BDP("292507GF Muni","SPREAD_AT_ISSUANCE_TO_WORST")</f>
        <v>#N/A Requesting Data...</v>
      </c>
      <c r="H933" t="str">
        <f>_xll.BDP("292507GF Muni","ISSUE_DT")</f>
        <v>#N/A Requesting Data...</v>
      </c>
      <c r="I933" t="str">
        <f>_xll.BDS("292507GF Muni","MUNI_PURPOSE_SCHED", "aggregate=y")</f>
        <v>#N/A Review</v>
      </c>
      <c r="J933" t="str">
        <f>_xll.BDP("292507GF Muni","CPN")</f>
        <v>#N/A Requesting Data...</v>
      </c>
      <c r="K933" t="str">
        <f>_xll.BDP("292507GF Muni","MATURITY")</f>
        <v>#N/A Requesting Data...</v>
      </c>
      <c r="L933">
        <v>350000</v>
      </c>
      <c r="M933" t="str">
        <f>_xll.BDP("292507GF Muni","YIELD_ON_ISSUE_DATE")</f>
        <v>#N/A Requesting Data...</v>
      </c>
      <c r="N933" t="str">
        <f>_xll.BDP("292507GF Muni","YTW_SPREAD_TO_MATURITY_AT_ISSU")</f>
        <v>#N/A Requesting Data...</v>
      </c>
      <c r="O933" t="str">
        <f>_xll.BDP("292507GF Muni","BVAL_MID_YTM")</f>
        <v>#N/A Requesting Data...</v>
      </c>
      <c r="P933" t="str">
        <f>_xll.BDP("292507GF Muni","MUNI_TAX_PROV")</f>
        <v>#N/A Requesting Data...</v>
      </c>
      <c r="Q933" t="str">
        <f>_xll.BDP("292507GF Muni","MUNI_FED_TAX")</f>
        <v>#N/A Requesting Data...</v>
      </c>
      <c r="R933" t="str">
        <f>_xll.BDP("292507GF Muni","MUNI_MSRB_VOLUME")</f>
        <v>#N/A Requesting Data...</v>
      </c>
      <c r="S933" t="str">
        <f>_xll.BDP("292507GF Muni","BB_COMPOSITE")</f>
        <v>#N/A Requesting Data...</v>
      </c>
      <c r="T933" t="str">
        <f>_xll.BDP("292507GF Muni","LQA_LIQUIDITY_SCORE")</f>
        <v>#N/A Requesting Data...</v>
      </c>
    </row>
    <row r="934" spans="1:20" x14ac:dyDescent="0.25">
      <c r="A934" t="str">
        <f>_xll.BDP("292507GG Muni","ID_CUSIP")</f>
        <v>#N/A Requesting Data...</v>
      </c>
      <c r="B934" t="s">
        <v>343</v>
      </c>
      <c r="C934" t="str">
        <f>_xll.BDP("292507GG Muni","INSURANCE_STATUS")</f>
        <v>#N/A Requesting Data...</v>
      </c>
      <c r="D934" t="str">
        <f>_xll.BDP("292507GG Muni","STATE_CODE")</f>
        <v>#N/A Requesting Data...</v>
      </c>
      <c r="E934" t="str">
        <f>_xll.BDP("292507GG Muni","COUNTY_LOCATION_ISSUER")</f>
        <v>#N/A Requesting Data...</v>
      </c>
      <c r="F934" t="str">
        <f>_xll.BDP("292507GG Muni","DUR_ADJ_MID")</f>
        <v>#N/A Requesting Data...</v>
      </c>
      <c r="G934" t="str">
        <f>_xll.BDP("292507GG Muni","SPREAD_AT_ISSUANCE_TO_WORST")</f>
        <v>#N/A Requesting Data...</v>
      </c>
      <c r="H934" t="str">
        <f>_xll.BDP("292507GG Muni","ISSUE_DT")</f>
        <v>#N/A Requesting Data...</v>
      </c>
      <c r="I934" t="str">
        <f>_xll.BDS("292507GG Muni","MUNI_PURPOSE_SCHED", "aggregate=y")</f>
        <v>#N/A Review</v>
      </c>
      <c r="J934" t="str">
        <f>_xll.BDP("292507GG Muni","CPN")</f>
        <v>#N/A Requesting Data...</v>
      </c>
      <c r="K934" t="str">
        <f>_xll.BDP("292507GG Muni","MATURITY")</f>
        <v>#N/A Requesting Data...</v>
      </c>
      <c r="L934">
        <v>350000</v>
      </c>
      <c r="M934" t="str">
        <f>_xll.BDP("292507GG Muni","YIELD_ON_ISSUE_DATE")</f>
        <v>#N/A Requesting Data...</v>
      </c>
      <c r="N934" t="str">
        <f>_xll.BDP("292507GG Muni","YTW_SPREAD_TO_MATURITY_AT_ISSU")</f>
        <v>#N/A Requesting Data...</v>
      </c>
      <c r="O934" t="str">
        <f>_xll.BDP("292507GG Muni","BVAL_MID_YTM")</f>
        <v>#N/A Requesting Data...</v>
      </c>
      <c r="P934" t="str">
        <f>_xll.BDP("292507GG Muni","MUNI_TAX_PROV")</f>
        <v>#N/A Requesting Data...</v>
      </c>
      <c r="Q934" t="str">
        <f>_xll.BDP("292507GG Muni","MUNI_FED_TAX")</f>
        <v>#N/A Requesting Data...</v>
      </c>
      <c r="R934" t="str">
        <f>_xll.BDP("292507GG Muni","MUNI_MSRB_VOLUME")</f>
        <v>#N/A Requesting Data...</v>
      </c>
      <c r="S934" t="str">
        <f>_xll.BDP("292507GG Muni","BB_COMPOSITE")</f>
        <v>#N/A Requesting Data...</v>
      </c>
      <c r="T934" t="str">
        <f>_xll.BDP("292507GG Muni","LQA_LIQUIDITY_SCORE")</f>
        <v>#N/A Requesting Data...</v>
      </c>
    </row>
    <row r="935" spans="1:20" x14ac:dyDescent="0.25">
      <c r="A935" t="str">
        <f>_xll.BDP("293425XY Muni","ID_CUSIP")</f>
        <v>#N/A Requesting Data...</v>
      </c>
      <c r="B935" t="s">
        <v>344</v>
      </c>
      <c r="C935" t="str">
        <f>_xll.BDP("293425XY Muni","INSURANCE_STATUS")</f>
        <v>#N/A Requesting Data...</v>
      </c>
      <c r="D935" t="str">
        <f>_xll.BDP("293425XY Muni","STATE_CODE")</f>
        <v>#N/A Requesting Data...</v>
      </c>
      <c r="E935" t="str">
        <f>_xll.BDP("293425XY Muni","COUNTY_LOCATION_ISSUER")</f>
        <v>#N/A Requesting Data...</v>
      </c>
      <c r="F935" t="str">
        <f>_xll.BDP("293425XY Muni","DUR_ADJ_MID")</f>
        <v>#N/A Requesting Data...</v>
      </c>
      <c r="G935" t="str">
        <f>_xll.BDP("293425XY Muni","SPREAD_AT_ISSUANCE_TO_WORST")</f>
        <v>#N/A Requesting Data...</v>
      </c>
      <c r="H935" t="str">
        <f>_xll.BDP("293425XY Muni","ISSUE_DT")</f>
        <v>#N/A Requesting Data...</v>
      </c>
      <c r="I935" t="str">
        <f>_xll.BDS("293425XY Muni","MUNI_PURPOSE_SCHED", "aggregate=y")</f>
        <v>#N/A Review</v>
      </c>
      <c r="J935" t="str">
        <f>_xll.BDP("293425XY Muni","CPN")</f>
        <v>#N/A Requesting Data...</v>
      </c>
      <c r="K935" t="str">
        <f>_xll.BDP("293425XY Muni","MATURITY")</f>
        <v>#N/A Requesting Data...</v>
      </c>
      <c r="L935">
        <v>280000</v>
      </c>
      <c r="M935" t="str">
        <f>_xll.BDP("293425XY Muni","YIELD_ON_ISSUE_DATE")</f>
        <v>#N/A Requesting Data...</v>
      </c>
      <c r="N935" t="str">
        <f>_xll.BDP("293425XY Muni","YTW_SPREAD_TO_MATURITY_AT_ISSU")</f>
        <v>#N/A Requesting Data...</v>
      </c>
      <c r="O935" t="str">
        <f>_xll.BDP("293425XY Muni","BVAL_MID_YTM")</f>
        <v>#N/A Requesting Data...</v>
      </c>
      <c r="P935" t="str">
        <f>_xll.BDP("293425XY Muni","MUNI_TAX_PROV")</f>
        <v>#N/A Requesting Data...</v>
      </c>
      <c r="Q935" t="str">
        <f>_xll.BDP("293425XY Muni","MUNI_FED_TAX")</f>
        <v>#N/A Requesting Data...</v>
      </c>
      <c r="R935" t="str">
        <f>_xll.BDP("293425XY Muni","MUNI_MSRB_VOLUME")</f>
        <v>#N/A Requesting Data...</v>
      </c>
      <c r="S935" t="str">
        <f>_xll.BDP("293425XY Muni","BB_COMPOSITE")</f>
        <v>#N/A Requesting Data...</v>
      </c>
      <c r="T935" t="str">
        <f>_xll.BDP("293425XY Muni","LQA_LIQUIDITY_SCORE")</f>
        <v>#N/A Requesting Data...</v>
      </c>
    </row>
    <row r="936" spans="1:20" x14ac:dyDescent="0.25">
      <c r="A936" t="str">
        <f>_xll.BDP("293425XZ Muni","ID_CUSIP")</f>
        <v>#N/A Requesting Data...</v>
      </c>
      <c r="B936" t="s">
        <v>344</v>
      </c>
      <c r="C936" t="str">
        <f>_xll.BDP("293425XZ Muni","INSURANCE_STATUS")</f>
        <v>#N/A Requesting Data...</v>
      </c>
      <c r="D936" t="str">
        <f>_xll.BDP("293425XZ Muni","STATE_CODE")</f>
        <v>#N/A Requesting Data...</v>
      </c>
      <c r="E936" t="str">
        <f>_xll.BDP("293425XZ Muni","COUNTY_LOCATION_ISSUER")</f>
        <v>#N/A Requesting Data...</v>
      </c>
      <c r="F936" t="str">
        <f>_xll.BDP("293425XZ Muni","DUR_ADJ_MID")</f>
        <v>#N/A Requesting Data...</v>
      </c>
      <c r="G936" t="str">
        <f>_xll.BDP("293425XZ Muni","SPREAD_AT_ISSUANCE_TO_WORST")</f>
        <v>#N/A Requesting Data...</v>
      </c>
      <c r="H936" t="str">
        <f>_xll.BDP("293425XZ Muni","ISSUE_DT")</f>
        <v>#N/A Requesting Data...</v>
      </c>
      <c r="I936" t="str">
        <f>_xll.BDS("293425XZ Muni","MUNI_PURPOSE_SCHED", "aggregate=y")</f>
        <v>#N/A Review</v>
      </c>
      <c r="J936" t="str">
        <f>_xll.BDP("293425XZ Muni","CPN")</f>
        <v>#N/A Requesting Data...</v>
      </c>
      <c r="K936" t="str">
        <f>_xll.BDP("293425XZ Muni","MATURITY")</f>
        <v>#N/A Requesting Data...</v>
      </c>
      <c r="L936">
        <v>290000</v>
      </c>
      <c r="M936" t="str">
        <f>_xll.BDP("293425XZ Muni","YIELD_ON_ISSUE_DATE")</f>
        <v>#N/A Requesting Data...</v>
      </c>
      <c r="N936" t="str">
        <f>_xll.BDP("293425XZ Muni","YTW_SPREAD_TO_MATURITY_AT_ISSU")</f>
        <v>#N/A Requesting Data...</v>
      </c>
      <c r="O936" t="str">
        <f>_xll.BDP("293425XZ Muni","BVAL_MID_YTM")</f>
        <v>#N/A Requesting Data...</v>
      </c>
      <c r="P936" t="str">
        <f>_xll.BDP("293425XZ Muni","MUNI_TAX_PROV")</f>
        <v>#N/A Requesting Data...</v>
      </c>
      <c r="Q936" t="str">
        <f>_xll.BDP("293425XZ Muni","MUNI_FED_TAX")</f>
        <v>#N/A Requesting Data...</v>
      </c>
      <c r="R936" t="str">
        <f>_xll.BDP("293425XZ Muni","MUNI_MSRB_VOLUME")</f>
        <v>#N/A Requesting Data...</v>
      </c>
      <c r="S936" t="str">
        <f>_xll.BDP("293425XZ Muni","BB_COMPOSITE")</f>
        <v>#N/A Requesting Data...</v>
      </c>
      <c r="T936" t="str">
        <f>_xll.BDP("293425XZ Muni","LQA_LIQUIDITY_SCORE")</f>
        <v>#N/A Requesting Data...</v>
      </c>
    </row>
    <row r="937" spans="1:20" x14ac:dyDescent="0.25">
      <c r="A937" t="str">
        <f>_xll.BDP("293425YA Muni","ID_CUSIP")</f>
        <v>#N/A Requesting Data...</v>
      </c>
      <c r="B937" t="s">
        <v>344</v>
      </c>
      <c r="C937" t="str">
        <f>_xll.BDP("293425YA Muni","INSURANCE_STATUS")</f>
        <v>#N/A Requesting Data...</v>
      </c>
      <c r="D937" t="str">
        <f>_xll.BDP("293425YA Muni","STATE_CODE")</f>
        <v>#N/A Requesting Data...</v>
      </c>
      <c r="E937" t="str">
        <f>_xll.BDP("293425YA Muni","COUNTY_LOCATION_ISSUER")</f>
        <v>#N/A Requesting Data...</v>
      </c>
      <c r="F937" t="str">
        <f>_xll.BDP("293425YA Muni","DUR_ADJ_MID")</f>
        <v>#N/A Requesting Data...</v>
      </c>
      <c r="G937" t="str">
        <f>_xll.BDP("293425YA Muni","SPREAD_AT_ISSUANCE_TO_WORST")</f>
        <v>#N/A Requesting Data...</v>
      </c>
      <c r="H937" t="str">
        <f>_xll.BDP("293425YA Muni","ISSUE_DT")</f>
        <v>#N/A Requesting Data...</v>
      </c>
      <c r="I937" t="str">
        <f>_xll.BDS("293425YA Muni","MUNI_PURPOSE_SCHED", "aggregate=y")</f>
        <v>#N/A Review</v>
      </c>
      <c r="J937" t="str">
        <f>_xll.BDP("293425YA Muni","CPN")</f>
        <v>#N/A Requesting Data...</v>
      </c>
      <c r="K937" t="str">
        <f>_xll.BDP("293425YA Muni","MATURITY")</f>
        <v>#N/A Requesting Data...</v>
      </c>
      <c r="L937">
        <v>290000</v>
      </c>
      <c r="M937" t="str">
        <f>_xll.BDP("293425YA Muni","YIELD_ON_ISSUE_DATE")</f>
        <v>#N/A Requesting Data...</v>
      </c>
      <c r="N937" t="str">
        <f>_xll.BDP("293425YA Muni","YTW_SPREAD_TO_MATURITY_AT_ISSU")</f>
        <v>#N/A Requesting Data...</v>
      </c>
      <c r="O937" t="str">
        <f>_xll.BDP("293425YA Muni","BVAL_MID_YTM")</f>
        <v>#N/A Requesting Data...</v>
      </c>
      <c r="P937" t="str">
        <f>_xll.BDP("293425YA Muni","MUNI_TAX_PROV")</f>
        <v>#N/A Requesting Data...</v>
      </c>
      <c r="Q937" t="str">
        <f>_xll.BDP("293425YA Muni","MUNI_FED_TAX")</f>
        <v>#N/A Requesting Data...</v>
      </c>
      <c r="R937" t="str">
        <f>_xll.BDP("293425YA Muni","MUNI_MSRB_VOLUME")</f>
        <v>#N/A Requesting Data...</v>
      </c>
      <c r="S937" t="str">
        <f>_xll.BDP("293425YA Muni","BB_COMPOSITE")</f>
        <v>#N/A Requesting Data...</v>
      </c>
      <c r="T937" t="str">
        <f>_xll.BDP("293425YA Muni","LQA_LIQUIDITY_SCORE")</f>
        <v>#N/A Requesting Data...</v>
      </c>
    </row>
    <row r="938" spans="1:20" x14ac:dyDescent="0.25">
      <c r="A938" t="str">
        <f>_xll.BDP("293425YB Muni","ID_CUSIP")</f>
        <v>#N/A Requesting Data...</v>
      </c>
      <c r="B938" t="s">
        <v>344</v>
      </c>
      <c r="C938" t="str">
        <f>_xll.BDP("293425YB Muni","INSURANCE_STATUS")</f>
        <v>#N/A Requesting Data...</v>
      </c>
      <c r="D938" t="str">
        <f>_xll.BDP("293425YB Muni","STATE_CODE")</f>
        <v>#N/A Requesting Data...</v>
      </c>
      <c r="E938" t="str">
        <f>_xll.BDP("293425YB Muni","COUNTY_LOCATION_ISSUER")</f>
        <v>#N/A Requesting Data...</v>
      </c>
      <c r="F938" t="str">
        <f>_xll.BDP("293425YB Muni","DUR_ADJ_MID")</f>
        <v>#N/A Requesting Data...</v>
      </c>
      <c r="G938" t="str">
        <f>_xll.BDP("293425YB Muni","SPREAD_AT_ISSUANCE_TO_WORST")</f>
        <v>#N/A Requesting Data...</v>
      </c>
      <c r="H938" t="str">
        <f>_xll.BDP("293425YB Muni","ISSUE_DT")</f>
        <v>#N/A Requesting Data...</v>
      </c>
      <c r="I938" t="str">
        <f>_xll.BDS("293425YB Muni","MUNI_PURPOSE_SCHED", "aggregate=y")</f>
        <v>#N/A Review</v>
      </c>
      <c r="J938" t="str">
        <f>_xll.BDP("293425YB Muni","CPN")</f>
        <v>#N/A Requesting Data...</v>
      </c>
      <c r="K938" t="str">
        <f>_xll.BDP("293425YB Muni","MATURITY")</f>
        <v>#N/A Requesting Data...</v>
      </c>
      <c r="L938">
        <v>295000</v>
      </c>
      <c r="M938" t="str">
        <f>_xll.BDP("293425YB Muni","YIELD_ON_ISSUE_DATE")</f>
        <v>#N/A Requesting Data...</v>
      </c>
      <c r="N938" t="str">
        <f>_xll.BDP("293425YB Muni","YTW_SPREAD_TO_MATURITY_AT_ISSU")</f>
        <v>#N/A Requesting Data...</v>
      </c>
      <c r="O938" t="str">
        <f>_xll.BDP("293425YB Muni","BVAL_MID_YTM")</f>
        <v>#N/A Requesting Data...</v>
      </c>
      <c r="P938" t="str">
        <f>_xll.BDP("293425YB Muni","MUNI_TAX_PROV")</f>
        <v>#N/A Requesting Data...</v>
      </c>
      <c r="Q938" t="str">
        <f>_xll.BDP("293425YB Muni","MUNI_FED_TAX")</f>
        <v>#N/A Requesting Data...</v>
      </c>
      <c r="R938" t="str">
        <f>_xll.BDP("293425YB Muni","MUNI_MSRB_VOLUME")</f>
        <v>#N/A Requesting Data...</v>
      </c>
      <c r="S938" t="str">
        <f>_xll.BDP("293425YB Muni","BB_COMPOSITE")</f>
        <v>#N/A Requesting Data...</v>
      </c>
      <c r="T938" t="str">
        <f>_xll.BDP("293425YB Muni","LQA_LIQUIDITY_SCORE")</f>
        <v>#N/A Requesting Data...</v>
      </c>
    </row>
    <row r="939" spans="1:20" x14ac:dyDescent="0.25">
      <c r="A939" t="str">
        <f>_xll.BDP("293425YC Muni","ID_CUSIP")</f>
        <v>#N/A Requesting Data...</v>
      </c>
      <c r="B939" t="s">
        <v>344</v>
      </c>
      <c r="C939" t="str">
        <f>_xll.BDP("293425YC Muni","INSURANCE_STATUS")</f>
        <v>#N/A Requesting Data...</v>
      </c>
      <c r="D939" t="str">
        <f>_xll.BDP("293425YC Muni","STATE_CODE")</f>
        <v>#N/A Requesting Data...</v>
      </c>
      <c r="E939" t="str">
        <f>_xll.BDP("293425YC Muni","COUNTY_LOCATION_ISSUER")</f>
        <v>#N/A Requesting Data...</v>
      </c>
      <c r="F939" t="str">
        <f>_xll.BDP("293425YC Muni","DUR_ADJ_MID")</f>
        <v>#N/A Requesting Data...</v>
      </c>
      <c r="G939" t="str">
        <f>_xll.BDP("293425YC Muni","SPREAD_AT_ISSUANCE_TO_WORST")</f>
        <v>#N/A Requesting Data...</v>
      </c>
      <c r="H939" t="str">
        <f>_xll.BDP("293425YC Muni","ISSUE_DT")</f>
        <v>#N/A Requesting Data...</v>
      </c>
      <c r="I939" t="str">
        <f>_xll.BDS("293425YC Muni","MUNI_PURPOSE_SCHED", "aggregate=y")</f>
        <v>#N/A Review</v>
      </c>
      <c r="J939" t="str">
        <f>_xll.BDP("293425YC Muni","CPN")</f>
        <v>#N/A Requesting Data...</v>
      </c>
      <c r="K939" t="str">
        <f>_xll.BDP("293425YC Muni","MATURITY")</f>
        <v>#N/A Requesting Data...</v>
      </c>
      <c r="L939">
        <v>305000</v>
      </c>
      <c r="M939" t="str">
        <f>_xll.BDP("293425YC Muni","YIELD_ON_ISSUE_DATE")</f>
        <v>#N/A Requesting Data...</v>
      </c>
      <c r="N939" t="str">
        <f>_xll.BDP("293425YC Muni","YTW_SPREAD_TO_MATURITY_AT_ISSU")</f>
        <v>#N/A Requesting Data...</v>
      </c>
      <c r="O939" t="str">
        <f>_xll.BDP("293425YC Muni","BVAL_MID_YTM")</f>
        <v>#N/A Requesting Data...</v>
      </c>
      <c r="P939" t="str">
        <f>_xll.BDP("293425YC Muni","MUNI_TAX_PROV")</f>
        <v>#N/A Requesting Data...</v>
      </c>
      <c r="Q939" t="str">
        <f>_xll.BDP("293425YC Muni","MUNI_FED_TAX")</f>
        <v>#N/A Requesting Data...</v>
      </c>
      <c r="R939" t="str">
        <f>_xll.BDP("293425YC Muni","MUNI_MSRB_VOLUME")</f>
        <v>#N/A Requesting Data...</v>
      </c>
      <c r="S939" t="str">
        <f>_xll.BDP("293425YC Muni","BB_COMPOSITE")</f>
        <v>#N/A Requesting Data...</v>
      </c>
      <c r="T939" t="str">
        <f>_xll.BDP("293425YC Muni","LQA_LIQUIDITY_SCORE")</f>
        <v>#N/A Requesting Data...</v>
      </c>
    </row>
    <row r="940" spans="1:20" x14ac:dyDescent="0.25">
      <c r="A940" t="str">
        <f>_xll.BDP("355748SZ Muni","ID_CUSIP")</f>
        <v>#N/A Requesting Data...</v>
      </c>
      <c r="B940" t="s">
        <v>116</v>
      </c>
      <c r="C940" t="str">
        <f>_xll.BDP("355748SZ Muni","INSURANCE_STATUS")</f>
        <v>#N/A Requesting Data...</v>
      </c>
      <c r="D940" t="str">
        <f>_xll.BDP("355748SZ Muni","STATE_CODE")</f>
        <v>#N/A Requesting Data...</v>
      </c>
      <c r="E940" t="str">
        <f>_xll.BDP("355748SZ Muni","COUNTY_LOCATION_ISSUER")</f>
        <v>#N/A Requesting Data...</v>
      </c>
      <c r="F940" t="str">
        <f>_xll.BDP("355748SZ Muni","DUR_ADJ_MID")</f>
        <v>#N/A Requesting Data...</v>
      </c>
      <c r="G940" t="str">
        <f>_xll.BDP("355748SZ Muni","SPREAD_AT_ISSUANCE_TO_WORST")</f>
        <v>#N/A Requesting Data...</v>
      </c>
      <c r="H940" t="str">
        <f>_xll.BDP("355748SZ Muni","ISSUE_DT")</f>
        <v>#N/A Requesting Data...</v>
      </c>
      <c r="I940" t="str">
        <f>_xll.BDS("355748SZ Muni","MUNI_PURPOSE_SCHED", "aggregate=y")</f>
        <v>#N/A Review</v>
      </c>
      <c r="J940" t="str">
        <f>_xll.BDP("355748SZ Muni","CPN")</f>
        <v>#N/A Requesting Data...</v>
      </c>
      <c r="K940" t="str">
        <f>_xll.BDP("355748SZ Muni","MATURITY")</f>
        <v>#N/A Requesting Data...</v>
      </c>
      <c r="L940">
        <v>880000</v>
      </c>
      <c r="M940" t="str">
        <f>_xll.BDP("355748SZ Muni","YIELD_ON_ISSUE_DATE")</f>
        <v>#N/A Requesting Data...</v>
      </c>
      <c r="N940" t="str">
        <f>_xll.BDP("355748SZ Muni","YTW_SPREAD_TO_MATURITY_AT_ISSU")</f>
        <v>#N/A Requesting Data...</v>
      </c>
      <c r="O940" t="str">
        <f>_xll.BDP("355748SZ Muni","BVAL_MID_YTM")</f>
        <v>#N/A Requesting Data...</v>
      </c>
      <c r="P940" t="str">
        <f>_xll.BDP("355748SZ Muni","MUNI_TAX_PROV")</f>
        <v>#N/A Requesting Data...</v>
      </c>
      <c r="Q940" t="str">
        <f>_xll.BDP("355748SZ Muni","MUNI_FED_TAX")</f>
        <v>#N/A Requesting Data...</v>
      </c>
      <c r="R940" t="str">
        <f>_xll.BDP("355748SZ Muni","MUNI_MSRB_VOLUME")</f>
        <v>#N/A Requesting Data...</v>
      </c>
      <c r="S940" t="str">
        <f>_xll.BDP("355748SZ Muni","BB_COMPOSITE")</f>
        <v>#N/A Requesting Data...</v>
      </c>
      <c r="T940" t="str">
        <f>_xll.BDP("355748SZ Muni","LQA_LIQUIDITY_SCORE")</f>
        <v>#N/A Requesting Data...</v>
      </c>
    </row>
    <row r="941" spans="1:20" x14ac:dyDescent="0.25">
      <c r="A941" t="str">
        <f>_xll.BDP("355748TA Muni","ID_CUSIP")</f>
        <v>#N/A Requesting Data...</v>
      </c>
      <c r="B941" t="s">
        <v>116</v>
      </c>
      <c r="C941" t="str">
        <f>_xll.BDP("355748TA Muni","INSURANCE_STATUS")</f>
        <v>#N/A Requesting Data...</v>
      </c>
      <c r="D941" t="str">
        <f>_xll.BDP("355748TA Muni","STATE_CODE")</f>
        <v>#N/A Requesting Data...</v>
      </c>
      <c r="E941" t="str">
        <f>_xll.BDP("355748TA Muni","COUNTY_LOCATION_ISSUER")</f>
        <v>#N/A Requesting Data...</v>
      </c>
      <c r="F941" t="str">
        <f>_xll.BDP("355748TA Muni","DUR_ADJ_MID")</f>
        <v>#N/A Requesting Data...</v>
      </c>
      <c r="G941" t="str">
        <f>_xll.BDP("355748TA Muni","SPREAD_AT_ISSUANCE_TO_WORST")</f>
        <v>#N/A Requesting Data...</v>
      </c>
      <c r="H941" t="str">
        <f>_xll.BDP("355748TA Muni","ISSUE_DT")</f>
        <v>#N/A Requesting Data...</v>
      </c>
      <c r="I941" t="str">
        <f>_xll.BDS("355748TA Muni","MUNI_PURPOSE_SCHED", "aggregate=y")</f>
        <v>#N/A Review</v>
      </c>
      <c r="J941" t="str">
        <f>_xll.BDP("355748TA Muni","CPN")</f>
        <v>#N/A Requesting Data...</v>
      </c>
      <c r="K941" t="str">
        <f>_xll.BDP("355748TA Muni","MATURITY")</f>
        <v>#N/A Requesting Data...</v>
      </c>
      <c r="L941">
        <v>880000</v>
      </c>
      <c r="M941" t="str">
        <f>_xll.BDP("355748TA Muni","YIELD_ON_ISSUE_DATE")</f>
        <v>#N/A Requesting Data...</v>
      </c>
      <c r="N941" t="str">
        <f>_xll.BDP("355748TA Muni","YTW_SPREAD_TO_MATURITY_AT_ISSU")</f>
        <v>#N/A Requesting Data...</v>
      </c>
      <c r="O941" t="str">
        <f>_xll.BDP("355748TA Muni","BVAL_MID_YTM")</f>
        <v>#N/A Requesting Data...</v>
      </c>
      <c r="P941" t="str">
        <f>_xll.BDP("355748TA Muni","MUNI_TAX_PROV")</f>
        <v>#N/A Requesting Data...</v>
      </c>
      <c r="Q941" t="str">
        <f>_xll.BDP("355748TA Muni","MUNI_FED_TAX")</f>
        <v>#N/A Requesting Data...</v>
      </c>
      <c r="R941" t="str">
        <f>_xll.BDP("355748TA Muni","MUNI_MSRB_VOLUME")</f>
        <v>#N/A Requesting Data...</v>
      </c>
      <c r="S941" t="str">
        <f>_xll.BDP("355748TA Muni","BB_COMPOSITE")</f>
        <v>#N/A Requesting Data...</v>
      </c>
      <c r="T941" t="str">
        <f>_xll.BDP("355748TA Muni","LQA_LIQUIDITY_SCORE")</f>
        <v>#N/A Requesting Data...</v>
      </c>
    </row>
    <row r="942" spans="1:20" x14ac:dyDescent="0.25">
      <c r="A942" t="str">
        <f>_xll.BDP("177475BH Muni","ID_CUSIP")</f>
        <v>#N/A Requesting Data...</v>
      </c>
      <c r="B942" t="s">
        <v>79</v>
      </c>
      <c r="C942" t="str">
        <f>_xll.BDP("177475BH Muni","INSURANCE_STATUS")</f>
        <v>#N/A Requesting Data...</v>
      </c>
      <c r="D942" t="str">
        <f>_xll.BDP("177475BH Muni","STATE_CODE")</f>
        <v>#N/A Requesting Data...</v>
      </c>
      <c r="E942" t="str">
        <f>_xll.BDP("177475BH Muni","COUNTY_LOCATION_ISSUER")</f>
        <v>#N/A Requesting Data...</v>
      </c>
      <c r="F942" t="str">
        <f>_xll.BDP("177475BH Muni","DUR_ADJ_MID")</f>
        <v>#N/A Requesting Data...</v>
      </c>
      <c r="G942" t="str">
        <f>_xll.BDP("177475BH Muni","SPREAD_AT_ISSUANCE_TO_WORST")</f>
        <v>#N/A Requesting Data...</v>
      </c>
      <c r="H942" t="str">
        <f>_xll.BDP("177475BH Muni","ISSUE_DT")</f>
        <v>#N/A Requesting Data...</v>
      </c>
      <c r="I942" t="str">
        <f>_xll.BDS("177475BH Muni","MUNI_PURPOSE_SCHED", "aggregate=y")</f>
        <v>#N/A Review</v>
      </c>
      <c r="J942" t="str">
        <f>_xll.BDP("177475BH Muni","CPN")</f>
        <v>#N/A Requesting Data...</v>
      </c>
      <c r="K942" t="str">
        <f>_xll.BDP("177475BH Muni","MATURITY")</f>
        <v>#N/A Requesting Data...</v>
      </c>
      <c r="L942">
        <v>2025000</v>
      </c>
      <c r="M942" t="str">
        <f>_xll.BDP("177475BH Muni","YIELD_ON_ISSUE_DATE")</f>
        <v>#N/A Requesting Data...</v>
      </c>
      <c r="N942" t="str">
        <f>_xll.BDP("177475BH Muni","YTW_SPREAD_TO_MATURITY_AT_ISSU")</f>
        <v>#N/A Requesting Data...</v>
      </c>
      <c r="O942" t="str">
        <f>_xll.BDP("177475BH Muni","BVAL_MID_YTM")</f>
        <v>#N/A Requesting Data...</v>
      </c>
      <c r="P942" t="str">
        <f>_xll.BDP("177475BH Muni","MUNI_TAX_PROV")</f>
        <v>#N/A Requesting Data...</v>
      </c>
      <c r="Q942" t="str">
        <f>_xll.BDP("177475BH Muni","MUNI_FED_TAX")</f>
        <v>#N/A Requesting Data...</v>
      </c>
      <c r="R942" t="str">
        <f>_xll.BDP("177475BH Muni","MUNI_MSRB_VOLUME")</f>
        <v>#N/A Requesting Data...</v>
      </c>
      <c r="S942" t="str">
        <f>_xll.BDP("177475BH Muni","BB_COMPOSITE")</f>
        <v>#N/A Requesting Data...</v>
      </c>
      <c r="T942" t="str">
        <f>_xll.BDP("177475BH Muni","LQA_LIQUIDITY_SCORE")</f>
        <v>#N/A Requesting Data...</v>
      </c>
    </row>
    <row r="943" spans="1:20" x14ac:dyDescent="0.25">
      <c r="A943" t="str">
        <f>_xll.BDP("17939MBR Muni","ID_CUSIP")</f>
        <v>#N/A Requesting Data...</v>
      </c>
      <c r="B943" t="s">
        <v>113</v>
      </c>
      <c r="C943" t="str">
        <f>_xll.BDP("17939MBR Muni","INSURANCE_STATUS")</f>
        <v>#N/A Requesting Data...</v>
      </c>
      <c r="D943" t="str">
        <f>_xll.BDP("17939MBR Muni","STATE_CODE")</f>
        <v>#N/A Requesting Data...</v>
      </c>
      <c r="E943" t="str">
        <f>_xll.BDP("17939MBR Muni","COUNTY_LOCATION_ISSUER")</f>
        <v>#N/A Requesting Data...</v>
      </c>
      <c r="F943" t="str">
        <f>_xll.BDP("17939MBR Muni","DUR_ADJ_MID")</f>
        <v>#N/A Requesting Data...</v>
      </c>
      <c r="G943" t="str">
        <f>_xll.BDP("17939MBR Muni","SPREAD_AT_ISSUANCE_TO_WORST")</f>
        <v>#N/A Requesting Data...</v>
      </c>
      <c r="H943" t="str">
        <f>_xll.BDP("17939MBR Muni","ISSUE_DT")</f>
        <v>#N/A Requesting Data...</v>
      </c>
      <c r="I943" t="str">
        <f>_xll.BDS("17939MBR Muni","MUNI_PURPOSE_SCHED", "aggregate=y")</f>
        <v>#N/A Review</v>
      </c>
      <c r="J943" t="str">
        <f>_xll.BDP("17939MBR Muni","CPN")</f>
        <v>#N/A Requesting Data...</v>
      </c>
      <c r="K943" t="str">
        <f>_xll.BDP("17939MBR Muni","MATURITY")</f>
        <v>#N/A Requesting Data...</v>
      </c>
      <c r="L943">
        <v>400000</v>
      </c>
      <c r="M943" t="str">
        <f>_xll.BDP("17939MBR Muni","YIELD_ON_ISSUE_DATE")</f>
        <v>#N/A Requesting Data...</v>
      </c>
      <c r="N943" t="str">
        <f>_xll.BDP("17939MBR Muni","YTW_SPREAD_TO_MATURITY_AT_ISSU")</f>
        <v>#N/A Requesting Data...</v>
      </c>
      <c r="O943" t="str">
        <f>_xll.BDP("17939MBR Muni","BVAL_MID_YTM")</f>
        <v>#N/A Requesting Data...</v>
      </c>
      <c r="P943" t="str">
        <f>_xll.BDP("17939MBR Muni","MUNI_TAX_PROV")</f>
        <v>#N/A Requesting Data...</v>
      </c>
      <c r="Q943" t="str">
        <f>_xll.BDP("17939MBR Muni","MUNI_FED_TAX")</f>
        <v>#N/A Requesting Data...</v>
      </c>
      <c r="R943" t="str">
        <f>_xll.BDP("17939MBR Muni","MUNI_MSRB_VOLUME")</f>
        <v>#N/A Requesting Data...</v>
      </c>
      <c r="S943" t="str">
        <f>_xll.BDP("17939MBR Muni","BB_COMPOSITE")</f>
        <v>#N/A Requesting Data...</v>
      </c>
      <c r="T943" t="str">
        <f>_xll.BDP("17939MBR Muni","LQA_LIQUIDITY_SCORE")</f>
        <v>#N/A Requesting Data...</v>
      </c>
    </row>
    <row r="944" spans="1:20" x14ac:dyDescent="0.25">
      <c r="A944" t="str">
        <f>_xll.BDP("312160CK Muni","ID_CUSIP")</f>
        <v>#N/A Requesting Data...</v>
      </c>
      <c r="B944" t="s">
        <v>345</v>
      </c>
      <c r="C944" t="str">
        <f>_xll.BDP("312160CK Muni","INSURANCE_STATUS")</f>
        <v>#N/A Requesting Data...</v>
      </c>
      <c r="D944" t="str">
        <f>_xll.BDP("312160CK Muni","STATE_CODE")</f>
        <v>#N/A Requesting Data...</v>
      </c>
      <c r="E944" t="str">
        <f>_xll.BDP("312160CK Muni","COUNTY_LOCATION_ISSUER")</f>
        <v>#N/A Requesting Data...</v>
      </c>
      <c r="F944" t="str">
        <f>_xll.BDP("312160CK Muni","DUR_ADJ_MID")</f>
        <v>#N/A Requesting Data...</v>
      </c>
      <c r="G944" t="str">
        <f>_xll.BDP("312160CK Muni","SPREAD_AT_ISSUANCE_TO_WORST")</f>
        <v>#N/A Requesting Data...</v>
      </c>
      <c r="H944" t="str">
        <f>_xll.BDP("312160CK Muni","ISSUE_DT")</f>
        <v>#N/A Requesting Data...</v>
      </c>
      <c r="I944" t="str">
        <f>_xll.BDS("312160CK Muni","MUNI_PURPOSE_SCHED", "aggregate=y")</f>
        <v>#N/A Review</v>
      </c>
      <c r="J944" t="str">
        <f>_xll.BDP("312160CK Muni","CPN")</f>
        <v>#N/A Requesting Data...</v>
      </c>
      <c r="K944" t="str">
        <f>_xll.BDP("312160CK Muni","MATURITY")</f>
        <v>#N/A Requesting Data...</v>
      </c>
      <c r="L944">
        <v>270000</v>
      </c>
      <c r="M944" t="str">
        <f>_xll.BDP("312160CK Muni","YIELD_ON_ISSUE_DATE")</f>
        <v>#N/A Requesting Data...</v>
      </c>
      <c r="N944" t="str">
        <f>_xll.BDP("312160CK Muni","YTW_SPREAD_TO_MATURITY_AT_ISSU")</f>
        <v>#N/A Requesting Data...</v>
      </c>
      <c r="O944" t="str">
        <f>_xll.BDP("312160CK Muni","BVAL_MID_YTM")</f>
        <v>#N/A Requesting Data...</v>
      </c>
      <c r="P944" t="str">
        <f>_xll.BDP("312160CK Muni","MUNI_TAX_PROV")</f>
        <v>#N/A Requesting Data...</v>
      </c>
      <c r="Q944" t="str">
        <f>_xll.BDP("312160CK Muni","MUNI_FED_TAX")</f>
        <v>#N/A Requesting Data...</v>
      </c>
      <c r="R944" t="str">
        <f>_xll.BDP("312160CK Muni","MUNI_MSRB_VOLUME")</f>
        <v>#N/A Requesting Data...</v>
      </c>
      <c r="S944" t="str">
        <f>_xll.BDP("312160CK Muni","BB_COMPOSITE")</f>
        <v>#N/A Requesting Data...</v>
      </c>
      <c r="T944" t="str">
        <f>_xll.BDP("312160CK Muni","LQA_LIQUIDITY_SCORE")</f>
        <v>#N/A Requesting Data...</v>
      </c>
    </row>
    <row r="945" spans="1:20" x14ac:dyDescent="0.25">
      <c r="A945" t="str">
        <f>_xll.BDP("312160CM Muni","ID_CUSIP")</f>
        <v>#N/A Requesting Data...</v>
      </c>
      <c r="B945" t="s">
        <v>345</v>
      </c>
      <c r="C945" t="str">
        <f>_xll.BDP("312160CM Muni","INSURANCE_STATUS")</f>
        <v>#N/A Requesting Data...</v>
      </c>
      <c r="D945" t="str">
        <f>_xll.BDP("312160CM Muni","STATE_CODE")</f>
        <v>#N/A Requesting Data...</v>
      </c>
      <c r="E945" t="str">
        <f>_xll.BDP("312160CM Muni","COUNTY_LOCATION_ISSUER")</f>
        <v>#N/A Requesting Data...</v>
      </c>
      <c r="F945" t="str">
        <f>_xll.BDP("312160CM Muni","DUR_ADJ_MID")</f>
        <v>#N/A Requesting Data...</v>
      </c>
      <c r="G945" t="str">
        <f>_xll.BDP("312160CM Muni","SPREAD_AT_ISSUANCE_TO_WORST")</f>
        <v>#N/A Requesting Data...</v>
      </c>
      <c r="H945" t="str">
        <f>_xll.BDP("312160CM Muni","ISSUE_DT")</f>
        <v>#N/A Requesting Data...</v>
      </c>
      <c r="I945" t="str">
        <f>_xll.BDS("312160CM Muni","MUNI_PURPOSE_SCHED", "aggregate=y")</f>
        <v>#N/A Review</v>
      </c>
      <c r="J945" t="str">
        <f>_xll.BDP("312160CM Muni","CPN")</f>
        <v>#N/A Requesting Data...</v>
      </c>
      <c r="K945" t="str">
        <f>_xll.BDP("312160CM Muni","MATURITY")</f>
        <v>#N/A Requesting Data...</v>
      </c>
      <c r="L945">
        <v>280000</v>
      </c>
      <c r="M945" t="str">
        <f>_xll.BDP("312160CM Muni","YIELD_ON_ISSUE_DATE")</f>
        <v>#N/A Requesting Data...</v>
      </c>
      <c r="N945" t="str">
        <f>_xll.BDP("312160CM Muni","YTW_SPREAD_TO_MATURITY_AT_ISSU")</f>
        <v>#N/A Requesting Data...</v>
      </c>
      <c r="O945" t="str">
        <f>_xll.BDP("312160CM Muni","BVAL_MID_YTM")</f>
        <v>#N/A Requesting Data...</v>
      </c>
      <c r="P945" t="str">
        <f>_xll.BDP("312160CM Muni","MUNI_TAX_PROV")</f>
        <v>#N/A Requesting Data...</v>
      </c>
      <c r="Q945" t="str">
        <f>_xll.BDP("312160CM Muni","MUNI_FED_TAX")</f>
        <v>#N/A Requesting Data...</v>
      </c>
      <c r="R945" t="str">
        <f>_xll.BDP("312160CM Muni","MUNI_MSRB_VOLUME")</f>
        <v>#N/A Requesting Data...</v>
      </c>
      <c r="S945" t="str">
        <f>_xll.BDP("312160CM Muni","BB_COMPOSITE")</f>
        <v>#N/A Requesting Data...</v>
      </c>
      <c r="T945" t="str">
        <f>_xll.BDP("312160CM Muni","LQA_LIQUIDITY_SCORE")</f>
        <v>#N/A Requesting Data...</v>
      </c>
    </row>
    <row r="946" spans="1:20" x14ac:dyDescent="0.25">
      <c r="A946" t="str">
        <f>_xll.BDP("349515UQ Muni","ID_CUSIP")</f>
        <v>#N/A Requesting Data...</v>
      </c>
      <c r="B946" t="s">
        <v>346</v>
      </c>
      <c r="C946" t="str">
        <f>_xll.BDP("349515UQ Muni","INSURANCE_STATUS")</f>
        <v>#N/A Requesting Data...</v>
      </c>
      <c r="D946" t="str">
        <f>_xll.BDP("349515UQ Muni","STATE_CODE")</f>
        <v>#N/A Requesting Data...</v>
      </c>
      <c r="E946" t="str">
        <f>_xll.BDP("349515UQ Muni","COUNTY_LOCATION_ISSUER")</f>
        <v>#N/A Requesting Data...</v>
      </c>
      <c r="F946" t="str">
        <f>_xll.BDP("349515UQ Muni","DUR_ADJ_MID")</f>
        <v>#N/A Requesting Data...</v>
      </c>
      <c r="G946" t="str">
        <f>_xll.BDP("349515UQ Muni","SPREAD_AT_ISSUANCE_TO_WORST")</f>
        <v>#N/A Requesting Data...</v>
      </c>
      <c r="H946" t="str">
        <f>_xll.BDP("349515UQ Muni","ISSUE_DT")</f>
        <v>#N/A Requesting Data...</v>
      </c>
      <c r="I946" t="str">
        <f>_xll.BDS("349515UQ Muni","MUNI_PURPOSE_SCHED", "aggregate=y")</f>
        <v>#N/A Review</v>
      </c>
      <c r="J946" t="str">
        <f>_xll.BDP("349515UQ Muni","CPN")</f>
        <v>#N/A Requesting Data...</v>
      </c>
      <c r="K946" t="str">
        <f>_xll.BDP("349515UQ Muni","MATURITY")</f>
        <v>#N/A Requesting Data...</v>
      </c>
      <c r="L946">
        <v>4655000</v>
      </c>
      <c r="M946" t="str">
        <f>_xll.BDP("349515UQ Muni","YIELD_ON_ISSUE_DATE")</f>
        <v>#N/A Requesting Data...</v>
      </c>
      <c r="N946" t="str">
        <f>_xll.BDP("349515UQ Muni","YTW_SPREAD_TO_MATURITY_AT_ISSU")</f>
        <v>#N/A Requesting Data...</v>
      </c>
      <c r="O946" t="str">
        <f>_xll.BDP("349515UQ Muni","BVAL_MID_YTM")</f>
        <v>#N/A Requesting Data...</v>
      </c>
      <c r="P946" t="str">
        <f>_xll.BDP("349515UQ Muni","MUNI_TAX_PROV")</f>
        <v>#N/A Requesting Data...</v>
      </c>
      <c r="Q946" t="str">
        <f>_xll.BDP("349515UQ Muni","MUNI_FED_TAX")</f>
        <v>#N/A Requesting Data...</v>
      </c>
      <c r="R946" t="str">
        <f>_xll.BDP("349515UQ Muni","MUNI_MSRB_VOLUME")</f>
        <v>#N/A Requesting Data...</v>
      </c>
      <c r="S946" t="str">
        <f>_xll.BDP("349515UQ Muni","BB_COMPOSITE")</f>
        <v>#N/A Requesting Data...</v>
      </c>
      <c r="T946" t="str">
        <f>_xll.BDP("349515UQ Muni","LQA_LIQUIDITY_SCORE")</f>
        <v>#N/A Requesting Data...</v>
      </c>
    </row>
    <row r="947" spans="1:20" x14ac:dyDescent="0.25">
      <c r="A947" t="str">
        <f>_xll.BDP("349515UR Muni","ID_CUSIP")</f>
        <v>#N/A Requesting Data...</v>
      </c>
      <c r="B947" t="s">
        <v>346</v>
      </c>
      <c r="C947" t="str">
        <f>_xll.BDP("349515UR Muni","INSURANCE_STATUS")</f>
        <v>#N/A Requesting Data...</v>
      </c>
      <c r="D947" t="str">
        <f>_xll.BDP("349515UR Muni","STATE_CODE")</f>
        <v>#N/A Requesting Data...</v>
      </c>
      <c r="E947" t="str">
        <f>_xll.BDP("349515UR Muni","COUNTY_LOCATION_ISSUER")</f>
        <v>#N/A Requesting Data...</v>
      </c>
      <c r="F947" t="str">
        <f>_xll.BDP("349515UR Muni","DUR_ADJ_MID")</f>
        <v>#N/A Requesting Data...</v>
      </c>
      <c r="G947" t="str">
        <f>_xll.BDP("349515UR Muni","SPREAD_AT_ISSUANCE_TO_WORST")</f>
        <v>#N/A Requesting Data...</v>
      </c>
      <c r="H947" t="str">
        <f>_xll.BDP("349515UR Muni","ISSUE_DT")</f>
        <v>#N/A Requesting Data...</v>
      </c>
      <c r="I947" t="str">
        <f>_xll.BDS("349515UR Muni","MUNI_PURPOSE_SCHED", "aggregate=y")</f>
        <v>#N/A Review</v>
      </c>
      <c r="J947" t="str">
        <f>_xll.BDP("349515UR Muni","CPN")</f>
        <v>#N/A Requesting Data...</v>
      </c>
      <c r="K947" t="str">
        <f>_xll.BDP("349515UR Muni","MATURITY")</f>
        <v>#N/A Requesting Data...</v>
      </c>
      <c r="L947">
        <v>4895000</v>
      </c>
      <c r="M947" t="str">
        <f>_xll.BDP("349515UR Muni","YIELD_ON_ISSUE_DATE")</f>
        <v>#N/A Requesting Data...</v>
      </c>
      <c r="N947" t="str">
        <f>_xll.BDP("349515UR Muni","YTW_SPREAD_TO_MATURITY_AT_ISSU")</f>
        <v>#N/A Requesting Data...</v>
      </c>
      <c r="O947" t="str">
        <f>_xll.BDP("349515UR Muni","BVAL_MID_YTM")</f>
        <v>#N/A Requesting Data...</v>
      </c>
      <c r="P947" t="str">
        <f>_xll.BDP("349515UR Muni","MUNI_TAX_PROV")</f>
        <v>#N/A Requesting Data...</v>
      </c>
      <c r="Q947" t="str">
        <f>_xll.BDP("349515UR Muni","MUNI_FED_TAX")</f>
        <v>#N/A Requesting Data...</v>
      </c>
      <c r="R947" t="str">
        <f>_xll.BDP("349515UR Muni","MUNI_MSRB_VOLUME")</f>
        <v>#N/A Requesting Data...</v>
      </c>
      <c r="S947" t="str">
        <f>_xll.BDP("349515UR Muni","BB_COMPOSITE")</f>
        <v>#N/A Requesting Data...</v>
      </c>
      <c r="T947" t="str">
        <f>_xll.BDP("349515UR Muni","LQA_LIQUIDITY_SCORE")</f>
        <v>#N/A Requesting Data...</v>
      </c>
    </row>
    <row r="948" spans="1:20" x14ac:dyDescent="0.25">
      <c r="A948" t="str">
        <f>_xll.BDP("349515US Muni","ID_CUSIP")</f>
        <v>#N/A Requesting Data...</v>
      </c>
      <c r="B948" t="s">
        <v>346</v>
      </c>
      <c r="C948" t="str">
        <f>_xll.BDP("349515US Muni","INSURANCE_STATUS")</f>
        <v>#N/A Requesting Data...</v>
      </c>
      <c r="D948" t="str">
        <f>_xll.BDP("349515US Muni","STATE_CODE")</f>
        <v>#N/A Requesting Data...</v>
      </c>
      <c r="E948" t="str">
        <f>_xll.BDP("349515US Muni","COUNTY_LOCATION_ISSUER")</f>
        <v>#N/A Requesting Data...</v>
      </c>
      <c r="F948" t="str">
        <f>_xll.BDP("349515US Muni","DUR_ADJ_MID")</f>
        <v>#N/A Requesting Data...</v>
      </c>
      <c r="G948" t="str">
        <f>_xll.BDP("349515US Muni","SPREAD_AT_ISSUANCE_TO_WORST")</f>
        <v>#N/A Requesting Data...</v>
      </c>
      <c r="H948" t="str">
        <f>_xll.BDP("349515US Muni","ISSUE_DT")</f>
        <v>#N/A Requesting Data...</v>
      </c>
      <c r="I948" t="str">
        <f>_xll.BDS("349515US Muni","MUNI_PURPOSE_SCHED", "aggregate=y")</f>
        <v>#N/A Review</v>
      </c>
      <c r="J948" t="str">
        <f>_xll.BDP("349515US Muni","CPN")</f>
        <v>#N/A Requesting Data...</v>
      </c>
      <c r="K948" t="str">
        <f>_xll.BDP("349515US Muni","MATURITY")</f>
        <v>#N/A Requesting Data...</v>
      </c>
      <c r="L948">
        <v>5145000</v>
      </c>
      <c r="M948" t="str">
        <f>_xll.BDP("349515US Muni","YIELD_ON_ISSUE_DATE")</f>
        <v>#N/A Requesting Data...</v>
      </c>
      <c r="N948" t="str">
        <f>_xll.BDP("349515US Muni","YTW_SPREAD_TO_MATURITY_AT_ISSU")</f>
        <v>#N/A Requesting Data...</v>
      </c>
      <c r="O948" t="str">
        <f>_xll.BDP("349515US Muni","BVAL_MID_YTM")</f>
        <v>#N/A Requesting Data...</v>
      </c>
      <c r="P948" t="str">
        <f>_xll.BDP("349515US Muni","MUNI_TAX_PROV")</f>
        <v>#N/A Requesting Data...</v>
      </c>
      <c r="Q948" t="str">
        <f>_xll.BDP("349515US Muni","MUNI_FED_TAX")</f>
        <v>#N/A Requesting Data...</v>
      </c>
      <c r="R948" t="str">
        <f>_xll.BDP("349515US Muni","MUNI_MSRB_VOLUME")</f>
        <v>#N/A Requesting Data...</v>
      </c>
      <c r="S948" t="str">
        <f>_xll.BDP("349515US Muni","BB_COMPOSITE")</f>
        <v>#N/A Requesting Data...</v>
      </c>
      <c r="T948" t="str">
        <f>_xll.BDP("349515US Muni","LQA_LIQUIDITY_SCORE")</f>
        <v>#N/A Requesting Data...</v>
      </c>
    </row>
    <row r="949" spans="1:20" x14ac:dyDescent="0.25">
      <c r="A949" t="str">
        <f>_xll.BDP("349515UT Muni","ID_CUSIP")</f>
        <v>#N/A Requesting Data...</v>
      </c>
      <c r="B949" t="s">
        <v>346</v>
      </c>
      <c r="C949" t="str">
        <f>_xll.BDP("349515UT Muni","INSURANCE_STATUS")</f>
        <v>#N/A Requesting Data...</v>
      </c>
      <c r="D949" t="str">
        <f>_xll.BDP("349515UT Muni","STATE_CODE")</f>
        <v>#N/A Requesting Data...</v>
      </c>
      <c r="E949" t="str">
        <f>_xll.BDP("349515UT Muni","COUNTY_LOCATION_ISSUER")</f>
        <v>#N/A Requesting Data...</v>
      </c>
      <c r="F949" t="str">
        <f>_xll.BDP("349515UT Muni","DUR_ADJ_MID")</f>
        <v>#N/A Requesting Data...</v>
      </c>
      <c r="G949" t="str">
        <f>_xll.BDP("349515UT Muni","SPREAD_AT_ISSUANCE_TO_WORST")</f>
        <v>#N/A Requesting Data...</v>
      </c>
      <c r="H949" t="str">
        <f>_xll.BDP("349515UT Muni","ISSUE_DT")</f>
        <v>#N/A Requesting Data...</v>
      </c>
      <c r="I949" t="str">
        <f>_xll.BDS("349515UT Muni","MUNI_PURPOSE_SCHED", "aggregate=y")</f>
        <v>#N/A Review</v>
      </c>
      <c r="J949" t="str">
        <f>_xll.BDP("349515UT Muni","CPN")</f>
        <v>#N/A Requesting Data...</v>
      </c>
      <c r="K949" t="str">
        <f>_xll.BDP("349515UT Muni","MATURITY")</f>
        <v>#N/A Requesting Data...</v>
      </c>
      <c r="L949">
        <v>1230000</v>
      </c>
      <c r="M949" t="str">
        <f>_xll.BDP("349515UT Muni","YIELD_ON_ISSUE_DATE")</f>
        <v>#N/A Requesting Data...</v>
      </c>
      <c r="N949" t="str">
        <f>_xll.BDP("349515UT Muni","YTW_SPREAD_TO_MATURITY_AT_ISSU")</f>
        <v>#N/A Requesting Data...</v>
      </c>
      <c r="O949" t="str">
        <f>_xll.BDP("349515UT Muni","BVAL_MID_YTM")</f>
        <v>#N/A Requesting Data...</v>
      </c>
      <c r="P949" t="str">
        <f>_xll.BDP("349515UT Muni","MUNI_TAX_PROV")</f>
        <v>#N/A Requesting Data...</v>
      </c>
      <c r="Q949" t="str">
        <f>_xll.BDP("349515UT Muni","MUNI_FED_TAX")</f>
        <v>#N/A Requesting Data...</v>
      </c>
      <c r="R949" t="str">
        <f>_xll.BDP("349515UT Muni","MUNI_MSRB_VOLUME")</f>
        <v>#N/A Requesting Data...</v>
      </c>
      <c r="S949" t="str">
        <f>_xll.BDP("349515UT Muni","BB_COMPOSITE")</f>
        <v>#N/A Requesting Data...</v>
      </c>
      <c r="T949" t="str">
        <f>_xll.BDP("349515UT Muni","LQA_LIQUIDITY_SCORE")</f>
        <v>#N/A Requesting Data...</v>
      </c>
    </row>
    <row r="950" spans="1:20" x14ac:dyDescent="0.25">
      <c r="A950" t="str">
        <f>_xll.BDP("350832KC Muni","ID_CUSIP")</f>
        <v>#N/A Requesting Data...</v>
      </c>
      <c r="B950" t="s">
        <v>347</v>
      </c>
      <c r="C950" t="str">
        <f>_xll.BDP("350832KC Muni","INSURANCE_STATUS")</f>
        <v>#N/A Requesting Data...</v>
      </c>
      <c r="D950" t="str">
        <f>_xll.BDP("350832KC Muni","STATE_CODE")</f>
        <v>#N/A Requesting Data...</v>
      </c>
      <c r="E950" t="str">
        <f>_xll.BDP("350832KC Muni","COUNTY_LOCATION_ISSUER")</f>
        <v>#N/A Requesting Data...</v>
      </c>
      <c r="F950" t="str">
        <f>_xll.BDP("350832KC Muni","DUR_ADJ_MID")</f>
        <v>#N/A Requesting Data...</v>
      </c>
      <c r="G950" t="str">
        <f>_xll.BDP("350832KC Muni","SPREAD_AT_ISSUANCE_TO_WORST")</f>
        <v>#N/A Requesting Data...</v>
      </c>
      <c r="H950" t="str">
        <f>_xll.BDP("350832KC Muni","ISSUE_DT")</f>
        <v>#N/A Requesting Data...</v>
      </c>
      <c r="I950" t="str">
        <f>_xll.BDS("350832KC Muni","MUNI_PURPOSE_SCHED", "aggregate=y")</f>
        <v>#N/A Review</v>
      </c>
      <c r="J950" t="str">
        <f>_xll.BDP("350832KC Muni","CPN")</f>
        <v>#N/A Requesting Data...</v>
      </c>
      <c r="K950" t="str">
        <f>_xll.BDP("350832KC Muni","MATURITY")</f>
        <v>#N/A Requesting Data...</v>
      </c>
      <c r="L950">
        <v>300000</v>
      </c>
      <c r="M950" t="str">
        <f>_xll.BDP("350832KC Muni","YIELD_ON_ISSUE_DATE")</f>
        <v>#N/A Requesting Data...</v>
      </c>
      <c r="N950" t="str">
        <f>_xll.BDP("350832KC Muni","YTW_SPREAD_TO_MATURITY_AT_ISSU")</f>
        <v>#N/A Requesting Data...</v>
      </c>
      <c r="O950" t="str">
        <f>_xll.BDP("350832KC Muni","BVAL_MID_YTM")</f>
        <v>#N/A Requesting Data...</v>
      </c>
      <c r="P950" t="str">
        <f>_xll.BDP("350832KC Muni","MUNI_TAX_PROV")</f>
        <v>#N/A Requesting Data...</v>
      </c>
      <c r="Q950" t="str">
        <f>_xll.BDP("350832KC Muni","MUNI_FED_TAX")</f>
        <v>#N/A Requesting Data...</v>
      </c>
      <c r="R950" t="str">
        <f>_xll.BDP("350832KC Muni","MUNI_MSRB_VOLUME")</f>
        <v>#N/A Requesting Data...</v>
      </c>
      <c r="S950" t="str">
        <f>_xll.BDP("350832KC Muni","BB_COMPOSITE")</f>
        <v>#N/A Requesting Data...</v>
      </c>
      <c r="T950" t="str">
        <f>_xll.BDP("350832KC Muni","LQA_LIQUIDITY_SCORE")</f>
        <v>#N/A Requesting Data...</v>
      </c>
    </row>
    <row r="951" spans="1:20" x14ac:dyDescent="0.25">
      <c r="A951" t="str">
        <f>_xll.BDP("350832KD Muni","ID_CUSIP")</f>
        <v>#N/A Requesting Data...</v>
      </c>
      <c r="B951" t="s">
        <v>347</v>
      </c>
      <c r="C951" t="str">
        <f>_xll.BDP("350832KD Muni","INSURANCE_STATUS")</f>
        <v>#N/A Requesting Data...</v>
      </c>
      <c r="D951" t="str">
        <f>_xll.BDP("350832KD Muni","STATE_CODE")</f>
        <v>#N/A Requesting Data...</v>
      </c>
      <c r="E951" t="str">
        <f>_xll.BDP("350832KD Muni","COUNTY_LOCATION_ISSUER")</f>
        <v>#N/A Requesting Data...</v>
      </c>
      <c r="F951" t="str">
        <f>_xll.BDP("350832KD Muni","DUR_ADJ_MID")</f>
        <v>#N/A Requesting Data...</v>
      </c>
      <c r="G951" t="str">
        <f>_xll.BDP("350832KD Muni","SPREAD_AT_ISSUANCE_TO_WORST")</f>
        <v>#N/A Requesting Data...</v>
      </c>
      <c r="H951" t="str">
        <f>_xll.BDP("350832KD Muni","ISSUE_DT")</f>
        <v>#N/A Requesting Data...</v>
      </c>
      <c r="I951" t="str">
        <f>_xll.BDS("350832KD Muni","MUNI_PURPOSE_SCHED", "aggregate=y")</f>
        <v>#N/A Review</v>
      </c>
      <c r="J951" t="str">
        <f>_xll.BDP("350832KD Muni","CPN")</f>
        <v>#N/A Requesting Data...</v>
      </c>
      <c r="K951" t="str">
        <f>_xll.BDP("350832KD Muni","MATURITY")</f>
        <v>#N/A Requesting Data...</v>
      </c>
      <c r="L951">
        <v>300000</v>
      </c>
      <c r="M951" t="str">
        <f>_xll.BDP("350832KD Muni","YIELD_ON_ISSUE_DATE")</f>
        <v>#N/A Requesting Data...</v>
      </c>
      <c r="N951" t="str">
        <f>_xll.BDP("350832KD Muni","YTW_SPREAD_TO_MATURITY_AT_ISSU")</f>
        <v>#N/A Requesting Data...</v>
      </c>
      <c r="O951" t="str">
        <f>_xll.BDP("350832KD Muni","BVAL_MID_YTM")</f>
        <v>#N/A Requesting Data...</v>
      </c>
      <c r="P951" t="str">
        <f>_xll.BDP("350832KD Muni","MUNI_TAX_PROV")</f>
        <v>#N/A Requesting Data...</v>
      </c>
      <c r="Q951" t="str">
        <f>_xll.BDP("350832KD Muni","MUNI_FED_TAX")</f>
        <v>#N/A Requesting Data...</v>
      </c>
      <c r="R951" t="str">
        <f>_xll.BDP("350832KD Muni","MUNI_MSRB_VOLUME")</f>
        <v>#N/A Requesting Data...</v>
      </c>
      <c r="S951" t="str">
        <f>_xll.BDP("350832KD Muni","BB_COMPOSITE")</f>
        <v>#N/A Requesting Data...</v>
      </c>
      <c r="T951" t="str">
        <f>_xll.BDP("350832KD Muni","LQA_LIQUIDITY_SCORE")</f>
        <v>#N/A Requesting Data...</v>
      </c>
    </row>
    <row r="952" spans="1:20" x14ac:dyDescent="0.25">
      <c r="A952" t="str">
        <f>_xll.BDP("350832KE Muni","ID_CUSIP")</f>
        <v>#N/A Requesting Data...</v>
      </c>
      <c r="B952" t="s">
        <v>347</v>
      </c>
      <c r="C952" t="str">
        <f>_xll.BDP("350832KE Muni","INSURANCE_STATUS")</f>
        <v>#N/A Requesting Data...</v>
      </c>
      <c r="D952" t="str">
        <f>_xll.BDP("350832KE Muni","STATE_CODE")</f>
        <v>#N/A Requesting Data...</v>
      </c>
      <c r="E952" t="str">
        <f>_xll.BDP("350832KE Muni","COUNTY_LOCATION_ISSUER")</f>
        <v>#N/A Requesting Data...</v>
      </c>
      <c r="F952" t="str">
        <f>_xll.BDP("350832KE Muni","DUR_ADJ_MID")</f>
        <v>#N/A Requesting Data...</v>
      </c>
      <c r="G952" t="str">
        <f>_xll.BDP("350832KE Muni","SPREAD_AT_ISSUANCE_TO_WORST")</f>
        <v>#N/A Requesting Data...</v>
      </c>
      <c r="H952" t="str">
        <f>_xll.BDP("350832KE Muni","ISSUE_DT")</f>
        <v>#N/A Requesting Data...</v>
      </c>
      <c r="I952" t="str">
        <f>_xll.BDS("350832KE Muni","MUNI_PURPOSE_SCHED", "aggregate=y")</f>
        <v>#N/A Review</v>
      </c>
      <c r="J952" t="str">
        <f>_xll.BDP("350832KE Muni","CPN")</f>
        <v>#N/A Requesting Data...</v>
      </c>
      <c r="K952" t="str">
        <f>_xll.BDP("350832KE Muni","MATURITY")</f>
        <v>#N/A Requesting Data...</v>
      </c>
      <c r="L952">
        <v>300000</v>
      </c>
      <c r="M952" t="str">
        <f>_xll.BDP("350832KE Muni","YIELD_ON_ISSUE_DATE")</f>
        <v>#N/A Requesting Data...</v>
      </c>
      <c r="N952" t="str">
        <f>_xll.BDP("350832KE Muni","YTW_SPREAD_TO_MATURITY_AT_ISSU")</f>
        <v>#N/A Requesting Data...</v>
      </c>
      <c r="O952" t="str">
        <f>_xll.BDP("350832KE Muni","BVAL_MID_YTM")</f>
        <v>#N/A Requesting Data...</v>
      </c>
      <c r="P952" t="str">
        <f>_xll.BDP("350832KE Muni","MUNI_TAX_PROV")</f>
        <v>#N/A Requesting Data...</v>
      </c>
      <c r="Q952" t="str">
        <f>_xll.BDP("350832KE Muni","MUNI_FED_TAX")</f>
        <v>#N/A Requesting Data...</v>
      </c>
      <c r="R952" t="str">
        <f>_xll.BDP("350832KE Muni","MUNI_MSRB_VOLUME")</f>
        <v>#N/A Requesting Data...</v>
      </c>
      <c r="S952" t="str">
        <f>_xll.BDP("350832KE Muni","BB_COMPOSITE")</f>
        <v>#N/A Requesting Data...</v>
      </c>
      <c r="T952" t="str">
        <f>_xll.BDP("350832KE Muni","LQA_LIQUIDITY_SCORE")</f>
        <v>#N/A Requesting Data...</v>
      </c>
    </row>
    <row r="953" spans="1:20" x14ac:dyDescent="0.25">
      <c r="A953" t="str">
        <f>_xll.BDP("355748TB Muni","ID_CUSIP")</f>
        <v>#N/A Requesting Data...</v>
      </c>
      <c r="B953" t="s">
        <v>116</v>
      </c>
      <c r="C953" t="str">
        <f>_xll.BDP("355748TB Muni","INSURANCE_STATUS")</f>
        <v>#N/A Requesting Data...</v>
      </c>
      <c r="D953" t="str">
        <f>_xll.BDP("355748TB Muni","STATE_CODE")</f>
        <v>#N/A Requesting Data...</v>
      </c>
      <c r="E953" t="str">
        <f>_xll.BDP("355748TB Muni","COUNTY_LOCATION_ISSUER")</f>
        <v>#N/A Requesting Data...</v>
      </c>
      <c r="F953" t="str">
        <f>_xll.BDP("355748TB Muni","DUR_ADJ_MID")</f>
        <v>#N/A Requesting Data...</v>
      </c>
      <c r="G953" t="str">
        <f>_xll.BDP("355748TB Muni","SPREAD_AT_ISSUANCE_TO_WORST")</f>
        <v>#N/A Requesting Data...</v>
      </c>
      <c r="H953" t="str">
        <f>_xll.BDP("355748TB Muni","ISSUE_DT")</f>
        <v>#N/A Requesting Data...</v>
      </c>
      <c r="I953" t="str">
        <f>_xll.BDS("355748TB Muni","MUNI_PURPOSE_SCHED", "aggregate=y")</f>
        <v>#N/A Review</v>
      </c>
      <c r="J953" t="str">
        <f>_xll.BDP("355748TB Muni","CPN")</f>
        <v>#N/A Requesting Data...</v>
      </c>
      <c r="K953" t="str">
        <f>_xll.BDP("355748TB Muni","MATURITY")</f>
        <v>#N/A Requesting Data...</v>
      </c>
      <c r="L953">
        <v>875000</v>
      </c>
      <c r="M953" t="str">
        <f>_xll.BDP("355748TB Muni","YIELD_ON_ISSUE_DATE")</f>
        <v>#N/A Requesting Data...</v>
      </c>
      <c r="N953" t="str">
        <f>_xll.BDP("355748TB Muni","YTW_SPREAD_TO_MATURITY_AT_ISSU")</f>
        <v>#N/A Requesting Data...</v>
      </c>
      <c r="O953" t="str">
        <f>_xll.BDP("355748TB Muni","BVAL_MID_YTM")</f>
        <v>#N/A Requesting Data...</v>
      </c>
      <c r="P953" t="str">
        <f>_xll.BDP("355748TB Muni","MUNI_TAX_PROV")</f>
        <v>#N/A Requesting Data...</v>
      </c>
      <c r="Q953" t="str">
        <f>_xll.BDP("355748TB Muni","MUNI_FED_TAX")</f>
        <v>#N/A Requesting Data...</v>
      </c>
      <c r="R953" t="str">
        <f>_xll.BDP("355748TB Muni","MUNI_MSRB_VOLUME")</f>
        <v>#N/A Requesting Data...</v>
      </c>
      <c r="S953" t="str">
        <f>_xll.BDP("355748TB Muni","BB_COMPOSITE")</f>
        <v>#N/A Requesting Data...</v>
      </c>
      <c r="T953" t="str">
        <f>_xll.BDP("355748TB Muni","LQA_LIQUIDITY_SCORE")</f>
        <v>#N/A Requesting Data...</v>
      </c>
    </row>
    <row r="954" spans="1:20" x14ac:dyDescent="0.25">
      <c r="A954" t="str">
        <f>_xll.BDP("13050PAG Muni","ID_CUSIP")</f>
        <v>#N/A Requesting Data...</v>
      </c>
      <c r="B954" t="s">
        <v>108</v>
      </c>
      <c r="C954" t="str">
        <f>_xll.BDP("13050PAG Muni","INSURANCE_STATUS")</f>
        <v>#N/A Requesting Data...</v>
      </c>
      <c r="D954" t="str">
        <f>_xll.BDP("13050PAG Muni","STATE_CODE")</f>
        <v>#N/A Requesting Data...</v>
      </c>
      <c r="E954" t="str">
        <f>_xll.BDP("13050PAG Muni","COUNTY_LOCATION_ISSUER")</f>
        <v>#N/A Requesting Data...</v>
      </c>
      <c r="F954" t="str">
        <f>_xll.BDP("13050PAG Muni","DUR_ADJ_MID")</f>
        <v>#N/A Requesting Data...</v>
      </c>
      <c r="G954" t="str">
        <f>_xll.BDP("13050PAG Muni","SPREAD_AT_ISSUANCE_TO_WORST")</f>
        <v>#N/A Requesting Data...</v>
      </c>
      <c r="H954" t="str">
        <f>_xll.BDP("13050PAG Muni","ISSUE_DT")</f>
        <v>#N/A Requesting Data...</v>
      </c>
      <c r="I954" t="str">
        <f>_xll.BDS("13050PAG Muni","MUNI_PURPOSE_SCHED", "aggregate=y")</f>
        <v>#N/A Review</v>
      </c>
      <c r="J954" t="str">
        <f>_xll.BDP("13050PAG Muni","CPN")</f>
        <v>#N/A Requesting Data...</v>
      </c>
      <c r="K954" t="str">
        <f>_xll.BDP("13050PAG Muni","MATURITY")</f>
        <v>#N/A Requesting Data...</v>
      </c>
      <c r="L954">
        <v>995000</v>
      </c>
      <c r="M954" t="str">
        <f>_xll.BDP("13050PAG Muni","YIELD_ON_ISSUE_DATE")</f>
        <v>#N/A Requesting Data...</v>
      </c>
      <c r="N954" t="str">
        <f>_xll.BDP("13050PAG Muni","YTW_SPREAD_TO_MATURITY_AT_ISSU")</f>
        <v>#N/A Requesting Data...</v>
      </c>
      <c r="O954" t="str">
        <f>_xll.BDP("13050PAG Muni","BVAL_MID_YTM")</f>
        <v>#N/A Requesting Data...</v>
      </c>
      <c r="P954" t="str">
        <f>_xll.BDP("13050PAG Muni","MUNI_TAX_PROV")</f>
        <v>#N/A Requesting Data...</v>
      </c>
      <c r="Q954" t="str">
        <f>_xll.BDP("13050PAG Muni","MUNI_FED_TAX")</f>
        <v>#N/A Requesting Data...</v>
      </c>
      <c r="R954" t="str">
        <f>_xll.BDP("13050PAG Muni","MUNI_MSRB_VOLUME")</f>
        <v>#N/A Requesting Data...</v>
      </c>
      <c r="S954" t="str">
        <f>_xll.BDP("13050PAG Muni","BB_COMPOSITE")</f>
        <v>#N/A Requesting Data...</v>
      </c>
      <c r="T954" t="str">
        <f>_xll.BDP("13050PAG Muni","LQA_LIQUIDITY_SCORE")</f>
        <v>#N/A Requesting Data...</v>
      </c>
    </row>
    <row r="955" spans="1:20" x14ac:dyDescent="0.25">
      <c r="A955" t="str">
        <f>_xll.BDP("13050PAJ Muni","ID_CUSIP")</f>
        <v>#N/A Requesting Data...</v>
      </c>
      <c r="B955" t="s">
        <v>108</v>
      </c>
      <c r="C955" t="str">
        <f>_xll.BDP("13050PAJ Muni","INSURANCE_STATUS")</f>
        <v>#N/A Requesting Data...</v>
      </c>
      <c r="D955" t="str">
        <f>_xll.BDP("13050PAJ Muni","STATE_CODE")</f>
        <v>#N/A Requesting Data...</v>
      </c>
      <c r="E955" t="str">
        <f>_xll.BDP("13050PAJ Muni","COUNTY_LOCATION_ISSUER")</f>
        <v>#N/A Requesting Data...</v>
      </c>
      <c r="F955" t="str">
        <f>_xll.BDP("13050PAJ Muni","DUR_ADJ_MID")</f>
        <v>#N/A Requesting Data...</v>
      </c>
      <c r="G955" t="str">
        <f>_xll.BDP("13050PAJ Muni","SPREAD_AT_ISSUANCE_TO_WORST")</f>
        <v>#N/A Requesting Data...</v>
      </c>
      <c r="H955" t="str">
        <f>_xll.BDP("13050PAJ Muni","ISSUE_DT")</f>
        <v>#N/A Requesting Data...</v>
      </c>
      <c r="I955" t="str">
        <f>_xll.BDS("13050PAJ Muni","MUNI_PURPOSE_SCHED", "aggregate=y")</f>
        <v>#N/A Review</v>
      </c>
      <c r="J955" t="str">
        <f>_xll.BDP("13050PAJ Muni","CPN")</f>
        <v>#N/A Requesting Data...</v>
      </c>
      <c r="K955" t="str">
        <f>_xll.BDP("13050PAJ Muni","MATURITY")</f>
        <v>#N/A Requesting Data...</v>
      </c>
      <c r="L955">
        <v>1100000</v>
      </c>
      <c r="M955" t="str">
        <f>_xll.BDP("13050PAJ Muni","YIELD_ON_ISSUE_DATE")</f>
        <v>#N/A Requesting Data...</v>
      </c>
      <c r="N955" t="str">
        <f>_xll.BDP("13050PAJ Muni","YTW_SPREAD_TO_MATURITY_AT_ISSU")</f>
        <v>#N/A Requesting Data...</v>
      </c>
      <c r="O955" t="str">
        <f>_xll.BDP("13050PAJ Muni","BVAL_MID_YTM")</f>
        <v>#N/A Requesting Data...</v>
      </c>
      <c r="P955" t="str">
        <f>_xll.BDP("13050PAJ Muni","MUNI_TAX_PROV")</f>
        <v>#N/A Requesting Data...</v>
      </c>
      <c r="Q955" t="str">
        <f>_xll.BDP("13050PAJ Muni","MUNI_FED_TAX")</f>
        <v>#N/A Requesting Data...</v>
      </c>
      <c r="R955" t="str">
        <f>_xll.BDP("13050PAJ Muni","MUNI_MSRB_VOLUME")</f>
        <v>#N/A Requesting Data...</v>
      </c>
      <c r="S955" t="str">
        <f>_xll.BDP("13050PAJ Muni","BB_COMPOSITE")</f>
        <v>#N/A Requesting Data...</v>
      </c>
      <c r="T955" t="str">
        <f>_xll.BDP("13050PAJ Muni","LQA_LIQUIDITY_SCORE")</f>
        <v>#N/A Requesting Data...</v>
      </c>
    </row>
    <row r="956" spans="1:20" x14ac:dyDescent="0.25">
      <c r="A956" t="str">
        <f>_xll.BDP("199144VX Muni","ID_CUSIP")</f>
        <v>#N/A Requesting Data...</v>
      </c>
      <c r="B956" t="s">
        <v>348</v>
      </c>
      <c r="C956" t="str">
        <f>_xll.BDP("199144VX Muni","INSURANCE_STATUS")</f>
        <v>#N/A Requesting Data...</v>
      </c>
      <c r="D956" t="str">
        <f>_xll.BDP("199144VX Muni","STATE_CODE")</f>
        <v>#N/A Requesting Data...</v>
      </c>
      <c r="E956" t="str">
        <f>_xll.BDP("199144VX Muni","COUNTY_LOCATION_ISSUER")</f>
        <v>#N/A Requesting Data...</v>
      </c>
      <c r="F956" t="str">
        <f>_xll.BDP("199144VX Muni","DUR_ADJ_MID")</f>
        <v>#N/A Requesting Data...</v>
      </c>
      <c r="G956" t="str">
        <f>_xll.BDP("199144VX Muni","SPREAD_AT_ISSUANCE_TO_WORST")</f>
        <v>#N/A Requesting Data...</v>
      </c>
      <c r="H956" t="str">
        <f>_xll.BDP("199144VX Muni","ISSUE_DT")</f>
        <v>#N/A Requesting Data...</v>
      </c>
      <c r="I956" t="str">
        <f>_xll.BDS("199144VX Muni","MUNI_PURPOSE_SCHED", "aggregate=y")</f>
        <v>#N/A Review</v>
      </c>
      <c r="J956" t="str">
        <f>_xll.BDP("199144VX Muni","CPN")</f>
        <v>#N/A Requesting Data...</v>
      </c>
      <c r="K956" t="str">
        <f>_xll.BDP("199144VX Muni","MATURITY")</f>
        <v>#N/A Requesting Data...</v>
      </c>
      <c r="L956">
        <v>3485000</v>
      </c>
      <c r="M956" t="str">
        <f>_xll.BDP("199144VX Muni","YIELD_ON_ISSUE_DATE")</f>
        <v>#N/A Requesting Data...</v>
      </c>
      <c r="N956" t="str">
        <f>_xll.BDP("199144VX Muni","YTW_SPREAD_TO_MATURITY_AT_ISSU")</f>
        <v>#N/A Requesting Data...</v>
      </c>
      <c r="O956" t="str">
        <f>_xll.BDP("199144VX Muni","BVAL_MID_YTM")</f>
        <v>#N/A Requesting Data...</v>
      </c>
      <c r="P956" t="str">
        <f>_xll.BDP("199144VX Muni","MUNI_TAX_PROV")</f>
        <v>#N/A Requesting Data...</v>
      </c>
      <c r="Q956" t="str">
        <f>_xll.BDP("199144VX Muni","MUNI_FED_TAX")</f>
        <v>#N/A Requesting Data...</v>
      </c>
      <c r="R956" t="str">
        <f>_xll.BDP("199144VX Muni","MUNI_MSRB_VOLUME")</f>
        <v>#N/A Requesting Data...</v>
      </c>
      <c r="S956" t="str">
        <f>_xll.BDP("199144VX Muni","BB_COMPOSITE")</f>
        <v>#N/A Requesting Data...</v>
      </c>
      <c r="T956" t="str">
        <f>_xll.BDP("199144VX Muni","LQA_LIQUIDITY_SCORE")</f>
        <v>#N/A Requesting Data...</v>
      </c>
    </row>
    <row r="957" spans="1:20" x14ac:dyDescent="0.25">
      <c r="A957" t="str">
        <f>_xll.BDP("199144VY Muni","ID_CUSIP")</f>
        <v>#N/A Requesting Data...</v>
      </c>
      <c r="B957" t="s">
        <v>348</v>
      </c>
      <c r="C957" t="str">
        <f>_xll.BDP("199144VY Muni","INSURANCE_STATUS")</f>
        <v>#N/A Requesting Data...</v>
      </c>
      <c r="D957" t="str">
        <f>_xll.BDP("199144VY Muni","STATE_CODE")</f>
        <v>#N/A Requesting Data...</v>
      </c>
      <c r="E957" t="str">
        <f>_xll.BDP("199144VY Muni","COUNTY_LOCATION_ISSUER")</f>
        <v>#N/A Requesting Data...</v>
      </c>
      <c r="F957" t="str">
        <f>_xll.BDP("199144VY Muni","DUR_ADJ_MID")</f>
        <v>#N/A Requesting Data...</v>
      </c>
      <c r="G957" t="str">
        <f>_xll.BDP("199144VY Muni","SPREAD_AT_ISSUANCE_TO_WORST")</f>
        <v>#N/A Requesting Data...</v>
      </c>
      <c r="H957" t="str">
        <f>_xll.BDP("199144VY Muni","ISSUE_DT")</f>
        <v>#N/A Requesting Data...</v>
      </c>
      <c r="I957" t="str">
        <f>_xll.BDS("199144VY Muni","MUNI_PURPOSE_SCHED", "aggregate=y")</f>
        <v>#N/A Review</v>
      </c>
      <c r="J957" t="str">
        <f>_xll.BDP("199144VY Muni","CPN")</f>
        <v>#N/A Requesting Data...</v>
      </c>
      <c r="K957" t="str">
        <f>_xll.BDP("199144VY Muni","MATURITY")</f>
        <v>#N/A Requesting Data...</v>
      </c>
      <c r="L957">
        <v>4665000</v>
      </c>
      <c r="M957" t="str">
        <f>_xll.BDP("199144VY Muni","YIELD_ON_ISSUE_DATE")</f>
        <v>#N/A Requesting Data...</v>
      </c>
      <c r="N957" t="str">
        <f>_xll.BDP("199144VY Muni","YTW_SPREAD_TO_MATURITY_AT_ISSU")</f>
        <v>#N/A Requesting Data...</v>
      </c>
      <c r="O957" t="str">
        <f>_xll.BDP("199144VY Muni","BVAL_MID_YTM")</f>
        <v>#N/A Requesting Data...</v>
      </c>
      <c r="P957" t="str">
        <f>_xll.BDP("199144VY Muni","MUNI_TAX_PROV")</f>
        <v>#N/A Requesting Data...</v>
      </c>
      <c r="Q957" t="str">
        <f>_xll.BDP("199144VY Muni","MUNI_FED_TAX")</f>
        <v>#N/A Requesting Data...</v>
      </c>
      <c r="R957" t="str">
        <f>_xll.BDP("199144VY Muni","MUNI_MSRB_VOLUME")</f>
        <v>#N/A Requesting Data...</v>
      </c>
      <c r="S957" t="str">
        <f>_xll.BDP("199144VY Muni","BB_COMPOSITE")</f>
        <v>#N/A Requesting Data...</v>
      </c>
      <c r="T957" t="str">
        <f>_xll.BDP("199144VY Muni","LQA_LIQUIDITY_SCORE")</f>
        <v>#N/A Requesting Data...</v>
      </c>
    </row>
    <row r="958" spans="1:20" x14ac:dyDescent="0.25">
      <c r="A958" t="str">
        <f>_xll.BDP("199144VZ Muni","ID_CUSIP")</f>
        <v>#N/A Requesting Data...</v>
      </c>
      <c r="B958" t="s">
        <v>348</v>
      </c>
      <c r="C958" t="str">
        <f>_xll.BDP("199144VZ Muni","INSURANCE_STATUS")</f>
        <v>#N/A Requesting Data...</v>
      </c>
      <c r="D958" t="str">
        <f>_xll.BDP("199144VZ Muni","STATE_CODE")</f>
        <v>#N/A Requesting Data...</v>
      </c>
      <c r="E958" t="str">
        <f>_xll.BDP("199144VZ Muni","COUNTY_LOCATION_ISSUER")</f>
        <v>#N/A Requesting Data...</v>
      </c>
      <c r="F958" t="str">
        <f>_xll.BDP("199144VZ Muni","DUR_ADJ_MID")</f>
        <v>#N/A Requesting Data...</v>
      </c>
      <c r="G958" t="str">
        <f>_xll.BDP("199144VZ Muni","SPREAD_AT_ISSUANCE_TO_WORST")</f>
        <v>#N/A Requesting Data...</v>
      </c>
      <c r="H958" t="str">
        <f>_xll.BDP("199144VZ Muni","ISSUE_DT")</f>
        <v>#N/A Requesting Data...</v>
      </c>
      <c r="I958" t="str">
        <f>_xll.BDS("199144VZ Muni","MUNI_PURPOSE_SCHED", "aggregate=y")</f>
        <v>#N/A Review</v>
      </c>
      <c r="J958" t="str">
        <f>_xll.BDP("199144VZ Muni","CPN")</f>
        <v>#N/A Requesting Data...</v>
      </c>
      <c r="K958" t="str">
        <f>_xll.BDP("199144VZ Muni","MATURITY")</f>
        <v>#N/A Requesting Data...</v>
      </c>
      <c r="L958">
        <v>2965000</v>
      </c>
      <c r="M958" t="str">
        <f>_xll.BDP("199144VZ Muni","YIELD_ON_ISSUE_DATE")</f>
        <v>#N/A Requesting Data...</v>
      </c>
      <c r="N958" t="str">
        <f>_xll.BDP("199144VZ Muni","YTW_SPREAD_TO_MATURITY_AT_ISSU")</f>
        <v>#N/A Requesting Data...</v>
      </c>
      <c r="O958" t="str">
        <f>_xll.BDP("199144VZ Muni","BVAL_MID_YTM")</f>
        <v>#N/A Requesting Data...</v>
      </c>
      <c r="P958" t="str">
        <f>_xll.BDP("199144VZ Muni","MUNI_TAX_PROV")</f>
        <v>#N/A Requesting Data...</v>
      </c>
      <c r="Q958" t="str">
        <f>_xll.BDP("199144VZ Muni","MUNI_FED_TAX")</f>
        <v>#N/A Requesting Data...</v>
      </c>
      <c r="R958" t="str">
        <f>_xll.BDP("199144VZ Muni","MUNI_MSRB_VOLUME")</f>
        <v>#N/A Requesting Data...</v>
      </c>
      <c r="S958" t="str">
        <f>_xll.BDP("199144VZ Muni","BB_COMPOSITE")</f>
        <v>#N/A Requesting Data...</v>
      </c>
      <c r="T958" t="str">
        <f>_xll.BDP("199144VZ Muni","LQA_LIQUIDITY_SCORE")</f>
        <v>#N/A Requesting Data...</v>
      </c>
    </row>
    <row r="959" spans="1:20" x14ac:dyDescent="0.25">
      <c r="A959" t="str">
        <f>_xll.BDP("199144WA Muni","ID_CUSIP")</f>
        <v>#N/A Requesting Data...</v>
      </c>
      <c r="B959" t="s">
        <v>348</v>
      </c>
      <c r="C959" t="str">
        <f>_xll.BDP("199144WA Muni","INSURANCE_STATUS")</f>
        <v>#N/A Requesting Data...</v>
      </c>
      <c r="D959" t="str">
        <f>_xll.BDP("199144WA Muni","STATE_CODE")</f>
        <v>#N/A Requesting Data...</v>
      </c>
      <c r="E959" t="str">
        <f>_xll.BDP("199144WA Muni","COUNTY_LOCATION_ISSUER")</f>
        <v>#N/A Requesting Data...</v>
      </c>
      <c r="F959" t="str">
        <f>_xll.BDP("199144WA Muni","DUR_ADJ_MID")</f>
        <v>#N/A Requesting Data...</v>
      </c>
      <c r="G959" t="str">
        <f>_xll.BDP("199144WA Muni","SPREAD_AT_ISSUANCE_TO_WORST")</f>
        <v>#N/A Requesting Data...</v>
      </c>
      <c r="H959" t="str">
        <f>_xll.BDP("199144WA Muni","ISSUE_DT")</f>
        <v>#N/A Requesting Data...</v>
      </c>
      <c r="I959" t="str">
        <f>_xll.BDS("199144WA Muni","MUNI_PURPOSE_SCHED", "aggregate=y")</f>
        <v>#N/A Review</v>
      </c>
      <c r="J959" t="str">
        <f>_xll.BDP("199144WA Muni","CPN")</f>
        <v>#N/A Requesting Data...</v>
      </c>
      <c r="K959" t="str">
        <f>_xll.BDP("199144WA Muni","MATURITY")</f>
        <v>#N/A Requesting Data...</v>
      </c>
      <c r="L959">
        <v>2610000</v>
      </c>
      <c r="M959" t="str">
        <f>_xll.BDP("199144WA Muni","YIELD_ON_ISSUE_DATE")</f>
        <v>#N/A Requesting Data...</v>
      </c>
      <c r="N959" t="str">
        <f>_xll.BDP("199144WA Muni","YTW_SPREAD_TO_MATURITY_AT_ISSU")</f>
        <v>#N/A Requesting Data...</v>
      </c>
      <c r="O959" t="str">
        <f>_xll.BDP("199144WA Muni","BVAL_MID_YTM")</f>
        <v>#N/A Requesting Data...</v>
      </c>
      <c r="P959" t="str">
        <f>_xll.BDP("199144WA Muni","MUNI_TAX_PROV")</f>
        <v>#N/A Requesting Data...</v>
      </c>
      <c r="Q959" t="str">
        <f>_xll.BDP("199144WA Muni","MUNI_FED_TAX")</f>
        <v>#N/A Requesting Data...</v>
      </c>
      <c r="R959" t="str">
        <f>_xll.BDP("199144WA Muni","MUNI_MSRB_VOLUME")</f>
        <v>#N/A Requesting Data...</v>
      </c>
      <c r="S959" t="str">
        <f>_xll.BDP("199144WA Muni","BB_COMPOSITE")</f>
        <v>#N/A Requesting Data...</v>
      </c>
      <c r="T959" t="str">
        <f>_xll.BDP("199144WA Muni","LQA_LIQUIDITY_SCORE")</f>
        <v>#N/A Requesting Data...</v>
      </c>
    </row>
    <row r="960" spans="1:20" x14ac:dyDescent="0.25">
      <c r="A960" t="str">
        <f>_xll.BDP("199437MA Muni","ID_CUSIP")</f>
        <v>#N/A Requesting Data...</v>
      </c>
      <c r="B960" t="s">
        <v>107</v>
      </c>
      <c r="C960" t="str">
        <f>_xll.BDP("199437MA Muni","INSURANCE_STATUS")</f>
        <v>#N/A Requesting Data...</v>
      </c>
      <c r="D960" t="str">
        <f>_xll.BDP("199437MA Muni","STATE_CODE")</f>
        <v>#N/A Requesting Data...</v>
      </c>
      <c r="E960" t="str">
        <f>_xll.BDP("199437MA Muni","COUNTY_LOCATION_ISSUER")</f>
        <v>#N/A Requesting Data...</v>
      </c>
      <c r="F960" t="str">
        <f>_xll.BDP("199437MA Muni","DUR_ADJ_MID")</f>
        <v>#N/A Requesting Data...</v>
      </c>
      <c r="G960" t="str">
        <f>_xll.BDP("199437MA Muni","SPREAD_AT_ISSUANCE_TO_WORST")</f>
        <v>#N/A Requesting Data...</v>
      </c>
      <c r="H960" t="str">
        <f>_xll.BDP("199437MA Muni","ISSUE_DT")</f>
        <v>#N/A Requesting Data...</v>
      </c>
      <c r="I960" t="str">
        <f>_xll.BDS("199437MA Muni","MUNI_PURPOSE_SCHED", "aggregate=y")</f>
        <v>#N/A Review</v>
      </c>
      <c r="J960" t="str">
        <f>_xll.BDP("199437MA Muni","CPN")</f>
        <v>#N/A Requesting Data...</v>
      </c>
      <c r="K960" t="str">
        <f>_xll.BDP("199437MA Muni","MATURITY")</f>
        <v>#N/A Requesting Data...</v>
      </c>
      <c r="L960">
        <v>600000</v>
      </c>
      <c r="M960" t="str">
        <f>_xll.BDP("199437MA Muni","YIELD_ON_ISSUE_DATE")</f>
        <v>#N/A Requesting Data...</v>
      </c>
      <c r="N960" t="str">
        <f>_xll.BDP("199437MA Muni","YTW_SPREAD_TO_MATURITY_AT_ISSU")</f>
        <v>#N/A Requesting Data...</v>
      </c>
      <c r="O960" t="str">
        <f>_xll.BDP("199437MA Muni","BVAL_MID_YTM")</f>
        <v>#N/A Requesting Data...</v>
      </c>
      <c r="P960" t="str">
        <f>_xll.BDP("199437MA Muni","MUNI_TAX_PROV")</f>
        <v>#N/A Requesting Data...</v>
      </c>
      <c r="Q960" t="str">
        <f>_xll.BDP("199437MA Muni","MUNI_FED_TAX")</f>
        <v>#N/A Requesting Data...</v>
      </c>
      <c r="R960" t="str">
        <f>_xll.BDP("199437MA Muni","MUNI_MSRB_VOLUME")</f>
        <v>#N/A Requesting Data...</v>
      </c>
      <c r="S960" t="str">
        <f>_xll.BDP("199437MA Muni","BB_COMPOSITE")</f>
        <v>#N/A Requesting Data...</v>
      </c>
      <c r="T960" t="str">
        <f>_xll.BDP("199437MA Muni","LQA_LIQUIDITY_SCORE")</f>
        <v>#N/A Requesting Data...</v>
      </c>
    </row>
    <row r="961" spans="1:20" x14ac:dyDescent="0.25">
      <c r="A961" t="str">
        <f>_xll.BDP("199437MB Muni","ID_CUSIP")</f>
        <v>#N/A Requesting Data...</v>
      </c>
      <c r="B961" t="s">
        <v>107</v>
      </c>
      <c r="C961" t="str">
        <f>_xll.BDP("199437MB Muni","INSURANCE_STATUS")</f>
        <v>#N/A Requesting Data...</v>
      </c>
      <c r="D961" t="str">
        <f>_xll.BDP("199437MB Muni","STATE_CODE")</f>
        <v>#N/A Requesting Data...</v>
      </c>
      <c r="E961" t="str">
        <f>_xll.BDP("199437MB Muni","COUNTY_LOCATION_ISSUER")</f>
        <v>#N/A Requesting Data...</v>
      </c>
      <c r="F961" t="str">
        <f>_xll.BDP("199437MB Muni","DUR_ADJ_MID")</f>
        <v>#N/A Requesting Data...</v>
      </c>
      <c r="G961" t="str">
        <f>_xll.BDP("199437MB Muni","SPREAD_AT_ISSUANCE_TO_WORST")</f>
        <v>#N/A Requesting Data...</v>
      </c>
      <c r="H961" t="str">
        <f>_xll.BDP("199437MB Muni","ISSUE_DT")</f>
        <v>#N/A Requesting Data...</v>
      </c>
      <c r="I961" t="str">
        <f>_xll.BDS("199437MB Muni","MUNI_PURPOSE_SCHED", "aggregate=y")</f>
        <v>#N/A Review</v>
      </c>
      <c r="J961" t="str">
        <f>_xll.BDP("199437MB Muni","CPN")</f>
        <v>#N/A Requesting Data...</v>
      </c>
      <c r="K961" t="str">
        <f>_xll.BDP("199437MB Muni","MATURITY")</f>
        <v>#N/A Requesting Data...</v>
      </c>
      <c r="L961">
        <v>615000</v>
      </c>
      <c r="M961" t="str">
        <f>_xll.BDP("199437MB Muni","YIELD_ON_ISSUE_DATE")</f>
        <v>#N/A Requesting Data...</v>
      </c>
      <c r="N961" t="str">
        <f>_xll.BDP("199437MB Muni","YTW_SPREAD_TO_MATURITY_AT_ISSU")</f>
        <v>#N/A Requesting Data...</v>
      </c>
      <c r="O961" t="str">
        <f>_xll.BDP("199437MB Muni","BVAL_MID_YTM")</f>
        <v>#N/A Requesting Data...</v>
      </c>
      <c r="P961" t="str">
        <f>_xll.BDP("199437MB Muni","MUNI_TAX_PROV")</f>
        <v>#N/A Requesting Data...</v>
      </c>
      <c r="Q961" t="str">
        <f>_xll.BDP("199437MB Muni","MUNI_FED_TAX")</f>
        <v>#N/A Requesting Data...</v>
      </c>
      <c r="R961" t="str">
        <f>_xll.BDP("199437MB Muni","MUNI_MSRB_VOLUME")</f>
        <v>#N/A Requesting Data...</v>
      </c>
      <c r="S961" t="str">
        <f>_xll.BDP("199437MB Muni","BB_COMPOSITE")</f>
        <v>#N/A Requesting Data...</v>
      </c>
      <c r="T961" t="str">
        <f>_xll.BDP("199437MB Muni","LQA_LIQUIDITY_SCORE")</f>
        <v>#N/A Requesting Data...</v>
      </c>
    </row>
    <row r="962" spans="1:20" x14ac:dyDescent="0.25">
      <c r="A962" t="str">
        <f>_xll.BDP("199437MC Muni","ID_CUSIP")</f>
        <v>#N/A Requesting Data...</v>
      </c>
      <c r="B962" t="s">
        <v>107</v>
      </c>
      <c r="C962" t="str">
        <f>_xll.BDP("199437MC Muni","INSURANCE_STATUS")</f>
        <v>#N/A Requesting Data...</v>
      </c>
      <c r="D962" t="str">
        <f>_xll.BDP("199437MC Muni","STATE_CODE")</f>
        <v>#N/A Requesting Data...</v>
      </c>
      <c r="E962" t="str">
        <f>_xll.BDP("199437MC Muni","COUNTY_LOCATION_ISSUER")</f>
        <v>#N/A Requesting Data...</v>
      </c>
      <c r="F962" t="str">
        <f>_xll.BDP("199437MC Muni","DUR_ADJ_MID")</f>
        <v>#N/A Requesting Data...</v>
      </c>
      <c r="G962" t="str">
        <f>_xll.BDP("199437MC Muni","SPREAD_AT_ISSUANCE_TO_WORST")</f>
        <v>#N/A Requesting Data...</v>
      </c>
      <c r="H962" t="str">
        <f>_xll.BDP("199437MC Muni","ISSUE_DT")</f>
        <v>#N/A Requesting Data...</v>
      </c>
      <c r="I962" t="str">
        <f>_xll.BDS("199437MC Muni","MUNI_PURPOSE_SCHED", "aggregate=y")</f>
        <v>#N/A Review</v>
      </c>
      <c r="J962" t="str">
        <f>_xll.BDP("199437MC Muni","CPN")</f>
        <v>#N/A Requesting Data...</v>
      </c>
      <c r="K962" t="str">
        <f>_xll.BDP("199437MC Muni","MATURITY")</f>
        <v>#N/A Requesting Data...</v>
      </c>
      <c r="L962">
        <v>635000</v>
      </c>
      <c r="M962" t="str">
        <f>_xll.BDP("199437MC Muni","YIELD_ON_ISSUE_DATE")</f>
        <v>#N/A Requesting Data...</v>
      </c>
      <c r="N962" t="str">
        <f>_xll.BDP("199437MC Muni","YTW_SPREAD_TO_MATURITY_AT_ISSU")</f>
        <v>#N/A Requesting Data...</v>
      </c>
      <c r="O962" t="str">
        <f>_xll.BDP("199437MC Muni","BVAL_MID_YTM")</f>
        <v>#N/A Requesting Data...</v>
      </c>
      <c r="P962" t="str">
        <f>_xll.BDP("199437MC Muni","MUNI_TAX_PROV")</f>
        <v>#N/A Requesting Data...</v>
      </c>
      <c r="Q962" t="str">
        <f>_xll.BDP("199437MC Muni","MUNI_FED_TAX")</f>
        <v>#N/A Requesting Data...</v>
      </c>
      <c r="R962" t="str">
        <f>_xll.BDP("199437MC Muni","MUNI_MSRB_VOLUME")</f>
        <v>#N/A Requesting Data...</v>
      </c>
      <c r="S962" t="str">
        <f>_xll.BDP("199437MC Muni","BB_COMPOSITE")</f>
        <v>#N/A Requesting Data...</v>
      </c>
      <c r="T962" t="str">
        <f>_xll.BDP("199437MC Muni","LQA_LIQUIDITY_SCORE")</f>
        <v>#N/A Requesting Data...</v>
      </c>
    </row>
    <row r="963" spans="1:20" x14ac:dyDescent="0.25">
      <c r="A963" t="str">
        <f>_xll.BDP("199437ME Muni","ID_CUSIP")</f>
        <v>#N/A Requesting Data...</v>
      </c>
      <c r="B963" t="s">
        <v>107</v>
      </c>
      <c r="C963" t="str">
        <f>_xll.BDP("199437ME Muni","INSURANCE_STATUS")</f>
        <v>#N/A Requesting Data...</v>
      </c>
      <c r="D963" t="str">
        <f>_xll.BDP("199437ME Muni","STATE_CODE")</f>
        <v>#N/A Requesting Data...</v>
      </c>
      <c r="E963" t="str">
        <f>_xll.BDP("199437ME Muni","COUNTY_LOCATION_ISSUER")</f>
        <v>#N/A Requesting Data...</v>
      </c>
      <c r="F963" t="str">
        <f>_xll.BDP("199437ME Muni","DUR_ADJ_MID")</f>
        <v>#N/A Requesting Data...</v>
      </c>
      <c r="G963" t="str">
        <f>_xll.BDP("199437ME Muni","SPREAD_AT_ISSUANCE_TO_WORST")</f>
        <v>#N/A Requesting Data...</v>
      </c>
      <c r="H963" t="str">
        <f>_xll.BDP("199437ME Muni","ISSUE_DT")</f>
        <v>#N/A Requesting Data...</v>
      </c>
      <c r="I963" t="str">
        <f>_xll.BDS("199437ME Muni","MUNI_PURPOSE_SCHED", "aggregate=y")</f>
        <v>#N/A Review</v>
      </c>
      <c r="J963" t="str">
        <f>_xll.BDP("199437ME Muni","CPN")</f>
        <v>#N/A Requesting Data...</v>
      </c>
      <c r="K963" t="str">
        <f>_xll.BDP("199437ME Muni","MATURITY")</f>
        <v>#N/A Requesting Data...</v>
      </c>
      <c r="L963">
        <v>695000</v>
      </c>
      <c r="M963" t="str">
        <f>_xll.BDP("199437ME Muni","YIELD_ON_ISSUE_DATE")</f>
        <v>#N/A Requesting Data...</v>
      </c>
      <c r="N963" t="str">
        <f>_xll.BDP("199437ME Muni","YTW_SPREAD_TO_MATURITY_AT_ISSU")</f>
        <v>#N/A Requesting Data...</v>
      </c>
      <c r="O963" t="str">
        <f>_xll.BDP("199437ME Muni","BVAL_MID_YTM")</f>
        <v>#N/A Requesting Data...</v>
      </c>
      <c r="P963" t="str">
        <f>_xll.BDP("199437ME Muni","MUNI_TAX_PROV")</f>
        <v>#N/A Requesting Data...</v>
      </c>
      <c r="Q963" t="str">
        <f>_xll.BDP("199437ME Muni","MUNI_FED_TAX")</f>
        <v>#N/A Requesting Data...</v>
      </c>
      <c r="R963" t="str">
        <f>_xll.BDP("199437ME Muni","MUNI_MSRB_VOLUME")</f>
        <v>#N/A Requesting Data...</v>
      </c>
      <c r="S963" t="str">
        <f>_xll.BDP("199437ME Muni","BB_COMPOSITE")</f>
        <v>#N/A Requesting Data...</v>
      </c>
      <c r="T963" t="str">
        <f>_xll.BDP("199437ME Muni","LQA_LIQUIDITY_SCORE")</f>
        <v>#N/A Requesting Data...</v>
      </c>
    </row>
    <row r="964" spans="1:20" x14ac:dyDescent="0.25">
      <c r="A964" t="str">
        <f>_xll.BDP("199636BS Muni","ID_CUSIP")</f>
        <v>#N/A Requesting Data...</v>
      </c>
      <c r="B964" t="s">
        <v>349</v>
      </c>
      <c r="C964" t="str">
        <f>_xll.BDP("199636BS Muni","INSURANCE_STATUS")</f>
        <v>#N/A Requesting Data...</v>
      </c>
      <c r="D964" t="str">
        <f>_xll.BDP("199636BS Muni","STATE_CODE")</f>
        <v>#N/A Requesting Data...</v>
      </c>
      <c r="E964" t="str">
        <f>_xll.BDP("199636BS Muni","COUNTY_LOCATION_ISSUER")</f>
        <v>#N/A Requesting Data...</v>
      </c>
      <c r="F964" t="str">
        <f>_xll.BDP("199636BS Muni","DUR_ADJ_MID")</f>
        <v>#N/A Requesting Data...</v>
      </c>
      <c r="G964" t="str">
        <f>_xll.BDP("199636BS Muni","SPREAD_AT_ISSUANCE_TO_WORST")</f>
        <v>#N/A Requesting Data...</v>
      </c>
      <c r="H964" t="str">
        <f>_xll.BDP("199636BS Muni","ISSUE_DT")</f>
        <v>#N/A Requesting Data...</v>
      </c>
      <c r="I964" t="str">
        <f>_xll.BDS("199636BS Muni","MUNI_PURPOSE_SCHED", "aggregate=y")</f>
        <v>#N/A Review</v>
      </c>
      <c r="J964" t="str">
        <f>_xll.BDP("199636BS Muni","CPN")</f>
        <v>#N/A Requesting Data...</v>
      </c>
      <c r="K964" t="str">
        <f>_xll.BDP("199636BS Muni","MATURITY")</f>
        <v>#N/A Requesting Data...</v>
      </c>
      <c r="L964">
        <v>285000</v>
      </c>
      <c r="M964" t="str">
        <f>_xll.BDP("199636BS Muni","YIELD_ON_ISSUE_DATE")</f>
        <v>#N/A Requesting Data...</v>
      </c>
      <c r="N964" t="str">
        <f>_xll.BDP("199636BS Muni","YTW_SPREAD_TO_MATURITY_AT_ISSU")</f>
        <v>#N/A Requesting Data...</v>
      </c>
      <c r="O964" t="str">
        <f>_xll.BDP("199636BS Muni","BVAL_MID_YTM")</f>
        <v>#N/A Requesting Data...</v>
      </c>
      <c r="P964" t="str">
        <f>_xll.BDP("199636BS Muni","MUNI_TAX_PROV")</f>
        <v>#N/A Requesting Data...</v>
      </c>
      <c r="Q964" t="str">
        <f>_xll.BDP("199636BS Muni","MUNI_FED_TAX")</f>
        <v>#N/A Requesting Data...</v>
      </c>
      <c r="R964" t="str">
        <f>_xll.BDP("199636BS Muni","MUNI_MSRB_VOLUME")</f>
        <v>#N/A Requesting Data...</v>
      </c>
      <c r="S964" t="str">
        <f>_xll.BDP("199636BS Muni","BB_COMPOSITE")</f>
        <v>#N/A Requesting Data...</v>
      </c>
      <c r="T964" t="str">
        <f>_xll.BDP("199636BS Muni","LQA_LIQUIDITY_SCORE")</f>
        <v>#N/A Requesting Data...</v>
      </c>
    </row>
    <row r="965" spans="1:20" x14ac:dyDescent="0.25">
      <c r="A965" t="str">
        <f>_xll.BDP("199636BT Muni","ID_CUSIP")</f>
        <v>#N/A Requesting Data...</v>
      </c>
      <c r="B965" t="s">
        <v>349</v>
      </c>
      <c r="C965" t="str">
        <f>_xll.BDP("199636BT Muni","INSURANCE_STATUS")</f>
        <v>#N/A Requesting Data...</v>
      </c>
      <c r="D965" t="str">
        <f>_xll.BDP("199636BT Muni","STATE_CODE")</f>
        <v>#N/A Requesting Data...</v>
      </c>
      <c r="E965" t="str">
        <f>_xll.BDP("199636BT Muni","COUNTY_LOCATION_ISSUER")</f>
        <v>#N/A Requesting Data...</v>
      </c>
      <c r="F965" t="str">
        <f>_xll.BDP("199636BT Muni","DUR_ADJ_MID")</f>
        <v>#N/A Requesting Data...</v>
      </c>
      <c r="G965" t="str">
        <f>_xll.BDP("199636BT Muni","SPREAD_AT_ISSUANCE_TO_WORST")</f>
        <v>#N/A Requesting Data...</v>
      </c>
      <c r="H965" t="str">
        <f>_xll.BDP("199636BT Muni","ISSUE_DT")</f>
        <v>#N/A Requesting Data...</v>
      </c>
      <c r="I965" t="str">
        <f>_xll.BDS("199636BT Muni","MUNI_PURPOSE_SCHED", "aggregate=y")</f>
        <v>#N/A Review</v>
      </c>
      <c r="J965" t="str">
        <f>_xll.BDP("199636BT Muni","CPN")</f>
        <v>#N/A Requesting Data...</v>
      </c>
      <c r="K965" t="str">
        <f>_xll.BDP("199636BT Muni","MATURITY")</f>
        <v>#N/A Requesting Data...</v>
      </c>
      <c r="L965">
        <v>290000</v>
      </c>
      <c r="M965" t="str">
        <f>_xll.BDP("199636BT Muni","YIELD_ON_ISSUE_DATE")</f>
        <v>#N/A Requesting Data...</v>
      </c>
      <c r="N965" t="str">
        <f>_xll.BDP("199636BT Muni","YTW_SPREAD_TO_MATURITY_AT_ISSU")</f>
        <v>#N/A Requesting Data...</v>
      </c>
      <c r="O965" t="str">
        <f>_xll.BDP("199636BT Muni","BVAL_MID_YTM")</f>
        <v>#N/A Requesting Data...</v>
      </c>
      <c r="P965" t="str">
        <f>_xll.BDP("199636BT Muni","MUNI_TAX_PROV")</f>
        <v>#N/A Requesting Data...</v>
      </c>
      <c r="Q965" t="str">
        <f>_xll.BDP("199636BT Muni","MUNI_FED_TAX")</f>
        <v>#N/A Requesting Data...</v>
      </c>
      <c r="R965" t="str">
        <f>_xll.BDP("199636BT Muni","MUNI_MSRB_VOLUME")</f>
        <v>#N/A Requesting Data...</v>
      </c>
      <c r="S965" t="str">
        <f>_xll.BDP("199636BT Muni","BB_COMPOSITE")</f>
        <v>#N/A Requesting Data...</v>
      </c>
      <c r="T965" t="str">
        <f>_xll.BDP("199636BT Muni","LQA_LIQUIDITY_SCORE")</f>
        <v>#N/A Requesting Data...</v>
      </c>
    </row>
    <row r="966" spans="1:20" x14ac:dyDescent="0.25">
      <c r="A966" t="str">
        <f>_xll.BDP("199636BU Muni","ID_CUSIP")</f>
        <v>#N/A Requesting Data...</v>
      </c>
      <c r="B966" t="s">
        <v>349</v>
      </c>
      <c r="C966" t="str">
        <f>_xll.BDP("199636BU Muni","INSURANCE_STATUS")</f>
        <v>#N/A Requesting Data...</v>
      </c>
      <c r="D966" t="str">
        <f>_xll.BDP("199636BU Muni","STATE_CODE")</f>
        <v>#N/A Requesting Data...</v>
      </c>
      <c r="E966" t="str">
        <f>_xll.BDP("199636BU Muni","COUNTY_LOCATION_ISSUER")</f>
        <v>#N/A Requesting Data...</v>
      </c>
      <c r="F966" t="str">
        <f>_xll.BDP("199636BU Muni","DUR_ADJ_MID")</f>
        <v>#N/A Requesting Data...</v>
      </c>
      <c r="G966" t="str">
        <f>_xll.BDP("199636BU Muni","SPREAD_AT_ISSUANCE_TO_WORST")</f>
        <v>#N/A Requesting Data...</v>
      </c>
      <c r="H966" t="str">
        <f>_xll.BDP("199636BU Muni","ISSUE_DT")</f>
        <v>#N/A Requesting Data...</v>
      </c>
      <c r="I966" t="str">
        <f>_xll.BDS("199636BU Muni","MUNI_PURPOSE_SCHED", "aggregate=y")</f>
        <v>#N/A Review</v>
      </c>
      <c r="J966" t="str">
        <f>_xll.BDP("199636BU Muni","CPN")</f>
        <v>#N/A Requesting Data...</v>
      </c>
      <c r="K966" t="str">
        <f>_xll.BDP("199636BU Muni","MATURITY")</f>
        <v>#N/A Requesting Data...</v>
      </c>
      <c r="L966">
        <v>295000</v>
      </c>
      <c r="M966" t="str">
        <f>_xll.BDP("199636BU Muni","YIELD_ON_ISSUE_DATE")</f>
        <v>#N/A Requesting Data...</v>
      </c>
      <c r="N966" t="str">
        <f>_xll.BDP("199636BU Muni","YTW_SPREAD_TO_MATURITY_AT_ISSU")</f>
        <v>#N/A Requesting Data...</v>
      </c>
      <c r="O966" t="str">
        <f>_xll.BDP("199636BU Muni","BVAL_MID_YTM")</f>
        <v>#N/A Requesting Data...</v>
      </c>
      <c r="P966" t="str">
        <f>_xll.BDP("199636BU Muni","MUNI_TAX_PROV")</f>
        <v>#N/A Requesting Data...</v>
      </c>
      <c r="Q966" t="str">
        <f>_xll.BDP("199636BU Muni","MUNI_FED_TAX")</f>
        <v>#N/A Requesting Data...</v>
      </c>
      <c r="R966" t="str">
        <f>_xll.BDP("199636BU Muni","MUNI_MSRB_VOLUME")</f>
        <v>#N/A Requesting Data...</v>
      </c>
      <c r="S966" t="str">
        <f>_xll.BDP("199636BU Muni","BB_COMPOSITE")</f>
        <v>#N/A Requesting Data...</v>
      </c>
      <c r="T966" t="str">
        <f>_xll.BDP("199636BU Muni","LQA_LIQUIDITY_SCORE")</f>
        <v>#N/A Requesting Data...</v>
      </c>
    </row>
    <row r="967" spans="1:20" x14ac:dyDescent="0.25">
      <c r="A967" t="str">
        <f>_xll.BDP("199636BV Muni","ID_CUSIP")</f>
        <v>#N/A Requesting Data...</v>
      </c>
      <c r="B967" t="s">
        <v>349</v>
      </c>
      <c r="C967" t="str">
        <f>_xll.BDP("199636BV Muni","INSURANCE_STATUS")</f>
        <v>#N/A Requesting Data...</v>
      </c>
      <c r="D967" t="str">
        <f>_xll.BDP("199636BV Muni","STATE_CODE")</f>
        <v>#N/A Requesting Data...</v>
      </c>
      <c r="E967" t="str">
        <f>_xll.BDP("199636BV Muni","COUNTY_LOCATION_ISSUER")</f>
        <v>#N/A Requesting Data...</v>
      </c>
      <c r="F967" t="str">
        <f>_xll.BDP("199636BV Muni","DUR_ADJ_MID")</f>
        <v>#N/A Requesting Data...</v>
      </c>
      <c r="G967" t="str">
        <f>_xll.BDP("199636BV Muni","SPREAD_AT_ISSUANCE_TO_WORST")</f>
        <v>#N/A Requesting Data...</v>
      </c>
      <c r="H967" t="str">
        <f>_xll.BDP("199636BV Muni","ISSUE_DT")</f>
        <v>#N/A Requesting Data...</v>
      </c>
      <c r="I967" t="str">
        <f>_xll.BDS("199636BV Muni","MUNI_PURPOSE_SCHED", "aggregate=y")</f>
        <v>#N/A Review</v>
      </c>
      <c r="J967" t="str">
        <f>_xll.BDP("199636BV Muni","CPN")</f>
        <v>#N/A Requesting Data...</v>
      </c>
      <c r="K967" t="str">
        <f>_xll.BDP("199636BV Muni","MATURITY")</f>
        <v>#N/A Requesting Data...</v>
      </c>
      <c r="L967">
        <v>290000</v>
      </c>
      <c r="M967" t="str">
        <f>_xll.BDP("199636BV Muni","YIELD_ON_ISSUE_DATE")</f>
        <v>#N/A Requesting Data...</v>
      </c>
      <c r="N967" t="str">
        <f>_xll.BDP("199636BV Muni","YTW_SPREAD_TO_MATURITY_AT_ISSU")</f>
        <v>#N/A Requesting Data...</v>
      </c>
      <c r="O967" t="str">
        <f>_xll.BDP("199636BV Muni","BVAL_MID_YTM")</f>
        <v>#N/A Requesting Data...</v>
      </c>
      <c r="P967" t="str">
        <f>_xll.BDP("199636BV Muni","MUNI_TAX_PROV")</f>
        <v>#N/A Requesting Data...</v>
      </c>
      <c r="Q967" t="str">
        <f>_xll.BDP("199636BV Muni","MUNI_FED_TAX")</f>
        <v>#N/A Requesting Data...</v>
      </c>
      <c r="R967" t="str">
        <f>_xll.BDP("199636BV Muni","MUNI_MSRB_VOLUME")</f>
        <v>#N/A Requesting Data...</v>
      </c>
      <c r="S967" t="str">
        <f>_xll.BDP("199636BV Muni","BB_COMPOSITE")</f>
        <v>#N/A Requesting Data...</v>
      </c>
      <c r="T967" t="str">
        <f>_xll.BDP("199636BV Muni","LQA_LIQUIDITY_SCORE")</f>
        <v>#N/A Requesting Data...</v>
      </c>
    </row>
    <row r="968" spans="1:20" x14ac:dyDescent="0.25">
      <c r="A968" t="str">
        <f>_xll.BDP("20010TAG Muni","ID_CUSIP")</f>
        <v>#N/A Requesting Data...</v>
      </c>
      <c r="B968" t="s">
        <v>71</v>
      </c>
      <c r="C968" t="str">
        <f>_xll.BDP("20010TAG Muni","INSURANCE_STATUS")</f>
        <v>#N/A Requesting Data...</v>
      </c>
      <c r="D968" t="str">
        <f>_xll.BDP("20010TAG Muni","STATE_CODE")</f>
        <v>#N/A Requesting Data...</v>
      </c>
      <c r="E968" t="str">
        <f>_xll.BDP("20010TAG Muni","COUNTY_LOCATION_ISSUER")</f>
        <v>#N/A Requesting Data...</v>
      </c>
      <c r="F968" t="str">
        <f>_xll.BDP("20010TAG Muni","DUR_ADJ_MID")</f>
        <v>#N/A Requesting Data...</v>
      </c>
      <c r="G968" t="str">
        <f>_xll.BDP("20010TAG Muni","SPREAD_AT_ISSUANCE_TO_WORST")</f>
        <v>#N/A Requesting Data...</v>
      </c>
      <c r="H968" t="str">
        <f>_xll.BDP("20010TAG Muni","ISSUE_DT")</f>
        <v>#N/A Requesting Data...</v>
      </c>
      <c r="I968" t="str">
        <f>_xll.BDS("20010TAG Muni","MUNI_PURPOSE_SCHED", "aggregate=y")</f>
        <v>#N/A Review</v>
      </c>
      <c r="J968" t="str">
        <f>_xll.BDP("20010TAG Muni","CPN")</f>
        <v>#N/A Requesting Data...</v>
      </c>
      <c r="K968" t="str">
        <f>_xll.BDP("20010TAG Muni","MATURITY")</f>
        <v>#N/A Requesting Data...</v>
      </c>
      <c r="L968">
        <v>165000</v>
      </c>
      <c r="M968" t="str">
        <f>_xll.BDP("20010TAG Muni","YIELD_ON_ISSUE_DATE")</f>
        <v>#N/A Requesting Data...</v>
      </c>
      <c r="N968" t="str">
        <f>_xll.BDP("20010TAG Muni","YTW_SPREAD_TO_MATURITY_AT_ISSU")</f>
        <v>#N/A Requesting Data...</v>
      </c>
      <c r="O968" t="str">
        <f>_xll.BDP("20010TAG Muni","BVAL_MID_YTM")</f>
        <v>#N/A Requesting Data...</v>
      </c>
      <c r="P968" t="str">
        <f>_xll.BDP("20010TAG Muni","MUNI_TAX_PROV")</f>
        <v>#N/A Requesting Data...</v>
      </c>
      <c r="Q968" t="str">
        <f>_xll.BDP("20010TAG Muni","MUNI_FED_TAX")</f>
        <v>#N/A Requesting Data...</v>
      </c>
      <c r="R968" t="str">
        <f>_xll.BDP("20010TAG Muni","MUNI_MSRB_VOLUME")</f>
        <v>#N/A Requesting Data...</v>
      </c>
      <c r="S968" t="str">
        <f>_xll.BDP("20010TAG Muni","BB_COMPOSITE")</f>
        <v>#N/A Requesting Data...</v>
      </c>
      <c r="T968" t="str">
        <f>_xll.BDP("20010TAG Muni","LQA_LIQUIDITY_SCORE")</f>
        <v>#N/A Requesting Data...</v>
      </c>
    </row>
    <row r="969" spans="1:20" x14ac:dyDescent="0.25">
      <c r="A969" t="str">
        <f>_xll.BDP("20010TAH Muni","ID_CUSIP")</f>
        <v>#N/A Requesting Data...</v>
      </c>
      <c r="B969" t="s">
        <v>71</v>
      </c>
      <c r="C969" t="str">
        <f>_xll.BDP("20010TAH Muni","INSURANCE_STATUS")</f>
        <v>#N/A Requesting Data...</v>
      </c>
      <c r="D969" t="str">
        <f>_xll.BDP("20010TAH Muni","STATE_CODE")</f>
        <v>#N/A Requesting Data...</v>
      </c>
      <c r="E969" t="str">
        <f>_xll.BDP("20010TAH Muni","COUNTY_LOCATION_ISSUER")</f>
        <v>#N/A Requesting Data...</v>
      </c>
      <c r="F969" t="str">
        <f>_xll.BDP("20010TAH Muni","DUR_ADJ_MID")</f>
        <v>#N/A Requesting Data...</v>
      </c>
      <c r="G969" t="str">
        <f>_xll.BDP("20010TAH Muni","SPREAD_AT_ISSUANCE_TO_WORST")</f>
        <v>#N/A Requesting Data...</v>
      </c>
      <c r="H969" t="str">
        <f>_xll.BDP("20010TAH Muni","ISSUE_DT")</f>
        <v>#N/A Requesting Data...</v>
      </c>
      <c r="I969" t="str">
        <f>_xll.BDS("20010TAH Muni","MUNI_PURPOSE_SCHED", "aggregate=y")</f>
        <v>#N/A Review</v>
      </c>
      <c r="J969" t="str">
        <f>_xll.BDP("20010TAH Muni","CPN")</f>
        <v>#N/A Requesting Data...</v>
      </c>
      <c r="K969" t="str">
        <f>_xll.BDP("20010TAH Muni","MATURITY")</f>
        <v>#N/A Requesting Data...</v>
      </c>
      <c r="L969">
        <v>170000</v>
      </c>
      <c r="M969" t="str">
        <f>_xll.BDP("20010TAH Muni","YIELD_ON_ISSUE_DATE")</f>
        <v>#N/A Requesting Data...</v>
      </c>
      <c r="N969" t="str">
        <f>_xll.BDP("20010TAH Muni","YTW_SPREAD_TO_MATURITY_AT_ISSU")</f>
        <v>#N/A Requesting Data...</v>
      </c>
      <c r="O969" t="str">
        <f>_xll.BDP("20010TAH Muni","BVAL_MID_YTM")</f>
        <v>#N/A Requesting Data...</v>
      </c>
      <c r="P969" t="str">
        <f>_xll.BDP("20010TAH Muni","MUNI_TAX_PROV")</f>
        <v>#N/A Requesting Data...</v>
      </c>
      <c r="Q969" t="str">
        <f>_xll.BDP("20010TAH Muni","MUNI_FED_TAX")</f>
        <v>#N/A Requesting Data...</v>
      </c>
      <c r="R969" t="str">
        <f>_xll.BDP("20010TAH Muni","MUNI_MSRB_VOLUME")</f>
        <v>#N/A Requesting Data...</v>
      </c>
      <c r="S969" t="str">
        <f>_xll.BDP("20010TAH Muni","BB_COMPOSITE")</f>
        <v>#N/A Requesting Data...</v>
      </c>
      <c r="T969" t="str">
        <f>_xll.BDP("20010TAH Muni","LQA_LIQUIDITY_SCORE")</f>
        <v>#N/A Requesting Data...</v>
      </c>
    </row>
    <row r="970" spans="1:20" x14ac:dyDescent="0.25">
      <c r="A970" t="str">
        <f>_xll.BDP("20010TAJ Muni","ID_CUSIP")</f>
        <v>#N/A Requesting Data...</v>
      </c>
      <c r="B970" t="s">
        <v>71</v>
      </c>
      <c r="C970" t="str">
        <f>_xll.BDP("20010TAJ Muni","INSURANCE_STATUS")</f>
        <v>#N/A Requesting Data...</v>
      </c>
      <c r="D970" t="str">
        <f>_xll.BDP("20010TAJ Muni","STATE_CODE")</f>
        <v>#N/A Requesting Data...</v>
      </c>
      <c r="E970" t="str">
        <f>_xll.BDP("20010TAJ Muni","COUNTY_LOCATION_ISSUER")</f>
        <v>#N/A Requesting Data...</v>
      </c>
      <c r="F970" t="str">
        <f>_xll.BDP("20010TAJ Muni","DUR_ADJ_MID")</f>
        <v>#N/A Requesting Data...</v>
      </c>
      <c r="G970" t="str">
        <f>_xll.BDP("20010TAJ Muni","SPREAD_AT_ISSUANCE_TO_WORST")</f>
        <v>#N/A Requesting Data...</v>
      </c>
      <c r="H970" t="str">
        <f>_xll.BDP("20010TAJ Muni","ISSUE_DT")</f>
        <v>#N/A Requesting Data...</v>
      </c>
      <c r="I970" t="str">
        <f>_xll.BDS("20010TAJ Muni","MUNI_PURPOSE_SCHED", "aggregate=y")</f>
        <v>#N/A Review</v>
      </c>
      <c r="J970" t="str">
        <f>_xll.BDP("20010TAJ Muni","CPN")</f>
        <v>#N/A Requesting Data...</v>
      </c>
      <c r="K970" t="str">
        <f>_xll.BDP("20010TAJ Muni","MATURITY")</f>
        <v>#N/A Requesting Data...</v>
      </c>
      <c r="L970">
        <v>175000</v>
      </c>
      <c r="M970" t="str">
        <f>_xll.BDP("20010TAJ Muni","YIELD_ON_ISSUE_DATE")</f>
        <v>#N/A Requesting Data...</v>
      </c>
      <c r="N970" t="str">
        <f>_xll.BDP("20010TAJ Muni","YTW_SPREAD_TO_MATURITY_AT_ISSU")</f>
        <v>#N/A Requesting Data...</v>
      </c>
      <c r="O970" t="str">
        <f>_xll.BDP("20010TAJ Muni","BVAL_MID_YTM")</f>
        <v>#N/A Requesting Data...</v>
      </c>
      <c r="P970" t="str">
        <f>_xll.BDP("20010TAJ Muni","MUNI_TAX_PROV")</f>
        <v>#N/A Requesting Data...</v>
      </c>
      <c r="Q970" t="str">
        <f>_xll.BDP("20010TAJ Muni","MUNI_FED_TAX")</f>
        <v>#N/A Requesting Data...</v>
      </c>
      <c r="R970" t="str">
        <f>_xll.BDP("20010TAJ Muni","MUNI_MSRB_VOLUME")</f>
        <v>#N/A Requesting Data...</v>
      </c>
      <c r="S970" t="str">
        <f>_xll.BDP("20010TAJ Muni","BB_COMPOSITE")</f>
        <v>#N/A Requesting Data...</v>
      </c>
      <c r="T970" t="str">
        <f>_xll.BDP("20010TAJ Muni","LQA_LIQUIDITY_SCORE")</f>
        <v>#N/A Requesting Data...</v>
      </c>
    </row>
    <row r="971" spans="1:20" x14ac:dyDescent="0.25">
      <c r="A971" t="str">
        <f>_xll.BDP("20772J4J Muni","ID_CUSIP")</f>
        <v>#N/A Requesting Data...</v>
      </c>
      <c r="B971" t="s">
        <v>47</v>
      </c>
      <c r="C971" t="str">
        <f>_xll.BDP("20772J4J Muni","INSURANCE_STATUS")</f>
        <v>#N/A Requesting Data...</v>
      </c>
      <c r="D971" t="str">
        <f>_xll.BDP("20772J4J Muni","STATE_CODE")</f>
        <v>#N/A Requesting Data...</v>
      </c>
      <c r="E971" t="str">
        <f>_xll.BDP("20772J4J Muni","COUNTY_LOCATION_ISSUER")</f>
        <v>#N/A Requesting Data...</v>
      </c>
      <c r="F971" t="str">
        <f>_xll.BDP("20772J4J Muni","DUR_ADJ_MID")</f>
        <v>#N/A Requesting Data...</v>
      </c>
      <c r="G971" t="str">
        <f>_xll.BDP("20772J4J Muni","SPREAD_AT_ISSUANCE_TO_WORST")</f>
        <v>#N/A Requesting Data...</v>
      </c>
      <c r="H971" t="str">
        <f>_xll.BDP("20772J4J Muni","ISSUE_DT")</f>
        <v>#N/A Requesting Data...</v>
      </c>
      <c r="I971" t="str">
        <f>_xll.BDS("20772J4J Muni","MUNI_PURPOSE_SCHED", "aggregate=y")</f>
        <v>#N/A Review</v>
      </c>
      <c r="J971" t="str">
        <f>_xll.BDP("20772J4J Muni","CPN")</f>
        <v>#N/A Requesting Data...</v>
      </c>
      <c r="K971" t="str">
        <f>_xll.BDP("20772J4J Muni","MATURITY")</f>
        <v>#N/A Requesting Data...</v>
      </c>
      <c r="L971">
        <v>1730000</v>
      </c>
      <c r="M971" t="str">
        <f>_xll.BDP("20772J4J Muni","YIELD_ON_ISSUE_DATE")</f>
        <v>#N/A Requesting Data...</v>
      </c>
      <c r="N971" t="str">
        <f>_xll.BDP("20772J4J Muni","YTW_SPREAD_TO_MATURITY_AT_ISSU")</f>
        <v>#N/A Requesting Data...</v>
      </c>
      <c r="O971" t="str">
        <f>_xll.BDP("20772J4J Muni","BVAL_MID_YTM")</f>
        <v>#N/A Requesting Data...</v>
      </c>
      <c r="P971" t="str">
        <f>_xll.BDP("20772J4J Muni","MUNI_TAX_PROV")</f>
        <v>#N/A Requesting Data...</v>
      </c>
      <c r="Q971" t="str">
        <f>_xll.BDP("20772J4J Muni","MUNI_FED_TAX")</f>
        <v>#N/A Requesting Data...</v>
      </c>
      <c r="R971" t="str">
        <f>_xll.BDP("20772J4J Muni","MUNI_MSRB_VOLUME")</f>
        <v>#N/A Requesting Data...</v>
      </c>
      <c r="S971" t="str">
        <f>_xll.BDP("20772J4J Muni","BB_COMPOSITE")</f>
        <v>#N/A Requesting Data...</v>
      </c>
      <c r="T971" t="str">
        <f>_xll.BDP("20772J4J Muni","LQA_LIQUIDITY_SCORE")</f>
        <v>#N/A Requesting Data...</v>
      </c>
    </row>
    <row r="972" spans="1:20" x14ac:dyDescent="0.25">
      <c r="A972" t="str">
        <f>_xll.BDP("20772J4K Muni","ID_CUSIP")</f>
        <v>#N/A Requesting Data...</v>
      </c>
      <c r="B972" t="s">
        <v>47</v>
      </c>
      <c r="C972" t="str">
        <f>_xll.BDP("20772J4K Muni","INSURANCE_STATUS")</f>
        <v>#N/A Requesting Data...</v>
      </c>
      <c r="D972" t="str">
        <f>_xll.BDP("20772J4K Muni","STATE_CODE")</f>
        <v>#N/A Requesting Data...</v>
      </c>
      <c r="E972" t="str">
        <f>_xll.BDP("20772J4K Muni","COUNTY_LOCATION_ISSUER")</f>
        <v>#N/A Requesting Data...</v>
      </c>
      <c r="F972" t="str">
        <f>_xll.BDP("20772J4K Muni","DUR_ADJ_MID")</f>
        <v>#N/A Requesting Data...</v>
      </c>
      <c r="G972" t="str">
        <f>_xll.BDP("20772J4K Muni","SPREAD_AT_ISSUANCE_TO_WORST")</f>
        <v>#N/A Requesting Data...</v>
      </c>
      <c r="H972" t="str">
        <f>_xll.BDP("20772J4K Muni","ISSUE_DT")</f>
        <v>#N/A Requesting Data...</v>
      </c>
      <c r="I972" t="str">
        <f>_xll.BDS("20772J4K Muni","MUNI_PURPOSE_SCHED", "aggregate=y")</f>
        <v>#N/A Review</v>
      </c>
      <c r="J972" t="str">
        <f>_xll.BDP("20772J4K Muni","CPN")</f>
        <v>#N/A Requesting Data...</v>
      </c>
      <c r="K972" t="str">
        <f>_xll.BDP("20772J4K Muni","MATURITY")</f>
        <v>#N/A Requesting Data...</v>
      </c>
      <c r="L972">
        <v>2560000</v>
      </c>
      <c r="M972" t="str">
        <f>_xll.BDP("20772J4K Muni","YIELD_ON_ISSUE_DATE")</f>
        <v>#N/A Requesting Data...</v>
      </c>
      <c r="N972" t="str">
        <f>_xll.BDP("20772J4K Muni","YTW_SPREAD_TO_MATURITY_AT_ISSU")</f>
        <v>#N/A Requesting Data...</v>
      </c>
      <c r="O972" t="str">
        <f>_xll.BDP("20772J4K Muni","BVAL_MID_YTM")</f>
        <v>#N/A Requesting Data...</v>
      </c>
      <c r="P972" t="str">
        <f>_xll.BDP("20772J4K Muni","MUNI_TAX_PROV")</f>
        <v>#N/A Requesting Data...</v>
      </c>
      <c r="Q972" t="str">
        <f>_xll.BDP("20772J4K Muni","MUNI_FED_TAX")</f>
        <v>#N/A Requesting Data...</v>
      </c>
      <c r="R972" t="str">
        <f>_xll.BDP("20772J4K Muni","MUNI_MSRB_VOLUME")</f>
        <v>#N/A Requesting Data...</v>
      </c>
      <c r="S972" t="str">
        <f>_xll.BDP("20772J4K Muni","BB_COMPOSITE")</f>
        <v>#N/A Requesting Data...</v>
      </c>
      <c r="T972" t="str">
        <f>_xll.BDP("20772J4K Muni","LQA_LIQUIDITY_SCORE")</f>
        <v>#N/A Requesting Data...</v>
      </c>
    </row>
    <row r="973" spans="1:20" x14ac:dyDescent="0.25">
      <c r="A973" t="str">
        <f>_xll.BDP("20772J4L Muni","ID_CUSIP")</f>
        <v>#N/A Requesting Data...</v>
      </c>
      <c r="B973" t="s">
        <v>47</v>
      </c>
      <c r="C973" t="str">
        <f>_xll.BDP("20772J4L Muni","INSURANCE_STATUS")</f>
        <v>#N/A Requesting Data...</v>
      </c>
      <c r="D973" t="str">
        <f>_xll.BDP("20772J4L Muni","STATE_CODE")</f>
        <v>#N/A Requesting Data...</v>
      </c>
      <c r="E973" t="str">
        <f>_xll.BDP("20772J4L Muni","COUNTY_LOCATION_ISSUER")</f>
        <v>#N/A Requesting Data...</v>
      </c>
      <c r="F973" t="str">
        <f>_xll.BDP("20772J4L Muni","DUR_ADJ_MID")</f>
        <v>#N/A Requesting Data...</v>
      </c>
      <c r="G973" t="str">
        <f>_xll.BDP("20772J4L Muni","SPREAD_AT_ISSUANCE_TO_WORST")</f>
        <v>#N/A Requesting Data...</v>
      </c>
      <c r="H973" t="str">
        <f>_xll.BDP("20772J4L Muni","ISSUE_DT")</f>
        <v>#N/A Requesting Data...</v>
      </c>
      <c r="I973" t="str">
        <f>_xll.BDS("20772J4L Muni","MUNI_PURPOSE_SCHED", "aggregate=y")</f>
        <v>#N/A Review</v>
      </c>
      <c r="J973" t="str">
        <f>_xll.BDP("20772J4L Muni","CPN")</f>
        <v>#N/A Requesting Data...</v>
      </c>
      <c r="K973" t="str">
        <f>_xll.BDP("20772J4L Muni","MATURITY")</f>
        <v>#N/A Requesting Data...</v>
      </c>
      <c r="L973">
        <v>1525000</v>
      </c>
      <c r="M973" t="str">
        <f>_xll.BDP("20772J4L Muni","YIELD_ON_ISSUE_DATE")</f>
        <v>#N/A Requesting Data...</v>
      </c>
      <c r="N973" t="str">
        <f>_xll.BDP("20772J4L Muni","YTW_SPREAD_TO_MATURITY_AT_ISSU")</f>
        <v>#N/A Requesting Data...</v>
      </c>
      <c r="O973" t="str">
        <f>_xll.BDP("20772J4L Muni","BVAL_MID_YTM")</f>
        <v>#N/A Requesting Data...</v>
      </c>
      <c r="P973" t="str">
        <f>_xll.BDP("20772J4L Muni","MUNI_TAX_PROV")</f>
        <v>#N/A Requesting Data...</v>
      </c>
      <c r="Q973" t="str">
        <f>_xll.BDP("20772J4L Muni","MUNI_FED_TAX")</f>
        <v>#N/A Requesting Data...</v>
      </c>
      <c r="R973" t="str">
        <f>_xll.BDP("20772J4L Muni","MUNI_MSRB_VOLUME")</f>
        <v>#N/A Requesting Data...</v>
      </c>
      <c r="S973" t="str">
        <f>_xll.BDP("20772J4L Muni","BB_COMPOSITE")</f>
        <v>#N/A Requesting Data...</v>
      </c>
      <c r="T973" t="str">
        <f>_xll.BDP("20772J4L Muni","LQA_LIQUIDITY_SCORE")</f>
        <v>#N/A Requesting Data...</v>
      </c>
    </row>
    <row r="974" spans="1:20" x14ac:dyDescent="0.25">
      <c r="A974" t="str">
        <f>_xll.BDP("13050PAF Muni","ID_CUSIP")</f>
        <v>#N/A Requesting Data...</v>
      </c>
      <c r="B974" t="s">
        <v>108</v>
      </c>
      <c r="C974" t="str">
        <f>_xll.BDP("13050PAF Muni","INSURANCE_STATUS")</f>
        <v>#N/A Requesting Data...</v>
      </c>
      <c r="D974" t="str">
        <f>_xll.BDP("13050PAF Muni","STATE_CODE")</f>
        <v>#N/A Requesting Data...</v>
      </c>
      <c r="E974" t="str">
        <f>_xll.BDP("13050PAF Muni","COUNTY_LOCATION_ISSUER")</f>
        <v>#N/A Requesting Data...</v>
      </c>
      <c r="F974" t="str">
        <f>_xll.BDP("13050PAF Muni","DUR_ADJ_MID")</f>
        <v>#N/A Requesting Data...</v>
      </c>
      <c r="G974" t="str">
        <f>_xll.BDP("13050PAF Muni","SPREAD_AT_ISSUANCE_TO_WORST")</f>
        <v>#N/A Requesting Data...</v>
      </c>
      <c r="H974" t="str">
        <f>_xll.BDP("13050PAF Muni","ISSUE_DT")</f>
        <v>#N/A Requesting Data...</v>
      </c>
      <c r="I974" t="str">
        <f>_xll.BDS("13050PAF Muni","MUNI_PURPOSE_SCHED", "aggregate=y")</f>
        <v>#N/A Review</v>
      </c>
      <c r="J974" t="str">
        <f>_xll.BDP("13050PAF Muni","CPN")</f>
        <v>#N/A Requesting Data...</v>
      </c>
      <c r="K974" t="str">
        <f>_xll.BDP("13050PAF Muni","MATURITY")</f>
        <v>#N/A Requesting Data...</v>
      </c>
      <c r="L974">
        <v>950000</v>
      </c>
      <c r="M974" t="str">
        <f>_xll.BDP("13050PAF Muni","YIELD_ON_ISSUE_DATE")</f>
        <v>#N/A Requesting Data...</v>
      </c>
      <c r="N974" t="str">
        <f>_xll.BDP("13050PAF Muni","YTW_SPREAD_TO_MATURITY_AT_ISSU")</f>
        <v>#N/A Requesting Data...</v>
      </c>
      <c r="O974" t="str">
        <f>_xll.BDP("13050PAF Muni","BVAL_MID_YTM")</f>
        <v>#N/A Requesting Data...</v>
      </c>
      <c r="P974" t="str">
        <f>_xll.BDP("13050PAF Muni","MUNI_TAX_PROV")</f>
        <v>#N/A Requesting Data...</v>
      </c>
      <c r="Q974" t="str">
        <f>_xll.BDP("13050PAF Muni","MUNI_FED_TAX")</f>
        <v>#N/A Requesting Data...</v>
      </c>
      <c r="R974" t="str">
        <f>_xll.BDP("13050PAF Muni","MUNI_MSRB_VOLUME")</f>
        <v>#N/A Requesting Data...</v>
      </c>
      <c r="S974" t="str">
        <f>_xll.BDP("13050PAF Muni","BB_COMPOSITE")</f>
        <v>#N/A Requesting Data...</v>
      </c>
      <c r="T974" t="str">
        <f>_xll.BDP("13050PAF Muni","LQA_LIQUIDITY_SCORE")</f>
        <v>#N/A Requesting Data...</v>
      </c>
    </row>
    <row r="975" spans="1:20" x14ac:dyDescent="0.25">
      <c r="A975" t="str">
        <f>_xll.BDP("13050PAK Muni","ID_CUSIP")</f>
        <v>#N/A Requesting Data...</v>
      </c>
      <c r="B975" t="s">
        <v>108</v>
      </c>
      <c r="C975" t="str">
        <f>_xll.BDP("13050PAK Muni","INSURANCE_STATUS")</f>
        <v>#N/A Requesting Data...</v>
      </c>
      <c r="D975" t="str">
        <f>_xll.BDP("13050PAK Muni","STATE_CODE")</f>
        <v>#N/A Requesting Data...</v>
      </c>
      <c r="E975" t="str">
        <f>_xll.BDP("13050PAK Muni","COUNTY_LOCATION_ISSUER")</f>
        <v>#N/A Requesting Data...</v>
      </c>
      <c r="F975" t="str">
        <f>_xll.BDP("13050PAK Muni","DUR_ADJ_MID")</f>
        <v>#N/A Requesting Data...</v>
      </c>
      <c r="G975" t="str">
        <f>_xll.BDP("13050PAK Muni","SPREAD_AT_ISSUANCE_TO_WORST")</f>
        <v>#N/A Requesting Data...</v>
      </c>
      <c r="H975" t="str">
        <f>_xll.BDP("13050PAK Muni","ISSUE_DT")</f>
        <v>#N/A Requesting Data...</v>
      </c>
      <c r="I975" t="str">
        <f>_xll.BDS("13050PAK Muni","MUNI_PURPOSE_SCHED", "aggregate=y")</f>
        <v>#N/A Review</v>
      </c>
      <c r="J975" t="str">
        <f>_xll.BDP("13050PAK Muni","CPN")</f>
        <v>#N/A Requesting Data...</v>
      </c>
      <c r="K975" t="str">
        <f>_xll.BDP("13050PAK Muni","MATURITY")</f>
        <v>#N/A Requesting Data...</v>
      </c>
      <c r="L975">
        <v>1160000</v>
      </c>
      <c r="M975" t="str">
        <f>_xll.BDP("13050PAK Muni","YIELD_ON_ISSUE_DATE")</f>
        <v>#N/A Requesting Data...</v>
      </c>
      <c r="N975" t="str">
        <f>_xll.BDP("13050PAK Muni","YTW_SPREAD_TO_MATURITY_AT_ISSU")</f>
        <v>#N/A Requesting Data...</v>
      </c>
      <c r="O975" t="str">
        <f>_xll.BDP("13050PAK Muni","BVAL_MID_YTM")</f>
        <v>#N/A Requesting Data...</v>
      </c>
      <c r="P975" t="str">
        <f>_xll.BDP("13050PAK Muni","MUNI_TAX_PROV")</f>
        <v>#N/A Requesting Data...</v>
      </c>
      <c r="Q975" t="str">
        <f>_xll.BDP("13050PAK Muni","MUNI_FED_TAX")</f>
        <v>#N/A Requesting Data...</v>
      </c>
      <c r="R975" t="str">
        <f>_xll.BDP("13050PAK Muni","MUNI_MSRB_VOLUME")</f>
        <v>#N/A Requesting Data...</v>
      </c>
      <c r="S975" t="str">
        <f>_xll.BDP("13050PAK Muni","BB_COMPOSITE")</f>
        <v>#N/A Requesting Data...</v>
      </c>
      <c r="T975" t="str">
        <f>_xll.BDP("13050PAK Muni","LQA_LIQUIDITY_SCORE")</f>
        <v>#N/A Requesting Data...</v>
      </c>
    </row>
    <row r="976" spans="1:20" x14ac:dyDescent="0.25">
      <c r="A976" t="str">
        <f>_xll.BDP("198504XC Muni","ID_CUSIP")</f>
        <v>#N/A Requesting Data...</v>
      </c>
      <c r="B976" t="s">
        <v>53</v>
      </c>
      <c r="C976" t="str">
        <f>_xll.BDP("198504XC Muni","INSURANCE_STATUS")</f>
        <v>#N/A Requesting Data...</v>
      </c>
      <c r="D976" t="str">
        <f>_xll.BDP("198504XC Muni","STATE_CODE")</f>
        <v>#N/A Requesting Data...</v>
      </c>
      <c r="E976" t="str">
        <f>_xll.BDP("198504XC Muni","COUNTY_LOCATION_ISSUER")</f>
        <v>#N/A Requesting Data...</v>
      </c>
      <c r="F976" t="str">
        <f>_xll.BDP("198504XC Muni","DUR_ADJ_MID")</f>
        <v>#N/A Requesting Data...</v>
      </c>
      <c r="G976" t="str">
        <f>_xll.BDP("198504XC Muni","SPREAD_AT_ISSUANCE_TO_WORST")</f>
        <v>#N/A Requesting Data...</v>
      </c>
      <c r="H976" t="str">
        <f>_xll.BDP("198504XC Muni","ISSUE_DT")</f>
        <v>#N/A Requesting Data...</v>
      </c>
      <c r="I976" t="str">
        <f>_xll.BDS("198504XC Muni","MUNI_PURPOSE_SCHED", "aggregate=y")</f>
        <v>#N/A Review</v>
      </c>
      <c r="J976" t="str">
        <f>_xll.BDP("198504XC Muni","CPN")</f>
        <v>#N/A Requesting Data...</v>
      </c>
      <c r="K976" t="str">
        <f>_xll.BDP("198504XC Muni","MATURITY")</f>
        <v>#N/A Requesting Data...</v>
      </c>
      <c r="L976">
        <v>1600000</v>
      </c>
      <c r="M976" t="str">
        <f>_xll.BDP("198504XC Muni","YIELD_ON_ISSUE_DATE")</f>
        <v>#N/A Requesting Data...</v>
      </c>
      <c r="N976" t="str">
        <f>_xll.BDP("198504XC Muni","YTW_SPREAD_TO_MATURITY_AT_ISSU")</f>
        <v>#N/A Requesting Data...</v>
      </c>
      <c r="O976" t="str">
        <f>_xll.BDP("198504XC Muni","BVAL_MID_YTM")</f>
        <v>#N/A Requesting Data...</v>
      </c>
      <c r="P976" t="str">
        <f>_xll.BDP("198504XC Muni","MUNI_TAX_PROV")</f>
        <v>#N/A Requesting Data...</v>
      </c>
      <c r="Q976" t="str">
        <f>_xll.BDP("198504XC Muni","MUNI_FED_TAX")</f>
        <v>#N/A Requesting Data...</v>
      </c>
      <c r="R976" t="str">
        <f>_xll.BDP("198504XC Muni","MUNI_MSRB_VOLUME")</f>
        <v>#N/A Requesting Data...</v>
      </c>
      <c r="S976" t="str">
        <f>_xll.BDP("198504XC Muni","BB_COMPOSITE")</f>
        <v>#N/A Requesting Data...</v>
      </c>
      <c r="T976" t="str">
        <f>_xll.BDP("198504XC Muni","LQA_LIQUIDITY_SCORE")</f>
        <v>#N/A Requesting Data...</v>
      </c>
    </row>
    <row r="977" spans="1:20" x14ac:dyDescent="0.25">
      <c r="A977" t="str">
        <f>_xll.BDP("198504XE Muni","ID_CUSIP")</f>
        <v>#N/A Requesting Data...</v>
      </c>
      <c r="B977" t="s">
        <v>53</v>
      </c>
      <c r="C977" t="str">
        <f>_xll.BDP("198504XE Muni","INSURANCE_STATUS")</f>
        <v>#N/A Requesting Data...</v>
      </c>
      <c r="D977" t="str">
        <f>_xll.BDP("198504XE Muni","STATE_CODE")</f>
        <v>#N/A Requesting Data...</v>
      </c>
      <c r="E977" t="str">
        <f>_xll.BDP("198504XE Muni","COUNTY_LOCATION_ISSUER")</f>
        <v>#N/A Requesting Data...</v>
      </c>
      <c r="F977" t="str">
        <f>_xll.BDP("198504XE Muni","DUR_ADJ_MID")</f>
        <v>#N/A Requesting Data...</v>
      </c>
      <c r="G977" t="str">
        <f>_xll.BDP("198504XE Muni","SPREAD_AT_ISSUANCE_TO_WORST")</f>
        <v>#N/A Requesting Data...</v>
      </c>
      <c r="H977" t="str">
        <f>_xll.BDP("198504XE Muni","ISSUE_DT")</f>
        <v>#N/A Requesting Data...</v>
      </c>
      <c r="I977" t="str">
        <f>_xll.BDS("198504XE Muni","MUNI_PURPOSE_SCHED", "aggregate=y")</f>
        <v>#N/A Review</v>
      </c>
      <c r="J977" t="str">
        <f>_xll.BDP("198504XE Muni","CPN")</f>
        <v>#N/A Requesting Data...</v>
      </c>
      <c r="K977" t="str">
        <f>_xll.BDP("198504XE Muni","MATURITY")</f>
        <v>#N/A Requesting Data...</v>
      </c>
      <c r="L977">
        <v>1765000</v>
      </c>
      <c r="M977" t="str">
        <f>_xll.BDP("198504XE Muni","YIELD_ON_ISSUE_DATE")</f>
        <v>#N/A Requesting Data...</v>
      </c>
      <c r="N977" t="str">
        <f>_xll.BDP("198504XE Muni","YTW_SPREAD_TO_MATURITY_AT_ISSU")</f>
        <v>#N/A Requesting Data...</v>
      </c>
      <c r="O977" t="str">
        <f>_xll.BDP("198504XE Muni","BVAL_MID_YTM")</f>
        <v>#N/A Requesting Data...</v>
      </c>
      <c r="P977" t="str">
        <f>_xll.BDP("198504XE Muni","MUNI_TAX_PROV")</f>
        <v>#N/A Requesting Data...</v>
      </c>
      <c r="Q977" t="str">
        <f>_xll.BDP("198504XE Muni","MUNI_FED_TAX")</f>
        <v>#N/A Requesting Data...</v>
      </c>
      <c r="R977" t="str">
        <f>_xll.BDP("198504XE Muni","MUNI_MSRB_VOLUME")</f>
        <v>#N/A Requesting Data...</v>
      </c>
      <c r="S977" t="str">
        <f>_xll.BDP("198504XE Muni","BB_COMPOSITE")</f>
        <v>#N/A Requesting Data...</v>
      </c>
      <c r="T977" t="str">
        <f>_xll.BDP("198504XE Muni","LQA_LIQUIDITY_SCORE")</f>
        <v>#N/A Requesting Data...</v>
      </c>
    </row>
    <row r="978" spans="1:20" x14ac:dyDescent="0.25">
      <c r="A978" t="str">
        <f>_xll.BDP("198504XF Muni","ID_CUSIP")</f>
        <v>#N/A Requesting Data...</v>
      </c>
      <c r="B978" t="s">
        <v>53</v>
      </c>
      <c r="C978" t="str">
        <f>_xll.BDP("198504XF Muni","INSURANCE_STATUS")</f>
        <v>#N/A Requesting Data...</v>
      </c>
      <c r="D978" t="str">
        <f>_xll.BDP("198504XF Muni","STATE_CODE")</f>
        <v>#N/A Requesting Data...</v>
      </c>
      <c r="E978" t="str">
        <f>_xll.BDP("198504XF Muni","COUNTY_LOCATION_ISSUER")</f>
        <v>#N/A Requesting Data...</v>
      </c>
      <c r="F978" t="str">
        <f>_xll.BDP("198504XF Muni","DUR_ADJ_MID")</f>
        <v>#N/A Requesting Data...</v>
      </c>
      <c r="G978" t="str">
        <f>_xll.BDP("198504XF Muni","SPREAD_AT_ISSUANCE_TO_WORST")</f>
        <v>#N/A Requesting Data...</v>
      </c>
      <c r="H978" t="str">
        <f>_xll.BDP("198504XF Muni","ISSUE_DT")</f>
        <v>#N/A Requesting Data...</v>
      </c>
      <c r="I978" t="str">
        <f>_xll.BDS("198504XF Muni","MUNI_PURPOSE_SCHED", "aggregate=y")</f>
        <v>#N/A Review</v>
      </c>
      <c r="J978" t="str">
        <f>_xll.BDP("198504XF Muni","CPN")</f>
        <v>#N/A Requesting Data...</v>
      </c>
      <c r="K978" t="str">
        <f>_xll.BDP("198504XF Muni","MATURITY")</f>
        <v>#N/A Requesting Data...</v>
      </c>
      <c r="L978">
        <v>1805000</v>
      </c>
      <c r="M978" t="str">
        <f>_xll.BDP("198504XF Muni","YIELD_ON_ISSUE_DATE")</f>
        <v>#N/A Requesting Data...</v>
      </c>
      <c r="N978" t="str">
        <f>_xll.BDP("198504XF Muni","YTW_SPREAD_TO_MATURITY_AT_ISSU")</f>
        <v>#N/A Requesting Data...</v>
      </c>
      <c r="O978" t="str">
        <f>_xll.BDP("198504XF Muni","BVAL_MID_YTM")</f>
        <v>#N/A Requesting Data...</v>
      </c>
      <c r="P978" t="str">
        <f>_xll.BDP("198504XF Muni","MUNI_TAX_PROV")</f>
        <v>#N/A Requesting Data...</v>
      </c>
      <c r="Q978" t="str">
        <f>_xll.BDP("198504XF Muni","MUNI_FED_TAX")</f>
        <v>#N/A Requesting Data...</v>
      </c>
      <c r="R978" t="str">
        <f>_xll.BDP("198504XF Muni","MUNI_MSRB_VOLUME")</f>
        <v>#N/A Requesting Data...</v>
      </c>
      <c r="S978" t="str">
        <f>_xll.BDP("198504XF Muni","BB_COMPOSITE")</f>
        <v>#N/A Requesting Data...</v>
      </c>
      <c r="T978" t="str">
        <f>_xll.BDP("198504XF Muni","LQA_LIQUIDITY_SCORE")</f>
        <v>#N/A Requesting Data...</v>
      </c>
    </row>
    <row r="979" spans="1:20" x14ac:dyDescent="0.25">
      <c r="A979" t="str">
        <f>_xll.BDP("12946RBA Muni","ID_CUSIP")</f>
        <v>#N/A Requesting Data...</v>
      </c>
      <c r="B979" t="s">
        <v>350</v>
      </c>
      <c r="C979" t="str">
        <f>_xll.BDP("12946RBA Muni","INSURANCE_STATUS")</f>
        <v>#N/A Requesting Data...</v>
      </c>
      <c r="D979" t="str">
        <f>_xll.BDP("12946RBA Muni","STATE_CODE")</f>
        <v>#N/A Requesting Data...</v>
      </c>
      <c r="E979" t="str">
        <f>_xll.BDP("12946RBA Muni","COUNTY_LOCATION_ISSUER")</f>
        <v>#N/A Requesting Data...</v>
      </c>
      <c r="F979" t="str">
        <f>_xll.BDP("12946RBA Muni","DUR_ADJ_MID")</f>
        <v>#N/A Requesting Data...</v>
      </c>
      <c r="G979" t="str">
        <f>_xll.BDP("12946RBA Muni","SPREAD_AT_ISSUANCE_TO_WORST")</f>
        <v>#N/A Requesting Data...</v>
      </c>
      <c r="H979" t="str">
        <f>_xll.BDP("12946RBA Muni","ISSUE_DT")</f>
        <v>#N/A Requesting Data...</v>
      </c>
      <c r="I979" t="str">
        <f>_xll.BDS("12946RBA Muni","MUNI_PURPOSE_SCHED", "aggregate=y")</f>
        <v>#N/A Review</v>
      </c>
      <c r="J979" t="str">
        <f>_xll.BDP("12946RBA Muni","CPN")</f>
        <v>#N/A Requesting Data...</v>
      </c>
      <c r="K979" t="str">
        <f>_xll.BDP("12946RBA Muni","MATURITY")</f>
        <v>#N/A Requesting Data...</v>
      </c>
      <c r="L979">
        <v>105000</v>
      </c>
      <c r="M979" t="str">
        <f>_xll.BDP("12946RBA Muni","YIELD_ON_ISSUE_DATE")</f>
        <v>#N/A Requesting Data...</v>
      </c>
      <c r="N979" t="str">
        <f>_xll.BDP("12946RBA Muni","YTW_SPREAD_TO_MATURITY_AT_ISSU")</f>
        <v>#N/A Requesting Data...</v>
      </c>
      <c r="O979" t="str">
        <f>_xll.BDP("12946RBA Muni","BVAL_MID_YTM")</f>
        <v>#N/A Requesting Data...</v>
      </c>
      <c r="P979" t="str">
        <f>_xll.BDP("12946RBA Muni","MUNI_TAX_PROV")</f>
        <v>#N/A Requesting Data...</v>
      </c>
      <c r="Q979" t="str">
        <f>_xll.BDP("12946RBA Muni","MUNI_FED_TAX")</f>
        <v>#N/A Requesting Data...</v>
      </c>
      <c r="R979" t="str">
        <f>_xll.BDP("12946RBA Muni","MUNI_MSRB_VOLUME")</f>
        <v>#N/A Requesting Data...</v>
      </c>
      <c r="S979" t="str">
        <f>_xll.BDP("12946RBA Muni","BB_COMPOSITE")</f>
        <v>#N/A Requesting Data...</v>
      </c>
      <c r="T979" t="str">
        <f>_xll.BDP("12946RBA Muni","LQA_LIQUIDITY_SCORE")</f>
        <v>#N/A Requesting Data...</v>
      </c>
    </row>
    <row r="980" spans="1:20" x14ac:dyDescent="0.25">
      <c r="A980" t="str">
        <f>_xll.BDP("12946RBC Muni","ID_CUSIP")</f>
        <v>#N/A Requesting Data...</v>
      </c>
      <c r="B980" t="s">
        <v>350</v>
      </c>
      <c r="C980" t="str">
        <f>_xll.BDP("12946RBC Muni","INSURANCE_STATUS")</f>
        <v>#N/A Requesting Data...</v>
      </c>
      <c r="D980" t="str">
        <f>_xll.BDP("12946RBC Muni","STATE_CODE")</f>
        <v>#N/A Requesting Data...</v>
      </c>
      <c r="E980" t="str">
        <f>_xll.BDP("12946RBC Muni","COUNTY_LOCATION_ISSUER")</f>
        <v>#N/A Requesting Data...</v>
      </c>
      <c r="F980" t="str">
        <f>_xll.BDP("12946RBC Muni","DUR_ADJ_MID")</f>
        <v>#N/A Requesting Data...</v>
      </c>
      <c r="G980" t="str">
        <f>_xll.BDP("12946RBC Muni","SPREAD_AT_ISSUANCE_TO_WORST")</f>
        <v>#N/A Requesting Data...</v>
      </c>
      <c r="H980" t="str">
        <f>_xll.BDP("12946RBC Muni","ISSUE_DT")</f>
        <v>#N/A Requesting Data...</v>
      </c>
      <c r="I980" t="str">
        <f>_xll.BDS("12946RBC Muni","MUNI_PURPOSE_SCHED", "aggregate=y")</f>
        <v>#N/A Review</v>
      </c>
      <c r="J980" t="str">
        <f>_xll.BDP("12946RBC Muni","CPN")</f>
        <v>#N/A Requesting Data...</v>
      </c>
      <c r="K980" t="str">
        <f>_xll.BDP("12946RBC Muni","MATURITY")</f>
        <v>#N/A Requesting Data...</v>
      </c>
      <c r="L980">
        <v>110000</v>
      </c>
      <c r="M980" t="str">
        <f>_xll.BDP("12946RBC Muni","YIELD_ON_ISSUE_DATE")</f>
        <v>#N/A Requesting Data...</v>
      </c>
      <c r="N980" t="str">
        <f>_xll.BDP("12946RBC Muni","YTW_SPREAD_TO_MATURITY_AT_ISSU")</f>
        <v>#N/A Requesting Data...</v>
      </c>
      <c r="O980" t="str">
        <f>_xll.BDP("12946RBC Muni","BVAL_MID_YTM")</f>
        <v>#N/A Requesting Data...</v>
      </c>
      <c r="P980" t="str">
        <f>_xll.BDP("12946RBC Muni","MUNI_TAX_PROV")</f>
        <v>#N/A Requesting Data...</v>
      </c>
      <c r="Q980" t="str">
        <f>_xll.BDP("12946RBC Muni","MUNI_FED_TAX")</f>
        <v>#N/A Requesting Data...</v>
      </c>
      <c r="R980" t="str">
        <f>_xll.BDP("12946RBC Muni","MUNI_MSRB_VOLUME")</f>
        <v>#N/A Requesting Data...</v>
      </c>
      <c r="S980" t="str">
        <f>_xll.BDP("12946RBC Muni","BB_COMPOSITE")</f>
        <v>#N/A Requesting Data...</v>
      </c>
      <c r="T980" t="str">
        <f>_xll.BDP("12946RBC Muni","LQA_LIQUIDITY_SCORE")</f>
        <v>#N/A Requesting Data...</v>
      </c>
    </row>
    <row r="981" spans="1:20" x14ac:dyDescent="0.25">
      <c r="A981" t="str">
        <f>_xll.BDP("12946RBD Muni","ID_CUSIP")</f>
        <v>#N/A Requesting Data...</v>
      </c>
      <c r="B981" t="s">
        <v>350</v>
      </c>
      <c r="C981" t="str">
        <f>_xll.BDP("12946RBD Muni","INSURANCE_STATUS")</f>
        <v>#N/A Requesting Data...</v>
      </c>
      <c r="D981" t="str">
        <f>_xll.BDP("12946RBD Muni","STATE_CODE")</f>
        <v>#N/A Requesting Data...</v>
      </c>
      <c r="E981" t="str">
        <f>_xll.BDP("12946RBD Muni","COUNTY_LOCATION_ISSUER")</f>
        <v>#N/A Requesting Data...</v>
      </c>
      <c r="F981" t="str">
        <f>_xll.BDP("12946RBD Muni","DUR_ADJ_MID")</f>
        <v>#N/A Requesting Data...</v>
      </c>
      <c r="G981" t="str">
        <f>_xll.BDP("12946RBD Muni","SPREAD_AT_ISSUANCE_TO_WORST")</f>
        <v>#N/A Requesting Data...</v>
      </c>
      <c r="H981" t="str">
        <f>_xll.BDP("12946RBD Muni","ISSUE_DT")</f>
        <v>#N/A Requesting Data...</v>
      </c>
      <c r="I981" t="str">
        <f>_xll.BDS("12946RBD Muni","MUNI_PURPOSE_SCHED", "aggregate=y")</f>
        <v>#N/A Review</v>
      </c>
      <c r="J981" t="str">
        <f>_xll.BDP("12946RBD Muni","CPN")</f>
        <v>#N/A Requesting Data...</v>
      </c>
      <c r="K981" t="str">
        <f>_xll.BDP("12946RBD Muni","MATURITY")</f>
        <v>#N/A Requesting Data...</v>
      </c>
      <c r="L981">
        <v>115000</v>
      </c>
      <c r="M981" t="str">
        <f>_xll.BDP("12946RBD Muni","YIELD_ON_ISSUE_DATE")</f>
        <v>#N/A Requesting Data...</v>
      </c>
      <c r="N981" t="str">
        <f>_xll.BDP("12946RBD Muni","YTW_SPREAD_TO_MATURITY_AT_ISSU")</f>
        <v>#N/A Requesting Data...</v>
      </c>
      <c r="O981" t="str">
        <f>_xll.BDP("12946RBD Muni","BVAL_MID_YTM")</f>
        <v>#N/A Requesting Data...</v>
      </c>
      <c r="P981" t="str">
        <f>_xll.BDP("12946RBD Muni","MUNI_TAX_PROV")</f>
        <v>#N/A Requesting Data...</v>
      </c>
      <c r="Q981" t="str">
        <f>_xll.BDP("12946RBD Muni","MUNI_FED_TAX")</f>
        <v>#N/A Requesting Data...</v>
      </c>
      <c r="R981" t="str">
        <f>_xll.BDP("12946RBD Muni","MUNI_MSRB_VOLUME")</f>
        <v>#N/A Requesting Data...</v>
      </c>
      <c r="S981" t="str">
        <f>_xll.BDP("12946RBD Muni","BB_COMPOSITE")</f>
        <v>#N/A Requesting Data...</v>
      </c>
      <c r="T981" t="str">
        <f>_xll.BDP("12946RBD Muni","LQA_LIQUIDITY_SCORE")</f>
        <v>#N/A Requesting Data...</v>
      </c>
    </row>
    <row r="982" spans="1:20" x14ac:dyDescent="0.25">
      <c r="A982" t="str">
        <f>_xll.BDP("129644WX Muni","ID_CUSIP")</f>
        <v>#N/A Requesting Data...</v>
      </c>
      <c r="B982" t="s">
        <v>351</v>
      </c>
      <c r="C982" t="str">
        <f>_xll.BDP("129644WX Muni","INSURANCE_STATUS")</f>
        <v>#N/A Requesting Data...</v>
      </c>
      <c r="D982" t="str">
        <f>_xll.BDP("129644WX Muni","STATE_CODE")</f>
        <v>#N/A Requesting Data...</v>
      </c>
      <c r="E982" t="str">
        <f>_xll.BDP("129644WX Muni","COUNTY_LOCATION_ISSUER")</f>
        <v>#N/A Requesting Data...</v>
      </c>
      <c r="F982" t="str">
        <f>_xll.BDP("129644WX Muni","DUR_ADJ_MID")</f>
        <v>#N/A Requesting Data...</v>
      </c>
      <c r="G982" t="str">
        <f>_xll.BDP("129644WX Muni","SPREAD_AT_ISSUANCE_TO_WORST")</f>
        <v>#N/A Requesting Data...</v>
      </c>
      <c r="H982" t="str">
        <f>_xll.BDP("129644WX Muni","ISSUE_DT")</f>
        <v>#N/A Requesting Data...</v>
      </c>
      <c r="I982" t="str">
        <f>_xll.BDS("129644WX Muni","MUNI_PURPOSE_SCHED", "aggregate=y")</f>
        <v>#N/A Review</v>
      </c>
      <c r="J982" t="str">
        <f>_xll.BDP("129644WX Muni","CPN")</f>
        <v>#N/A Requesting Data...</v>
      </c>
      <c r="K982" t="str">
        <f>_xll.BDP("129644WX Muni","MATURITY")</f>
        <v>#N/A Requesting Data...</v>
      </c>
      <c r="L982">
        <v>525000</v>
      </c>
      <c r="M982" t="str">
        <f>_xll.BDP("129644WX Muni","YIELD_ON_ISSUE_DATE")</f>
        <v>#N/A Requesting Data...</v>
      </c>
      <c r="N982" t="str">
        <f>_xll.BDP("129644WX Muni","YTW_SPREAD_TO_MATURITY_AT_ISSU")</f>
        <v>#N/A Requesting Data...</v>
      </c>
      <c r="O982" t="str">
        <f>_xll.BDP("129644WX Muni","BVAL_MID_YTM")</f>
        <v>#N/A Requesting Data...</v>
      </c>
      <c r="P982" t="str">
        <f>_xll.BDP("129644WX Muni","MUNI_TAX_PROV")</f>
        <v>#N/A Requesting Data...</v>
      </c>
      <c r="Q982" t="str">
        <f>_xll.BDP("129644WX Muni","MUNI_FED_TAX")</f>
        <v>#N/A Requesting Data...</v>
      </c>
      <c r="R982" t="str">
        <f>_xll.BDP("129644WX Muni","MUNI_MSRB_VOLUME")</f>
        <v>#N/A Requesting Data...</v>
      </c>
      <c r="S982" t="str">
        <f>_xll.BDP("129644WX Muni","BB_COMPOSITE")</f>
        <v>#N/A Requesting Data...</v>
      </c>
      <c r="T982" t="str">
        <f>_xll.BDP("129644WX Muni","LQA_LIQUIDITY_SCORE")</f>
        <v>#N/A Requesting Data...</v>
      </c>
    </row>
    <row r="983" spans="1:20" x14ac:dyDescent="0.25">
      <c r="A983" t="str">
        <f>_xll.BDP("13034AJK Muni","ID_CUSIP")</f>
        <v>#N/A Requesting Data...</v>
      </c>
      <c r="B983" t="s">
        <v>40</v>
      </c>
      <c r="C983" t="str">
        <f>_xll.BDP("13034AJK Muni","INSURANCE_STATUS")</f>
        <v>#N/A Requesting Data...</v>
      </c>
      <c r="D983" t="str">
        <f>_xll.BDP("13034AJK Muni","STATE_CODE")</f>
        <v>#N/A Requesting Data...</v>
      </c>
      <c r="E983" t="str">
        <f>_xll.BDP("13034AJK Muni","COUNTY_LOCATION_ISSUER")</f>
        <v>#N/A Requesting Data...</v>
      </c>
      <c r="F983" t="str">
        <f>_xll.BDP("13034AJK Muni","DUR_ADJ_MID")</f>
        <v>#N/A Requesting Data...</v>
      </c>
      <c r="G983" t="str">
        <f>_xll.BDP("13034AJK Muni","SPREAD_AT_ISSUANCE_TO_WORST")</f>
        <v>#N/A Requesting Data...</v>
      </c>
      <c r="H983" t="str">
        <f>_xll.BDP("13034AJK Muni","ISSUE_DT")</f>
        <v>#N/A Requesting Data...</v>
      </c>
      <c r="I983" t="str">
        <f>_xll.BDS("13034AJK Muni","MUNI_PURPOSE_SCHED", "aggregate=y")</f>
        <v>#N/A Review</v>
      </c>
      <c r="J983" t="str">
        <f>_xll.BDP("13034AJK Muni","CPN")</f>
        <v>#N/A Requesting Data...</v>
      </c>
      <c r="K983" t="str">
        <f>_xll.BDP("13034AJK Muni","MATURITY")</f>
        <v>#N/A Requesting Data...</v>
      </c>
      <c r="L983">
        <v>590000</v>
      </c>
      <c r="M983" t="str">
        <f>_xll.BDP("13034AJK Muni","YIELD_ON_ISSUE_DATE")</f>
        <v>#N/A Requesting Data...</v>
      </c>
      <c r="N983" t="str">
        <f>_xll.BDP("13034AJK Muni","YTW_SPREAD_TO_MATURITY_AT_ISSU")</f>
        <v>#N/A Requesting Data...</v>
      </c>
      <c r="O983" t="str">
        <f>_xll.BDP("13034AJK Muni","BVAL_MID_YTM")</f>
        <v>#N/A Requesting Data...</v>
      </c>
      <c r="P983" t="str">
        <f>_xll.BDP("13034AJK Muni","MUNI_TAX_PROV")</f>
        <v>#N/A Requesting Data...</v>
      </c>
      <c r="Q983" t="str">
        <f>_xll.BDP("13034AJK Muni","MUNI_FED_TAX")</f>
        <v>#N/A Requesting Data...</v>
      </c>
      <c r="R983" t="str">
        <f>_xll.BDP("13034AJK Muni","MUNI_MSRB_VOLUME")</f>
        <v>#N/A Requesting Data...</v>
      </c>
      <c r="S983" t="str">
        <f>_xll.BDP("13034AJK Muni","BB_COMPOSITE")</f>
        <v>#N/A Requesting Data...</v>
      </c>
      <c r="T983" t="str">
        <f>_xll.BDP("13034AJK Muni","LQA_LIQUIDITY_SCORE")</f>
        <v>#N/A Requesting Data...</v>
      </c>
    </row>
    <row r="984" spans="1:20" x14ac:dyDescent="0.25">
      <c r="A984" t="str">
        <f>_xll.BDP("13034AJM Muni","ID_CUSIP")</f>
        <v>#N/A Requesting Data...</v>
      </c>
      <c r="B984" t="s">
        <v>40</v>
      </c>
      <c r="C984" t="str">
        <f>_xll.BDP("13034AJM Muni","INSURANCE_STATUS")</f>
        <v>#N/A Requesting Data...</v>
      </c>
      <c r="D984" t="str">
        <f>_xll.BDP("13034AJM Muni","STATE_CODE")</f>
        <v>#N/A Requesting Data...</v>
      </c>
      <c r="E984" t="str">
        <f>_xll.BDP("13034AJM Muni","COUNTY_LOCATION_ISSUER")</f>
        <v>#N/A Requesting Data...</v>
      </c>
      <c r="F984" t="str">
        <f>_xll.BDP("13034AJM Muni","DUR_ADJ_MID")</f>
        <v>#N/A Requesting Data...</v>
      </c>
      <c r="G984" t="str">
        <f>_xll.BDP("13034AJM Muni","SPREAD_AT_ISSUANCE_TO_WORST")</f>
        <v>#N/A Requesting Data...</v>
      </c>
      <c r="H984" t="str">
        <f>_xll.BDP("13034AJM Muni","ISSUE_DT")</f>
        <v>#N/A Requesting Data...</v>
      </c>
      <c r="I984" t="str">
        <f>_xll.BDS("13034AJM Muni","MUNI_PURPOSE_SCHED", "aggregate=y")</f>
        <v>#N/A Review</v>
      </c>
      <c r="J984" t="str">
        <f>_xll.BDP("13034AJM Muni","CPN")</f>
        <v>#N/A Requesting Data...</v>
      </c>
      <c r="K984" t="str">
        <f>_xll.BDP("13034AJM Muni","MATURITY")</f>
        <v>#N/A Requesting Data...</v>
      </c>
      <c r="L984">
        <v>435000</v>
      </c>
      <c r="M984" t="str">
        <f>_xll.BDP("13034AJM Muni","YIELD_ON_ISSUE_DATE")</f>
        <v>#N/A Requesting Data...</v>
      </c>
      <c r="N984" t="str">
        <f>_xll.BDP("13034AJM Muni","YTW_SPREAD_TO_MATURITY_AT_ISSU")</f>
        <v>#N/A Requesting Data...</v>
      </c>
      <c r="O984" t="str">
        <f>_xll.BDP("13034AJM Muni","BVAL_MID_YTM")</f>
        <v>#N/A Requesting Data...</v>
      </c>
      <c r="P984" t="str">
        <f>_xll.BDP("13034AJM Muni","MUNI_TAX_PROV")</f>
        <v>#N/A Requesting Data...</v>
      </c>
      <c r="Q984" t="str">
        <f>_xll.BDP("13034AJM Muni","MUNI_FED_TAX")</f>
        <v>#N/A Requesting Data...</v>
      </c>
      <c r="R984" t="str">
        <f>_xll.BDP("13034AJM Muni","MUNI_MSRB_VOLUME")</f>
        <v>#N/A Requesting Data...</v>
      </c>
      <c r="S984" t="str">
        <f>_xll.BDP("13034AJM Muni","BB_COMPOSITE")</f>
        <v>#N/A Requesting Data...</v>
      </c>
      <c r="T984" t="str">
        <f>_xll.BDP("13034AJM Muni","LQA_LIQUIDITY_SCORE")</f>
        <v>#N/A Requesting Data...</v>
      </c>
    </row>
    <row r="985" spans="1:20" x14ac:dyDescent="0.25">
      <c r="A985" t="str">
        <f>_xll.BDP("257831MA Muni","ID_CUSIP")</f>
        <v>#N/A Requesting Data...</v>
      </c>
      <c r="B985" t="s">
        <v>175</v>
      </c>
      <c r="C985" t="str">
        <f>_xll.BDP("257831MA Muni","INSURANCE_STATUS")</f>
        <v>#N/A Requesting Data...</v>
      </c>
      <c r="D985" t="str">
        <f>_xll.BDP("257831MA Muni","STATE_CODE")</f>
        <v>#N/A Requesting Data...</v>
      </c>
      <c r="E985" t="str">
        <f>_xll.BDP("257831MA Muni","COUNTY_LOCATION_ISSUER")</f>
        <v>#N/A Requesting Data...</v>
      </c>
      <c r="F985" t="str">
        <f>_xll.BDP("257831MA Muni","DUR_ADJ_MID")</f>
        <v>#N/A Requesting Data...</v>
      </c>
      <c r="G985" t="str">
        <f>_xll.BDP("257831MA Muni","SPREAD_AT_ISSUANCE_TO_WORST")</f>
        <v>#N/A Requesting Data...</v>
      </c>
      <c r="H985" t="str">
        <f>_xll.BDP("257831MA Muni","ISSUE_DT")</f>
        <v>#N/A Requesting Data...</v>
      </c>
      <c r="I985" t="str">
        <f>_xll.BDS("257831MA Muni","MUNI_PURPOSE_SCHED", "aggregate=y")</f>
        <v>#N/A Review</v>
      </c>
      <c r="J985" t="str">
        <f>_xll.BDP("257831MA Muni","CPN")</f>
        <v>#N/A Requesting Data...</v>
      </c>
      <c r="K985" t="str">
        <f>_xll.BDP("257831MA Muni","MATURITY")</f>
        <v>#N/A Requesting Data...</v>
      </c>
      <c r="L985">
        <v>200000</v>
      </c>
      <c r="M985" t="str">
        <f>_xll.BDP("257831MA Muni","YIELD_ON_ISSUE_DATE")</f>
        <v>#N/A Requesting Data...</v>
      </c>
      <c r="N985" t="str">
        <f>_xll.BDP("257831MA Muni","YTW_SPREAD_TO_MATURITY_AT_ISSU")</f>
        <v>#N/A Requesting Data...</v>
      </c>
      <c r="O985" t="str">
        <f>_xll.BDP("257831MA Muni","BVAL_MID_YTM")</f>
        <v>#N/A Requesting Data...</v>
      </c>
      <c r="P985" t="str">
        <f>_xll.BDP("257831MA Muni","MUNI_TAX_PROV")</f>
        <v>#N/A Requesting Data...</v>
      </c>
      <c r="Q985" t="str">
        <f>_xll.BDP("257831MA Muni","MUNI_FED_TAX")</f>
        <v>#N/A Requesting Data...</v>
      </c>
      <c r="R985" t="str">
        <f>_xll.BDP("257831MA Muni","MUNI_MSRB_VOLUME")</f>
        <v>#N/A Requesting Data...</v>
      </c>
      <c r="S985" t="str">
        <f>_xll.BDP("257831MA Muni","BB_COMPOSITE")</f>
        <v>#N/A Requesting Data...</v>
      </c>
      <c r="T985" t="str">
        <f>_xll.BDP("257831MA Muni","LQA_LIQUIDITY_SCORE")</f>
        <v>#N/A Requesting Data...</v>
      </c>
    </row>
    <row r="986" spans="1:20" x14ac:dyDescent="0.25">
      <c r="A986" t="str">
        <f>_xll.BDP("373064A9 Muni","ID_CUSIP")</f>
        <v>#N/A Requesting Data...</v>
      </c>
      <c r="B986" t="s">
        <v>97</v>
      </c>
      <c r="C986" t="str">
        <f>_xll.BDP("373064A9 Muni","INSURANCE_STATUS")</f>
        <v>#N/A Requesting Data...</v>
      </c>
      <c r="D986" t="str">
        <f>_xll.BDP("373064A9 Muni","STATE_CODE")</f>
        <v>#N/A Requesting Data...</v>
      </c>
      <c r="E986" t="str">
        <f>_xll.BDP("373064A9 Muni","COUNTY_LOCATION_ISSUER")</f>
        <v>#N/A Requesting Data...</v>
      </c>
      <c r="F986" t="str">
        <f>_xll.BDP("373064A9 Muni","DUR_ADJ_MID")</f>
        <v>#N/A Requesting Data...</v>
      </c>
      <c r="G986" t="str">
        <f>_xll.BDP("373064A9 Muni","SPREAD_AT_ISSUANCE_TO_WORST")</f>
        <v>#N/A Requesting Data...</v>
      </c>
      <c r="H986" t="str">
        <f>_xll.BDP("373064A9 Muni","ISSUE_DT")</f>
        <v>#N/A Requesting Data...</v>
      </c>
      <c r="I986" t="str">
        <f>_xll.BDS("373064A9 Muni","MUNI_PURPOSE_SCHED", "aggregate=y")</f>
        <v>#N/A Review</v>
      </c>
      <c r="J986" t="str">
        <f>_xll.BDP("373064A9 Muni","CPN")</f>
        <v>#N/A Requesting Data...</v>
      </c>
      <c r="K986" t="str">
        <f>_xll.BDP("373064A9 Muni","MATURITY")</f>
        <v>#N/A Requesting Data...</v>
      </c>
      <c r="L986">
        <v>420000</v>
      </c>
      <c r="M986" t="str">
        <f>_xll.BDP("373064A9 Muni","YIELD_ON_ISSUE_DATE")</f>
        <v>#N/A Requesting Data...</v>
      </c>
      <c r="N986" t="str">
        <f>_xll.BDP("373064A9 Muni","YTW_SPREAD_TO_MATURITY_AT_ISSU")</f>
        <v>#N/A Requesting Data...</v>
      </c>
      <c r="O986" t="str">
        <f>_xll.BDP("373064A9 Muni","BVAL_MID_YTM")</f>
        <v>#N/A Requesting Data...</v>
      </c>
      <c r="P986" t="str">
        <f>_xll.BDP("373064A9 Muni","MUNI_TAX_PROV")</f>
        <v>#N/A Requesting Data...</v>
      </c>
      <c r="Q986" t="str">
        <f>_xll.BDP("373064A9 Muni","MUNI_FED_TAX")</f>
        <v>#N/A Requesting Data...</v>
      </c>
      <c r="R986" t="str">
        <f>_xll.BDP("373064A9 Muni","MUNI_MSRB_VOLUME")</f>
        <v>#N/A Requesting Data...</v>
      </c>
      <c r="S986" t="str">
        <f>_xll.BDP("373064A9 Muni","BB_COMPOSITE")</f>
        <v>#N/A Requesting Data...</v>
      </c>
      <c r="T986" t="str">
        <f>_xll.BDP("373064A9 Muni","LQA_LIQUIDITY_SCORE")</f>
        <v>#N/A Requesting Data...</v>
      </c>
    </row>
    <row r="987" spans="1:20" x14ac:dyDescent="0.25">
      <c r="A987" t="str">
        <f>_xll.BDP("208425BG Muni","ID_CUSIP")</f>
        <v>#N/A Requesting Data...</v>
      </c>
      <c r="B987" t="s">
        <v>352</v>
      </c>
      <c r="C987" t="str">
        <f>_xll.BDP("208425BG Muni","INSURANCE_STATUS")</f>
        <v>#N/A Requesting Data...</v>
      </c>
      <c r="D987" t="str">
        <f>_xll.BDP("208425BG Muni","STATE_CODE")</f>
        <v>#N/A Requesting Data...</v>
      </c>
      <c r="E987" t="str">
        <f>_xll.BDP("208425BG Muni","COUNTY_LOCATION_ISSUER")</f>
        <v>#N/A Requesting Data...</v>
      </c>
      <c r="F987" t="str">
        <f>_xll.BDP("208425BG Muni","DUR_ADJ_MID")</f>
        <v>#N/A Requesting Data...</v>
      </c>
      <c r="G987" t="str">
        <f>_xll.BDP("208425BG Muni","SPREAD_AT_ISSUANCE_TO_WORST")</f>
        <v>#N/A Requesting Data...</v>
      </c>
      <c r="H987" t="str">
        <f>_xll.BDP("208425BG Muni","ISSUE_DT")</f>
        <v>#N/A Requesting Data...</v>
      </c>
      <c r="I987" t="str">
        <f>_xll.BDS("208425BG Muni","MUNI_PURPOSE_SCHED", "aggregate=y")</f>
        <v>#N/A Review</v>
      </c>
      <c r="J987" t="str">
        <f>_xll.BDP("208425BG Muni","CPN")</f>
        <v>#N/A Requesting Data...</v>
      </c>
      <c r="K987" t="str">
        <f>_xll.BDP("208425BG Muni","MATURITY")</f>
        <v>#N/A Requesting Data...</v>
      </c>
      <c r="L987">
        <v>55000</v>
      </c>
      <c r="M987" t="str">
        <f>_xll.BDP("208425BG Muni","YIELD_ON_ISSUE_DATE")</f>
        <v>#N/A Requesting Data...</v>
      </c>
      <c r="N987" t="str">
        <f>_xll.BDP("208425BG Muni","YTW_SPREAD_TO_MATURITY_AT_ISSU")</f>
        <v>#N/A Requesting Data...</v>
      </c>
      <c r="O987" t="str">
        <f>_xll.BDP("208425BG Muni","BVAL_MID_YTM")</f>
        <v>#N/A Requesting Data...</v>
      </c>
      <c r="P987" t="str">
        <f>_xll.BDP("208425BG Muni","MUNI_TAX_PROV")</f>
        <v>#N/A Requesting Data...</v>
      </c>
      <c r="Q987" t="str">
        <f>_xll.BDP("208425BG Muni","MUNI_FED_TAX")</f>
        <v>#N/A Requesting Data...</v>
      </c>
      <c r="R987" t="str">
        <f>_xll.BDP("208425BG Muni","MUNI_MSRB_VOLUME")</f>
        <v>#N/A Requesting Data...</v>
      </c>
      <c r="S987" t="str">
        <f>_xll.BDP("208425BG Muni","BB_COMPOSITE")</f>
        <v>#N/A Requesting Data...</v>
      </c>
      <c r="T987" t="str">
        <f>_xll.BDP("208425BG Muni","LQA_LIQUIDITY_SCORE")</f>
        <v>#N/A Requesting Data...</v>
      </c>
    </row>
    <row r="988" spans="1:20" x14ac:dyDescent="0.25">
      <c r="A988" t="str">
        <f>_xll.BDP("12946RBB Muni","ID_CUSIP")</f>
        <v>#N/A Requesting Data...</v>
      </c>
      <c r="B988" t="s">
        <v>350</v>
      </c>
      <c r="C988" t="str">
        <f>_xll.BDP("12946RBB Muni","INSURANCE_STATUS")</f>
        <v>#N/A Requesting Data...</v>
      </c>
      <c r="D988" t="str">
        <f>_xll.BDP("12946RBB Muni","STATE_CODE")</f>
        <v>#N/A Requesting Data...</v>
      </c>
      <c r="E988" t="str">
        <f>_xll.BDP("12946RBB Muni","COUNTY_LOCATION_ISSUER")</f>
        <v>#N/A Requesting Data...</v>
      </c>
      <c r="F988" t="str">
        <f>_xll.BDP("12946RBB Muni","DUR_ADJ_MID")</f>
        <v>#N/A Requesting Data...</v>
      </c>
      <c r="G988" t="str">
        <f>_xll.BDP("12946RBB Muni","SPREAD_AT_ISSUANCE_TO_WORST")</f>
        <v>#N/A Requesting Data...</v>
      </c>
      <c r="H988" t="str">
        <f>_xll.BDP("12946RBB Muni","ISSUE_DT")</f>
        <v>#N/A Requesting Data...</v>
      </c>
      <c r="I988" t="str">
        <f>_xll.BDS("12946RBB Muni","MUNI_PURPOSE_SCHED", "aggregate=y")</f>
        <v>#N/A Review</v>
      </c>
      <c r="J988" t="str">
        <f>_xll.BDP("12946RBB Muni","CPN")</f>
        <v>#N/A Requesting Data...</v>
      </c>
      <c r="K988" t="str">
        <f>_xll.BDP("12946RBB Muni","MATURITY")</f>
        <v>#N/A Requesting Data...</v>
      </c>
      <c r="L988">
        <v>110000</v>
      </c>
      <c r="M988" t="str">
        <f>_xll.BDP("12946RBB Muni","YIELD_ON_ISSUE_DATE")</f>
        <v>#N/A Requesting Data...</v>
      </c>
      <c r="N988" t="str">
        <f>_xll.BDP("12946RBB Muni","YTW_SPREAD_TO_MATURITY_AT_ISSU")</f>
        <v>#N/A Requesting Data...</v>
      </c>
      <c r="O988" t="str">
        <f>_xll.BDP("12946RBB Muni","BVAL_MID_YTM")</f>
        <v>#N/A Requesting Data...</v>
      </c>
      <c r="P988" t="str">
        <f>_xll.BDP("12946RBB Muni","MUNI_TAX_PROV")</f>
        <v>#N/A Requesting Data...</v>
      </c>
      <c r="Q988" t="str">
        <f>_xll.BDP("12946RBB Muni","MUNI_FED_TAX")</f>
        <v>#N/A Requesting Data...</v>
      </c>
      <c r="R988" t="str">
        <f>_xll.BDP("12946RBB Muni","MUNI_MSRB_VOLUME")</f>
        <v>#N/A Requesting Data...</v>
      </c>
      <c r="S988" t="str">
        <f>_xll.BDP("12946RBB Muni","BB_COMPOSITE")</f>
        <v>#N/A Requesting Data...</v>
      </c>
      <c r="T988" t="str">
        <f>_xll.BDP("12946RBB Muni","LQA_LIQUIDITY_SCORE")</f>
        <v>#N/A Requesting Data...</v>
      </c>
    </row>
    <row r="989" spans="1:20" x14ac:dyDescent="0.25">
      <c r="A989" t="str">
        <f>_xll.BDP("129644WY Muni","ID_CUSIP")</f>
        <v>#N/A Requesting Data...</v>
      </c>
      <c r="B989" t="s">
        <v>351</v>
      </c>
      <c r="C989" t="str">
        <f>_xll.BDP("129644WY Muni","INSURANCE_STATUS")</f>
        <v>#N/A Requesting Data...</v>
      </c>
      <c r="D989" t="str">
        <f>_xll.BDP("129644WY Muni","STATE_CODE")</f>
        <v>#N/A Requesting Data...</v>
      </c>
      <c r="E989" t="str">
        <f>_xll.BDP("129644WY Muni","COUNTY_LOCATION_ISSUER")</f>
        <v>#N/A Requesting Data...</v>
      </c>
      <c r="F989" t="str">
        <f>_xll.BDP("129644WY Muni","DUR_ADJ_MID")</f>
        <v>#N/A Requesting Data...</v>
      </c>
      <c r="G989" t="str">
        <f>_xll.BDP("129644WY Muni","SPREAD_AT_ISSUANCE_TO_WORST")</f>
        <v>#N/A Requesting Data...</v>
      </c>
      <c r="H989" t="str">
        <f>_xll.BDP("129644WY Muni","ISSUE_DT")</f>
        <v>#N/A Requesting Data...</v>
      </c>
      <c r="I989" t="str">
        <f>_xll.BDS("129644WY Muni","MUNI_PURPOSE_SCHED", "aggregate=y")</f>
        <v>#N/A Review</v>
      </c>
      <c r="J989" t="str">
        <f>_xll.BDP("129644WY Muni","CPN")</f>
        <v>#N/A Requesting Data...</v>
      </c>
      <c r="K989" t="str">
        <f>_xll.BDP("129644WY Muni","MATURITY")</f>
        <v>#N/A Requesting Data...</v>
      </c>
      <c r="L989">
        <v>550000</v>
      </c>
      <c r="M989" t="str">
        <f>_xll.BDP("129644WY Muni","YIELD_ON_ISSUE_DATE")</f>
        <v>#N/A Requesting Data...</v>
      </c>
      <c r="N989" t="str">
        <f>_xll.BDP("129644WY Muni","YTW_SPREAD_TO_MATURITY_AT_ISSU")</f>
        <v>#N/A Requesting Data...</v>
      </c>
      <c r="O989" t="str">
        <f>_xll.BDP("129644WY Muni","BVAL_MID_YTM")</f>
        <v>#N/A Requesting Data...</v>
      </c>
      <c r="P989" t="str">
        <f>_xll.BDP("129644WY Muni","MUNI_TAX_PROV")</f>
        <v>#N/A Requesting Data...</v>
      </c>
      <c r="Q989" t="str">
        <f>_xll.BDP("129644WY Muni","MUNI_FED_TAX")</f>
        <v>#N/A Requesting Data...</v>
      </c>
      <c r="R989" t="str">
        <f>_xll.BDP("129644WY Muni","MUNI_MSRB_VOLUME")</f>
        <v>#N/A Requesting Data...</v>
      </c>
      <c r="S989" t="str">
        <f>_xll.BDP("129644WY Muni","BB_COMPOSITE")</f>
        <v>#N/A Requesting Data...</v>
      </c>
      <c r="T989" t="str">
        <f>_xll.BDP("129644WY Muni","LQA_LIQUIDITY_SCORE")</f>
        <v>#N/A Requesting Data...</v>
      </c>
    </row>
    <row r="990" spans="1:20" x14ac:dyDescent="0.25">
      <c r="A990" t="str">
        <f>_xll.BDP("412487EA Muni","ID_CUSIP")</f>
        <v>#N/A Requesting Data...</v>
      </c>
      <c r="B990" t="s">
        <v>74</v>
      </c>
      <c r="C990" t="str">
        <f>_xll.BDP("412487EA Muni","INSURANCE_STATUS")</f>
        <v>#N/A Requesting Data...</v>
      </c>
      <c r="D990" t="str">
        <f>_xll.BDP("412487EA Muni","STATE_CODE")</f>
        <v>#N/A Requesting Data...</v>
      </c>
      <c r="E990" t="str">
        <f>_xll.BDP("412487EA Muni","COUNTY_LOCATION_ISSUER")</f>
        <v>#N/A Requesting Data...</v>
      </c>
      <c r="F990" t="str">
        <f>_xll.BDP("412487EA Muni","DUR_ADJ_MID")</f>
        <v>#N/A Requesting Data...</v>
      </c>
      <c r="G990" t="str">
        <f>_xll.BDP("412487EA Muni","SPREAD_AT_ISSUANCE_TO_WORST")</f>
        <v>#N/A Requesting Data...</v>
      </c>
      <c r="H990" t="str">
        <f>_xll.BDP("412487EA Muni","ISSUE_DT")</f>
        <v>#N/A Requesting Data...</v>
      </c>
      <c r="I990" t="str">
        <f>_xll.BDS("412487EA Muni","MUNI_PURPOSE_SCHED", "aggregate=y")</f>
        <v>#N/A Review</v>
      </c>
      <c r="J990" t="str">
        <f>_xll.BDP("412487EA Muni","CPN")</f>
        <v>#N/A Requesting Data...</v>
      </c>
      <c r="K990" t="str">
        <f>_xll.BDP("412487EA Muni","MATURITY")</f>
        <v>#N/A Requesting Data...</v>
      </c>
      <c r="L990">
        <v>1910000</v>
      </c>
      <c r="M990" t="str">
        <f>_xll.BDP("412487EA Muni","YIELD_ON_ISSUE_DATE")</f>
        <v>#N/A Requesting Data...</v>
      </c>
      <c r="N990" t="str">
        <f>_xll.BDP("412487EA Muni","YTW_SPREAD_TO_MATURITY_AT_ISSU")</f>
        <v>#N/A Requesting Data...</v>
      </c>
      <c r="O990" t="str">
        <f>_xll.BDP("412487EA Muni","BVAL_MID_YTM")</f>
        <v>#N/A Requesting Data...</v>
      </c>
      <c r="P990" t="str">
        <f>_xll.BDP("412487EA Muni","MUNI_TAX_PROV")</f>
        <v>#N/A Requesting Data...</v>
      </c>
      <c r="Q990" t="str">
        <f>_xll.BDP("412487EA Muni","MUNI_FED_TAX")</f>
        <v>#N/A Requesting Data...</v>
      </c>
      <c r="R990" t="str">
        <f>_xll.BDP("412487EA Muni","MUNI_MSRB_VOLUME")</f>
        <v>#N/A Requesting Data...</v>
      </c>
      <c r="S990" t="str">
        <f>_xll.BDP("412487EA Muni","BB_COMPOSITE")</f>
        <v>#N/A Requesting Data...</v>
      </c>
      <c r="T990" t="str">
        <f>_xll.BDP("412487EA Muni","LQA_LIQUIDITY_SCORE")</f>
        <v>#N/A Requesting Data...</v>
      </c>
    </row>
    <row r="991" spans="1:20" x14ac:dyDescent="0.25">
      <c r="A991" t="str">
        <f>_xll.BDP("412487EC Muni","ID_CUSIP")</f>
        <v>#N/A Requesting Data...</v>
      </c>
      <c r="B991" t="s">
        <v>74</v>
      </c>
      <c r="C991" t="str">
        <f>_xll.BDP("412487EC Muni","INSURANCE_STATUS")</f>
        <v>#N/A Requesting Data...</v>
      </c>
      <c r="D991" t="str">
        <f>_xll.BDP("412487EC Muni","STATE_CODE")</f>
        <v>#N/A Requesting Data...</v>
      </c>
      <c r="E991" t="str">
        <f>_xll.BDP("412487EC Muni","COUNTY_LOCATION_ISSUER")</f>
        <v>#N/A Requesting Data...</v>
      </c>
      <c r="F991" t="str">
        <f>_xll.BDP("412487EC Muni","DUR_ADJ_MID")</f>
        <v>#N/A Requesting Data...</v>
      </c>
      <c r="G991" t="str">
        <f>_xll.BDP("412487EC Muni","SPREAD_AT_ISSUANCE_TO_WORST")</f>
        <v>#N/A Requesting Data...</v>
      </c>
      <c r="H991" t="str">
        <f>_xll.BDP("412487EC Muni","ISSUE_DT")</f>
        <v>#N/A Requesting Data...</v>
      </c>
      <c r="I991" t="str">
        <f>_xll.BDS("412487EC Muni","MUNI_PURPOSE_SCHED", "aggregate=y")</f>
        <v>#N/A Review</v>
      </c>
      <c r="J991" t="str">
        <f>_xll.BDP("412487EC Muni","CPN")</f>
        <v>#N/A Requesting Data...</v>
      </c>
      <c r="K991" t="str">
        <f>_xll.BDP("412487EC Muni","MATURITY")</f>
        <v>#N/A Requesting Data...</v>
      </c>
      <c r="L991">
        <v>1965000</v>
      </c>
      <c r="M991" t="str">
        <f>_xll.BDP("412487EC Muni","YIELD_ON_ISSUE_DATE")</f>
        <v>#N/A Requesting Data...</v>
      </c>
      <c r="N991" t="str">
        <f>_xll.BDP("412487EC Muni","YTW_SPREAD_TO_MATURITY_AT_ISSU")</f>
        <v>#N/A Requesting Data...</v>
      </c>
      <c r="O991" t="str">
        <f>_xll.BDP("412487EC Muni","BVAL_MID_YTM")</f>
        <v>#N/A Requesting Data...</v>
      </c>
      <c r="P991" t="str">
        <f>_xll.BDP("412487EC Muni","MUNI_TAX_PROV")</f>
        <v>#N/A Requesting Data...</v>
      </c>
      <c r="Q991" t="str">
        <f>_xll.BDP("412487EC Muni","MUNI_FED_TAX")</f>
        <v>#N/A Requesting Data...</v>
      </c>
      <c r="R991" t="str">
        <f>_xll.BDP("412487EC Muni","MUNI_MSRB_VOLUME")</f>
        <v>#N/A Requesting Data...</v>
      </c>
      <c r="S991" t="str">
        <f>_xll.BDP("412487EC Muni","BB_COMPOSITE")</f>
        <v>#N/A Requesting Data...</v>
      </c>
      <c r="T991" t="str">
        <f>_xll.BDP("412487EC Muni","LQA_LIQUIDITY_SCORE")</f>
        <v>#N/A Requesting Data...</v>
      </c>
    </row>
    <row r="992" spans="1:20" x14ac:dyDescent="0.25">
      <c r="A992" t="str">
        <f>_xll.BDP("412487ED Muni","ID_CUSIP")</f>
        <v>#N/A Requesting Data...</v>
      </c>
      <c r="B992" t="s">
        <v>74</v>
      </c>
      <c r="C992" t="str">
        <f>_xll.BDP("412487ED Muni","INSURANCE_STATUS")</f>
        <v>#N/A Requesting Data...</v>
      </c>
      <c r="D992" t="str">
        <f>_xll.BDP("412487ED Muni","STATE_CODE")</f>
        <v>#N/A Requesting Data...</v>
      </c>
      <c r="E992" t="str">
        <f>_xll.BDP("412487ED Muni","COUNTY_LOCATION_ISSUER")</f>
        <v>#N/A Requesting Data...</v>
      </c>
      <c r="F992" t="str">
        <f>_xll.BDP("412487ED Muni","DUR_ADJ_MID")</f>
        <v>#N/A Requesting Data...</v>
      </c>
      <c r="G992" t="str">
        <f>_xll.BDP("412487ED Muni","SPREAD_AT_ISSUANCE_TO_WORST")</f>
        <v>#N/A Requesting Data...</v>
      </c>
      <c r="H992" t="str">
        <f>_xll.BDP("412487ED Muni","ISSUE_DT")</f>
        <v>#N/A Requesting Data...</v>
      </c>
      <c r="I992" t="str">
        <f>_xll.BDS("412487ED Muni","MUNI_PURPOSE_SCHED", "aggregate=y")</f>
        <v>#N/A Review</v>
      </c>
      <c r="J992" t="str">
        <f>_xll.BDP("412487ED Muni","CPN")</f>
        <v>#N/A Requesting Data...</v>
      </c>
      <c r="K992" t="str">
        <f>_xll.BDP("412487ED Muni","MATURITY")</f>
        <v>#N/A Requesting Data...</v>
      </c>
      <c r="L992">
        <v>2000000</v>
      </c>
      <c r="M992" t="str">
        <f>_xll.BDP("412487ED Muni","YIELD_ON_ISSUE_DATE")</f>
        <v>#N/A Requesting Data...</v>
      </c>
      <c r="N992" t="str">
        <f>_xll.BDP("412487ED Muni","YTW_SPREAD_TO_MATURITY_AT_ISSU")</f>
        <v>#N/A Requesting Data...</v>
      </c>
      <c r="O992" t="str">
        <f>_xll.BDP("412487ED Muni","BVAL_MID_YTM")</f>
        <v>#N/A Requesting Data...</v>
      </c>
      <c r="P992" t="str">
        <f>_xll.BDP("412487ED Muni","MUNI_TAX_PROV")</f>
        <v>#N/A Requesting Data...</v>
      </c>
      <c r="Q992" t="str">
        <f>_xll.BDP("412487ED Muni","MUNI_FED_TAX")</f>
        <v>#N/A Requesting Data...</v>
      </c>
      <c r="R992" t="str">
        <f>_xll.BDP("412487ED Muni","MUNI_MSRB_VOLUME")</f>
        <v>#N/A Requesting Data...</v>
      </c>
      <c r="S992" t="str">
        <f>_xll.BDP("412487ED Muni","BB_COMPOSITE")</f>
        <v>#N/A Requesting Data...</v>
      </c>
      <c r="T992" t="str">
        <f>_xll.BDP("412487ED Muni","LQA_LIQUIDITY_SCORE")</f>
        <v>#N/A Requesting Data...</v>
      </c>
    </row>
    <row r="993" spans="1:20" x14ac:dyDescent="0.25">
      <c r="A993" t="str">
        <f>_xll.BDP("413948QJ Muni","ID_CUSIP")</f>
        <v>#N/A Requesting Data...</v>
      </c>
      <c r="B993" t="s">
        <v>353</v>
      </c>
      <c r="C993" t="str">
        <f>_xll.BDP("413948QJ Muni","INSURANCE_STATUS")</f>
        <v>#N/A Requesting Data...</v>
      </c>
      <c r="D993" t="str">
        <f>_xll.BDP("413948QJ Muni","STATE_CODE")</f>
        <v>#N/A Requesting Data...</v>
      </c>
      <c r="E993" t="str">
        <f>_xll.BDP("413948QJ Muni","COUNTY_LOCATION_ISSUER")</f>
        <v>#N/A Requesting Data...</v>
      </c>
      <c r="F993" t="str">
        <f>_xll.BDP("413948QJ Muni","DUR_ADJ_MID")</f>
        <v>#N/A Requesting Data...</v>
      </c>
      <c r="G993" t="str">
        <f>_xll.BDP("413948QJ Muni","SPREAD_AT_ISSUANCE_TO_WORST")</f>
        <v>#N/A Requesting Data...</v>
      </c>
      <c r="H993" t="str">
        <f>_xll.BDP("413948QJ Muni","ISSUE_DT")</f>
        <v>#N/A Requesting Data...</v>
      </c>
      <c r="I993" t="str">
        <f>_xll.BDS("413948QJ Muni","MUNI_PURPOSE_SCHED", "aggregate=y")</f>
        <v>#N/A Review</v>
      </c>
      <c r="J993" t="str">
        <f>_xll.BDP("413948QJ Muni","CPN")</f>
        <v>#N/A Requesting Data...</v>
      </c>
      <c r="K993" t="str">
        <f>_xll.BDP("413948QJ Muni","MATURITY")</f>
        <v>#N/A Requesting Data...</v>
      </c>
      <c r="L993">
        <v>25000</v>
      </c>
      <c r="M993" t="str">
        <f>_xll.BDP("413948QJ Muni","YIELD_ON_ISSUE_DATE")</f>
        <v>#N/A Requesting Data...</v>
      </c>
      <c r="N993" t="str">
        <f>_xll.BDP("413948QJ Muni","YTW_SPREAD_TO_MATURITY_AT_ISSU")</f>
        <v>#N/A Requesting Data...</v>
      </c>
      <c r="O993" t="str">
        <f>_xll.BDP("413948QJ Muni","BVAL_MID_YTM")</f>
        <v>#N/A Requesting Data...</v>
      </c>
      <c r="P993" t="str">
        <f>_xll.BDP("413948QJ Muni","MUNI_TAX_PROV")</f>
        <v>#N/A Requesting Data...</v>
      </c>
      <c r="Q993" t="str">
        <f>_xll.BDP("413948QJ Muni","MUNI_FED_TAX")</f>
        <v>#N/A Requesting Data...</v>
      </c>
      <c r="R993" t="str">
        <f>_xll.BDP("413948QJ Muni","MUNI_MSRB_VOLUME")</f>
        <v>#N/A Requesting Data...</v>
      </c>
      <c r="S993" t="str">
        <f>_xll.BDP("413948QJ Muni","BB_COMPOSITE")</f>
        <v>#N/A Requesting Data...</v>
      </c>
      <c r="T993" t="str">
        <f>_xll.BDP("413948QJ Muni","LQA_LIQUIDITY_SCORE")</f>
        <v>#N/A Requesting Data...</v>
      </c>
    </row>
    <row r="994" spans="1:20" x14ac:dyDescent="0.25">
      <c r="A994" t="str">
        <f>_xll.BDP("413948QK Muni","ID_CUSIP")</f>
        <v>#N/A Requesting Data...</v>
      </c>
      <c r="B994" t="s">
        <v>353</v>
      </c>
      <c r="C994" t="str">
        <f>_xll.BDP("413948QK Muni","INSURANCE_STATUS")</f>
        <v>#N/A Requesting Data...</v>
      </c>
      <c r="D994" t="str">
        <f>_xll.BDP("413948QK Muni","STATE_CODE")</f>
        <v>#N/A Requesting Data...</v>
      </c>
      <c r="E994" t="str">
        <f>_xll.BDP("413948QK Muni","COUNTY_LOCATION_ISSUER")</f>
        <v>#N/A Requesting Data...</v>
      </c>
      <c r="F994" t="str">
        <f>_xll.BDP("413948QK Muni","DUR_ADJ_MID")</f>
        <v>#N/A Requesting Data...</v>
      </c>
      <c r="G994" t="str">
        <f>_xll.BDP("413948QK Muni","SPREAD_AT_ISSUANCE_TO_WORST")</f>
        <v>#N/A Requesting Data...</v>
      </c>
      <c r="H994" t="str">
        <f>_xll.BDP("413948QK Muni","ISSUE_DT")</f>
        <v>#N/A Requesting Data...</v>
      </c>
      <c r="I994" t="str">
        <f>_xll.BDS("413948QK Muni","MUNI_PURPOSE_SCHED", "aggregate=y")</f>
        <v>#N/A Review</v>
      </c>
      <c r="J994" t="str">
        <f>_xll.BDP("413948QK Muni","CPN")</f>
        <v>#N/A Requesting Data...</v>
      </c>
      <c r="K994" t="str">
        <f>_xll.BDP("413948QK Muni","MATURITY")</f>
        <v>#N/A Requesting Data...</v>
      </c>
      <c r="L994">
        <v>25000</v>
      </c>
      <c r="M994" t="str">
        <f>_xll.BDP("413948QK Muni","YIELD_ON_ISSUE_DATE")</f>
        <v>#N/A Requesting Data...</v>
      </c>
      <c r="N994" t="str">
        <f>_xll.BDP("413948QK Muni","YTW_SPREAD_TO_MATURITY_AT_ISSU")</f>
        <v>#N/A Requesting Data...</v>
      </c>
      <c r="O994" t="str">
        <f>_xll.BDP("413948QK Muni","BVAL_MID_YTM")</f>
        <v>#N/A Requesting Data...</v>
      </c>
      <c r="P994" t="str">
        <f>_xll.BDP("413948QK Muni","MUNI_TAX_PROV")</f>
        <v>#N/A Requesting Data...</v>
      </c>
      <c r="Q994" t="str">
        <f>_xll.BDP("413948QK Muni","MUNI_FED_TAX")</f>
        <v>#N/A Requesting Data...</v>
      </c>
      <c r="R994" t="str">
        <f>_xll.BDP("413948QK Muni","MUNI_MSRB_VOLUME")</f>
        <v>#N/A Requesting Data...</v>
      </c>
      <c r="S994" t="str">
        <f>_xll.BDP("413948QK Muni","BB_COMPOSITE")</f>
        <v>#N/A Requesting Data...</v>
      </c>
      <c r="T994" t="str">
        <f>_xll.BDP("413948QK Muni","LQA_LIQUIDITY_SCORE")</f>
        <v>#N/A Requesting Data...</v>
      </c>
    </row>
    <row r="995" spans="1:20" x14ac:dyDescent="0.25">
      <c r="A995" t="str">
        <f>_xll.BDP("414199PA Muni","ID_CUSIP")</f>
        <v>#N/A Requesting Data...</v>
      </c>
      <c r="B995" t="s">
        <v>354</v>
      </c>
      <c r="C995" t="str">
        <f>_xll.BDP("414199PA Muni","INSURANCE_STATUS")</f>
        <v>#N/A Requesting Data...</v>
      </c>
      <c r="D995" t="str">
        <f>_xll.BDP("414199PA Muni","STATE_CODE")</f>
        <v>#N/A Requesting Data...</v>
      </c>
      <c r="E995" t="str">
        <f>_xll.BDP("414199PA Muni","COUNTY_LOCATION_ISSUER")</f>
        <v>#N/A Requesting Data...</v>
      </c>
      <c r="F995" t="str">
        <f>_xll.BDP("414199PA Muni","DUR_ADJ_MID")</f>
        <v>#N/A Requesting Data...</v>
      </c>
      <c r="G995" t="str">
        <f>_xll.BDP("414199PA Muni","SPREAD_AT_ISSUANCE_TO_WORST")</f>
        <v>#N/A Requesting Data...</v>
      </c>
      <c r="H995" t="str">
        <f>_xll.BDP("414199PA Muni","ISSUE_DT")</f>
        <v>#N/A Requesting Data...</v>
      </c>
      <c r="I995" t="str">
        <f>_xll.BDS("414199PA Muni","MUNI_PURPOSE_SCHED", "aggregate=y")</f>
        <v>#N/A Review</v>
      </c>
      <c r="J995" t="str">
        <f>_xll.BDP("414199PA Muni","CPN")</f>
        <v>#N/A Requesting Data...</v>
      </c>
      <c r="K995" t="str">
        <f>_xll.BDP("414199PA Muni","MATURITY")</f>
        <v>#N/A Requesting Data...</v>
      </c>
      <c r="L995">
        <v>405000</v>
      </c>
      <c r="M995" t="str">
        <f>_xll.BDP("414199PA Muni","YIELD_ON_ISSUE_DATE")</f>
        <v>#N/A Requesting Data...</v>
      </c>
      <c r="N995" t="str">
        <f>_xll.BDP("414199PA Muni","YTW_SPREAD_TO_MATURITY_AT_ISSU")</f>
        <v>#N/A Requesting Data...</v>
      </c>
      <c r="O995" t="str">
        <f>_xll.BDP("414199PA Muni","BVAL_MID_YTM")</f>
        <v>#N/A Requesting Data...</v>
      </c>
      <c r="P995" t="str">
        <f>_xll.BDP("414199PA Muni","MUNI_TAX_PROV")</f>
        <v>#N/A Requesting Data...</v>
      </c>
      <c r="Q995" t="str">
        <f>_xll.BDP("414199PA Muni","MUNI_FED_TAX")</f>
        <v>#N/A Requesting Data...</v>
      </c>
      <c r="R995" t="str">
        <f>_xll.BDP("414199PA Muni","MUNI_MSRB_VOLUME")</f>
        <v>#N/A Requesting Data...</v>
      </c>
      <c r="S995" t="str">
        <f>_xll.BDP("414199PA Muni","BB_COMPOSITE")</f>
        <v>#N/A Requesting Data...</v>
      </c>
      <c r="T995" t="str">
        <f>_xll.BDP("414199PA Muni","LQA_LIQUIDITY_SCORE")</f>
        <v>#N/A Requesting Data...</v>
      </c>
    </row>
    <row r="996" spans="1:20" x14ac:dyDescent="0.25">
      <c r="A996" t="str">
        <f>_xll.BDP("414199PB Muni","ID_CUSIP")</f>
        <v>#N/A Requesting Data...</v>
      </c>
      <c r="B996" t="s">
        <v>354</v>
      </c>
      <c r="C996" t="str">
        <f>_xll.BDP("414199PB Muni","INSURANCE_STATUS")</f>
        <v>#N/A Requesting Data...</v>
      </c>
      <c r="D996" t="str">
        <f>_xll.BDP("414199PB Muni","STATE_CODE")</f>
        <v>#N/A Requesting Data...</v>
      </c>
      <c r="E996" t="str">
        <f>_xll.BDP("414199PB Muni","COUNTY_LOCATION_ISSUER")</f>
        <v>#N/A Requesting Data...</v>
      </c>
      <c r="F996" t="str">
        <f>_xll.BDP("414199PB Muni","DUR_ADJ_MID")</f>
        <v>#N/A Requesting Data...</v>
      </c>
      <c r="G996" t="str">
        <f>_xll.BDP("414199PB Muni","SPREAD_AT_ISSUANCE_TO_WORST")</f>
        <v>#N/A Requesting Data...</v>
      </c>
      <c r="H996" t="str">
        <f>_xll.BDP("414199PB Muni","ISSUE_DT")</f>
        <v>#N/A Requesting Data...</v>
      </c>
      <c r="I996" t="str">
        <f>_xll.BDS("414199PB Muni","MUNI_PURPOSE_SCHED", "aggregate=y")</f>
        <v>#N/A Review</v>
      </c>
      <c r="J996" t="str">
        <f>_xll.BDP("414199PB Muni","CPN")</f>
        <v>#N/A Requesting Data...</v>
      </c>
      <c r="K996" t="str">
        <f>_xll.BDP("414199PB Muni","MATURITY")</f>
        <v>#N/A Requesting Data...</v>
      </c>
      <c r="L996">
        <v>415000</v>
      </c>
      <c r="M996" t="str">
        <f>_xll.BDP("414199PB Muni","YIELD_ON_ISSUE_DATE")</f>
        <v>#N/A Requesting Data...</v>
      </c>
      <c r="N996" t="str">
        <f>_xll.BDP("414199PB Muni","YTW_SPREAD_TO_MATURITY_AT_ISSU")</f>
        <v>#N/A Requesting Data...</v>
      </c>
      <c r="O996" t="str">
        <f>_xll.BDP("414199PB Muni","BVAL_MID_YTM")</f>
        <v>#N/A Requesting Data...</v>
      </c>
      <c r="P996" t="str">
        <f>_xll.BDP("414199PB Muni","MUNI_TAX_PROV")</f>
        <v>#N/A Requesting Data...</v>
      </c>
      <c r="Q996" t="str">
        <f>_xll.BDP("414199PB Muni","MUNI_FED_TAX")</f>
        <v>#N/A Requesting Data...</v>
      </c>
      <c r="R996" t="str">
        <f>_xll.BDP("414199PB Muni","MUNI_MSRB_VOLUME")</f>
        <v>#N/A Requesting Data...</v>
      </c>
      <c r="S996" t="str">
        <f>_xll.BDP("414199PB Muni","BB_COMPOSITE")</f>
        <v>#N/A Requesting Data...</v>
      </c>
      <c r="T996" t="str">
        <f>_xll.BDP("414199PB Muni","LQA_LIQUIDITY_SCORE")</f>
        <v>#N/A Requesting Data...</v>
      </c>
    </row>
    <row r="997" spans="1:20" x14ac:dyDescent="0.25">
      <c r="A997" t="str">
        <f>_xll.BDP("414199PC Muni","ID_CUSIP")</f>
        <v>#N/A Requesting Data...</v>
      </c>
      <c r="B997" t="s">
        <v>354</v>
      </c>
      <c r="C997" t="str">
        <f>_xll.BDP("414199PC Muni","INSURANCE_STATUS")</f>
        <v>#N/A Requesting Data...</v>
      </c>
      <c r="D997" t="str">
        <f>_xll.BDP("414199PC Muni","STATE_CODE")</f>
        <v>#N/A Requesting Data...</v>
      </c>
      <c r="E997" t="str">
        <f>_xll.BDP("414199PC Muni","COUNTY_LOCATION_ISSUER")</f>
        <v>#N/A Requesting Data...</v>
      </c>
      <c r="F997" t="str">
        <f>_xll.BDP("414199PC Muni","DUR_ADJ_MID")</f>
        <v>#N/A Requesting Data...</v>
      </c>
      <c r="G997" t="str">
        <f>_xll.BDP("414199PC Muni","SPREAD_AT_ISSUANCE_TO_WORST")</f>
        <v>#N/A Requesting Data...</v>
      </c>
      <c r="H997" t="str">
        <f>_xll.BDP("414199PC Muni","ISSUE_DT")</f>
        <v>#N/A Requesting Data...</v>
      </c>
      <c r="I997" t="str">
        <f>_xll.BDS("414199PC Muni","MUNI_PURPOSE_SCHED", "aggregate=y")</f>
        <v>#N/A Review</v>
      </c>
      <c r="J997" t="str">
        <f>_xll.BDP("414199PC Muni","CPN")</f>
        <v>#N/A Requesting Data...</v>
      </c>
      <c r="K997" t="str">
        <f>_xll.BDP("414199PC Muni","MATURITY")</f>
        <v>#N/A Requesting Data...</v>
      </c>
      <c r="L997">
        <v>430000</v>
      </c>
      <c r="M997" t="str">
        <f>_xll.BDP("414199PC Muni","YIELD_ON_ISSUE_DATE")</f>
        <v>#N/A Requesting Data...</v>
      </c>
      <c r="N997" t="str">
        <f>_xll.BDP("414199PC Muni","YTW_SPREAD_TO_MATURITY_AT_ISSU")</f>
        <v>#N/A Requesting Data...</v>
      </c>
      <c r="O997" t="str">
        <f>_xll.BDP("414199PC Muni","BVAL_MID_YTM")</f>
        <v>#N/A Requesting Data...</v>
      </c>
      <c r="P997" t="str">
        <f>_xll.BDP("414199PC Muni","MUNI_TAX_PROV")</f>
        <v>#N/A Requesting Data...</v>
      </c>
      <c r="Q997" t="str">
        <f>_xll.BDP("414199PC Muni","MUNI_FED_TAX")</f>
        <v>#N/A Requesting Data...</v>
      </c>
      <c r="R997" t="str">
        <f>_xll.BDP("414199PC Muni","MUNI_MSRB_VOLUME")</f>
        <v>#N/A Requesting Data...</v>
      </c>
      <c r="S997" t="str">
        <f>_xll.BDP("414199PC Muni","BB_COMPOSITE")</f>
        <v>#N/A Requesting Data...</v>
      </c>
      <c r="T997" t="str">
        <f>_xll.BDP("414199PC Muni","LQA_LIQUIDITY_SCORE")</f>
        <v>#N/A Requesting Data...</v>
      </c>
    </row>
    <row r="998" spans="1:20" x14ac:dyDescent="0.25">
      <c r="A998" t="str">
        <f>_xll.BDP("193134AF Muni","ID_CUSIP")</f>
        <v>#N/A Requesting Data...</v>
      </c>
      <c r="B998" t="s">
        <v>355</v>
      </c>
      <c r="C998" t="str">
        <f>_xll.BDP("193134AF Muni","INSURANCE_STATUS")</f>
        <v>#N/A Requesting Data...</v>
      </c>
      <c r="D998" t="str">
        <f>_xll.BDP("193134AF Muni","STATE_CODE")</f>
        <v>#N/A Requesting Data...</v>
      </c>
      <c r="E998" t="str">
        <f>_xll.BDP("193134AF Muni","COUNTY_LOCATION_ISSUER")</f>
        <v>#N/A Requesting Data...</v>
      </c>
      <c r="F998" t="str">
        <f>_xll.BDP("193134AF Muni","DUR_ADJ_MID")</f>
        <v>#N/A Requesting Data...</v>
      </c>
      <c r="G998" t="str">
        <f>_xll.BDP("193134AF Muni","SPREAD_AT_ISSUANCE_TO_WORST")</f>
        <v>#N/A Requesting Data...</v>
      </c>
      <c r="H998" t="str">
        <f>_xll.BDP("193134AF Muni","ISSUE_DT")</f>
        <v>#N/A Requesting Data...</v>
      </c>
      <c r="I998" t="str">
        <f>_xll.BDS("193134AF Muni","MUNI_PURPOSE_SCHED", "aggregate=y")</f>
        <v>#N/A Review</v>
      </c>
      <c r="J998" t="str">
        <f>_xll.BDP("193134AF Muni","CPN")</f>
        <v>#N/A Requesting Data...</v>
      </c>
      <c r="K998" t="str">
        <f>_xll.BDP("193134AF Muni","MATURITY")</f>
        <v>#N/A Requesting Data...</v>
      </c>
      <c r="L998">
        <v>80000</v>
      </c>
      <c r="M998" t="str">
        <f>_xll.BDP("193134AF Muni","YIELD_ON_ISSUE_DATE")</f>
        <v>#N/A Requesting Data...</v>
      </c>
      <c r="N998" t="str">
        <f>_xll.BDP("193134AF Muni","YTW_SPREAD_TO_MATURITY_AT_ISSU")</f>
        <v>#N/A Requesting Data...</v>
      </c>
      <c r="O998" t="str">
        <f>_xll.BDP("193134AF Muni","BVAL_MID_YTM")</f>
        <v>#N/A Requesting Data...</v>
      </c>
      <c r="P998" t="str">
        <f>_xll.BDP("193134AF Muni","MUNI_TAX_PROV")</f>
        <v>#N/A Requesting Data...</v>
      </c>
      <c r="Q998" t="str">
        <f>_xll.BDP("193134AF Muni","MUNI_FED_TAX")</f>
        <v>#N/A Requesting Data...</v>
      </c>
      <c r="R998" t="str">
        <f>_xll.BDP("193134AF Muni","MUNI_MSRB_VOLUME")</f>
        <v>#N/A Requesting Data...</v>
      </c>
      <c r="S998" t="str">
        <f>_xll.BDP("193134AF Muni","BB_COMPOSITE")</f>
        <v>#N/A Requesting Data...</v>
      </c>
      <c r="T998" t="str">
        <f>_xll.BDP("193134AF Muni","LQA_LIQUIDITY_SCORE")</f>
        <v>#N/A Requesting Data...</v>
      </c>
    </row>
    <row r="999" spans="1:20" x14ac:dyDescent="0.25">
      <c r="A999" t="str">
        <f>_xll.BDP("193134AG Muni","ID_CUSIP")</f>
        <v>#N/A Requesting Data...</v>
      </c>
      <c r="B999" t="s">
        <v>355</v>
      </c>
      <c r="C999" t="str">
        <f>_xll.BDP("193134AG Muni","INSURANCE_STATUS")</f>
        <v>#N/A Requesting Data...</v>
      </c>
      <c r="D999" t="str">
        <f>_xll.BDP("193134AG Muni","STATE_CODE")</f>
        <v>#N/A Requesting Data...</v>
      </c>
      <c r="E999" t="str">
        <f>_xll.BDP("193134AG Muni","COUNTY_LOCATION_ISSUER")</f>
        <v>#N/A Requesting Data...</v>
      </c>
      <c r="F999" t="str">
        <f>_xll.BDP("193134AG Muni","DUR_ADJ_MID")</f>
        <v>#N/A Requesting Data...</v>
      </c>
      <c r="G999" t="str">
        <f>_xll.BDP("193134AG Muni","SPREAD_AT_ISSUANCE_TO_WORST")</f>
        <v>#N/A Requesting Data...</v>
      </c>
      <c r="H999" t="str">
        <f>_xll.BDP("193134AG Muni","ISSUE_DT")</f>
        <v>#N/A Requesting Data...</v>
      </c>
      <c r="I999" t="str">
        <f>_xll.BDS("193134AG Muni","MUNI_PURPOSE_SCHED", "aggregate=y")</f>
        <v>#N/A Review</v>
      </c>
      <c r="J999" t="str">
        <f>_xll.BDP("193134AG Muni","CPN")</f>
        <v>#N/A Requesting Data...</v>
      </c>
      <c r="K999" t="str">
        <f>_xll.BDP("193134AG Muni","MATURITY")</f>
        <v>#N/A Requesting Data...</v>
      </c>
      <c r="L999">
        <v>85000</v>
      </c>
      <c r="M999" t="str">
        <f>_xll.BDP("193134AG Muni","YIELD_ON_ISSUE_DATE")</f>
        <v>#N/A Requesting Data...</v>
      </c>
      <c r="N999" t="str">
        <f>_xll.BDP("193134AG Muni","YTW_SPREAD_TO_MATURITY_AT_ISSU")</f>
        <v>#N/A Requesting Data...</v>
      </c>
      <c r="O999" t="str">
        <f>_xll.BDP("193134AG Muni","BVAL_MID_YTM")</f>
        <v>#N/A Requesting Data...</v>
      </c>
      <c r="P999" t="str">
        <f>_xll.BDP("193134AG Muni","MUNI_TAX_PROV")</f>
        <v>#N/A Requesting Data...</v>
      </c>
      <c r="Q999" t="str">
        <f>_xll.BDP("193134AG Muni","MUNI_FED_TAX")</f>
        <v>#N/A Requesting Data...</v>
      </c>
      <c r="R999" t="str">
        <f>_xll.BDP("193134AG Muni","MUNI_MSRB_VOLUME")</f>
        <v>#N/A Requesting Data...</v>
      </c>
      <c r="S999" t="str">
        <f>_xll.BDP("193134AG Muni","BB_COMPOSITE")</f>
        <v>#N/A Requesting Data...</v>
      </c>
      <c r="T999" t="str">
        <f>_xll.BDP("193134AG Muni","LQA_LIQUIDITY_SCORE")</f>
        <v>#N/A Requesting Data...</v>
      </c>
    </row>
    <row r="1000" spans="1:20" x14ac:dyDescent="0.25">
      <c r="A1000" t="str">
        <f>_xll.BDP("193170EC Muni","ID_CUSIP")</f>
        <v>#N/A Requesting Data...</v>
      </c>
      <c r="B1000" t="s">
        <v>140</v>
      </c>
      <c r="C1000" t="str">
        <f>_xll.BDP("193170EC Muni","INSURANCE_STATUS")</f>
        <v>#N/A Requesting Data...</v>
      </c>
      <c r="D1000" t="str">
        <f>_xll.BDP("193170EC Muni","STATE_CODE")</f>
        <v>#N/A Requesting Data...</v>
      </c>
      <c r="E1000" t="str">
        <f>_xll.BDP("193170EC Muni","COUNTY_LOCATION_ISSUER")</f>
        <v>#N/A Requesting Data...</v>
      </c>
      <c r="F1000" t="str">
        <f>_xll.BDP("193170EC Muni","DUR_ADJ_MID")</f>
        <v>#N/A Requesting Data...</v>
      </c>
      <c r="G1000" t="str">
        <f>_xll.BDP("193170EC Muni","SPREAD_AT_ISSUANCE_TO_WORST")</f>
        <v>#N/A Requesting Data...</v>
      </c>
      <c r="H1000" t="str">
        <f>_xll.BDP("193170EC Muni","ISSUE_DT")</f>
        <v>#N/A Requesting Data...</v>
      </c>
      <c r="I1000" t="str">
        <f>_xll.BDS("193170EC Muni","MUNI_PURPOSE_SCHED", "aggregate=y")</f>
        <v>#N/A Review</v>
      </c>
      <c r="J1000" t="str">
        <f>_xll.BDP("193170EC Muni","CPN")</f>
        <v>#N/A Requesting Data...</v>
      </c>
      <c r="K1000" t="str">
        <f>_xll.BDP("193170EC Muni","MATURITY")</f>
        <v>#N/A Requesting Data...</v>
      </c>
      <c r="L1000">
        <v>440000</v>
      </c>
      <c r="M1000" t="str">
        <f>_xll.BDP("193170EC Muni","YIELD_ON_ISSUE_DATE")</f>
        <v>#N/A Requesting Data...</v>
      </c>
      <c r="N1000" t="str">
        <f>_xll.BDP("193170EC Muni","YTW_SPREAD_TO_MATURITY_AT_ISSU")</f>
        <v>#N/A Requesting Data...</v>
      </c>
      <c r="O1000" t="str">
        <f>_xll.BDP("193170EC Muni","BVAL_MID_YTM")</f>
        <v>#N/A Requesting Data...</v>
      </c>
      <c r="P1000" t="str">
        <f>_xll.BDP("193170EC Muni","MUNI_TAX_PROV")</f>
        <v>#N/A Requesting Data...</v>
      </c>
      <c r="Q1000" t="str">
        <f>_xll.BDP("193170EC Muni","MUNI_FED_TAX")</f>
        <v>#N/A Requesting Data...</v>
      </c>
      <c r="R1000" t="str">
        <f>_xll.BDP("193170EC Muni","MUNI_MSRB_VOLUME")</f>
        <v>#N/A Requesting Data...</v>
      </c>
      <c r="S1000" t="str">
        <f>_xll.BDP("193170EC Muni","BB_COMPOSITE")</f>
        <v>#N/A Requesting Data...</v>
      </c>
      <c r="T1000" t="str">
        <f>_xll.BDP("193170EC Muni","LQA_LIQUIDITY_SCORE")</f>
        <v>#N/A Requesting Data...</v>
      </c>
    </row>
    <row r="1001" spans="1:20" x14ac:dyDescent="0.25">
      <c r="A1001" t="str">
        <f>_xll.BDP("193170ED Muni","ID_CUSIP")</f>
        <v>#N/A Requesting Data...</v>
      </c>
      <c r="B1001" t="s">
        <v>140</v>
      </c>
      <c r="C1001" t="str">
        <f>_xll.BDP("193170ED Muni","INSURANCE_STATUS")</f>
        <v>#N/A Requesting Data...</v>
      </c>
      <c r="D1001" t="str">
        <f>_xll.BDP("193170ED Muni","STATE_CODE")</f>
        <v>#N/A Requesting Data...</v>
      </c>
      <c r="E1001" t="str">
        <f>_xll.BDP("193170ED Muni","COUNTY_LOCATION_ISSUER")</f>
        <v>#N/A Requesting Data...</v>
      </c>
      <c r="F1001" t="str">
        <f>_xll.BDP("193170ED Muni","DUR_ADJ_MID")</f>
        <v>#N/A Requesting Data...</v>
      </c>
      <c r="G1001" t="str">
        <f>_xll.BDP("193170ED Muni","SPREAD_AT_ISSUANCE_TO_WORST")</f>
        <v>#N/A Requesting Data...</v>
      </c>
      <c r="H1001" t="str">
        <f>_xll.BDP("193170ED Muni","ISSUE_DT")</f>
        <v>#N/A Requesting Data...</v>
      </c>
      <c r="I1001" t="str">
        <f>_xll.BDS("193170ED Muni","MUNI_PURPOSE_SCHED", "aggregate=y")</f>
        <v>#N/A Review</v>
      </c>
      <c r="J1001" t="str">
        <f>_xll.BDP("193170ED Muni","CPN")</f>
        <v>#N/A Requesting Data...</v>
      </c>
      <c r="K1001" t="str">
        <f>_xll.BDP("193170ED Muni","MATURITY")</f>
        <v>#N/A Requesting Data...</v>
      </c>
      <c r="L1001">
        <v>460000</v>
      </c>
      <c r="M1001" t="str">
        <f>_xll.BDP("193170ED Muni","YIELD_ON_ISSUE_DATE")</f>
        <v>#N/A Requesting Data...</v>
      </c>
      <c r="N1001" t="str">
        <f>_xll.BDP("193170ED Muni","YTW_SPREAD_TO_MATURITY_AT_ISSU")</f>
        <v>#N/A Requesting Data...</v>
      </c>
      <c r="O1001" t="str">
        <f>_xll.BDP("193170ED Muni","BVAL_MID_YTM")</f>
        <v>#N/A Requesting Data...</v>
      </c>
      <c r="P1001" t="str">
        <f>_xll.BDP("193170ED Muni","MUNI_TAX_PROV")</f>
        <v>#N/A Requesting Data...</v>
      </c>
      <c r="Q1001" t="str">
        <f>_xll.BDP("193170ED Muni","MUNI_FED_TAX")</f>
        <v>#N/A Requesting Data...</v>
      </c>
      <c r="R1001" t="str">
        <f>_xll.BDP("193170ED Muni","MUNI_MSRB_VOLUME")</f>
        <v>#N/A Requesting Data...</v>
      </c>
      <c r="S1001" t="str">
        <f>_xll.BDP("193170ED Muni","BB_COMPOSITE")</f>
        <v>#N/A Requesting Data...</v>
      </c>
      <c r="T1001" t="str">
        <f>_xll.BDP("193170ED Muni","LQA_LIQUIDITY_SCORE")</f>
        <v>#N/A Requesting Data...</v>
      </c>
    </row>
    <row r="1002" spans="1:20" x14ac:dyDescent="0.25">
      <c r="A1002" t="str">
        <f>_xll.BDP("193170EE Muni","ID_CUSIP")</f>
        <v>#N/A Requesting Data...</v>
      </c>
      <c r="B1002" t="s">
        <v>140</v>
      </c>
      <c r="C1002" t="str">
        <f>_xll.BDP("193170EE Muni","INSURANCE_STATUS")</f>
        <v>#N/A Requesting Data...</v>
      </c>
      <c r="D1002" t="str">
        <f>_xll.BDP("193170EE Muni","STATE_CODE")</f>
        <v>#N/A Requesting Data...</v>
      </c>
      <c r="E1002" t="str">
        <f>_xll.BDP("193170EE Muni","COUNTY_LOCATION_ISSUER")</f>
        <v>#N/A Requesting Data...</v>
      </c>
      <c r="F1002" t="str">
        <f>_xll.BDP("193170EE Muni","DUR_ADJ_MID")</f>
        <v>#N/A Requesting Data...</v>
      </c>
      <c r="G1002" t="str">
        <f>_xll.BDP("193170EE Muni","SPREAD_AT_ISSUANCE_TO_WORST")</f>
        <v>#N/A Requesting Data...</v>
      </c>
      <c r="H1002" t="str">
        <f>_xll.BDP("193170EE Muni","ISSUE_DT")</f>
        <v>#N/A Requesting Data...</v>
      </c>
      <c r="I1002" t="str">
        <f>_xll.BDS("193170EE Muni","MUNI_PURPOSE_SCHED", "aggregate=y")</f>
        <v>#N/A Review</v>
      </c>
      <c r="J1002" t="str">
        <f>_xll.BDP("193170EE Muni","CPN")</f>
        <v>#N/A Requesting Data...</v>
      </c>
      <c r="K1002" t="str">
        <f>_xll.BDP("193170EE Muni","MATURITY")</f>
        <v>#N/A Requesting Data...</v>
      </c>
      <c r="L1002">
        <v>480000</v>
      </c>
      <c r="M1002" t="str">
        <f>_xll.BDP("193170EE Muni","YIELD_ON_ISSUE_DATE")</f>
        <v>#N/A Requesting Data...</v>
      </c>
      <c r="N1002" t="str">
        <f>_xll.BDP("193170EE Muni","YTW_SPREAD_TO_MATURITY_AT_ISSU")</f>
        <v>#N/A Requesting Data...</v>
      </c>
      <c r="O1002" t="str">
        <f>_xll.BDP("193170EE Muni","BVAL_MID_YTM")</f>
        <v>#N/A Requesting Data...</v>
      </c>
      <c r="P1002" t="str">
        <f>_xll.BDP("193170EE Muni","MUNI_TAX_PROV")</f>
        <v>#N/A Requesting Data...</v>
      </c>
      <c r="Q1002" t="str">
        <f>_xll.BDP("193170EE Muni","MUNI_FED_TAX")</f>
        <v>#N/A Requesting Data...</v>
      </c>
      <c r="R1002" t="str">
        <f>_xll.BDP("193170EE Muni","MUNI_MSRB_VOLUME")</f>
        <v>#N/A Requesting Data...</v>
      </c>
      <c r="S1002" t="str">
        <f>_xll.BDP("193170EE Muni","BB_COMPOSITE")</f>
        <v>#N/A Requesting Data...</v>
      </c>
      <c r="T1002" t="str">
        <f>_xll.BDP("193170EE Muni","LQA_LIQUIDITY_SCORE")</f>
        <v>#N/A Requesting Data...</v>
      </c>
    </row>
    <row r="1003" spans="1:20" x14ac:dyDescent="0.25">
      <c r="A1003" t="str">
        <f>_xll.BDP("193170EF Muni","ID_CUSIP")</f>
        <v>#N/A Requesting Data...</v>
      </c>
      <c r="B1003" t="s">
        <v>140</v>
      </c>
      <c r="C1003" t="str">
        <f>_xll.BDP("193170EF Muni","INSURANCE_STATUS")</f>
        <v>#N/A Requesting Data...</v>
      </c>
      <c r="D1003" t="str">
        <f>_xll.BDP("193170EF Muni","STATE_CODE")</f>
        <v>#N/A Requesting Data...</v>
      </c>
      <c r="E1003" t="str">
        <f>_xll.BDP("193170EF Muni","COUNTY_LOCATION_ISSUER")</f>
        <v>#N/A Requesting Data...</v>
      </c>
      <c r="F1003" t="str">
        <f>_xll.BDP("193170EF Muni","DUR_ADJ_MID")</f>
        <v>#N/A Requesting Data...</v>
      </c>
      <c r="G1003" t="str">
        <f>_xll.BDP("193170EF Muni","SPREAD_AT_ISSUANCE_TO_WORST")</f>
        <v>#N/A Requesting Data...</v>
      </c>
      <c r="H1003" t="str">
        <f>_xll.BDP("193170EF Muni","ISSUE_DT")</f>
        <v>#N/A Requesting Data...</v>
      </c>
      <c r="I1003" t="str">
        <f>_xll.BDS("193170EF Muni","MUNI_PURPOSE_SCHED", "aggregate=y")</f>
        <v>#N/A Review</v>
      </c>
      <c r="J1003" t="str">
        <f>_xll.BDP("193170EF Muni","CPN")</f>
        <v>#N/A Requesting Data...</v>
      </c>
      <c r="K1003" t="str">
        <f>_xll.BDP("193170EF Muni","MATURITY")</f>
        <v>#N/A Requesting Data...</v>
      </c>
      <c r="L1003">
        <v>495000</v>
      </c>
      <c r="M1003" t="str">
        <f>_xll.BDP("193170EF Muni","YIELD_ON_ISSUE_DATE")</f>
        <v>#N/A Requesting Data...</v>
      </c>
      <c r="N1003" t="str">
        <f>_xll.BDP("193170EF Muni","YTW_SPREAD_TO_MATURITY_AT_ISSU")</f>
        <v>#N/A Requesting Data...</v>
      </c>
      <c r="O1003" t="str">
        <f>_xll.BDP("193170EF Muni","BVAL_MID_YTM")</f>
        <v>#N/A Requesting Data...</v>
      </c>
      <c r="P1003" t="str">
        <f>_xll.BDP("193170EF Muni","MUNI_TAX_PROV")</f>
        <v>#N/A Requesting Data...</v>
      </c>
      <c r="Q1003" t="str">
        <f>_xll.BDP("193170EF Muni","MUNI_FED_TAX")</f>
        <v>#N/A Requesting Data...</v>
      </c>
      <c r="R1003" t="str">
        <f>_xll.BDP("193170EF Muni","MUNI_MSRB_VOLUME")</f>
        <v>#N/A Requesting Data...</v>
      </c>
      <c r="S1003" t="str">
        <f>_xll.BDP("193170EF Muni","BB_COMPOSITE")</f>
        <v>#N/A Requesting Data...</v>
      </c>
      <c r="T1003" t="str">
        <f>_xll.BDP("193170EF Muni","LQA_LIQUIDITY_SCORE")</f>
        <v>#N/A Requesting Data...</v>
      </c>
    </row>
    <row r="1004" spans="1:20" x14ac:dyDescent="0.25">
      <c r="A1004" t="str">
        <f>_xll.BDP("278444CL Muni","ID_CUSIP")</f>
        <v>#N/A Requesting Data...</v>
      </c>
      <c r="B1004" t="s">
        <v>150</v>
      </c>
      <c r="C1004" t="str">
        <f>_xll.BDP("278444CL Muni","INSURANCE_STATUS")</f>
        <v>#N/A Requesting Data...</v>
      </c>
      <c r="D1004" t="str">
        <f>_xll.BDP("278444CL Muni","STATE_CODE")</f>
        <v>#N/A Requesting Data...</v>
      </c>
      <c r="E1004" t="str">
        <f>_xll.BDP("278444CL Muni","COUNTY_LOCATION_ISSUER")</f>
        <v>#N/A Requesting Data...</v>
      </c>
      <c r="F1004" t="str">
        <f>_xll.BDP("278444CL Muni","DUR_ADJ_MID")</f>
        <v>#N/A Requesting Data...</v>
      </c>
      <c r="G1004" t="str">
        <f>_xll.BDP("278444CL Muni","SPREAD_AT_ISSUANCE_TO_WORST")</f>
        <v>#N/A Requesting Data...</v>
      </c>
      <c r="H1004" t="str">
        <f>_xll.BDP("278444CL Muni","ISSUE_DT")</f>
        <v>#N/A Requesting Data...</v>
      </c>
      <c r="I1004" t="str">
        <f>_xll.BDS("278444CL Muni","MUNI_PURPOSE_SCHED", "aggregate=y")</f>
        <v>#N/A Review</v>
      </c>
      <c r="J1004" t="str">
        <f>_xll.BDP("278444CL Muni","CPN")</f>
        <v>#N/A Requesting Data...</v>
      </c>
      <c r="K1004" t="str">
        <f>_xll.BDP("278444CL Muni","MATURITY")</f>
        <v>#N/A Requesting Data...</v>
      </c>
      <c r="L1004">
        <v>680000</v>
      </c>
      <c r="M1004" t="str">
        <f>_xll.BDP("278444CL Muni","YIELD_ON_ISSUE_DATE")</f>
        <v>#N/A Requesting Data...</v>
      </c>
      <c r="N1004" t="str">
        <f>_xll.BDP("278444CL Muni","YTW_SPREAD_TO_MATURITY_AT_ISSU")</f>
        <v>#N/A Requesting Data...</v>
      </c>
      <c r="O1004" t="str">
        <f>_xll.BDP("278444CL Muni","BVAL_MID_YTM")</f>
        <v>#N/A Requesting Data...</v>
      </c>
      <c r="P1004" t="str">
        <f>_xll.BDP("278444CL Muni","MUNI_TAX_PROV")</f>
        <v>#N/A Requesting Data...</v>
      </c>
      <c r="Q1004" t="str">
        <f>_xll.BDP("278444CL Muni","MUNI_FED_TAX")</f>
        <v>#N/A Requesting Data...</v>
      </c>
      <c r="R1004" t="str">
        <f>_xll.BDP("278444CL Muni","MUNI_MSRB_VOLUME")</f>
        <v>#N/A Requesting Data...</v>
      </c>
      <c r="S1004" t="str">
        <f>_xll.BDP("278444CL Muni","BB_COMPOSITE")</f>
        <v>#N/A Requesting Data...</v>
      </c>
      <c r="T1004" t="str">
        <f>_xll.BDP("278444CL Muni","LQA_LIQUIDITY_SCORE")</f>
        <v>#N/A Requesting Data...</v>
      </c>
    </row>
    <row r="1005" spans="1:20" x14ac:dyDescent="0.25">
      <c r="A1005" t="str">
        <f>_xll.BDP("279518EY Muni","ID_CUSIP")</f>
        <v>#N/A Requesting Data...</v>
      </c>
      <c r="B1005" t="s">
        <v>356</v>
      </c>
      <c r="C1005" t="str">
        <f>_xll.BDP("279518EY Muni","INSURANCE_STATUS")</f>
        <v>#N/A Requesting Data...</v>
      </c>
      <c r="D1005" t="str">
        <f>_xll.BDP("279518EY Muni","STATE_CODE")</f>
        <v>#N/A Requesting Data...</v>
      </c>
      <c r="E1005" t="str">
        <f>_xll.BDP("279518EY Muni","COUNTY_LOCATION_ISSUER")</f>
        <v>#N/A Requesting Data...</v>
      </c>
      <c r="F1005" t="str">
        <f>_xll.BDP("279518EY Muni","DUR_ADJ_MID")</f>
        <v>#N/A Requesting Data...</v>
      </c>
      <c r="G1005" t="str">
        <f>_xll.BDP("279518EY Muni","SPREAD_AT_ISSUANCE_TO_WORST")</f>
        <v>#N/A Requesting Data...</v>
      </c>
      <c r="H1005" t="str">
        <f>_xll.BDP("279518EY Muni","ISSUE_DT")</f>
        <v>#N/A Requesting Data...</v>
      </c>
      <c r="I1005" t="str">
        <f>_xll.BDS("279518EY Muni","MUNI_PURPOSE_SCHED", "aggregate=y")</f>
        <v>#N/A Review</v>
      </c>
      <c r="J1005" t="str">
        <f>_xll.BDP("279518EY Muni","CPN")</f>
        <v>#N/A Requesting Data...</v>
      </c>
      <c r="K1005" t="str">
        <f>_xll.BDP("279518EY Muni","MATURITY")</f>
        <v>#N/A Requesting Data...</v>
      </c>
      <c r="L1005">
        <v>390000</v>
      </c>
      <c r="M1005" t="str">
        <f>_xll.BDP("279518EY Muni","YIELD_ON_ISSUE_DATE")</f>
        <v>#N/A Requesting Data...</v>
      </c>
      <c r="N1005" t="str">
        <f>_xll.BDP("279518EY Muni","YTW_SPREAD_TO_MATURITY_AT_ISSU")</f>
        <v>#N/A Requesting Data...</v>
      </c>
      <c r="O1005" t="str">
        <f>_xll.BDP("279518EY Muni","BVAL_MID_YTM")</f>
        <v>#N/A Requesting Data...</v>
      </c>
      <c r="P1005" t="str">
        <f>_xll.BDP("279518EY Muni","MUNI_TAX_PROV")</f>
        <v>#N/A Requesting Data...</v>
      </c>
      <c r="Q1005" t="str">
        <f>_xll.BDP("279518EY Muni","MUNI_FED_TAX")</f>
        <v>#N/A Requesting Data...</v>
      </c>
      <c r="R1005" t="str">
        <f>_xll.BDP("279518EY Muni","MUNI_MSRB_VOLUME")</f>
        <v>#N/A Requesting Data...</v>
      </c>
      <c r="S1005" t="str">
        <f>_xll.BDP("279518EY Muni","BB_COMPOSITE")</f>
        <v>#N/A Requesting Data...</v>
      </c>
      <c r="T1005" t="str">
        <f>_xll.BDP("279518EY Muni","LQA_LIQUIDITY_SCORE")</f>
        <v>#N/A Requesting Data...</v>
      </c>
    </row>
    <row r="1006" spans="1:20" x14ac:dyDescent="0.25">
      <c r="A1006" t="str">
        <f>_xll.BDP("27183MBR Muni","ID_CUSIP")</f>
        <v>#N/A Requesting Data...</v>
      </c>
      <c r="B1006" t="s">
        <v>357</v>
      </c>
      <c r="C1006" t="str">
        <f>_xll.BDP("27183MBR Muni","INSURANCE_STATUS")</f>
        <v>#N/A Requesting Data...</v>
      </c>
      <c r="D1006" t="str">
        <f>_xll.BDP("27183MBR Muni","STATE_CODE")</f>
        <v>#N/A Requesting Data...</v>
      </c>
      <c r="E1006" t="str">
        <f>_xll.BDP("27183MBR Muni","COUNTY_LOCATION_ISSUER")</f>
        <v>#N/A Requesting Data...</v>
      </c>
      <c r="F1006" t="str">
        <f>_xll.BDP("27183MBR Muni","DUR_ADJ_MID")</f>
        <v>#N/A Requesting Data...</v>
      </c>
      <c r="G1006" t="str">
        <f>_xll.BDP("27183MBR Muni","SPREAD_AT_ISSUANCE_TO_WORST")</f>
        <v>#N/A Requesting Data...</v>
      </c>
      <c r="H1006" t="str">
        <f>_xll.BDP("27183MBR Muni","ISSUE_DT")</f>
        <v>#N/A Requesting Data...</v>
      </c>
      <c r="I1006" t="str">
        <f>_xll.BDS("27183MBR Muni","MUNI_PURPOSE_SCHED", "aggregate=y")</f>
        <v>#N/A Review</v>
      </c>
      <c r="J1006" t="str">
        <f>_xll.BDP("27183MBR Muni","CPN")</f>
        <v>#N/A Requesting Data...</v>
      </c>
      <c r="K1006" t="str">
        <f>_xll.BDP("27183MBR Muni","MATURITY")</f>
        <v>#N/A Requesting Data...</v>
      </c>
      <c r="L1006">
        <v>920000</v>
      </c>
      <c r="M1006" t="str">
        <f>_xll.BDP("27183MBR Muni","YIELD_ON_ISSUE_DATE")</f>
        <v>#N/A Requesting Data...</v>
      </c>
      <c r="N1006" t="str">
        <f>_xll.BDP("27183MBR Muni","YTW_SPREAD_TO_MATURITY_AT_ISSU")</f>
        <v>#N/A Requesting Data...</v>
      </c>
      <c r="O1006" t="str">
        <f>_xll.BDP("27183MBR Muni","BVAL_MID_YTM")</f>
        <v>#N/A Requesting Data...</v>
      </c>
      <c r="P1006" t="str">
        <f>_xll.BDP("27183MBR Muni","MUNI_TAX_PROV")</f>
        <v>#N/A Requesting Data...</v>
      </c>
      <c r="Q1006" t="str">
        <f>_xll.BDP("27183MBR Muni","MUNI_FED_TAX")</f>
        <v>#N/A Requesting Data...</v>
      </c>
      <c r="R1006" t="str">
        <f>_xll.BDP("27183MBR Muni","MUNI_MSRB_VOLUME")</f>
        <v>#N/A Requesting Data...</v>
      </c>
      <c r="S1006" t="str">
        <f>_xll.BDP("27183MBR Muni","BB_COMPOSITE")</f>
        <v>#N/A Requesting Data...</v>
      </c>
      <c r="T1006" t="str">
        <f>_xll.BDP("27183MBR Muni","LQA_LIQUIDITY_SCORE")</f>
        <v>#N/A Requesting Data...</v>
      </c>
    </row>
    <row r="1007" spans="1:20" x14ac:dyDescent="0.25">
      <c r="A1007" t="str">
        <f>_xll.BDP("27183MBS Muni","ID_CUSIP")</f>
        <v>#N/A Requesting Data...</v>
      </c>
      <c r="B1007" t="s">
        <v>357</v>
      </c>
      <c r="C1007" t="str">
        <f>_xll.BDP("27183MBS Muni","INSURANCE_STATUS")</f>
        <v>#N/A Requesting Data...</v>
      </c>
      <c r="D1007" t="str">
        <f>_xll.BDP("27183MBS Muni","STATE_CODE")</f>
        <v>#N/A Requesting Data...</v>
      </c>
      <c r="E1007" t="str">
        <f>_xll.BDP("27183MBS Muni","COUNTY_LOCATION_ISSUER")</f>
        <v>#N/A Requesting Data...</v>
      </c>
      <c r="F1007" t="str">
        <f>_xll.BDP("27183MBS Muni","DUR_ADJ_MID")</f>
        <v>#N/A Requesting Data...</v>
      </c>
      <c r="G1007" t="str">
        <f>_xll.BDP("27183MBS Muni","SPREAD_AT_ISSUANCE_TO_WORST")</f>
        <v>#N/A Requesting Data...</v>
      </c>
      <c r="H1007" t="str">
        <f>_xll.BDP("27183MBS Muni","ISSUE_DT")</f>
        <v>#N/A Requesting Data...</v>
      </c>
      <c r="I1007" t="str">
        <f>_xll.BDS("27183MBS Muni","MUNI_PURPOSE_SCHED", "aggregate=y")</f>
        <v>#N/A Review</v>
      </c>
      <c r="J1007" t="str">
        <f>_xll.BDP("27183MBS Muni","CPN")</f>
        <v>#N/A Requesting Data...</v>
      </c>
      <c r="K1007" t="str">
        <f>_xll.BDP("27183MBS Muni","MATURITY")</f>
        <v>#N/A Requesting Data...</v>
      </c>
      <c r="L1007">
        <v>970000</v>
      </c>
      <c r="M1007" t="str">
        <f>_xll.BDP("27183MBS Muni","YIELD_ON_ISSUE_DATE")</f>
        <v>#N/A Requesting Data...</v>
      </c>
      <c r="N1007" t="str">
        <f>_xll.BDP("27183MBS Muni","YTW_SPREAD_TO_MATURITY_AT_ISSU")</f>
        <v>#N/A Requesting Data...</v>
      </c>
      <c r="O1007" t="str">
        <f>_xll.BDP("27183MBS Muni","BVAL_MID_YTM")</f>
        <v>#N/A Requesting Data...</v>
      </c>
      <c r="P1007" t="str">
        <f>_xll.BDP("27183MBS Muni","MUNI_TAX_PROV")</f>
        <v>#N/A Requesting Data...</v>
      </c>
      <c r="Q1007" t="str">
        <f>_xll.BDP("27183MBS Muni","MUNI_FED_TAX")</f>
        <v>#N/A Requesting Data...</v>
      </c>
      <c r="R1007" t="str">
        <f>_xll.BDP("27183MBS Muni","MUNI_MSRB_VOLUME")</f>
        <v>#N/A Requesting Data...</v>
      </c>
      <c r="S1007" t="str">
        <f>_xll.BDP("27183MBS Muni","BB_COMPOSITE")</f>
        <v>#N/A Requesting Data...</v>
      </c>
      <c r="T1007" t="str">
        <f>_xll.BDP("27183MBS Muni","LQA_LIQUIDITY_SCORE")</f>
        <v>#N/A Requesting Data...</v>
      </c>
    </row>
    <row r="1008" spans="1:20" x14ac:dyDescent="0.25">
      <c r="A1008" t="str">
        <f>_xll.BDP("272272AG Muni","ID_CUSIP")</f>
        <v>#N/A Requesting Data...</v>
      </c>
      <c r="B1008" t="s">
        <v>358</v>
      </c>
      <c r="C1008" t="str">
        <f>_xll.BDP("272272AG Muni","INSURANCE_STATUS")</f>
        <v>#N/A Requesting Data...</v>
      </c>
      <c r="D1008" t="str">
        <f>_xll.BDP("272272AG Muni","STATE_CODE")</f>
        <v>#N/A Requesting Data...</v>
      </c>
      <c r="E1008" t="str">
        <f>_xll.BDP("272272AG Muni","COUNTY_LOCATION_ISSUER")</f>
        <v>#N/A Requesting Data...</v>
      </c>
      <c r="F1008" t="str">
        <f>_xll.BDP("272272AG Muni","DUR_ADJ_MID")</f>
        <v>#N/A Requesting Data...</v>
      </c>
      <c r="G1008" t="str">
        <f>_xll.BDP("272272AG Muni","SPREAD_AT_ISSUANCE_TO_WORST")</f>
        <v>#N/A Requesting Data...</v>
      </c>
      <c r="H1008" t="str">
        <f>_xll.BDP("272272AG Muni","ISSUE_DT")</f>
        <v>#N/A Requesting Data...</v>
      </c>
      <c r="I1008" t="str">
        <f>_xll.BDS("272272AG Muni","MUNI_PURPOSE_SCHED", "aggregate=y")</f>
        <v>#N/A Review</v>
      </c>
      <c r="J1008" t="str">
        <f>_xll.BDP("272272AG Muni","CPN")</f>
        <v>#N/A Requesting Data...</v>
      </c>
      <c r="K1008" t="str">
        <f>_xll.BDP("272272AG Muni","MATURITY")</f>
        <v>#N/A Requesting Data...</v>
      </c>
      <c r="L1008">
        <v>100000</v>
      </c>
      <c r="M1008" t="str">
        <f>_xll.BDP("272272AG Muni","YIELD_ON_ISSUE_DATE")</f>
        <v>#N/A Requesting Data...</v>
      </c>
      <c r="N1008" t="str">
        <f>_xll.BDP("272272AG Muni","YTW_SPREAD_TO_MATURITY_AT_ISSU")</f>
        <v>#N/A Requesting Data...</v>
      </c>
      <c r="O1008" t="str">
        <f>_xll.BDP("272272AG Muni","BVAL_MID_YTM")</f>
        <v>#N/A Requesting Data...</v>
      </c>
      <c r="P1008" t="str">
        <f>_xll.BDP("272272AG Muni","MUNI_TAX_PROV")</f>
        <v>#N/A Requesting Data...</v>
      </c>
      <c r="Q1008" t="str">
        <f>_xll.BDP("272272AG Muni","MUNI_FED_TAX")</f>
        <v>#N/A Requesting Data...</v>
      </c>
      <c r="R1008" t="str">
        <f>_xll.BDP("272272AG Muni","MUNI_MSRB_VOLUME")</f>
        <v>#N/A Requesting Data...</v>
      </c>
      <c r="S1008" t="str">
        <f>_xll.BDP("272272AG Muni","BB_COMPOSITE")</f>
        <v>#N/A Requesting Data...</v>
      </c>
      <c r="T1008" t="str">
        <f>_xll.BDP("272272AG Muni","LQA_LIQUIDITY_SCORE")</f>
        <v>#N/A Requesting Data...</v>
      </c>
    </row>
    <row r="1009" spans="1:20" x14ac:dyDescent="0.25">
      <c r="A1009" t="str">
        <f>_xll.BDP("272272AH Muni","ID_CUSIP")</f>
        <v>#N/A Requesting Data...</v>
      </c>
      <c r="B1009" t="s">
        <v>358</v>
      </c>
      <c r="C1009" t="str">
        <f>_xll.BDP("272272AH Muni","INSURANCE_STATUS")</f>
        <v>#N/A Requesting Data...</v>
      </c>
      <c r="D1009" t="str">
        <f>_xll.BDP("272272AH Muni","STATE_CODE")</f>
        <v>#N/A Requesting Data...</v>
      </c>
      <c r="E1009" t="str">
        <f>_xll.BDP("272272AH Muni","COUNTY_LOCATION_ISSUER")</f>
        <v>#N/A Requesting Data...</v>
      </c>
      <c r="F1009" t="str">
        <f>_xll.BDP("272272AH Muni","DUR_ADJ_MID")</f>
        <v>#N/A Requesting Data...</v>
      </c>
      <c r="G1009" t="str">
        <f>_xll.BDP("272272AH Muni","SPREAD_AT_ISSUANCE_TO_WORST")</f>
        <v>#N/A Requesting Data...</v>
      </c>
      <c r="H1009" t="str">
        <f>_xll.BDP("272272AH Muni","ISSUE_DT")</f>
        <v>#N/A Requesting Data...</v>
      </c>
      <c r="I1009" t="str">
        <f>_xll.BDS("272272AH Muni","MUNI_PURPOSE_SCHED", "aggregate=y")</f>
        <v>#N/A Review</v>
      </c>
      <c r="J1009" t="str">
        <f>_xll.BDP("272272AH Muni","CPN")</f>
        <v>#N/A Requesting Data...</v>
      </c>
      <c r="K1009" t="str">
        <f>_xll.BDP("272272AH Muni","MATURITY")</f>
        <v>#N/A Requesting Data...</v>
      </c>
      <c r="L1009">
        <v>115000</v>
      </c>
      <c r="M1009" t="str">
        <f>_xll.BDP("272272AH Muni","YIELD_ON_ISSUE_DATE")</f>
        <v>#N/A Requesting Data...</v>
      </c>
      <c r="N1009" t="str">
        <f>_xll.BDP("272272AH Muni","YTW_SPREAD_TO_MATURITY_AT_ISSU")</f>
        <v>#N/A Requesting Data...</v>
      </c>
      <c r="O1009" t="str">
        <f>_xll.BDP("272272AH Muni","BVAL_MID_YTM")</f>
        <v>#N/A Requesting Data...</v>
      </c>
      <c r="P1009" t="str">
        <f>_xll.BDP("272272AH Muni","MUNI_TAX_PROV")</f>
        <v>#N/A Requesting Data...</v>
      </c>
      <c r="Q1009" t="str">
        <f>_xll.BDP("272272AH Muni","MUNI_FED_TAX")</f>
        <v>#N/A Requesting Data...</v>
      </c>
      <c r="R1009" t="str">
        <f>_xll.BDP("272272AH Muni","MUNI_MSRB_VOLUME")</f>
        <v>#N/A Requesting Data...</v>
      </c>
      <c r="S1009" t="str">
        <f>_xll.BDP("272272AH Muni","BB_COMPOSITE")</f>
        <v>#N/A Requesting Data...</v>
      </c>
      <c r="T1009" t="str">
        <f>_xll.BDP("272272AH Muni","LQA_LIQUIDITY_SCORE")</f>
        <v>#N/A Requesting Data...</v>
      </c>
    </row>
    <row r="1010" spans="1:20" x14ac:dyDescent="0.25">
      <c r="A1010" t="str">
        <f>_xll.BDP("272272AK Muni","ID_CUSIP")</f>
        <v>#N/A Requesting Data...</v>
      </c>
      <c r="B1010" t="s">
        <v>358</v>
      </c>
      <c r="C1010" t="str">
        <f>_xll.BDP("272272AK Muni","INSURANCE_STATUS")</f>
        <v>#N/A Requesting Data...</v>
      </c>
      <c r="D1010" t="str">
        <f>_xll.BDP("272272AK Muni","STATE_CODE")</f>
        <v>#N/A Requesting Data...</v>
      </c>
      <c r="E1010" t="str">
        <f>_xll.BDP("272272AK Muni","COUNTY_LOCATION_ISSUER")</f>
        <v>#N/A Requesting Data...</v>
      </c>
      <c r="F1010" t="str">
        <f>_xll.BDP("272272AK Muni","DUR_ADJ_MID")</f>
        <v>#N/A Requesting Data...</v>
      </c>
      <c r="G1010" t="str">
        <f>_xll.BDP("272272AK Muni","SPREAD_AT_ISSUANCE_TO_WORST")</f>
        <v>#N/A Requesting Data...</v>
      </c>
      <c r="H1010" t="str">
        <f>_xll.BDP("272272AK Muni","ISSUE_DT")</f>
        <v>#N/A Requesting Data...</v>
      </c>
      <c r="I1010" t="str">
        <f>_xll.BDS("272272AK Muni","MUNI_PURPOSE_SCHED", "aggregate=y")</f>
        <v>#N/A Review</v>
      </c>
      <c r="J1010" t="str">
        <f>_xll.BDP("272272AK Muni","CPN")</f>
        <v>#N/A Requesting Data...</v>
      </c>
      <c r="K1010" t="str">
        <f>_xll.BDP("272272AK Muni","MATURITY")</f>
        <v>#N/A Requesting Data...</v>
      </c>
      <c r="L1010">
        <v>145000</v>
      </c>
      <c r="M1010" t="str">
        <f>_xll.BDP("272272AK Muni","YIELD_ON_ISSUE_DATE")</f>
        <v>#N/A Requesting Data...</v>
      </c>
      <c r="N1010" t="str">
        <f>_xll.BDP("272272AK Muni","YTW_SPREAD_TO_MATURITY_AT_ISSU")</f>
        <v>#N/A Requesting Data...</v>
      </c>
      <c r="O1010" t="str">
        <f>_xll.BDP("272272AK Muni","BVAL_MID_YTM")</f>
        <v>#N/A Requesting Data...</v>
      </c>
      <c r="P1010" t="str">
        <f>_xll.BDP("272272AK Muni","MUNI_TAX_PROV")</f>
        <v>#N/A Requesting Data...</v>
      </c>
      <c r="Q1010" t="str">
        <f>_xll.BDP("272272AK Muni","MUNI_FED_TAX")</f>
        <v>#N/A Requesting Data...</v>
      </c>
      <c r="R1010" t="str">
        <f>_xll.BDP("272272AK Muni","MUNI_MSRB_VOLUME")</f>
        <v>#N/A Requesting Data...</v>
      </c>
      <c r="S1010" t="str">
        <f>_xll.BDP("272272AK Muni","BB_COMPOSITE")</f>
        <v>#N/A Requesting Data...</v>
      </c>
      <c r="T1010" t="str">
        <f>_xll.BDP("272272AK Muni","LQA_LIQUIDITY_SCORE")</f>
        <v>#N/A Requesting Data...</v>
      </c>
    </row>
    <row r="1011" spans="1:20" x14ac:dyDescent="0.25">
      <c r="A1011" t="str">
        <f>_xll.BDP("27373PAE Muni","ID_CUSIP")</f>
        <v>#N/A Requesting Data...</v>
      </c>
      <c r="B1011" t="s">
        <v>328</v>
      </c>
      <c r="C1011" t="str">
        <f>_xll.BDP("27373PAE Muni","INSURANCE_STATUS")</f>
        <v>#N/A Requesting Data...</v>
      </c>
      <c r="D1011" t="str">
        <f>_xll.BDP("27373PAE Muni","STATE_CODE")</f>
        <v>#N/A Requesting Data...</v>
      </c>
      <c r="E1011" t="str">
        <f>_xll.BDP("27373PAE Muni","COUNTY_LOCATION_ISSUER")</f>
        <v>#N/A Requesting Data...</v>
      </c>
      <c r="F1011" t="str">
        <f>_xll.BDP("27373PAE Muni","DUR_ADJ_MID")</f>
        <v>#N/A Requesting Data...</v>
      </c>
      <c r="G1011" t="str">
        <f>_xll.BDP("27373PAE Muni","SPREAD_AT_ISSUANCE_TO_WORST")</f>
        <v>#N/A Requesting Data...</v>
      </c>
      <c r="H1011" t="str">
        <f>_xll.BDP("27373PAE Muni","ISSUE_DT")</f>
        <v>#N/A Requesting Data...</v>
      </c>
      <c r="I1011" t="str">
        <f>_xll.BDS("27373PAE Muni","MUNI_PURPOSE_SCHED", "aggregate=y")</f>
        <v>#N/A Review</v>
      </c>
      <c r="J1011" t="str">
        <f>_xll.BDP("27373PAE Muni","CPN")</f>
        <v>#N/A Requesting Data...</v>
      </c>
      <c r="K1011" t="str">
        <f>_xll.BDP("27373PAE Muni","MATURITY")</f>
        <v>#N/A Requesting Data...</v>
      </c>
      <c r="L1011">
        <v>200000</v>
      </c>
      <c r="M1011" t="str">
        <f>_xll.BDP("27373PAE Muni","YIELD_ON_ISSUE_DATE")</f>
        <v>#N/A Requesting Data...</v>
      </c>
      <c r="N1011" t="str">
        <f>_xll.BDP("27373PAE Muni","YTW_SPREAD_TO_MATURITY_AT_ISSU")</f>
        <v>#N/A Requesting Data...</v>
      </c>
      <c r="O1011" t="str">
        <f>_xll.BDP("27373PAE Muni","BVAL_MID_YTM")</f>
        <v>#N/A Requesting Data...</v>
      </c>
      <c r="P1011" t="str">
        <f>_xll.BDP("27373PAE Muni","MUNI_TAX_PROV")</f>
        <v>#N/A Requesting Data...</v>
      </c>
      <c r="Q1011" t="str">
        <f>_xll.BDP("27373PAE Muni","MUNI_FED_TAX")</f>
        <v>#N/A Requesting Data...</v>
      </c>
      <c r="R1011" t="str">
        <f>_xll.BDP("27373PAE Muni","MUNI_MSRB_VOLUME")</f>
        <v>#N/A Requesting Data...</v>
      </c>
      <c r="S1011" t="str">
        <f>_xll.BDP("27373PAE Muni","BB_COMPOSITE")</f>
        <v>#N/A Requesting Data...</v>
      </c>
      <c r="T1011" t="str">
        <f>_xll.BDP("27373PAE Muni","LQA_LIQUIDITY_SCORE")</f>
        <v>#N/A Requesting Data...</v>
      </c>
    </row>
    <row r="1012" spans="1:20" x14ac:dyDescent="0.25">
      <c r="A1012" t="str">
        <f>_xll.BDP("27373PAG Muni","ID_CUSIP")</f>
        <v>#N/A Requesting Data...</v>
      </c>
      <c r="B1012" t="s">
        <v>328</v>
      </c>
      <c r="C1012" t="str">
        <f>_xll.BDP("27373PAG Muni","INSURANCE_STATUS")</f>
        <v>#N/A Requesting Data...</v>
      </c>
      <c r="D1012" t="str">
        <f>_xll.BDP("27373PAG Muni","STATE_CODE")</f>
        <v>#N/A Requesting Data...</v>
      </c>
      <c r="E1012" t="str">
        <f>_xll.BDP("27373PAG Muni","COUNTY_LOCATION_ISSUER")</f>
        <v>#N/A Requesting Data...</v>
      </c>
      <c r="F1012" t="str">
        <f>_xll.BDP("27373PAG Muni","DUR_ADJ_MID")</f>
        <v>#N/A Requesting Data...</v>
      </c>
      <c r="G1012" t="str">
        <f>_xll.BDP("27373PAG Muni","SPREAD_AT_ISSUANCE_TO_WORST")</f>
        <v>#N/A Requesting Data...</v>
      </c>
      <c r="H1012" t="str">
        <f>_xll.BDP("27373PAG Muni","ISSUE_DT")</f>
        <v>#N/A Requesting Data...</v>
      </c>
      <c r="I1012" t="str">
        <f>_xll.BDS("27373PAG Muni","MUNI_PURPOSE_SCHED", "aggregate=y")</f>
        <v>#N/A Review</v>
      </c>
      <c r="J1012" t="str">
        <f>_xll.BDP("27373PAG Muni","CPN")</f>
        <v>#N/A Requesting Data...</v>
      </c>
      <c r="K1012" t="str">
        <f>_xll.BDP("27373PAG Muni","MATURITY")</f>
        <v>#N/A Requesting Data...</v>
      </c>
      <c r="L1012">
        <v>215000</v>
      </c>
      <c r="M1012" t="str">
        <f>_xll.BDP("27373PAG Muni","YIELD_ON_ISSUE_DATE")</f>
        <v>#N/A Requesting Data...</v>
      </c>
      <c r="N1012" t="str">
        <f>_xll.BDP("27373PAG Muni","YTW_SPREAD_TO_MATURITY_AT_ISSU")</f>
        <v>#N/A Requesting Data...</v>
      </c>
      <c r="O1012" t="str">
        <f>_xll.BDP("27373PAG Muni","BVAL_MID_YTM")</f>
        <v>#N/A Requesting Data...</v>
      </c>
      <c r="P1012" t="str">
        <f>_xll.BDP("27373PAG Muni","MUNI_TAX_PROV")</f>
        <v>#N/A Requesting Data...</v>
      </c>
      <c r="Q1012" t="str">
        <f>_xll.BDP("27373PAG Muni","MUNI_FED_TAX")</f>
        <v>#N/A Requesting Data...</v>
      </c>
      <c r="R1012" t="str">
        <f>_xll.BDP("27373PAG Muni","MUNI_MSRB_VOLUME")</f>
        <v>#N/A Requesting Data...</v>
      </c>
      <c r="S1012" t="str">
        <f>_xll.BDP("27373PAG Muni","BB_COMPOSITE")</f>
        <v>#N/A Requesting Data...</v>
      </c>
      <c r="T1012" t="str">
        <f>_xll.BDP("27373PAG Muni","LQA_LIQUIDITY_SCORE")</f>
        <v>#N/A Requesting Data...</v>
      </c>
    </row>
    <row r="1013" spans="1:20" x14ac:dyDescent="0.25">
      <c r="A1013" t="str">
        <f>_xll.BDP("169772XS Muni","ID_CUSIP")</f>
        <v>#N/A Requesting Data...</v>
      </c>
      <c r="B1013" t="s">
        <v>359</v>
      </c>
      <c r="C1013" t="str">
        <f>_xll.BDP("169772XS Muni","INSURANCE_STATUS")</f>
        <v>#N/A Requesting Data...</v>
      </c>
      <c r="D1013" t="str">
        <f>_xll.BDP("169772XS Muni","STATE_CODE")</f>
        <v>#N/A Requesting Data...</v>
      </c>
      <c r="E1013" t="str">
        <f>_xll.BDP("169772XS Muni","COUNTY_LOCATION_ISSUER")</f>
        <v>#N/A Requesting Data...</v>
      </c>
      <c r="F1013" t="str">
        <f>_xll.BDP("169772XS Muni","DUR_ADJ_MID")</f>
        <v>#N/A Requesting Data...</v>
      </c>
      <c r="G1013" t="str">
        <f>_xll.BDP("169772XS Muni","SPREAD_AT_ISSUANCE_TO_WORST")</f>
        <v>#N/A Requesting Data...</v>
      </c>
      <c r="H1013" t="str">
        <f>_xll.BDP("169772XS Muni","ISSUE_DT")</f>
        <v>#N/A Requesting Data...</v>
      </c>
      <c r="I1013" t="str">
        <f>_xll.BDS("169772XS Muni","MUNI_PURPOSE_SCHED", "aggregate=y")</f>
        <v>#N/A Review</v>
      </c>
      <c r="J1013" t="str">
        <f>_xll.BDP("169772XS Muni","CPN")</f>
        <v>#N/A Requesting Data...</v>
      </c>
      <c r="K1013" t="str">
        <f>_xll.BDP("169772XS Muni","MATURITY")</f>
        <v>#N/A Requesting Data...</v>
      </c>
      <c r="L1013">
        <v>340000</v>
      </c>
      <c r="M1013" t="str">
        <f>_xll.BDP("169772XS Muni","YIELD_ON_ISSUE_DATE")</f>
        <v>#N/A Requesting Data...</v>
      </c>
      <c r="N1013" t="str">
        <f>_xll.BDP("169772XS Muni","YTW_SPREAD_TO_MATURITY_AT_ISSU")</f>
        <v>#N/A Requesting Data...</v>
      </c>
      <c r="O1013" t="str">
        <f>_xll.BDP("169772XS Muni","BVAL_MID_YTM")</f>
        <v>#N/A Requesting Data...</v>
      </c>
      <c r="P1013" t="str">
        <f>_xll.BDP("169772XS Muni","MUNI_TAX_PROV")</f>
        <v>#N/A Requesting Data...</v>
      </c>
      <c r="Q1013" t="str">
        <f>_xll.BDP("169772XS Muni","MUNI_FED_TAX")</f>
        <v>#N/A Requesting Data...</v>
      </c>
      <c r="R1013" t="str">
        <f>_xll.BDP("169772XS Muni","MUNI_MSRB_VOLUME")</f>
        <v>#N/A Requesting Data...</v>
      </c>
      <c r="S1013" t="str">
        <f>_xll.BDP("169772XS Muni","BB_COMPOSITE")</f>
        <v>#N/A Requesting Data...</v>
      </c>
      <c r="T1013" t="str">
        <f>_xll.BDP("169772XS Muni","LQA_LIQUIDITY_SCORE")</f>
        <v>#N/A Requesting Data...</v>
      </c>
    </row>
    <row r="1014" spans="1:20" x14ac:dyDescent="0.25">
      <c r="A1014" t="str">
        <f>_xll.BDP("169772XT Muni","ID_CUSIP")</f>
        <v>#N/A Requesting Data...</v>
      </c>
      <c r="B1014" t="s">
        <v>359</v>
      </c>
      <c r="C1014" t="str">
        <f>_xll.BDP("169772XT Muni","INSURANCE_STATUS")</f>
        <v>#N/A Requesting Data...</v>
      </c>
      <c r="D1014" t="str">
        <f>_xll.BDP("169772XT Muni","STATE_CODE")</f>
        <v>#N/A Requesting Data...</v>
      </c>
      <c r="E1014" t="str">
        <f>_xll.BDP("169772XT Muni","COUNTY_LOCATION_ISSUER")</f>
        <v>#N/A Requesting Data...</v>
      </c>
      <c r="F1014" t="str">
        <f>_xll.BDP("169772XT Muni","DUR_ADJ_MID")</f>
        <v>#N/A Requesting Data...</v>
      </c>
      <c r="G1014" t="str">
        <f>_xll.BDP("169772XT Muni","SPREAD_AT_ISSUANCE_TO_WORST")</f>
        <v>#N/A Requesting Data...</v>
      </c>
      <c r="H1014" t="str">
        <f>_xll.BDP("169772XT Muni","ISSUE_DT")</f>
        <v>#N/A Requesting Data...</v>
      </c>
      <c r="I1014" t="str">
        <f>_xll.BDS("169772XT Muni","MUNI_PURPOSE_SCHED", "aggregate=y")</f>
        <v>#N/A Review</v>
      </c>
      <c r="J1014" t="str">
        <f>_xll.BDP("169772XT Muni","CPN")</f>
        <v>#N/A Requesting Data...</v>
      </c>
      <c r="K1014" t="str">
        <f>_xll.BDP("169772XT Muni","MATURITY")</f>
        <v>#N/A Requesting Data...</v>
      </c>
      <c r="L1014">
        <v>345000</v>
      </c>
      <c r="M1014" t="str">
        <f>_xll.BDP("169772XT Muni","YIELD_ON_ISSUE_DATE")</f>
        <v>#N/A Requesting Data...</v>
      </c>
      <c r="N1014" t="str">
        <f>_xll.BDP("169772XT Muni","YTW_SPREAD_TO_MATURITY_AT_ISSU")</f>
        <v>#N/A Requesting Data...</v>
      </c>
      <c r="O1014" t="str">
        <f>_xll.BDP("169772XT Muni","BVAL_MID_YTM")</f>
        <v>#N/A Requesting Data...</v>
      </c>
      <c r="P1014" t="str">
        <f>_xll.BDP("169772XT Muni","MUNI_TAX_PROV")</f>
        <v>#N/A Requesting Data...</v>
      </c>
      <c r="Q1014" t="str">
        <f>_xll.BDP("169772XT Muni","MUNI_FED_TAX")</f>
        <v>#N/A Requesting Data...</v>
      </c>
      <c r="R1014" t="str">
        <f>_xll.BDP("169772XT Muni","MUNI_MSRB_VOLUME")</f>
        <v>#N/A Requesting Data...</v>
      </c>
      <c r="S1014" t="str">
        <f>_xll.BDP("169772XT Muni","BB_COMPOSITE")</f>
        <v>#N/A Requesting Data...</v>
      </c>
      <c r="T1014" t="str">
        <f>_xll.BDP("169772XT Muni","LQA_LIQUIDITY_SCORE")</f>
        <v>#N/A Requesting Data...</v>
      </c>
    </row>
    <row r="1015" spans="1:20" x14ac:dyDescent="0.25">
      <c r="A1015" t="str">
        <f>_xll.BDP("169772XU Muni","ID_CUSIP")</f>
        <v>#N/A Requesting Data...</v>
      </c>
      <c r="B1015" t="s">
        <v>359</v>
      </c>
      <c r="C1015" t="str">
        <f>_xll.BDP("169772XU Muni","INSURANCE_STATUS")</f>
        <v>#N/A Requesting Data...</v>
      </c>
      <c r="D1015" t="str">
        <f>_xll.BDP("169772XU Muni","STATE_CODE")</f>
        <v>#N/A Requesting Data...</v>
      </c>
      <c r="E1015" t="str">
        <f>_xll.BDP("169772XU Muni","COUNTY_LOCATION_ISSUER")</f>
        <v>#N/A Requesting Data...</v>
      </c>
      <c r="F1015" t="str">
        <f>_xll.BDP("169772XU Muni","DUR_ADJ_MID")</f>
        <v>#N/A Requesting Data...</v>
      </c>
      <c r="G1015" t="str">
        <f>_xll.BDP("169772XU Muni","SPREAD_AT_ISSUANCE_TO_WORST")</f>
        <v>#N/A Requesting Data...</v>
      </c>
      <c r="H1015" t="str">
        <f>_xll.BDP("169772XU Muni","ISSUE_DT")</f>
        <v>#N/A Requesting Data...</v>
      </c>
      <c r="I1015" t="str">
        <f>_xll.BDS("169772XU Muni","MUNI_PURPOSE_SCHED", "aggregate=y")</f>
        <v>#N/A Review</v>
      </c>
      <c r="J1015" t="str">
        <f>_xll.BDP("169772XU Muni","CPN")</f>
        <v>#N/A Requesting Data...</v>
      </c>
      <c r="K1015" t="str">
        <f>_xll.BDP("169772XU Muni","MATURITY")</f>
        <v>#N/A Requesting Data...</v>
      </c>
      <c r="L1015">
        <v>340000</v>
      </c>
      <c r="M1015" t="str">
        <f>_xll.BDP("169772XU Muni","YIELD_ON_ISSUE_DATE")</f>
        <v>#N/A Requesting Data...</v>
      </c>
      <c r="N1015" t="str">
        <f>_xll.BDP("169772XU Muni","YTW_SPREAD_TO_MATURITY_AT_ISSU")</f>
        <v>#N/A Requesting Data...</v>
      </c>
      <c r="O1015" t="str">
        <f>_xll.BDP("169772XU Muni","BVAL_MID_YTM")</f>
        <v>#N/A Requesting Data...</v>
      </c>
      <c r="P1015" t="str">
        <f>_xll.BDP("169772XU Muni","MUNI_TAX_PROV")</f>
        <v>#N/A Requesting Data...</v>
      </c>
      <c r="Q1015" t="str">
        <f>_xll.BDP("169772XU Muni","MUNI_FED_TAX")</f>
        <v>#N/A Requesting Data...</v>
      </c>
      <c r="R1015" t="str">
        <f>_xll.BDP("169772XU Muni","MUNI_MSRB_VOLUME")</f>
        <v>#N/A Requesting Data...</v>
      </c>
      <c r="S1015" t="str">
        <f>_xll.BDP("169772XU Muni","BB_COMPOSITE")</f>
        <v>#N/A Requesting Data...</v>
      </c>
      <c r="T1015" t="str">
        <f>_xll.BDP("169772XU Muni","LQA_LIQUIDITY_SCORE")</f>
        <v>#N/A Requesting Data...</v>
      </c>
    </row>
    <row r="1016" spans="1:20" x14ac:dyDescent="0.25">
      <c r="A1016" t="str">
        <f>_xll.BDP("169772XV Muni","ID_CUSIP")</f>
        <v>#N/A Requesting Data...</v>
      </c>
      <c r="B1016" t="s">
        <v>359</v>
      </c>
      <c r="C1016" t="str">
        <f>_xll.BDP("169772XV Muni","INSURANCE_STATUS")</f>
        <v>#N/A Requesting Data...</v>
      </c>
      <c r="D1016" t="str">
        <f>_xll.BDP("169772XV Muni","STATE_CODE")</f>
        <v>#N/A Requesting Data...</v>
      </c>
      <c r="E1016" t="str">
        <f>_xll.BDP("169772XV Muni","COUNTY_LOCATION_ISSUER")</f>
        <v>#N/A Requesting Data...</v>
      </c>
      <c r="F1016" t="str">
        <f>_xll.BDP("169772XV Muni","DUR_ADJ_MID")</f>
        <v>#N/A Requesting Data...</v>
      </c>
      <c r="G1016" t="str">
        <f>_xll.BDP("169772XV Muni","SPREAD_AT_ISSUANCE_TO_WORST")</f>
        <v>#N/A Requesting Data...</v>
      </c>
      <c r="H1016" t="str">
        <f>_xll.BDP("169772XV Muni","ISSUE_DT")</f>
        <v>#N/A Requesting Data...</v>
      </c>
      <c r="I1016" t="str">
        <f>_xll.BDS("169772XV Muni","MUNI_PURPOSE_SCHED", "aggregate=y")</f>
        <v>#N/A Review</v>
      </c>
      <c r="J1016" t="str">
        <f>_xll.BDP("169772XV Muni","CPN")</f>
        <v>#N/A Requesting Data...</v>
      </c>
      <c r="K1016" t="str">
        <f>_xll.BDP("169772XV Muni","MATURITY")</f>
        <v>#N/A Requesting Data...</v>
      </c>
      <c r="L1016">
        <v>345000</v>
      </c>
      <c r="M1016" t="str">
        <f>_xll.BDP("169772XV Muni","YIELD_ON_ISSUE_DATE")</f>
        <v>#N/A Requesting Data...</v>
      </c>
      <c r="N1016" t="str">
        <f>_xll.BDP("169772XV Muni","YTW_SPREAD_TO_MATURITY_AT_ISSU")</f>
        <v>#N/A Requesting Data...</v>
      </c>
      <c r="O1016" t="str">
        <f>_xll.BDP("169772XV Muni","BVAL_MID_YTM")</f>
        <v>#N/A Requesting Data...</v>
      </c>
      <c r="P1016" t="str">
        <f>_xll.BDP("169772XV Muni","MUNI_TAX_PROV")</f>
        <v>#N/A Requesting Data...</v>
      </c>
      <c r="Q1016" t="str">
        <f>_xll.BDP("169772XV Muni","MUNI_FED_TAX")</f>
        <v>#N/A Requesting Data...</v>
      </c>
      <c r="R1016" t="str">
        <f>_xll.BDP("169772XV Muni","MUNI_MSRB_VOLUME")</f>
        <v>#N/A Requesting Data...</v>
      </c>
      <c r="S1016" t="str">
        <f>_xll.BDP("169772XV Muni","BB_COMPOSITE")</f>
        <v>#N/A Requesting Data...</v>
      </c>
      <c r="T1016" t="str">
        <f>_xll.BDP("169772XV Muni","LQA_LIQUIDITY_SCORE")</f>
        <v>#N/A Requesting Data...</v>
      </c>
    </row>
    <row r="1017" spans="1:20" x14ac:dyDescent="0.25">
      <c r="A1017" t="str">
        <f>_xll.BDP("177475BE Muni","ID_CUSIP")</f>
        <v>#N/A Requesting Data...</v>
      </c>
      <c r="B1017" t="s">
        <v>79</v>
      </c>
      <c r="C1017" t="str">
        <f>_xll.BDP("177475BE Muni","INSURANCE_STATUS")</f>
        <v>#N/A Requesting Data...</v>
      </c>
      <c r="D1017" t="str">
        <f>_xll.BDP("177475BE Muni","STATE_CODE")</f>
        <v>#N/A Requesting Data...</v>
      </c>
      <c r="E1017" t="str">
        <f>_xll.BDP("177475BE Muni","COUNTY_LOCATION_ISSUER")</f>
        <v>#N/A Requesting Data...</v>
      </c>
      <c r="F1017" t="str">
        <f>_xll.BDP("177475BE Muni","DUR_ADJ_MID")</f>
        <v>#N/A Requesting Data...</v>
      </c>
      <c r="G1017" t="str">
        <f>_xll.BDP("177475BE Muni","SPREAD_AT_ISSUANCE_TO_WORST")</f>
        <v>#N/A Requesting Data...</v>
      </c>
      <c r="H1017" t="str">
        <f>_xll.BDP("177475BE Muni","ISSUE_DT")</f>
        <v>#N/A Requesting Data...</v>
      </c>
      <c r="I1017" t="str">
        <f>_xll.BDS("177475BE Muni","MUNI_PURPOSE_SCHED", "aggregate=y")</f>
        <v>#N/A Review</v>
      </c>
      <c r="J1017" t="str">
        <f>_xll.BDP("177475BE Muni","CPN")</f>
        <v>#N/A Requesting Data...</v>
      </c>
      <c r="K1017" t="str">
        <f>_xll.BDP("177475BE Muni","MATURITY")</f>
        <v>#N/A Requesting Data...</v>
      </c>
      <c r="L1017">
        <v>1755000</v>
      </c>
      <c r="M1017" t="str">
        <f>_xll.BDP("177475BE Muni","YIELD_ON_ISSUE_DATE")</f>
        <v>#N/A Requesting Data...</v>
      </c>
      <c r="N1017" t="str">
        <f>_xll.BDP("177475BE Muni","YTW_SPREAD_TO_MATURITY_AT_ISSU")</f>
        <v>#N/A Requesting Data...</v>
      </c>
      <c r="O1017" t="str">
        <f>_xll.BDP("177475BE Muni","BVAL_MID_YTM")</f>
        <v>#N/A Requesting Data...</v>
      </c>
      <c r="P1017" t="str">
        <f>_xll.BDP("177475BE Muni","MUNI_TAX_PROV")</f>
        <v>#N/A Requesting Data...</v>
      </c>
      <c r="Q1017" t="str">
        <f>_xll.BDP("177475BE Muni","MUNI_FED_TAX")</f>
        <v>#N/A Requesting Data...</v>
      </c>
      <c r="R1017" t="str">
        <f>_xll.BDP("177475BE Muni","MUNI_MSRB_VOLUME")</f>
        <v>#N/A Requesting Data...</v>
      </c>
      <c r="S1017" t="str">
        <f>_xll.BDP("177475BE Muni","BB_COMPOSITE")</f>
        <v>#N/A Requesting Data...</v>
      </c>
      <c r="T1017" t="str">
        <f>_xll.BDP("177475BE Muni","LQA_LIQUIDITY_SCORE")</f>
        <v>#N/A Requesting Data...</v>
      </c>
    </row>
    <row r="1018" spans="1:20" x14ac:dyDescent="0.25">
      <c r="A1018" t="str">
        <f>_xll.BDP("17939MBQ Muni","ID_CUSIP")</f>
        <v>#N/A Requesting Data...</v>
      </c>
      <c r="B1018" t="s">
        <v>113</v>
      </c>
      <c r="C1018" t="str">
        <f>_xll.BDP("17939MBQ Muni","INSURANCE_STATUS")</f>
        <v>#N/A Requesting Data...</v>
      </c>
      <c r="D1018" t="str">
        <f>_xll.BDP("17939MBQ Muni","STATE_CODE")</f>
        <v>#N/A Requesting Data...</v>
      </c>
      <c r="E1018" t="str">
        <f>_xll.BDP("17939MBQ Muni","COUNTY_LOCATION_ISSUER")</f>
        <v>#N/A Requesting Data...</v>
      </c>
      <c r="F1018" t="str">
        <f>_xll.BDP("17939MBQ Muni","DUR_ADJ_MID")</f>
        <v>#N/A Requesting Data...</v>
      </c>
      <c r="G1018" t="str">
        <f>_xll.BDP("17939MBQ Muni","SPREAD_AT_ISSUANCE_TO_WORST")</f>
        <v>#N/A Requesting Data...</v>
      </c>
      <c r="H1018" t="str">
        <f>_xll.BDP("17939MBQ Muni","ISSUE_DT")</f>
        <v>#N/A Requesting Data...</v>
      </c>
      <c r="I1018" t="str">
        <f>_xll.BDS("17939MBQ Muni","MUNI_PURPOSE_SCHED", "aggregate=y")</f>
        <v>#N/A Review</v>
      </c>
      <c r="J1018" t="str">
        <f>_xll.BDP("17939MBQ Muni","CPN")</f>
        <v>#N/A Requesting Data...</v>
      </c>
      <c r="K1018" t="str">
        <f>_xll.BDP("17939MBQ Muni","MATURITY")</f>
        <v>#N/A Requesting Data...</v>
      </c>
      <c r="L1018">
        <v>385000</v>
      </c>
      <c r="M1018" t="str">
        <f>_xll.BDP("17939MBQ Muni","YIELD_ON_ISSUE_DATE")</f>
        <v>#N/A Requesting Data...</v>
      </c>
      <c r="N1018" t="str">
        <f>_xll.BDP("17939MBQ Muni","YTW_SPREAD_TO_MATURITY_AT_ISSU")</f>
        <v>#N/A Requesting Data...</v>
      </c>
      <c r="O1018" t="str">
        <f>_xll.BDP("17939MBQ Muni","BVAL_MID_YTM")</f>
        <v>#N/A Requesting Data...</v>
      </c>
      <c r="P1018" t="str">
        <f>_xll.BDP("17939MBQ Muni","MUNI_TAX_PROV")</f>
        <v>#N/A Requesting Data...</v>
      </c>
      <c r="Q1018" t="str">
        <f>_xll.BDP("17939MBQ Muni","MUNI_FED_TAX")</f>
        <v>#N/A Requesting Data...</v>
      </c>
      <c r="R1018" t="str">
        <f>_xll.BDP("17939MBQ Muni","MUNI_MSRB_VOLUME")</f>
        <v>#N/A Requesting Data...</v>
      </c>
      <c r="S1018" t="str">
        <f>_xll.BDP("17939MBQ Muni","BB_COMPOSITE")</f>
        <v>#N/A Requesting Data...</v>
      </c>
      <c r="T1018" t="str">
        <f>_xll.BDP("17939MBQ Muni","LQA_LIQUIDITY_SCORE")</f>
        <v>#N/A Requesting Data...</v>
      </c>
    </row>
    <row r="1019" spans="1:20" x14ac:dyDescent="0.25">
      <c r="A1019" t="str">
        <f>_xll.BDP("312160CL Muni","ID_CUSIP")</f>
        <v>#N/A Requesting Data...</v>
      </c>
      <c r="B1019" t="s">
        <v>345</v>
      </c>
      <c r="C1019" t="str">
        <f>_xll.BDP("312160CL Muni","INSURANCE_STATUS")</f>
        <v>#N/A Requesting Data...</v>
      </c>
      <c r="D1019" t="str">
        <f>_xll.BDP("312160CL Muni","STATE_CODE")</f>
        <v>#N/A Requesting Data...</v>
      </c>
      <c r="E1019" t="str">
        <f>_xll.BDP("312160CL Muni","COUNTY_LOCATION_ISSUER")</f>
        <v>#N/A Requesting Data...</v>
      </c>
      <c r="F1019" t="str">
        <f>_xll.BDP("312160CL Muni","DUR_ADJ_MID")</f>
        <v>#N/A Requesting Data...</v>
      </c>
      <c r="G1019" t="str">
        <f>_xll.BDP("312160CL Muni","SPREAD_AT_ISSUANCE_TO_WORST")</f>
        <v>#N/A Requesting Data...</v>
      </c>
      <c r="H1019" t="str">
        <f>_xll.BDP("312160CL Muni","ISSUE_DT")</f>
        <v>#N/A Requesting Data...</v>
      </c>
      <c r="I1019" t="str">
        <f>_xll.BDS("312160CL Muni","MUNI_PURPOSE_SCHED", "aggregate=y")</f>
        <v>#N/A Review</v>
      </c>
      <c r="J1019" t="str">
        <f>_xll.BDP("312160CL Muni","CPN")</f>
        <v>#N/A Requesting Data...</v>
      </c>
      <c r="K1019" t="str">
        <f>_xll.BDP("312160CL Muni","MATURITY")</f>
        <v>#N/A Requesting Data...</v>
      </c>
      <c r="L1019">
        <v>275000</v>
      </c>
      <c r="M1019" t="str">
        <f>_xll.BDP("312160CL Muni","YIELD_ON_ISSUE_DATE")</f>
        <v>#N/A Requesting Data...</v>
      </c>
      <c r="N1019" t="str">
        <f>_xll.BDP("312160CL Muni","YTW_SPREAD_TO_MATURITY_AT_ISSU")</f>
        <v>#N/A Requesting Data...</v>
      </c>
      <c r="O1019" t="str">
        <f>_xll.BDP("312160CL Muni","BVAL_MID_YTM")</f>
        <v>#N/A Requesting Data...</v>
      </c>
      <c r="P1019" t="str">
        <f>_xll.BDP("312160CL Muni","MUNI_TAX_PROV")</f>
        <v>#N/A Requesting Data...</v>
      </c>
      <c r="Q1019" t="str">
        <f>_xll.BDP("312160CL Muni","MUNI_FED_TAX")</f>
        <v>#N/A Requesting Data...</v>
      </c>
      <c r="R1019" t="str">
        <f>_xll.BDP("312160CL Muni","MUNI_MSRB_VOLUME")</f>
        <v>#N/A Requesting Data...</v>
      </c>
      <c r="S1019" t="str">
        <f>_xll.BDP("312160CL Muni","BB_COMPOSITE")</f>
        <v>#N/A Requesting Data...</v>
      </c>
      <c r="T1019" t="str">
        <f>_xll.BDP("312160CL Muni","LQA_LIQUIDITY_SCORE")</f>
        <v>#N/A Requesting Data...</v>
      </c>
    </row>
    <row r="1020" spans="1:20" x14ac:dyDescent="0.25">
      <c r="A1020" t="str">
        <f>_xll.BDP("312160CN Muni","ID_CUSIP")</f>
        <v>#N/A Requesting Data...</v>
      </c>
      <c r="B1020" t="s">
        <v>345</v>
      </c>
      <c r="C1020" t="str">
        <f>_xll.BDP("312160CN Muni","INSURANCE_STATUS")</f>
        <v>#N/A Requesting Data...</v>
      </c>
      <c r="D1020" t="str">
        <f>_xll.BDP("312160CN Muni","STATE_CODE")</f>
        <v>#N/A Requesting Data...</v>
      </c>
      <c r="E1020" t="str">
        <f>_xll.BDP("312160CN Muni","COUNTY_LOCATION_ISSUER")</f>
        <v>#N/A Requesting Data...</v>
      </c>
      <c r="F1020" t="str">
        <f>_xll.BDP("312160CN Muni","DUR_ADJ_MID")</f>
        <v>#N/A Requesting Data...</v>
      </c>
      <c r="G1020" t="str">
        <f>_xll.BDP("312160CN Muni","SPREAD_AT_ISSUANCE_TO_WORST")</f>
        <v>#N/A Requesting Data...</v>
      </c>
      <c r="H1020" t="str">
        <f>_xll.BDP("312160CN Muni","ISSUE_DT")</f>
        <v>#N/A Requesting Data...</v>
      </c>
      <c r="I1020" t="str">
        <f>_xll.BDS("312160CN Muni","MUNI_PURPOSE_SCHED", "aggregate=y")</f>
        <v>#N/A Review</v>
      </c>
      <c r="J1020" t="str">
        <f>_xll.BDP("312160CN Muni","CPN")</f>
        <v>#N/A Requesting Data...</v>
      </c>
      <c r="K1020" t="str">
        <f>_xll.BDP("312160CN Muni","MATURITY")</f>
        <v>#N/A Requesting Data...</v>
      </c>
      <c r="L1020">
        <v>285000</v>
      </c>
      <c r="M1020" t="str">
        <f>_xll.BDP("312160CN Muni","YIELD_ON_ISSUE_DATE")</f>
        <v>#N/A Requesting Data...</v>
      </c>
      <c r="N1020" t="str">
        <f>_xll.BDP("312160CN Muni","YTW_SPREAD_TO_MATURITY_AT_ISSU")</f>
        <v>#N/A Requesting Data...</v>
      </c>
      <c r="O1020" t="str">
        <f>_xll.BDP("312160CN Muni","BVAL_MID_YTM")</f>
        <v>#N/A Requesting Data...</v>
      </c>
      <c r="P1020" t="str">
        <f>_xll.BDP("312160CN Muni","MUNI_TAX_PROV")</f>
        <v>#N/A Requesting Data...</v>
      </c>
      <c r="Q1020" t="str">
        <f>_xll.BDP("312160CN Muni","MUNI_FED_TAX")</f>
        <v>#N/A Requesting Data...</v>
      </c>
      <c r="R1020" t="str">
        <f>_xll.BDP("312160CN Muni","MUNI_MSRB_VOLUME")</f>
        <v>#N/A Requesting Data...</v>
      </c>
      <c r="S1020" t="str">
        <f>_xll.BDP("312160CN Muni","BB_COMPOSITE")</f>
        <v>#N/A Requesting Data...</v>
      </c>
      <c r="T1020" t="str">
        <f>_xll.BDP("312160CN Muni","LQA_LIQUIDITY_SCORE")</f>
        <v>#N/A Requesting Data...</v>
      </c>
    </row>
    <row r="1021" spans="1:20" x14ac:dyDescent="0.25">
      <c r="A1021" t="str">
        <f>_xll.BDP("351640SN Muni","ID_CUSIP")</f>
        <v>#N/A Requesting Data...</v>
      </c>
      <c r="B1021" t="s">
        <v>61</v>
      </c>
      <c r="C1021" t="str">
        <f>_xll.BDP("351640SN Muni","INSURANCE_STATUS")</f>
        <v>#N/A Requesting Data...</v>
      </c>
      <c r="D1021" t="str">
        <f>_xll.BDP("351640SN Muni","STATE_CODE")</f>
        <v>#N/A Requesting Data...</v>
      </c>
      <c r="E1021" t="str">
        <f>_xll.BDP("351640SN Muni","COUNTY_LOCATION_ISSUER")</f>
        <v>#N/A Requesting Data...</v>
      </c>
      <c r="F1021" t="str">
        <f>_xll.BDP("351640SN Muni","DUR_ADJ_MID")</f>
        <v>#N/A Requesting Data...</v>
      </c>
      <c r="G1021" t="str">
        <f>_xll.BDP("351640SN Muni","SPREAD_AT_ISSUANCE_TO_WORST")</f>
        <v>#N/A Requesting Data...</v>
      </c>
      <c r="H1021" t="str">
        <f>_xll.BDP("351640SN Muni","ISSUE_DT")</f>
        <v>#N/A Requesting Data...</v>
      </c>
      <c r="I1021" t="str">
        <f>_xll.BDS("351640SN Muni","MUNI_PURPOSE_SCHED", "aggregate=y")</f>
        <v>#N/A Review</v>
      </c>
      <c r="J1021" t="str">
        <f>_xll.BDP("351640SN Muni","CPN")</f>
        <v>#N/A Requesting Data...</v>
      </c>
      <c r="K1021" t="str">
        <f>_xll.BDP("351640SN Muni","MATURITY")</f>
        <v>#N/A Requesting Data...</v>
      </c>
      <c r="L1021">
        <v>895000</v>
      </c>
      <c r="M1021" t="str">
        <f>_xll.BDP("351640SN Muni","YIELD_ON_ISSUE_DATE")</f>
        <v>#N/A Requesting Data...</v>
      </c>
      <c r="N1021" t="str">
        <f>_xll.BDP("351640SN Muni","YTW_SPREAD_TO_MATURITY_AT_ISSU")</f>
        <v>#N/A Requesting Data...</v>
      </c>
      <c r="O1021" t="str">
        <f>_xll.BDP("351640SN Muni","BVAL_MID_YTM")</f>
        <v>#N/A Requesting Data...</v>
      </c>
      <c r="P1021" t="str">
        <f>_xll.BDP("351640SN Muni","MUNI_TAX_PROV")</f>
        <v>#N/A Requesting Data...</v>
      </c>
      <c r="Q1021" t="str">
        <f>_xll.BDP("351640SN Muni","MUNI_FED_TAX")</f>
        <v>#N/A Requesting Data...</v>
      </c>
      <c r="R1021" t="str">
        <f>_xll.BDP("351640SN Muni","MUNI_MSRB_VOLUME")</f>
        <v>#N/A Requesting Data...</v>
      </c>
      <c r="S1021" t="str">
        <f>_xll.BDP("351640SN Muni","BB_COMPOSITE")</f>
        <v>#N/A Requesting Data...</v>
      </c>
      <c r="T1021" t="str">
        <f>_xll.BDP("351640SN Muni","LQA_LIQUIDITY_SCORE")</f>
        <v>#N/A Requesting Data...</v>
      </c>
    </row>
    <row r="1022" spans="1:20" x14ac:dyDescent="0.25">
      <c r="A1022" t="str">
        <f>_xll.BDP("351640SQ Muni","ID_CUSIP")</f>
        <v>#N/A Requesting Data...</v>
      </c>
      <c r="B1022" t="s">
        <v>61</v>
      </c>
      <c r="C1022" t="str">
        <f>_xll.BDP("351640SQ Muni","INSURANCE_STATUS")</f>
        <v>#N/A Requesting Data...</v>
      </c>
      <c r="D1022" t="str">
        <f>_xll.BDP("351640SQ Muni","STATE_CODE")</f>
        <v>#N/A Requesting Data...</v>
      </c>
      <c r="E1022" t="str">
        <f>_xll.BDP("351640SQ Muni","COUNTY_LOCATION_ISSUER")</f>
        <v>#N/A Requesting Data...</v>
      </c>
      <c r="F1022" t="str">
        <f>_xll.BDP("351640SQ Muni","DUR_ADJ_MID")</f>
        <v>#N/A Requesting Data...</v>
      </c>
      <c r="G1022" t="str">
        <f>_xll.BDP("351640SQ Muni","SPREAD_AT_ISSUANCE_TO_WORST")</f>
        <v>#N/A Requesting Data...</v>
      </c>
      <c r="H1022" t="str">
        <f>_xll.BDP("351640SQ Muni","ISSUE_DT")</f>
        <v>#N/A Requesting Data...</v>
      </c>
      <c r="I1022" t="str">
        <f>_xll.BDS("351640SQ Muni","MUNI_PURPOSE_SCHED", "aggregate=y")</f>
        <v>#N/A Review</v>
      </c>
      <c r="J1022" t="str">
        <f>_xll.BDP("351640SQ Muni","CPN")</f>
        <v>#N/A Requesting Data...</v>
      </c>
      <c r="K1022" t="str">
        <f>_xll.BDP("351640SQ Muni","MATURITY")</f>
        <v>#N/A Requesting Data...</v>
      </c>
      <c r="L1022">
        <v>895000</v>
      </c>
      <c r="M1022" t="str">
        <f>_xll.BDP("351640SQ Muni","YIELD_ON_ISSUE_DATE")</f>
        <v>#N/A Requesting Data...</v>
      </c>
      <c r="N1022" t="str">
        <f>_xll.BDP("351640SQ Muni","YTW_SPREAD_TO_MATURITY_AT_ISSU")</f>
        <v>#N/A Requesting Data...</v>
      </c>
      <c r="O1022" t="str">
        <f>_xll.BDP("351640SQ Muni","BVAL_MID_YTM")</f>
        <v>#N/A Requesting Data...</v>
      </c>
      <c r="P1022" t="str">
        <f>_xll.BDP("351640SQ Muni","MUNI_TAX_PROV")</f>
        <v>#N/A Requesting Data...</v>
      </c>
      <c r="Q1022" t="str">
        <f>_xll.BDP("351640SQ Muni","MUNI_FED_TAX")</f>
        <v>#N/A Requesting Data...</v>
      </c>
      <c r="R1022" t="str">
        <f>_xll.BDP("351640SQ Muni","MUNI_MSRB_VOLUME")</f>
        <v>#N/A Requesting Data...</v>
      </c>
      <c r="S1022" t="str">
        <f>_xll.BDP("351640SQ Muni","BB_COMPOSITE")</f>
        <v>#N/A Requesting Data...</v>
      </c>
      <c r="T1022" t="str">
        <f>_xll.BDP("351640SQ Muni","LQA_LIQUIDITY_SCORE")</f>
        <v>#N/A Requesting Data...</v>
      </c>
    </row>
    <row r="1023" spans="1:20" x14ac:dyDescent="0.25">
      <c r="A1023" t="str">
        <f>_xll.BDP("267048GR Muni","ID_CUSIP")</f>
        <v>#N/A Requesting Data...</v>
      </c>
      <c r="B1023" t="s">
        <v>360</v>
      </c>
      <c r="C1023" t="str">
        <f>_xll.BDP("267048GR Muni","INSURANCE_STATUS")</f>
        <v>#N/A Requesting Data...</v>
      </c>
      <c r="D1023" t="str">
        <f>_xll.BDP("267048GR Muni","STATE_CODE")</f>
        <v>#N/A Requesting Data...</v>
      </c>
      <c r="E1023" t="str">
        <f>_xll.BDP("267048GR Muni","COUNTY_LOCATION_ISSUER")</f>
        <v>#N/A Requesting Data...</v>
      </c>
      <c r="F1023" t="str">
        <f>_xll.BDP("267048GR Muni","DUR_ADJ_MID")</f>
        <v>#N/A Requesting Data...</v>
      </c>
      <c r="G1023" t="str">
        <f>_xll.BDP("267048GR Muni","SPREAD_AT_ISSUANCE_TO_WORST")</f>
        <v>#N/A Requesting Data...</v>
      </c>
      <c r="H1023" t="str">
        <f>_xll.BDP("267048GR Muni","ISSUE_DT")</f>
        <v>#N/A Requesting Data...</v>
      </c>
      <c r="I1023" t="str">
        <f>_xll.BDS("267048GR Muni","MUNI_PURPOSE_SCHED", "aggregate=y")</f>
        <v>#N/A Review</v>
      </c>
      <c r="J1023" t="str">
        <f>_xll.BDP("267048GR Muni","CPN")</f>
        <v>#N/A Requesting Data...</v>
      </c>
      <c r="K1023" t="str">
        <f>_xll.BDP("267048GR Muni","MATURITY")</f>
        <v>#N/A Requesting Data...</v>
      </c>
      <c r="L1023">
        <v>40000</v>
      </c>
      <c r="M1023" t="str">
        <f>_xll.BDP("267048GR Muni","YIELD_ON_ISSUE_DATE")</f>
        <v>#N/A Requesting Data...</v>
      </c>
      <c r="N1023" t="str">
        <f>_xll.BDP("267048GR Muni","YTW_SPREAD_TO_MATURITY_AT_ISSU")</f>
        <v>#N/A Requesting Data...</v>
      </c>
      <c r="O1023" t="str">
        <f>_xll.BDP("267048GR Muni","BVAL_MID_YTM")</f>
        <v>#N/A Requesting Data...</v>
      </c>
      <c r="P1023" t="str">
        <f>_xll.BDP("267048GR Muni","MUNI_TAX_PROV")</f>
        <v>#N/A Requesting Data...</v>
      </c>
      <c r="Q1023" t="str">
        <f>_xll.BDP("267048GR Muni","MUNI_FED_TAX")</f>
        <v>#N/A Requesting Data...</v>
      </c>
      <c r="R1023" t="str">
        <f>_xll.BDP("267048GR Muni","MUNI_MSRB_VOLUME")</f>
        <v>#N/A Requesting Data...</v>
      </c>
      <c r="S1023" t="str">
        <f>_xll.BDP("267048GR Muni","BB_COMPOSITE")</f>
        <v>#N/A Requesting Data...</v>
      </c>
      <c r="T1023" t="str">
        <f>_xll.BDP("267048GR Muni","LQA_LIQUIDITY_SCORE")</f>
        <v>#N/A Requesting Data...</v>
      </c>
    </row>
    <row r="1024" spans="1:20" x14ac:dyDescent="0.25">
      <c r="A1024" t="str">
        <f>_xll.BDP("267417DR Muni","ID_CUSIP")</f>
        <v>#N/A Requesting Data...</v>
      </c>
      <c r="B1024" t="s">
        <v>361</v>
      </c>
      <c r="C1024" t="str">
        <f>_xll.BDP("267417DR Muni","INSURANCE_STATUS")</f>
        <v>#N/A Requesting Data...</v>
      </c>
      <c r="D1024" t="str">
        <f>_xll.BDP("267417DR Muni","STATE_CODE")</f>
        <v>#N/A Requesting Data...</v>
      </c>
      <c r="E1024" t="str">
        <f>_xll.BDP("267417DR Muni","COUNTY_LOCATION_ISSUER")</f>
        <v>#N/A Requesting Data...</v>
      </c>
      <c r="F1024" t="str">
        <f>_xll.BDP("267417DR Muni","DUR_ADJ_MID")</f>
        <v>#N/A Requesting Data...</v>
      </c>
      <c r="G1024" t="str">
        <f>_xll.BDP("267417DR Muni","SPREAD_AT_ISSUANCE_TO_WORST")</f>
        <v>#N/A Requesting Data...</v>
      </c>
      <c r="H1024" t="str">
        <f>_xll.BDP("267417DR Muni","ISSUE_DT")</f>
        <v>#N/A Requesting Data...</v>
      </c>
      <c r="I1024" t="str">
        <f>_xll.BDS("267417DR Muni","MUNI_PURPOSE_SCHED", "aggregate=y")</f>
        <v>#N/A Review</v>
      </c>
      <c r="J1024" t="str">
        <f>_xll.BDP("267417DR Muni","CPN")</f>
        <v>#N/A Requesting Data...</v>
      </c>
      <c r="K1024" t="str">
        <f>_xll.BDP("267417DR Muni","MATURITY")</f>
        <v>#N/A Requesting Data...</v>
      </c>
      <c r="L1024">
        <v>310000</v>
      </c>
      <c r="M1024" t="str">
        <f>_xll.BDP("267417DR Muni","YIELD_ON_ISSUE_DATE")</f>
        <v>#N/A Requesting Data...</v>
      </c>
      <c r="N1024" t="str">
        <f>_xll.BDP("267417DR Muni","YTW_SPREAD_TO_MATURITY_AT_ISSU")</f>
        <v>#N/A Requesting Data...</v>
      </c>
      <c r="O1024" t="str">
        <f>_xll.BDP("267417DR Muni","BVAL_MID_YTM")</f>
        <v>#N/A Requesting Data...</v>
      </c>
      <c r="P1024" t="str">
        <f>_xll.BDP("267417DR Muni","MUNI_TAX_PROV")</f>
        <v>#N/A Requesting Data...</v>
      </c>
      <c r="Q1024" t="str">
        <f>_xll.BDP("267417DR Muni","MUNI_FED_TAX")</f>
        <v>#N/A Requesting Data...</v>
      </c>
      <c r="R1024" t="str">
        <f>_xll.BDP("267417DR Muni","MUNI_MSRB_VOLUME")</f>
        <v>#N/A Requesting Data...</v>
      </c>
      <c r="S1024" t="str">
        <f>_xll.BDP("267417DR Muni","BB_COMPOSITE")</f>
        <v>#N/A Requesting Data...</v>
      </c>
      <c r="T1024" t="str">
        <f>_xll.BDP("267417DR Muni","LQA_LIQUIDITY_SCORE")</f>
        <v>#N/A Requesting Data...</v>
      </c>
    </row>
    <row r="1025" spans="1:20" x14ac:dyDescent="0.25">
      <c r="A1025" t="str">
        <f>_xll.BDP("278444CK Muni","ID_CUSIP")</f>
        <v>#N/A Requesting Data...</v>
      </c>
      <c r="B1025" t="s">
        <v>150</v>
      </c>
      <c r="C1025" t="str">
        <f>_xll.BDP("278444CK Muni","INSURANCE_STATUS")</f>
        <v>#N/A Requesting Data...</v>
      </c>
      <c r="D1025" t="str">
        <f>_xll.BDP("278444CK Muni","STATE_CODE")</f>
        <v>#N/A Requesting Data...</v>
      </c>
      <c r="E1025" t="str">
        <f>_xll.BDP("278444CK Muni","COUNTY_LOCATION_ISSUER")</f>
        <v>#N/A Requesting Data...</v>
      </c>
      <c r="F1025" t="str">
        <f>_xll.BDP("278444CK Muni","DUR_ADJ_MID")</f>
        <v>#N/A Requesting Data...</v>
      </c>
      <c r="G1025" t="str">
        <f>_xll.BDP("278444CK Muni","SPREAD_AT_ISSUANCE_TO_WORST")</f>
        <v>#N/A Requesting Data...</v>
      </c>
      <c r="H1025" t="str">
        <f>_xll.BDP("278444CK Muni","ISSUE_DT")</f>
        <v>#N/A Requesting Data...</v>
      </c>
      <c r="I1025" t="str">
        <f>_xll.BDS("278444CK Muni","MUNI_PURPOSE_SCHED", "aggregate=y")</f>
        <v>#N/A Review</v>
      </c>
      <c r="J1025" t="str">
        <f>_xll.BDP("278444CK Muni","CPN")</f>
        <v>#N/A Requesting Data...</v>
      </c>
      <c r="K1025" t="str">
        <f>_xll.BDP("278444CK Muni","MATURITY")</f>
        <v>#N/A Requesting Data...</v>
      </c>
      <c r="L1025">
        <v>660000</v>
      </c>
      <c r="M1025" t="str">
        <f>_xll.BDP("278444CK Muni","YIELD_ON_ISSUE_DATE")</f>
        <v>#N/A Requesting Data...</v>
      </c>
      <c r="N1025" t="str">
        <f>_xll.BDP("278444CK Muni","YTW_SPREAD_TO_MATURITY_AT_ISSU")</f>
        <v>#N/A Requesting Data...</v>
      </c>
      <c r="O1025" t="str">
        <f>_xll.BDP("278444CK Muni","BVAL_MID_YTM")</f>
        <v>#N/A Requesting Data...</v>
      </c>
      <c r="P1025" t="str">
        <f>_xll.BDP("278444CK Muni","MUNI_TAX_PROV")</f>
        <v>#N/A Requesting Data...</v>
      </c>
      <c r="Q1025" t="str">
        <f>_xll.BDP("278444CK Muni","MUNI_FED_TAX")</f>
        <v>#N/A Requesting Data...</v>
      </c>
      <c r="R1025" t="str">
        <f>_xll.BDP("278444CK Muni","MUNI_MSRB_VOLUME")</f>
        <v>#N/A Requesting Data...</v>
      </c>
      <c r="S1025" t="str">
        <f>_xll.BDP("278444CK Muni","BB_COMPOSITE")</f>
        <v>#N/A Requesting Data...</v>
      </c>
      <c r="T1025" t="str">
        <f>_xll.BDP("278444CK Muni","LQA_LIQUIDITY_SCORE")</f>
        <v>#N/A Requesting Data...</v>
      </c>
    </row>
    <row r="1026" spans="1:20" x14ac:dyDescent="0.25">
      <c r="A1026" t="str">
        <f>_xll.BDP("267048GP Muni","ID_CUSIP")</f>
        <v>#N/A Requesting Data...</v>
      </c>
      <c r="B1026" t="s">
        <v>360</v>
      </c>
      <c r="C1026" t="str">
        <f>_xll.BDP("267048GP Muni","INSURANCE_STATUS")</f>
        <v>#N/A Requesting Data...</v>
      </c>
      <c r="D1026" t="str">
        <f>_xll.BDP("267048GP Muni","STATE_CODE")</f>
        <v>#N/A Requesting Data...</v>
      </c>
      <c r="E1026" t="str">
        <f>_xll.BDP("267048GP Muni","COUNTY_LOCATION_ISSUER")</f>
        <v>#N/A Requesting Data...</v>
      </c>
      <c r="F1026" t="str">
        <f>_xll.BDP("267048GP Muni","DUR_ADJ_MID")</f>
        <v>#N/A Requesting Data...</v>
      </c>
      <c r="G1026" t="str">
        <f>_xll.BDP("267048GP Muni","SPREAD_AT_ISSUANCE_TO_WORST")</f>
        <v>#N/A Requesting Data...</v>
      </c>
      <c r="H1026" t="str">
        <f>_xll.BDP("267048GP Muni","ISSUE_DT")</f>
        <v>#N/A Requesting Data...</v>
      </c>
      <c r="I1026" t="str">
        <f>_xll.BDS("267048GP Muni","MUNI_PURPOSE_SCHED", "aggregate=y")</f>
        <v>#N/A Review</v>
      </c>
      <c r="J1026" t="str">
        <f>_xll.BDP("267048GP Muni","CPN")</f>
        <v>#N/A Requesting Data...</v>
      </c>
      <c r="K1026" t="str">
        <f>_xll.BDP("267048GP Muni","MATURITY")</f>
        <v>#N/A Requesting Data...</v>
      </c>
      <c r="L1026">
        <v>40000</v>
      </c>
      <c r="M1026" t="str">
        <f>_xll.BDP("267048GP Muni","YIELD_ON_ISSUE_DATE")</f>
        <v>#N/A Requesting Data...</v>
      </c>
      <c r="N1026" t="str">
        <f>_xll.BDP("267048GP Muni","YTW_SPREAD_TO_MATURITY_AT_ISSU")</f>
        <v>#N/A Requesting Data...</v>
      </c>
      <c r="O1026" t="str">
        <f>_xll.BDP("267048GP Muni","BVAL_MID_YTM")</f>
        <v>#N/A Requesting Data...</v>
      </c>
      <c r="P1026" t="str">
        <f>_xll.BDP("267048GP Muni","MUNI_TAX_PROV")</f>
        <v>#N/A Requesting Data...</v>
      </c>
      <c r="Q1026" t="str">
        <f>_xll.BDP("267048GP Muni","MUNI_FED_TAX")</f>
        <v>#N/A Requesting Data...</v>
      </c>
      <c r="R1026" t="str">
        <f>_xll.BDP("267048GP Muni","MUNI_MSRB_VOLUME")</f>
        <v>#N/A Requesting Data...</v>
      </c>
      <c r="S1026" t="str">
        <f>_xll.BDP("267048GP Muni","BB_COMPOSITE")</f>
        <v>#N/A Requesting Data...</v>
      </c>
      <c r="T1026" t="str">
        <f>_xll.BDP("267048GP Muni","LQA_LIQUIDITY_SCORE")</f>
        <v>#N/A Requesting Data...</v>
      </c>
    </row>
    <row r="1027" spans="1:20" x14ac:dyDescent="0.25">
      <c r="A1027" t="str">
        <f>_xll.BDP("267048GQ Muni","ID_CUSIP")</f>
        <v>#N/A Requesting Data...</v>
      </c>
      <c r="B1027" t="s">
        <v>360</v>
      </c>
      <c r="C1027" t="str">
        <f>_xll.BDP("267048GQ Muni","INSURANCE_STATUS")</f>
        <v>#N/A Requesting Data...</v>
      </c>
      <c r="D1027" t="str">
        <f>_xll.BDP("267048GQ Muni","STATE_CODE")</f>
        <v>#N/A Requesting Data...</v>
      </c>
      <c r="E1027" t="str">
        <f>_xll.BDP("267048GQ Muni","COUNTY_LOCATION_ISSUER")</f>
        <v>#N/A Requesting Data...</v>
      </c>
      <c r="F1027" t="str">
        <f>_xll.BDP("267048GQ Muni","DUR_ADJ_MID")</f>
        <v>#N/A Requesting Data...</v>
      </c>
      <c r="G1027" t="str">
        <f>_xll.BDP("267048GQ Muni","SPREAD_AT_ISSUANCE_TO_WORST")</f>
        <v>#N/A Requesting Data...</v>
      </c>
      <c r="H1027" t="str">
        <f>_xll.BDP("267048GQ Muni","ISSUE_DT")</f>
        <v>#N/A Requesting Data...</v>
      </c>
      <c r="I1027" t="str">
        <f>_xll.BDS("267048GQ Muni","MUNI_PURPOSE_SCHED", "aggregate=y")</f>
        <v>#N/A Review</v>
      </c>
      <c r="J1027" t="str">
        <f>_xll.BDP("267048GQ Muni","CPN")</f>
        <v>#N/A Requesting Data...</v>
      </c>
      <c r="K1027" t="str">
        <f>_xll.BDP("267048GQ Muni","MATURITY")</f>
        <v>#N/A Requesting Data...</v>
      </c>
      <c r="L1027">
        <v>40000</v>
      </c>
      <c r="M1027" t="str">
        <f>_xll.BDP("267048GQ Muni","YIELD_ON_ISSUE_DATE")</f>
        <v>#N/A Requesting Data...</v>
      </c>
      <c r="N1027" t="str">
        <f>_xll.BDP("267048GQ Muni","YTW_SPREAD_TO_MATURITY_AT_ISSU")</f>
        <v>#N/A Requesting Data...</v>
      </c>
      <c r="O1027" t="str">
        <f>_xll.BDP("267048GQ Muni","BVAL_MID_YTM")</f>
        <v>#N/A Requesting Data...</v>
      </c>
      <c r="P1027" t="str">
        <f>_xll.BDP("267048GQ Muni","MUNI_TAX_PROV")</f>
        <v>#N/A Requesting Data...</v>
      </c>
      <c r="Q1027" t="str">
        <f>_xll.BDP("267048GQ Muni","MUNI_FED_TAX")</f>
        <v>#N/A Requesting Data...</v>
      </c>
      <c r="R1027" t="str">
        <f>_xll.BDP("267048GQ Muni","MUNI_MSRB_VOLUME")</f>
        <v>#N/A Requesting Data...</v>
      </c>
      <c r="S1027" t="str">
        <f>_xll.BDP("267048GQ Muni","BB_COMPOSITE")</f>
        <v>#N/A Requesting Data...</v>
      </c>
      <c r="T1027" t="str">
        <f>_xll.BDP("267048GQ Muni","LQA_LIQUIDITY_SCORE")</f>
        <v>#N/A Requesting Data...</v>
      </c>
    </row>
    <row r="1028" spans="1:20" x14ac:dyDescent="0.25">
      <c r="A1028" t="str">
        <f>_xll.BDP("267048GS Muni","ID_CUSIP")</f>
        <v>#N/A Requesting Data...</v>
      </c>
      <c r="B1028" t="s">
        <v>360</v>
      </c>
      <c r="C1028" t="str">
        <f>_xll.BDP("267048GS Muni","INSURANCE_STATUS")</f>
        <v>#N/A Requesting Data...</v>
      </c>
      <c r="D1028" t="str">
        <f>_xll.BDP("267048GS Muni","STATE_CODE")</f>
        <v>#N/A Requesting Data...</v>
      </c>
      <c r="E1028" t="str">
        <f>_xll.BDP("267048GS Muni","COUNTY_LOCATION_ISSUER")</f>
        <v>#N/A Requesting Data...</v>
      </c>
      <c r="F1028" t="str">
        <f>_xll.BDP("267048GS Muni","DUR_ADJ_MID")</f>
        <v>#N/A Requesting Data...</v>
      </c>
      <c r="G1028" t="str">
        <f>_xll.BDP("267048GS Muni","SPREAD_AT_ISSUANCE_TO_WORST")</f>
        <v>#N/A Requesting Data...</v>
      </c>
      <c r="H1028" t="str">
        <f>_xll.BDP("267048GS Muni","ISSUE_DT")</f>
        <v>#N/A Requesting Data...</v>
      </c>
      <c r="I1028" t="str">
        <f>_xll.BDS("267048GS Muni","MUNI_PURPOSE_SCHED", "aggregate=y")</f>
        <v>#N/A Review</v>
      </c>
      <c r="J1028" t="str">
        <f>_xll.BDP("267048GS Muni","CPN")</f>
        <v>#N/A Requesting Data...</v>
      </c>
      <c r="K1028" t="str">
        <f>_xll.BDP("267048GS Muni","MATURITY")</f>
        <v>#N/A Requesting Data...</v>
      </c>
      <c r="L1028">
        <v>40000</v>
      </c>
      <c r="M1028" t="str">
        <f>_xll.BDP("267048GS Muni","YIELD_ON_ISSUE_DATE")</f>
        <v>#N/A Requesting Data...</v>
      </c>
      <c r="N1028" t="str">
        <f>_xll.BDP("267048GS Muni","YTW_SPREAD_TO_MATURITY_AT_ISSU")</f>
        <v>#N/A Requesting Data...</v>
      </c>
      <c r="O1028" t="str">
        <f>_xll.BDP("267048GS Muni","BVAL_MID_YTM")</f>
        <v>#N/A Requesting Data...</v>
      </c>
      <c r="P1028" t="str">
        <f>_xll.BDP("267048GS Muni","MUNI_TAX_PROV")</f>
        <v>#N/A Requesting Data...</v>
      </c>
      <c r="Q1028" t="str">
        <f>_xll.BDP("267048GS Muni","MUNI_FED_TAX")</f>
        <v>#N/A Requesting Data...</v>
      </c>
      <c r="R1028" t="str">
        <f>_xll.BDP("267048GS Muni","MUNI_MSRB_VOLUME")</f>
        <v>#N/A Requesting Data...</v>
      </c>
      <c r="S1028" t="str">
        <f>_xll.BDP("267048GS Muni","BB_COMPOSITE")</f>
        <v>#N/A Requesting Data...</v>
      </c>
      <c r="T1028" t="str">
        <f>_xll.BDP("267048GS Muni","LQA_LIQUIDITY_SCORE")</f>
        <v>#N/A Requesting Data...</v>
      </c>
    </row>
    <row r="1029" spans="1:20" x14ac:dyDescent="0.25">
      <c r="A1029" t="str">
        <f>_xll.BDP("267417DQ Muni","ID_CUSIP")</f>
        <v>#N/A Requesting Data...</v>
      </c>
      <c r="B1029" t="s">
        <v>361</v>
      </c>
      <c r="C1029" t="str">
        <f>_xll.BDP("267417DQ Muni","INSURANCE_STATUS")</f>
        <v>#N/A Requesting Data...</v>
      </c>
      <c r="D1029" t="str">
        <f>_xll.BDP("267417DQ Muni","STATE_CODE")</f>
        <v>#N/A Requesting Data...</v>
      </c>
      <c r="E1029" t="str">
        <f>_xll.BDP("267417DQ Muni","COUNTY_LOCATION_ISSUER")</f>
        <v>#N/A Requesting Data...</v>
      </c>
      <c r="F1029" t="str">
        <f>_xll.BDP("267417DQ Muni","DUR_ADJ_MID")</f>
        <v>#N/A Requesting Data...</v>
      </c>
      <c r="G1029" t="str">
        <f>_xll.BDP("267417DQ Muni","SPREAD_AT_ISSUANCE_TO_WORST")</f>
        <v>#N/A Requesting Data...</v>
      </c>
      <c r="H1029" t="str">
        <f>_xll.BDP("267417DQ Muni","ISSUE_DT")</f>
        <v>#N/A Requesting Data...</v>
      </c>
      <c r="I1029" t="str">
        <f>_xll.BDS("267417DQ Muni","MUNI_PURPOSE_SCHED", "aggregate=y")</f>
        <v>#N/A Review</v>
      </c>
      <c r="J1029" t="str">
        <f>_xll.BDP("267417DQ Muni","CPN")</f>
        <v>#N/A Requesting Data...</v>
      </c>
      <c r="K1029" t="str">
        <f>_xll.BDP("267417DQ Muni","MATURITY")</f>
        <v>#N/A Requesting Data...</v>
      </c>
      <c r="L1029">
        <v>300000</v>
      </c>
      <c r="M1029" t="str">
        <f>_xll.BDP("267417DQ Muni","YIELD_ON_ISSUE_DATE")</f>
        <v>#N/A Requesting Data...</v>
      </c>
      <c r="N1029" t="str">
        <f>_xll.BDP("267417DQ Muni","YTW_SPREAD_TO_MATURITY_AT_ISSU")</f>
        <v>#N/A Requesting Data...</v>
      </c>
      <c r="O1029" t="str">
        <f>_xll.BDP("267417DQ Muni","BVAL_MID_YTM")</f>
        <v>#N/A Requesting Data...</v>
      </c>
      <c r="P1029" t="str">
        <f>_xll.BDP("267417DQ Muni","MUNI_TAX_PROV")</f>
        <v>#N/A Requesting Data...</v>
      </c>
      <c r="Q1029" t="str">
        <f>_xll.BDP("267417DQ Muni","MUNI_FED_TAX")</f>
        <v>#N/A Requesting Data...</v>
      </c>
      <c r="R1029" t="str">
        <f>_xll.BDP("267417DQ Muni","MUNI_MSRB_VOLUME")</f>
        <v>#N/A Requesting Data...</v>
      </c>
      <c r="S1029" t="str">
        <f>_xll.BDP("267417DQ Muni","BB_COMPOSITE")</f>
        <v>#N/A Requesting Data...</v>
      </c>
      <c r="T1029" t="str">
        <f>_xll.BDP("267417DQ Muni","LQA_LIQUIDITY_SCORE")</f>
        <v>#N/A Requesting Data...</v>
      </c>
    </row>
    <row r="1030" spans="1:20" x14ac:dyDescent="0.25">
      <c r="A1030" t="str">
        <f>_xll.BDP("270424CA Muni","ID_CUSIP")</f>
        <v>#N/A Requesting Data...</v>
      </c>
      <c r="B1030" t="s">
        <v>43</v>
      </c>
      <c r="C1030" t="str">
        <f>_xll.BDP("270424CA Muni","INSURANCE_STATUS")</f>
        <v>#N/A Requesting Data...</v>
      </c>
      <c r="D1030" t="str">
        <f>_xll.BDP("270424CA Muni","STATE_CODE")</f>
        <v>#N/A Requesting Data...</v>
      </c>
      <c r="E1030" t="str">
        <f>_xll.BDP("270424CA Muni","COUNTY_LOCATION_ISSUER")</f>
        <v>#N/A Requesting Data...</v>
      </c>
      <c r="F1030" t="str">
        <f>_xll.BDP("270424CA Muni","DUR_ADJ_MID")</f>
        <v>#N/A Requesting Data...</v>
      </c>
      <c r="G1030" t="str">
        <f>_xll.BDP("270424CA Muni","SPREAD_AT_ISSUANCE_TO_WORST")</f>
        <v>#N/A Requesting Data...</v>
      </c>
      <c r="H1030" t="str">
        <f>_xll.BDP("270424CA Muni","ISSUE_DT")</f>
        <v>#N/A Requesting Data...</v>
      </c>
      <c r="I1030" t="str">
        <f>_xll.BDS("270424CA Muni","MUNI_PURPOSE_SCHED", "aggregate=y")</f>
        <v>#N/A Review</v>
      </c>
      <c r="J1030" t="str">
        <f>_xll.BDP("270424CA Muni","CPN")</f>
        <v>#N/A Requesting Data...</v>
      </c>
      <c r="K1030" t="str">
        <f>_xll.BDP("270424CA Muni","MATURITY")</f>
        <v>#N/A Requesting Data...</v>
      </c>
      <c r="L1030">
        <v>1770000</v>
      </c>
      <c r="M1030" t="str">
        <f>_xll.BDP("270424CA Muni","YIELD_ON_ISSUE_DATE")</f>
        <v>#N/A Requesting Data...</v>
      </c>
      <c r="N1030" t="str">
        <f>_xll.BDP("270424CA Muni","YTW_SPREAD_TO_MATURITY_AT_ISSU")</f>
        <v>#N/A Requesting Data...</v>
      </c>
      <c r="O1030" t="str">
        <f>_xll.BDP("270424CA Muni","BVAL_MID_YTM")</f>
        <v>#N/A Requesting Data...</v>
      </c>
      <c r="P1030" t="str">
        <f>_xll.BDP("270424CA Muni","MUNI_TAX_PROV")</f>
        <v>#N/A Requesting Data...</v>
      </c>
      <c r="Q1030" t="str">
        <f>_xll.BDP("270424CA Muni","MUNI_FED_TAX")</f>
        <v>#N/A Requesting Data...</v>
      </c>
      <c r="R1030" t="str">
        <f>_xll.BDP("270424CA Muni","MUNI_MSRB_VOLUME")</f>
        <v>#N/A Requesting Data...</v>
      </c>
      <c r="S1030" t="str">
        <f>_xll.BDP("270424CA Muni","BB_COMPOSITE")</f>
        <v>#N/A Requesting Data...</v>
      </c>
      <c r="T1030" t="str">
        <f>_xll.BDP("270424CA Muni","LQA_LIQUIDITY_SCORE")</f>
        <v>#N/A Requesting Data...</v>
      </c>
    </row>
    <row r="1031" spans="1:20" x14ac:dyDescent="0.25">
      <c r="A1031" t="str">
        <f>_xll.BDP("279518EZ Muni","ID_CUSIP")</f>
        <v>#N/A Requesting Data...</v>
      </c>
      <c r="B1031" t="s">
        <v>356</v>
      </c>
      <c r="C1031" t="str">
        <f>_xll.BDP("279518EZ Muni","INSURANCE_STATUS")</f>
        <v>#N/A Requesting Data...</v>
      </c>
      <c r="D1031" t="str">
        <f>_xll.BDP("279518EZ Muni","STATE_CODE")</f>
        <v>#N/A Requesting Data...</v>
      </c>
      <c r="E1031" t="str">
        <f>_xll.BDP("279518EZ Muni","COUNTY_LOCATION_ISSUER")</f>
        <v>#N/A Requesting Data...</v>
      </c>
      <c r="F1031" t="str">
        <f>_xll.BDP("279518EZ Muni","DUR_ADJ_MID")</f>
        <v>#N/A Requesting Data...</v>
      </c>
      <c r="G1031" t="str">
        <f>_xll.BDP("279518EZ Muni","SPREAD_AT_ISSUANCE_TO_WORST")</f>
        <v>#N/A Requesting Data...</v>
      </c>
      <c r="H1031" t="str">
        <f>_xll.BDP("279518EZ Muni","ISSUE_DT")</f>
        <v>#N/A Requesting Data...</v>
      </c>
      <c r="I1031" t="str">
        <f>_xll.BDS("279518EZ Muni","MUNI_PURPOSE_SCHED", "aggregate=y")</f>
        <v>#N/A Review</v>
      </c>
      <c r="J1031" t="str">
        <f>_xll.BDP("279518EZ Muni","CPN")</f>
        <v>#N/A Requesting Data...</v>
      </c>
      <c r="K1031" t="str">
        <f>_xll.BDP("279518EZ Muni","MATURITY")</f>
        <v>#N/A Requesting Data...</v>
      </c>
      <c r="L1031">
        <v>390000</v>
      </c>
      <c r="M1031" t="str">
        <f>_xll.BDP("279518EZ Muni","YIELD_ON_ISSUE_DATE")</f>
        <v>#N/A Requesting Data...</v>
      </c>
      <c r="N1031" t="str">
        <f>_xll.BDP("279518EZ Muni","YTW_SPREAD_TO_MATURITY_AT_ISSU")</f>
        <v>#N/A Requesting Data...</v>
      </c>
      <c r="O1031" t="str">
        <f>_xll.BDP("279518EZ Muni","BVAL_MID_YTM")</f>
        <v>#N/A Requesting Data...</v>
      </c>
      <c r="P1031" t="str">
        <f>_xll.BDP("279518EZ Muni","MUNI_TAX_PROV")</f>
        <v>#N/A Requesting Data...</v>
      </c>
      <c r="Q1031" t="str">
        <f>_xll.BDP("279518EZ Muni","MUNI_FED_TAX")</f>
        <v>#N/A Requesting Data...</v>
      </c>
      <c r="R1031" t="str">
        <f>_xll.BDP("279518EZ Muni","MUNI_MSRB_VOLUME")</f>
        <v>#N/A Requesting Data...</v>
      </c>
      <c r="S1031" t="str">
        <f>_xll.BDP("279518EZ Muni","BB_COMPOSITE")</f>
        <v>#N/A Requesting Data...</v>
      </c>
      <c r="T1031" t="str">
        <f>_xll.BDP("279518EZ Muni","LQA_LIQUIDITY_SCORE")</f>
        <v>#N/A Requesting Data...</v>
      </c>
    </row>
    <row r="1032" spans="1:20" x14ac:dyDescent="0.25">
      <c r="A1032" t="str">
        <f>_xll.BDP("279518FA Muni","ID_CUSIP")</f>
        <v>#N/A Requesting Data...</v>
      </c>
      <c r="B1032" t="s">
        <v>356</v>
      </c>
      <c r="C1032" t="str">
        <f>_xll.BDP("279518FA Muni","INSURANCE_STATUS")</f>
        <v>#N/A Requesting Data...</v>
      </c>
      <c r="D1032" t="str">
        <f>_xll.BDP("279518FA Muni","STATE_CODE")</f>
        <v>#N/A Requesting Data...</v>
      </c>
      <c r="E1032" t="str">
        <f>_xll.BDP("279518FA Muni","COUNTY_LOCATION_ISSUER")</f>
        <v>#N/A Requesting Data...</v>
      </c>
      <c r="F1032" t="str">
        <f>_xll.BDP("279518FA Muni","DUR_ADJ_MID")</f>
        <v>#N/A Requesting Data...</v>
      </c>
      <c r="G1032" t="str">
        <f>_xll.BDP("279518FA Muni","SPREAD_AT_ISSUANCE_TO_WORST")</f>
        <v>#N/A Requesting Data...</v>
      </c>
      <c r="H1032" t="str">
        <f>_xll.BDP("279518FA Muni","ISSUE_DT")</f>
        <v>#N/A Requesting Data...</v>
      </c>
      <c r="I1032" t="str">
        <f>_xll.BDS("279518FA Muni","MUNI_PURPOSE_SCHED", "aggregate=y")</f>
        <v>#N/A Review</v>
      </c>
      <c r="J1032" t="str">
        <f>_xll.BDP("279518FA Muni","CPN")</f>
        <v>#N/A Requesting Data...</v>
      </c>
      <c r="K1032" t="str">
        <f>_xll.BDP("279518FA Muni","MATURITY")</f>
        <v>#N/A Requesting Data...</v>
      </c>
      <c r="L1032">
        <v>275000</v>
      </c>
      <c r="M1032" t="str">
        <f>_xll.BDP("279518FA Muni","YIELD_ON_ISSUE_DATE")</f>
        <v>#N/A Requesting Data...</v>
      </c>
      <c r="N1032" t="str">
        <f>_xll.BDP("279518FA Muni","YTW_SPREAD_TO_MATURITY_AT_ISSU")</f>
        <v>#N/A Requesting Data...</v>
      </c>
      <c r="O1032" t="str">
        <f>_xll.BDP("279518FA Muni","BVAL_MID_YTM")</f>
        <v>#N/A Requesting Data...</v>
      </c>
      <c r="P1032" t="str">
        <f>_xll.BDP("279518FA Muni","MUNI_TAX_PROV")</f>
        <v>#N/A Requesting Data...</v>
      </c>
      <c r="Q1032" t="str">
        <f>_xll.BDP("279518FA Muni","MUNI_FED_TAX")</f>
        <v>#N/A Requesting Data...</v>
      </c>
      <c r="R1032" t="str">
        <f>_xll.BDP("279518FA Muni","MUNI_MSRB_VOLUME")</f>
        <v>#N/A Requesting Data...</v>
      </c>
      <c r="S1032" t="str">
        <f>_xll.BDP("279518FA Muni","BB_COMPOSITE")</f>
        <v>#N/A Requesting Data...</v>
      </c>
      <c r="T1032" t="str">
        <f>_xll.BDP("279518FA Muni","LQA_LIQUIDITY_SCORE")</f>
        <v>#N/A Requesting Data...</v>
      </c>
    </row>
    <row r="1033" spans="1:20" x14ac:dyDescent="0.25">
      <c r="A1033" t="str">
        <f>_xll.BDP("257831LZ Muni","ID_CUSIP")</f>
        <v>#N/A Requesting Data...</v>
      </c>
      <c r="B1033" t="s">
        <v>175</v>
      </c>
      <c r="C1033" t="str">
        <f>_xll.BDP("257831LZ Muni","INSURANCE_STATUS")</f>
        <v>#N/A Requesting Data...</v>
      </c>
      <c r="D1033" t="str">
        <f>_xll.BDP("257831LZ Muni","STATE_CODE")</f>
        <v>#N/A Requesting Data...</v>
      </c>
      <c r="E1033" t="str">
        <f>_xll.BDP("257831LZ Muni","COUNTY_LOCATION_ISSUER")</f>
        <v>#N/A Requesting Data...</v>
      </c>
      <c r="F1033" t="str">
        <f>_xll.BDP("257831LZ Muni","DUR_ADJ_MID")</f>
        <v>#N/A Requesting Data...</v>
      </c>
      <c r="G1033" t="str">
        <f>_xll.BDP("257831LZ Muni","SPREAD_AT_ISSUANCE_TO_WORST")</f>
        <v>#N/A Requesting Data...</v>
      </c>
      <c r="H1033" t="str">
        <f>_xll.BDP("257831LZ Muni","ISSUE_DT")</f>
        <v>#N/A Requesting Data...</v>
      </c>
      <c r="I1033" t="str">
        <f>_xll.BDS("257831LZ Muni","MUNI_PURPOSE_SCHED", "aggregate=y")</f>
        <v>#N/A Review</v>
      </c>
      <c r="J1033" t="str">
        <f>_xll.BDP("257831LZ Muni","CPN")</f>
        <v>#N/A Requesting Data...</v>
      </c>
      <c r="K1033" t="str">
        <f>_xll.BDP("257831LZ Muni","MATURITY")</f>
        <v>#N/A Requesting Data...</v>
      </c>
      <c r="L1033">
        <v>150000</v>
      </c>
      <c r="M1033" t="str">
        <f>_xll.BDP("257831LZ Muni","YIELD_ON_ISSUE_DATE")</f>
        <v>#N/A Requesting Data...</v>
      </c>
      <c r="N1033" t="str">
        <f>_xll.BDP("257831LZ Muni","YTW_SPREAD_TO_MATURITY_AT_ISSU")</f>
        <v>#N/A Requesting Data...</v>
      </c>
      <c r="O1033" t="str">
        <f>_xll.BDP("257831LZ Muni","BVAL_MID_YTM")</f>
        <v>#N/A Requesting Data...</v>
      </c>
      <c r="P1033" t="str">
        <f>_xll.BDP("257831LZ Muni","MUNI_TAX_PROV")</f>
        <v>#N/A Requesting Data...</v>
      </c>
      <c r="Q1033" t="str">
        <f>_xll.BDP("257831LZ Muni","MUNI_FED_TAX")</f>
        <v>#N/A Requesting Data...</v>
      </c>
      <c r="R1033" t="str">
        <f>_xll.BDP("257831LZ Muni","MUNI_MSRB_VOLUME")</f>
        <v>#N/A Requesting Data...</v>
      </c>
      <c r="S1033" t="str">
        <f>_xll.BDP("257831LZ Muni","BB_COMPOSITE")</f>
        <v>#N/A Requesting Data...</v>
      </c>
      <c r="T1033" t="str">
        <f>_xll.BDP("257831LZ Muni","LQA_LIQUIDITY_SCORE")</f>
        <v>#N/A Requesting Data...</v>
      </c>
    </row>
    <row r="1034" spans="1:20" x14ac:dyDescent="0.25">
      <c r="A1034" t="str">
        <f>_xll.BDP("257831MC Muni","ID_CUSIP")</f>
        <v>#N/A Requesting Data...</v>
      </c>
      <c r="B1034" t="s">
        <v>175</v>
      </c>
      <c r="C1034" t="str">
        <f>_xll.BDP("257831MC Muni","INSURANCE_STATUS")</f>
        <v>#N/A Requesting Data...</v>
      </c>
      <c r="D1034" t="str">
        <f>_xll.BDP("257831MC Muni","STATE_CODE")</f>
        <v>#N/A Requesting Data...</v>
      </c>
      <c r="E1034" t="str">
        <f>_xll.BDP("257831MC Muni","COUNTY_LOCATION_ISSUER")</f>
        <v>#N/A Requesting Data...</v>
      </c>
      <c r="F1034" t="str">
        <f>_xll.BDP("257831MC Muni","DUR_ADJ_MID")</f>
        <v>#N/A Requesting Data...</v>
      </c>
      <c r="G1034" t="str">
        <f>_xll.BDP("257831MC Muni","SPREAD_AT_ISSUANCE_TO_WORST")</f>
        <v>#N/A Requesting Data...</v>
      </c>
      <c r="H1034" t="str">
        <f>_xll.BDP("257831MC Muni","ISSUE_DT")</f>
        <v>#N/A Requesting Data...</v>
      </c>
      <c r="I1034" t="str">
        <f>_xll.BDS("257831MC Muni","MUNI_PURPOSE_SCHED", "aggregate=y")</f>
        <v>#N/A Review</v>
      </c>
      <c r="J1034" t="str">
        <f>_xll.BDP("257831MC Muni","CPN")</f>
        <v>#N/A Requesting Data...</v>
      </c>
      <c r="K1034" t="str">
        <f>_xll.BDP("257831MC Muni","MATURITY")</f>
        <v>#N/A Requesting Data...</v>
      </c>
      <c r="L1034">
        <v>380000</v>
      </c>
      <c r="M1034" t="str">
        <f>_xll.BDP("257831MC Muni","YIELD_ON_ISSUE_DATE")</f>
        <v>#N/A Requesting Data...</v>
      </c>
      <c r="N1034" t="str">
        <f>_xll.BDP("257831MC Muni","YTW_SPREAD_TO_MATURITY_AT_ISSU")</f>
        <v>#N/A Requesting Data...</v>
      </c>
      <c r="O1034" t="str">
        <f>_xll.BDP("257831MC Muni","BVAL_MID_YTM")</f>
        <v>#N/A Requesting Data...</v>
      </c>
      <c r="P1034" t="str">
        <f>_xll.BDP("257831MC Muni","MUNI_TAX_PROV")</f>
        <v>#N/A Requesting Data...</v>
      </c>
      <c r="Q1034" t="str">
        <f>_xll.BDP("257831MC Muni","MUNI_FED_TAX")</f>
        <v>#N/A Requesting Data...</v>
      </c>
      <c r="R1034" t="str">
        <f>_xll.BDP("257831MC Muni","MUNI_MSRB_VOLUME")</f>
        <v>#N/A Requesting Data...</v>
      </c>
      <c r="S1034" t="str">
        <f>_xll.BDP("257831MC Muni","BB_COMPOSITE")</f>
        <v>#N/A Requesting Data...</v>
      </c>
      <c r="T1034" t="str">
        <f>_xll.BDP("257831MC Muni","LQA_LIQUIDITY_SCORE")</f>
        <v>#N/A Requesting Data...</v>
      </c>
    </row>
    <row r="1035" spans="1:20" x14ac:dyDescent="0.25">
      <c r="A1035" t="str">
        <f>_xll.BDP("283059FF Muni","ID_CUSIP")</f>
        <v>#N/A Requesting Data...</v>
      </c>
      <c r="B1035" t="s">
        <v>103</v>
      </c>
      <c r="C1035" t="str">
        <f>_xll.BDP("283059FF Muni","INSURANCE_STATUS")</f>
        <v>#N/A Requesting Data...</v>
      </c>
      <c r="D1035" t="str">
        <f>_xll.BDP("283059FF Muni","STATE_CODE")</f>
        <v>#N/A Requesting Data...</v>
      </c>
      <c r="E1035" t="str">
        <f>_xll.BDP("283059FF Muni","COUNTY_LOCATION_ISSUER")</f>
        <v>#N/A Requesting Data...</v>
      </c>
      <c r="F1035" t="str">
        <f>_xll.BDP("283059FF Muni","DUR_ADJ_MID")</f>
        <v>#N/A Requesting Data...</v>
      </c>
      <c r="G1035" t="str">
        <f>_xll.BDP("283059FF Muni","SPREAD_AT_ISSUANCE_TO_WORST")</f>
        <v>#N/A Requesting Data...</v>
      </c>
      <c r="H1035" t="str">
        <f>_xll.BDP("283059FF Muni","ISSUE_DT")</f>
        <v>#N/A Requesting Data...</v>
      </c>
      <c r="I1035" t="str">
        <f>_xll.BDS("283059FF Muni","MUNI_PURPOSE_SCHED", "aggregate=y")</f>
        <v>#N/A Review</v>
      </c>
      <c r="J1035" t="str">
        <f>_xll.BDP("283059FF Muni","CPN")</f>
        <v>#N/A Requesting Data...</v>
      </c>
      <c r="K1035" t="str">
        <f>_xll.BDP("283059FF Muni","MATURITY")</f>
        <v>#N/A Requesting Data...</v>
      </c>
      <c r="L1035">
        <v>670000</v>
      </c>
      <c r="M1035" t="str">
        <f>_xll.BDP("283059FF Muni","YIELD_ON_ISSUE_DATE")</f>
        <v>#N/A Requesting Data...</v>
      </c>
      <c r="N1035" t="str">
        <f>_xll.BDP("283059FF Muni","YTW_SPREAD_TO_MATURITY_AT_ISSU")</f>
        <v>#N/A Requesting Data...</v>
      </c>
      <c r="O1035" t="str">
        <f>_xll.BDP("283059FF Muni","BVAL_MID_YTM")</f>
        <v>#N/A Requesting Data...</v>
      </c>
      <c r="P1035" t="str">
        <f>_xll.BDP("283059FF Muni","MUNI_TAX_PROV")</f>
        <v>#N/A Requesting Data...</v>
      </c>
      <c r="Q1035" t="str">
        <f>_xll.BDP("283059FF Muni","MUNI_FED_TAX")</f>
        <v>#N/A Requesting Data...</v>
      </c>
      <c r="R1035" t="str">
        <f>_xll.BDP("283059FF Muni","MUNI_MSRB_VOLUME")</f>
        <v>#N/A Requesting Data...</v>
      </c>
      <c r="S1035" t="str">
        <f>_xll.BDP("283059FF Muni","BB_COMPOSITE")</f>
        <v>#N/A Requesting Data...</v>
      </c>
      <c r="T1035" t="str">
        <f>_xll.BDP("283059FF Muni","LQA_LIQUIDITY_SCORE")</f>
        <v>#N/A Requesting Data...</v>
      </c>
    </row>
    <row r="1036" spans="1:20" x14ac:dyDescent="0.25">
      <c r="A1036" t="str">
        <f>_xll.BDP("283113HR Muni","ID_CUSIP")</f>
        <v>#N/A Requesting Data...</v>
      </c>
      <c r="B1036" t="s">
        <v>339</v>
      </c>
      <c r="C1036" t="str">
        <f>_xll.BDP("283113HR Muni","INSURANCE_STATUS")</f>
        <v>#N/A Requesting Data...</v>
      </c>
      <c r="D1036" t="str">
        <f>_xll.BDP("283113HR Muni","STATE_CODE")</f>
        <v>#N/A Requesting Data...</v>
      </c>
      <c r="E1036" t="str">
        <f>_xll.BDP("283113HR Muni","COUNTY_LOCATION_ISSUER")</f>
        <v>#N/A Requesting Data...</v>
      </c>
      <c r="F1036" t="str">
        <f>_xll.BDP("283113HR Muni","DUR_ADJ_MID")</f>
        <v>#N/A Requesting Data...</v>
      </c>
      <c r="G1036" t="str">
        <f>_xll.BDP("283113HR Muni","SPREAD_AT_ISSUANCE_TO_WORST")</f>
        <v>#N/A Requesting Data...</v>
      </c>
      <c r="H1036" t="str">
        <f>_xll.BDP("283113HR Muni","ISSUE_DT")</f>
        <v>#N/A Requesting Data...</v>
      </c>
      <c r="I1036" t="str">
        <f>_xll.BDS("283113HR Muni","MUNI_PURPOSE_SCHED", "aggregate=y")</f>
        <v>#N/A Review</v>
      </c>
      <c r="J1036" t="str">
        <f>_xll.BDP("283113HR Muni","CPN")</f>
        <v>#N/A Requesting Data...</v>
      </c>
      <c r="K1036" t="str">
        <f>_xll.BDP("283113HR Muni","MATURITY")</f>
        <v>#N/A Requesting Data...</v>
      </c>
      <c r="L1036">
        <v>200000</v>
      </c>
      <c r="M1036" t="str">
        <f>_xll.BDP("283113HR Muni","YIELD_ON_ISSUE_DATE")</f>
        <v>#N/A Requesting Data...</v>
      </c>
      <c r="N1036" t="str">
        <f>_xll.BDP("283113HR Muni","YTW_SPREAD_TO_MATURITY_AT_ISSU")</f>
        <v>#N/A Requesting Data...</v>
      </c>
      <c r="O1036" t="str">
        <f>_xll.BDP("283113HR Muni","BVAL_MID_YTM")</f>
        <v>#N/A Requesting Data...</v>
      </c>
      <c r="P1036" t="str">
        <f>_xll.BDP("283113HR Muni","MUNI_TAX_PROV")</f>
        <v>#N/A Requesting Data...</v>
      </c>
      <c r="Q1036" t="str">
        <f>_xll.BDP("283113HR Muni","MUNI_FED_TAX")</f>
        <v>#N/A Requesting Data...</v>
      </c>
      <c r="R1036" t="str">
        <f>_xll.BDP("283113HR Muni","MUNI_MSRB_VOLUME")</f>
        <v>#N/A Requesting Data...</v>
      </c>
      <c r="S1036" t="str">
        <f>_xll.BDP("283113HR Muni","BB_COMPOSITE")</f>
        <v>#N/A Requesting Data...</v>
      </c>
      <c r="T1036" t="str">
        <f>_xll.BDP("283113HR Muni","LQA_LIQUIDITY_SCORE")</f>
        <v>#N/A Requesting Data...</v>
      </c>
    </row>
    <row r="1037" spans="1:20" x14ac:dyDescent="0.25">
      <c r="A1037" t="str">
        <f>_xll.BDP("373064B4 Muni","ID_CUSIP")</f>
        <v>#N/A Requesting Data...</v>
      </c>
      <c r="B1037" t="s">
        <v>97</v>
      </c>
      <c r="C1037" t="str">
        <f>_xll.BDP("373064B4 Muni","INSURANCE_STATUS")</f>
        <v>#N/A Requesting Data...</v>
      </c>
      <c r="D1037" t="str">
        <f>_xll.BDP("373064B4 Muni","STATE_CODE")</f>
        <v>#N/A Requesting Data...</v>
      </c>
      <c r="E1037" t="str">
        <f>_xll.BDP("373064B4 Muni","COUNTY_LOCATION_ISSUER")</f>
        <v>#N/A Requesting Data...</v>
      </c>
      <c r="F1037" t="str">
        <f>_xll.BDP("373064B4 Muni","DUR_ADJ_MID")</f>
        <v>#N/A Requesting Data...</v>
      </c>
      <c r="G1037" t="str">
        <f>_xll.BDP("373064B4 Muni","SPREAD_AT_ISSUANCE_TO_WORST")</f>
        <v>#N/A Requesting Data...</v>
      </c>
      <c r="H1037" t="str">
        <f>_xll.BDP("373064B4 Muni","ISSUE_DT")</f>
        <v>#N/A Requesting Data...</v>
      </c>
      <c r="I1037" t="str">
        <f>_xll.BDS("373064B4 Muni","MUNI_PURPOSE_SCHED", "aggregate=y")</f>
        <v>#N/A Review</v>
      </c>
      <c r="J1037" t="str">
        <f>_xll.BDP("373064B4 Muni","CPN")</f>
        <v>#N/A Requesting Data...</v>
      </c>
      <c r="K1037" t="str">
        <f>_xll.BDP("373064B4 Muni","MATURITY")</f>
        <v>#N/A Requesting Data...</v>
      </c>
      <c r="L1037">
        <v>465000</v>
      </c>
      <c r="M1037" t="str">
        <f>_xll.BDP("373064B4 Muni","YIELD_ON_ISSUE_DATE")</f>
        <v>#N/A Requesting Data...</v>
      </c>
      <c r="N1037" t="str">
        <f>_xll.BDP("373064B4 Muni","YTW_SPREAD_TO_MATURITY_AT_ISSU")</f>
        <v>#N/A Requesting Data...</v>
      </c>
      <c r="O1037" t="str">
        <f>_xll.BDP("373064B4 Muni","BVAL_MID_YTM")</f>
        <v>#N/A Requesting Data...</v>
      </c>
      <c r="P1037" t="str">
        <f>_xll.BDP("373064B4 Muni","MUNI_TAX_PROV")</f>
        <v>#N/A Requesting Data...</v>
      </c>
      <c r="Q1037" t="str">
        <f>_xll.BDP("373064B4 Muni","MUNI_FED_TAX")</f>
        <v>#N/A Requesting Data...</v>
      </c>
      <c r="R1037" t="str">
        <f>_xll.BDP("373064B4 Muni","MUNI_MSRB_VOLUME")</f>
        <v>#N/A Requesting Data...</v>
      </c>
      <c r="S1037" t="str">
        <f>_xll.BDP("373064B4 Muni","BB_COMPOSITE")</f>
        <v>#N/A Requesting Data...</v>
      </c>
      <c r="T1037" t="str">
        <f>_xll.BDP("373064B4 Muni","LQA_LIQUIDITY_SCORE")</f>
        <v>#N/A Requesting Data...</v>
      </c>
    </row>
    <row r="1038" spans="1:20" x14ac:dyDescent="0.25">
      <c r="A1038" t="str">
        <f>_xll.BDP("338423QG Muni","ID_CUSIP")</f>
        <v>#N/A Requesting Data...</v>
      </c>
      <c r="B1038" t="s">
        <v>72</v>
      </c>
      <c r="C1038" t="str">
        <f>_xll.BDP("338423QG Muni","INSURANCE_STATUS")</f>
        <v>#N/A Requesting Data...</v>
      </c>
      <c r="D1038" t="str">
        <f>_xll.BDP("338423QG Muni","STATE_CODE")</f>
        <v>#N/A Requesting Data...</v>
      </c>
      <c r="E1038" t="str">
        <f>_xll.BDP("338423QG Muni","COUNTY_LOCATION_ISSUER")</f>
        <v>#N/A Requesting Data...</v>
      </c>
      <c r="F1038" t="str">
        <f>_xll.BDP("338423QG Muni","DUR_ADJ_MID")</f>
        <v>#N/A Requesting Data...</v>
      </c>
      <c r="G1038" t="str">
        <f>_xll.BDP("338423QG Muni","SPREAD_AT_ISSUANCE_TO_WORST")</f>
        <v>#N/A Requesting Data...</v>
      </c>
      <c r="H1038" t="str">
        <f>_xll.BDP("338423QG Muni","ISSUE_DT")</f>
        <v>#N/A Requesting Data...</v>
      </c>
      <c r="I1038" t="str">
        <f>_xll.BDS("338423QG Muni","MUNI_PURPOSE_SCHED", "aggregate=y")</f>
        <v>#N/A Review</v>
      </c>
      <c r="J1038" t="str">
        <f>_xll.BDP("338423QG Muni","CPN")</f>
        <v>#N/A Requesting Data...</v>
      </c>
      <c r="K1038" t="str">
        <f>_xll.BDP("338423QG Muni","MATURITY")</f>
        <v>#N/A Requesting Data...</v>
      </c>
      <c r="L1038">
        <v>710000</v>
      </c>
      <c r="M1038" t="str">
        <f>_xll.BDP("338423QG Muni","YIELD_ON_ISSUE_DATE")</f>
        <v>#N/A Requesting Data...</v>
      </c>
      <c r="N1038" t="str">
        <f>_xll.BDP("338423QG Muni","YTW_SPREAD_TO_MATURITY_AT_ISSU")</f>
        <v>#N/A Requesting Data...</v>
      </c>
      <c r="O1038" t="str">
        <f>_xll.BDP("338423QG Muni","BVAL_MID_YTM")</f>
        <v>#N/A Requesting Data...</v>
      </c>
      <c r="P1038" t="str">
        <f>_xll.BDP("338423QG Muni","MUNI_TAX_PROV")</f>
        <v>#N/A Requesting Data...</v>
      </c>
      <c r="Q1038" t="str">
        <f>_xll.BDP("338423QG Muni","MUNI_FED_TAX")</f>
        <v>#N/A Requesting Data...</v>
      </c>
      <c r="R1038" t="str">
        <f>_xll.BDP("338423QG Muni","MUNI_MSRB_VOLUME")</f>
        <v>#N/A Requesting Data...</v>
      </c>
      <c r="S1038" t="str">
        <f>_xll.BDP("338423QG Muni","BB_COMPOSITE")</f>
        <v>#N/A Requesting Data...</v>
      </c>
      <c r="T1038" t="str">
        <f>_xll.BDP("338423QG Muni","LQA_LIQUIDITY_SCORE")</f>
        <v>#N/A Requesting Data...</v>
      </c>
    </row>
    <row r="1039" spans="1:20" x14ac:dyDescent="0.25">
      <c r="A1039" t="str">
        <f>_xll.BDP("340266AQ Muni","ID_CUSIP")</f>
        <v>#N/A Requesting Data...</v>
      </c>
      <c r="B1039" t="s">
        <v>182</v>
      </c>
      <c r="C1039" t="str">
        <f>_xll.BDP("340266AQ Muni","INSURANCE_STATUS")</f>
        <v>#N/A Requesting Data...</v>
      </c>
      <c r="D1039" t="str">
        <f>_xll.BDP("340266AQ Muni","STATE_CODE")</f>
        <v>#N/A Requesting Data...</v>
      </c>
      <c r="E1039" t="str">
        <f>_xll.BDP("340266AQ Muni","COUNTY_LOCATION_ISSUER")</f>
        <v>#N/A Requesting Data...</v>
      </c>
      <c r="F1039" t="str">
        <f>_xll.BDP("340266AQ Muni","DUR_ADJ_MID")</f>
        <v>#N/A Requesting Data...</v>
      </c>
      <c r="G1039" t="str">
        <f>_xll.BDP("340266AQ Muni","SPREAD_AT_ISSUANCE_TO_WORST")</f>
        <v>#N/A Requesting Data...</v>
      </c>
      <c r="H1039" t="str">
        <f>_xll.BDP("340266AQ Muni","ISSUE_DT")</f>
        <v>#N/A Requesting Data...</v>
      </c>
      <c r="I1039" t="str">
        <f>_xll.BDS("340266AQ Muni","MUNI_PURPOSE_SCHED", "aggregate=y")</f>
        <v>#N/A Review</v>
      </c>
      <c r="J1039" t="str">
        <f>_xll.BDP("340266AQ Muni","CPN")</f>
        <v>#N/A Requesting Data...</v>
      </c>
      <c r="K1039" t="str">
        <f>_xll.BDP("340266AQ Muni","MATURITY")</f>
        <v>#N/A Requesting Data...</v>
      </c>
      <c r="L1039">
        <v>150000</v>
      </c>
      <c r="M1039" t="str">
        <f>_xll.BDP("340266AQ Muni","YIELD_ON_ISSUE_DATE")</f>
        <v>#N/A Requesting Data...</v>
      </c>
      <c r="N1039" t="str">
        <f>_xll.BDP("340266AQ Muni","YTW_SPREAD_TO_MATURITY_AT_ISSU")</f>
        <v>#N/A Requesting Data...</v>
      </c>
      <c r="O1039" t="str">
        <f>_xll.BDP("340266AQ Muni","BVAL_MID_YTM")</f>
        <v>#N/A Requesting Data...</v>
      </c>
      <c r="P1039" t="str">
        <f>_xll.BDP("340266AQ Muni","MUNI_TAX_PROV")</f>
        <v>#N/A Requesting Data...</v>
      </c>
      <c r="Q1039" t="str">
        <f>_xll.BDP("340266AQ Muni","MUNI_FED_TAX")</f>
        <v>#N/A Requesting Data...</v>
      </c>
      <c r="R1039" t="str">
        <f>_xll.BDP("340266AQ Muni","MUNI_MSRB_VOLUME")</f>
        <v>#N/A Requesting Data...</v>
      </c>
      <c r="S1039" t="str">
        <f>_xll.BDP("340266AQ Muni","BB_COMPOSITE")</f>
        <v>#N/A Requesting Data...</v>
      </c>
      <c r="T1039" t="str">
        <f>_xll.BDP("340266AQ Muni","LQA_LIQUIDITY_SCORE")</f>
        <v>#N/A Requesting Data...</v>
      </c>
    </row>
    <row r="1040" spans="1:20" x14ac:dyDescent="0.25">
      <c r="A1040" t="str">
        <f>_xll.BDP("340266AR Muni","ID_CUSIP")</f>
        <v>#N/A Requesting Data...</v>
      </c>
      <c r="B1040" t="s">
        <v>182</v>
      </c>
      <c r="C1040" t="str">
        <f>_xll.BDP("340266AR Muni","INSURANCE_STATUS")</f>
        <v>#N/A Requesting Data...</v>
      </c>
      <c r="D1040" t="str">
        <f>_xll.BDP("340266AR Muni","STATE_CODE")</f>
        <v>#N/A Requesting Data...</v>
      </c>
      <c r="E1040" t="str">
        <f>_xll.BDP("340266AR Muni","COUNTY_LOCATION_ISSUER")</f>
        <v>#N/A Requesting Data...</v>
      </c>
      <c r="F1040" t="str">
        <f>_xll.BDP("340266AR Muni","DUR_ADJ_MID")</f>
        <v>#N/A Requesting Data...</v>
      </c>
      <c r="G1040" t="str">
        <f>_xll.BDP("340266AR Muni","SPREAD_AT_ISSUANCE_TO_WORST")</f>
        <v>#N/A Requesting Data...</v>
      </c>
      <c r="H1040" t="str">
        <f>_xll.BDP("340266AR Muni","ISSUE_DT")</f>
        <v>#N/A Requesting Data...</v>
      </c>
      <c r="I1040" t="str">
        <f>_xll.BDS("340266AR Muni","MUNI_PURPOSE_SCHED", "aggregate=y")</f>
        <v>#N/A Review</v>
      </c>
      <c r="J1040" t="str">
        <f>_xll.BDP("340266AR Muni","CPN")</f>
        <v>#N/A Requesting Data...</v>
      </c>
      <c r="K1040" t="str">
        <f>_xll.BDP("340266AR Muni","MATURITY")</f>
        <v>#N/A Requesting Data...</v>
      </c>
      <c r="L1040">
        <v>155000</v>
      </c>
      <c r="M1040" t="str">
        <f>_xll.BDP("340266AR Muni","YIELD_ON_ISSUE_DATE")</f>
        <v>#N/A Requesting Data...</v>
      </c>
      <c r="N1040" t="str">
        <f>_xll.BDP("340266AR Muni","YTW_SPREAD_TO_MATURITY_AT_ISSU")</f>
        <v>#N/A Requesting Data...</v>
      </c>
      <c r="O1040" t="str">
        <f>_xll.BDP("340266AR Muni","BVAL_MID_YTM")</f>
        <v>#N/A Requesting Data...</v>
      </c>
      <c r="P1040" t="str">
        <f>_xll.BDP("340266AR Muni","MUNI_TAX_PROV")</f>
        <v>#N/A Requesting Data...</v>
      </c>
      <c r="Q1040" t="str">
        <f>_xll.BDP("340266AR Muni","MUNI_FED_TAX")</f>
        <v>#N/A Requesting Data...</v>
      </c>
      <c r="R1040" t="str">
        <f>_xll.BDP("340266AR Muni","MUNI_MSRB_VOLUME")</f>
        <v>#N/A Requesting Data...</v>
      </c>
      <c r="S1040" t="str">
        <f>_xll.BDP("340266AR Muni","BB_COMPOSITE")</f>
        <v>#N/A Requesting Data...</v>
      </c>
      <c r="T1040" t="str">
        <f>_xll.BDP("340266AR Muni","LQA_LIQUIDITY_SCORE")</f>
        <v>#N/A Requesting Data...</v>
      </c>
    </row>
    <row r="1041" spans="1:20" x14ac:dyDescent="0.25">
      <c r="A1041" t="str">
        <f>_xll.BDP("186423AF Muni","ID_CUSIP")</f>
        <v>#N/A Requesting Data...</v>
      </c>
      <c r="B1041" t="s">
        <v>176</v>
      </c>
      <c r="C1041" t="str">
        <f>_xll.BDP("186423AF Muni","INSURANCE_STATUS")</f>
        <v>#N/A Requesting Data...</v>
      </c>
      <c r="D1041" t="str">
        <f>_xll.BDP("186423AF Muni","STATE_CODE")</f>
        <v>#N/A Requesting Data...</v>
      </c>
      <c r="E1041" t="str">
        <f>_xll.BDP("186423AF Muni","COUNTY_LOCATION_ISSUER")</f>
        <v>#N/A Requesting Data...</v>
      </c>
      <c r="F1041" t="str">
        <f>_xll.BDP("186423AF Muni","DUR_ADJ_MID")</f>
        <v>#N/A Requesting Data...</v>
      </c>
      <c r="G1041" t="str">
        <f>_xll.BDP("186423AF Muni","SPREAD_AT_ISSUANCE_TO_WORST")</f>
        <v>#N/A Requesting Data...</v>
      </c>
      <c r="H1041" t="str">
        <f>_xll.BDP("186423AF Muni","ISSUE_DT")</f>
        <v>#N/A Requesting Data...</v>
      </c>
      <c r="I1041" t="str">
        <f>_xll.BDS("186423AF Muni","MUNI_PURPOSE_SCHED", "aggregate=y")</f>
        <v>#N/A Review</v>
      </c>
      <c r="J1041" t="str">
        <f>_xll.BDP("186423AF Muni","CPN")</f>
        <v>#N/A Requesting Data...</v>
      </c>
      <c r="K1041" t="str">
        <f>_xll.BDP("186423AF Muni","MATURITY")</f>
        <v>#N/A Requesting Data...</v>
      </c>
      <c r="L1041">
        <v>660000</v>
      </c>
      <c r="M1041" t="str">
        <f>_xll.BDP("186423AF Muni","YIELD_ON_ISSUE_DATE")</f>
        <v>#N/A Requesting Data...</v>
      </c>
      <c r="N1041" t="str">
        <f>_xll.BDP("186423AF Muni","YTW_SPREAD_TO_MATURITY_AT_ISSU")</f>
        <v>#N/A Requesting Data...</v>
      </c>
      <c r="O1041" t="str">
        <f>_xll.BDP("186423AF Muni","BVAL_MID_YTM")</f>
        <v>#N/A Requesting Data...</v>
      </c>
      <c r="P1041" t="str">
        <f>_xll.BDP("186423AF Muni","MUNI_TAX_PROV")</f>
        <v>#N/A Requesting Data...</v>
      </c>
      <c r="Q1041" t="str">
        <f>_xll.BDP("186423AF Muni","MUNI_FED_TAX")</f>
        <v>#N/A Requesting Data...</v>
      </c>
      <c r="R1041" t="str">
        <f>_xll.BDP("186423AF Muni","MUNI_MSRB_VOLUME")</f>
        <v>#N/A Requesting Data...</v>
      </c>
      <c r="S1041" t="str">
        <f>_xll.BDP("186423AF Muni","BB_COMPOSITE")</f>
        <v>#N/A Requesting Data...</v>
      </c>
      <c r="T1041" t="str">
        <f>_xll.BDP("186423AF Muni","LQA_LIQUIDITY_SCORE")</f>
        <v>#N/A Requesting Data...</v>
      </c>
    </row>
    <row r="1042" spans="1:20" x14ac:dyDescent="0.25">
      <c r="A1042" t="str">
        <f>_xll.BDP("37149ABF Muni","ID_CUSIP")</f>
        <v>#N/A Requesting Data...</v>
      </c>
      <c r="B1042" t="s">
        <v>362</v>
      </c>
      <c r="C1042" t="str">
        <f>_xll.BDP("37149ABF Muni","INSURANCE_STATUS")</f>
        <v>#N/A Requesting Data...</v>
      </c>
      <c r="D1042" t="str">
        <f>_xll.BDP("37149ABF Muni","STATE_CODE")</f>
        <v>#N/A Requesting Data...</v>
      </c>
      <c r="E1042" t="str">
        <f>_xll.BDP("37149ABF Muni","COUNTY_LOCATION_ISSUER")</f>
        <v>#N/A Requesting Data...</v>
      </c>
      <c r="F1042" t="str">
        <f>_xll.BDP("37149ABF Muni","DUR_ADJ_MID")</f>
        <v>#N/A Requesting Data...</v>
      </c>
      <c r="G1042" t="str">
        <f>_xll.BDP("37149ABF Muni","SPREAD_AT_ISSUANCE_TO_WORST")</f>
        <v>#N/A Requesting Data...</v>
      </c>
      <c r="H1042" t="str">
        <f>_xll.BDP("37149ABF Muni","ISSUE_DT")</f>
        <v>#N/A Requesting Data...</v>
      </c>
      <c r="I1042" t="str">
        <f>_xll.BDS("37149ABF Muni","MUNI_PURPOSE_SCHED", "aggregate=y")</f>
        <v>#N/A Review</v>
      </c>
      <c r="J1042" t="str">
        <f>_xll.BDP("37149ABF Muni","CPN")</f>
        <v>#N/A Requesting Data...</v>
      </c>
      <c r="K1042" t="str">
        <f>_xll.BDP("37149ABF Muni","MATURITY")</f>
        <v>#N/A Requesting Data...</v>
      </c>
      <c r="L1042">
        <v>490000</v>
      </c>
      <c r="M1042" t="str">
        <f>_xll.BDP("37149ABF Muni","YIELD_ON_ISSUE_DATE")</f>
        <v>#N/A Requesting Data...</v>
      </c>
      <c r="N1042" t="str">
        <f>_xll.BDP("37149ABF Muni","YTW_SPREAD_TO_MATURITY_AT_ISSU")</f>
        <v>#N/A Requesting Data...</v>
      </c>
      <c r="O1042" t="str">
        <f>_xll.BDP("37149ABF Muni","BVAL_MID_YTM")</f>
        <v>#N/A Requesting Data...</v>
      </c>
      <c r="P1042" t="str">
        <f>_xll.BDP("37149ABF Muni","MUNI_TAX_PROV")</f>
        <v>#N/A Requesting Data...</v>
      </c>
      <c r="Q1042" t="str">
        <f>_xll.BDP("37149ABF Muni","MUNI_FED_TAX")</f>
        <v>#N/A Requesting Data...</v>
      </c>
      <c r="R1042" t="str">
        <f>_xll.BDP("37149ABF Muni","MUNI_MSRB_VOLUME")</f>
        <v>#N/A Requesting Data...</v>
      </c>
      <c r="S1042" t="str">
        <f>_xll.BDP("37149ABF Muni","BB_COMPOSITE")</f>
        <v>#N/A Requesting Data...</v>
      </c>
      <c r="T1042" t="str">
        <f>_xll.BDP("37149ABF Muni","LQA_LIQUIDITY_SCORE")</f>
        <v>#N/A Requesting Data...</v>
      </c>
    </row>
    <row r="1043" spans="1:20" x14ac:dyDescent="0.25">
      <c r="A1043" t="str">
        <f>_xll.BDP("37149ABG Muni","ID_CUSIP")</f>
        <v>#N/A Requesting Data...</v>
      </c>
      <c r="B1043" t="s">
        <v>362</v>
      </c>
      <c r="C1043" t="str">
        <f>_xll.BDP("37149ABG Muni","INSURANCE_STATUS")</f>
        <v>#N/A Requesting Data...</v>
      </c>
      <c r="D1043" t="str">
        <f>_xll.BDP("37149ABG Muni","STATE_CODE")</f>
        <v>#N/A Requesting Data...</v>
      </c>
      <c r="E1043" t="str">
        <f>_xll.BDP("37149ABG Muni","COUNTY_LOCATION_ISSUER")</f>
        <v>#N/A Requesting Data...</v>
      </c>
      <c r="F1043" t="str">
        <f>_xll.BDP("37149ABG Muni","DUR_ADJ_MID")</f>
        <v>#N/A Requesting Data...</v>
      </c>
      <c r="G1043" t="str">
        <f>_xll.BDP("37149ABG Muni","SPREAD_AT_ISSUANCE_TO_WORST")</f>
        <v>#N/A Requesting Data...</v>
      </c>
      <c r="H1043" t="str">
        <f>_xll.BDP("37149ABG Muni","ISSUE_DT")</f>
        <v>#N/A Requesting Data...</v>
      </c>
      <c r="I1043" t="str">
        <f>_xll.BDS("37149ABG Muni","MUNI_PURPOSE_SCHED", "aggregate=y")</f>
        <v>#N/A Review</v>
      </c>
      <c r="J1043" t="str">
        <f>_xll.BDP("37149ABG Muni","CPN")</f>
        <v>#N/A Requesting Data...</v>
      </c>
      <c r="K1043" t="str">
        <f>_xll.BDP("37149ABG Muni","MATURITY")</f>
        <v>#N/A Requesting Data...</v>
      </c>
      <c r="L1043">
        <v>510000</v>
      </c>
      <c r="M1043" t="str">
        <f>_xll.BDP("37149ABG Muni","YIELD_ON_ISSUE_DATE")</f>
        <v>#N/A Requesting Data...</v>
      </c>
      <c r="N1043" t="str">
        <f>_xll.BDP("37149ABG Muni","YTW_SPREAD_TO_MATURITY_AT_ISSU")</f>
        <v>#N/A Requesting Data...</v>
      </c>
      <c r="O1043" t="str">
        <f>_xll.BDP("37149ABG Muni","BVAL_MID_YTM")</f>
        <v>#N/A Requesting Data...</v>
      </c>
      <c r="P1043" t="str">
        <f>_xll.BDP("37149ABG Muni","MUNI_TAX_PROV")</f>
        <v>#N/A Requesting Data...</v>
      </c>
      <c r="Q1043" t="str">
        <f>_xll.BDP("37149ABG Muni","MUNI_FED_TAX")</f>
        <v>#N/A Requesting Data...</v>
      </c>
      <c r="R1043" t="str">
        <f>_xll.BDP("37149ABG Muni","MUNI_MSRB_VOLUME")</f>
        <v>#N/A Requesting Data...</v>
      </c>
      <c r="S1043" t="str">
        <f>_xll.BDP("37149ABG Muni","BB_COMPOSITE")</f>
        <v>#N/A Requesting Data...</v>
      </c>
      <c r="T1043" t="str">
        <f>_xll.BDP("37149ABG Muni","LQA_LIQUIDITY_SCORE")</f>
        <v>#N/A Requesting Data...</v>
      </c>
    </row>
    <row r="1044" spans="1:20" x14ac:dyDescent="0.25">
      <c r="A1044" t="str">
        <f>_xll.BDP("37149ABH Muni","ID_CUSIP")</f>
        <v>#N/A Requesting Data...</v>
      </c>
      <c r="B1044" t="s">
        <v>362</v>
      </c>
      <c r="C1044" t="str">
        <f>_xll.BDP("37149ABH Muni","INSURANCE_STATUS")</f>
        <v>#N/A Requesting Data...</v>
      </c>
      <c r="D1044" t="str">
        <f>_xll.BDP("37149ABH Muni","STATE_CODE")</f>
        <v>#N/A Requesting Data...</v>
      </c>
      <c r="E1044" t="str">
        <f>_xll.BDP("37149ABH Muni","COUNTY_LOCATION_ISSUER")</f>
        <v>#N/A Requesting Data...</v>
      </c>
      <c r="F1044" t="str">
        <f>_xll.BDP("37149ABH Muni","DUR_ADJ_MID")</f>
        <v>#N/A Requesting Data...</v>
      </c>
      <c r="G1044" t="str">
        <f>_xll.BDP("37149ABH Muni","SPREAD_AT_ISSUANCE_TO_WORST")</f>
        <v>#N/A Requesting Data...</v>
      </c>
      <c r="H1044" t="str">
        <f>_xll.BDP("37149ABH Muni","ISSUE_DT")</f>
        <v>#N/A Requesting Data...</v>
      </c>
      <c r="I1044" t="str">
        <f>_xll.BDS("37149ABH Muni","MUNI_PURPOSE_SCHED", "aggregate=y")</f>
        <v>#N/A Review</v>
      </c>
      <c r="J1044" t="str">
        <f>_xll.BDP("37149ABH Muni","CPN")</f>
        <v>#N/A Requesting Data...</v>
      </c>
      <c r="K1044" t="str">
        <f>_xll.BDP("37149ABH Muni","MATURITY")</f>
        <v>#N/A Requesting Data...</v>
      </c>
      <c r="L1044">
        <v>530000</v>
      </c>
      <c r="M1044" t="str">
        <f>_xll.BDP("37149ABH Muni","YIELD_ON_ISSUE_DATE")</f>
        <v>#N/A Requesting Data...</v>
      </c>
      <c r="N1044" t="str">
        <f>_xll.BDP("37149ABH Muni","YTW_SPREAD_TO_MATURITY_AT_ISSU")</f>
        <v>#N/A Requesting Data...</v>
      </c>
      <c r="O1044" t="str">
        <f>_xll.BDP("37149ABH Muni","BVAL_MID_YTM")</f>
        <v>#N/A Requesting Data...</v>
      </c>
      <c r="P1044" t="str">
        <f>_xll.BDP("37149ABH Muni","MUNI_TAX_PROV")</f>
        <v>#N/A Requesting Data...</v>
      </c>
      <c r="Q1044" t="str">
        <f>_xll.BDP("37149ABH Muni","MUNI_FED_TAX")</f>
        <v>#N/A Requesting Data...</v>
      </c>
      <c r="R1044" t="str">
        <f>_xll.BDP("37149ABH Muni","MUNI_MSRB_VOLUME")</f>
        <v>#N/A Requesting Data...</v>
      </c>
      <c r="S1044" t="str">
        <f>_xll.BDP("37149ABH Muni","BB_COMPOSITE")</f>
        <v>#N/A Requesting Data...</v>
      </c>
      <c r="T1044" t="str">
        <f>_xll.BDP("37149ABH Muni","LQA_LIQUIDITY_SCORE")</f>
        <v>#N/A Requesting Data...</v>
      </c>
    </row>
    <row r="1045" spans="1:20" x14ac:dyDescent="0.25">
      <c r="A1045" t="str">
        <f>_xll.BDP("371608UD Muni","ID_CUSIP")</f>
        <v>#N/A Requesting Data...</v>
      </c>
      <c r="B1045" t="s">
        <v>80</v>
      </c>
      <c r="C1045" t="str">
        <f>_xll.BDP("371608UD Muni","INSURANCE_STATUS")</f>
        <v>#N/A Requesting Data...</v>
      </c>
      <c r="D1045" t="str">
        <f>_xll.BDP("371608UD Muni","STATE_CODE")</f>
        <v>#N/A Requesting Data...</v>
      </c>
      <c r="E1045" t="str">
        <f>_xll.BDP("371608UD Muni","COUNTY_LOCATION_ISSUER")</f>
        <v>#N/A Requesting Data...</v>
      </c>
      <c r="F1045" t="str">
        <f>_xll.BDP("371608UD Muni","DUR_ADJ_MID")</f>
        <v>#N/A Requesting Data...</v>
      </c>
      <c r="G1045" t="str">
        <f>_xll.BDP("371608UD Muni","SPREAD_AT_ISSUANCE_TO_WORST")</f>
        <v>#N/A Requesting Data...</v>
      </c>
      <c r="H1045" t="str">
        <f>_xll.BDP("371608UD Muni","ISSUE_DT")</f>
        <v>#N/A Requesting Data...</v>
      </c>
      <c r="I1045" t="str">
        <f>_xll.BDS("371608UD Muni","MUNI_PURPOSE_SCHED", "aggregate=y")</f>
        <v>#N/A Review</v>
      </c>
      <c r="J1045" t="str">
        <f>_xll.BDP("371608UD Muni","CPN")</f>
        <v>#N/A Requesting Data...</v>
      </c>
      <c r="K1045" t="str">
        <f>_xll.BDP("371608UD Muni","MATURITY")</f>
        <v>#N/A Requesting Data...</v>
      </c>
      <c r="L1045">
        <v>700000</v>
      </c>
      <c r="M1045" t="str">
        <f>_xll.BDP("371608UD Muni","YIELD_ON_ISSUE_DATE")</f>
        <v>#N/A Requesting Data...</v>
      </c>
      <c r="N1045" t="str">
        <f>_xll.BDP("371608UD Muni","YTW_SPREAD_TO_MATURITY_AT_ISSU")</f>
        <v>#N/A Requesting Data...</v>
      </c>
      <c r="O1045" t="str">
        <f>_xll.BDP("371608UD Muni","BVAL_MID_YTM")</f>
        <v>#N/A Requesting Data...</v>
      </c>
      <c r="P1045" t="str">
        <f>_xll.BDP("371608UD Muni","MUNI_TAX_PROV")</f>
        <v>#N/A Requesting Data...</v>
      </c>
      <c r="Q1045" t="str">
        <f>_xll.BDP("371608UD Muni","MUNI_FED_TAX")</f>
        <v>#N/A Requesting Data...</v>
      </c>
      <c r="R1045" t="str">
        <f>_xll.BDP("371608UD Muni","MUNI_MSRB_VOLUME")</f>
        <v>#N/A Requesting Data...</v>
      </c>
      <c r="S1045" t="str">
        <f>_xll.BDP("371608UD Muni","BB_COMPOSITE")</f>
        <v>#N/A Requesting Data...</v>
      </c>
      <c r="T1045" t="str">
        <f>_xll.BDP("371608UD Muni","LQA_LIQUIDITY_SCORE")</f>
        <v>#N/A Requesting Data...</v>
      </c>
    </row>
    <row r="1046" spans="1:20" x14ac:dyDescent="0.25">
      <c r="A1046" t="str">
        <f>_xll.BDP("371608UE Muni","ID_CUSIP")</f>
        <v>#N/A Requesting Data...</v>
      </c>
      <c r="B1046" t="s">
        <v>80</v>
      </c>
      <c r="C1046" t="str">
        <f>_xll.BDP("371608UE Muni","INSURANCE_STATUS")</f>
        <v>#N/A Requesting Data...</v>
      </c>
      <c r="D1046" t="str">
        <f>_xll.BDP("371608UE Muni","STATE_CODE")</f>
        <v>#N/A Requesting Data...</v>
      </c>
      <c r="E1046" t="str">
        <f>_xll.BDP("371608UE Muni","COUNTY_LOCATION_ISSUER")</f>
        <v>#N/A Requesting Data...</v>
      </c>
      <c r="F1046" t="str">
        <f>_xll.BDP("371608UE Muni","DUR_ADJ_MID")</f>
        <v>#N/A Requesting Data...</v>
      </c>
      <c r="G1046" t="str">
        <f>_xll.BDP("371608UE Muni","SPREAD_AT_ISSUANCE_TO_WORST")</f>
        <v>#N/A Requesting Data...</v>
      </c>
      <c r="H1046" t="str">
        <f>_xll.BDP("371608UE Muni","ISSUE_DT")</f>
        <v>#N/A Requesting Data...</v>
      </c>
      <c r="I1046" t="str">
        <f>_xll.BDS("371608UE Muni","MUNI_PURPOSE_SCHED", "aggregate=y")</f>
        <v>#N/A Review</v>
      </c>
      <c r="J1046" t="str">
        <f>_xll.BDP("371608UE Muni","CPN")</f>
        <v>#N/A Requesting Data...</v>
      </c>
      <c r="K1046" t="str">
        <f>_xll.BDP("371608UE Muni","MATURITY")</f>
        <v>#N/A Requesting Data...</v>
      </c>
      <c r="L1046">
        <v>765000</v>
      </c>
      <c r="M1046" t="str">
        <f>_xll.BDP("371608UE Muni","YIELD_ON_ISSUE_DATE")</f>
        <v>#N/A Requesting Data...</v>
      </c>
      <c r="N1046" t="str">
        <f>_xll.BDP("371608UE Muni","YTW_SPREAD_TO_MATURITY_AT_ISSU")</f>
        <v>#N/A Requesting Data...</v>
      </c>
      <c r="O1046" t="str">
        <f>_xll.BDP("371608UE Muni","BVAL_MID_YTM")</f>
        <v>#N/A Requesting Data...</v>
      </c>
      <c r="P1046" t="str">
        <f>_xll.BDP("371608UE Muni","MUNI_TAX_PROV")</f>
        <v>#N/A Requesting Data...</v>
      </c>
      <c r="Q1046" t="str">
        <f>_xll.BDP("371608UE Muni","MUNI_FED_TAX")</f>
        <v>#N/A Requesting Data...</v>
      </c>
      <c r="R1046" t="str">
        <f>_xll.BDP("371608UE Muni","MUNI_MSRB_VOLUME")</f>
        <v>#N/A Requesting Data...</v>
      </c>
      <c r="S1046" t="str">
        <f>_xll.BDP("371608UE Muni","BB_COMPOSITE")</f>
        <v>#N/A Requesting Data...</v>
      </c>
      <c r="T1046" t="str">
        <f>_xll.BDP("371608UE Muni","LQA_LIQUIDITY_SCORE")</f>
        <v>#N/A Requesting Data...</v>
      </c>
    </row>
    <row r="1047" spans="1:20" x14ac:dyDescent="0.25">
      <c r="A1047" t="str">
        <f>_xll.BDP("371784HF Muni","ID_CUSIP")</f>
        <v>#N/A Requesting Data...</v>
      </c>
      <c r="B1047" t="s">
        <v>363</v>
      </c>
      <c r="C1047" t="str">
        <f>_xll.BDP("371784HF Muni","INSURANCE_STATUS")</f>
        <v>#N/A Requesting Data...</v>
      </c>
      <c r="D1047" t="str">
        <f>_xll.BDP("371784HF Muni","STATE_CODE")</f>
        <v>#N/A Requesting Data...</v>
      </c>
      <c r="E1047" t="str">
        <f>_xll.BDP("371784HF Muni","COUNTY_LOCATION_ISSUER")</f>
        <v>#N/A Requesting Data...</v>
      </c>
      <c r="F1047" t="str">
        <f>_xll.BDP("371784HF Muni","DUR_ADJ_MID")</f>
        <v>#N/A Requesting Data...</v>
      </c>
      <c r="G1047" t="str">
        <f>_xll.BDP("371784HF Muni","SPREAD_AT_ISSUANCE_TO_WORST")</f>
        <v>#N/A Requesting Data...</v>
      </c>
      <c r="H1047" t="str">
        <f>_xll.BDP("371784HF Muni","ISSUE_DT")</f>
        <v>#N/A Requesting Data...</v>
      </c>
      <c r="I1047" t="str">
        <f>_xll.BDS("371784HF Muni","MUNI_PURPOSE_SCHED", "aggregate=y")</f>
        <v>#N/A Review</v>
      </c>
      <c r="J1047" t="str">
        <f>_xll.BDP("371784HF Muni","CPN")</f>
        <v>#N/A Requesting Data...</v>
      </c>
      <c r="K1047" t="str">
        <f>_xll.BDP("371784HF Muni","MATURITY")</f>
        <v>#N/A Requesting Data...</v>
      </c>
      <c r="L1047">
        <v>185000</v>
      </c>
      <c r="M1047" t="str">
        <f>_xll.BDP("371784HF Muni","YIELD_ON_ISSUE_DATE")</f>
        <v>#N/A Requesting Data...</v>
      </c>
      <c r="N1047" t="str">
        <f>_xll.BDP("371784HF Muni","YTW_SPREAD_TO_MATURITY_AT_ISSU")</f>
        <v>#N/A Requesting Data...</v>
      </c>
      <c r="O1047" t="str">
        <f>_xll.BDP("371784HF Muni","BVAL_MID_YTM")</f>
        <v>#N/A Requesting Data...</v>
      </c>
      <c r="P1047" t="str">
        <f>_xll.BDP("371784HF Muni","MUNI_TAX_PROV")</f>
        <v>#N/A Requesting Data...</v>
      </c>
      <c r="Q1047" t="str">
        <f>_xll.BDP("371784HF Muni","MUNI_FED_TAX")</f>
        <v>#N/A Requesting Data...</v>
      </c>
      <c r="R1047" t="str">
        <f>_xll.BDP("371784HF Muni","MUNI_MSRB_VOLUME")</f>
        <v>#N/A Requesting Data...</v>
      </c>
      <c r="S1047" t="str">
        <f>_xll.BDP("371784HF Muni","BB_COMPOSITE")</f>
        <v>#N/A Requesting Data...</v>
      </c>
      <c r="T1047" t="str">
        <f>_xll.BDP("371784HF Muni","LQA_LIQUIDITY_SCORE")</f>
        <v>#N/A Requesting Data...</v>
      </c>
    </row>
    <row r="1048" spans="1:20" x14ac:dyDescent="0.25">
      <c r="A1048" t="str">
        <f>_xll.BDP("371784HG Muni","ID_CUSIP")</f>
        <v>#N/A Requesting Data...</v>
      </c>
      <c r="B1048" t="s">
        <v>363</v>
      </c>
      <c r="C1048" t="str">
        <f>_xll.BDP("371784HG Muni","INSURANCE_STATUS")</f>
        <v>#N/A Requesting Data...</v>
      </c>
      <c r="D1048" t="str">
        <f>_xll.BDP("371784HG Muni","STATE_CODE")</f>
        <v>#N/A Requesting Data...</v>
      </c>
      <c r="E1048" t="str">
        <f>_xll.BDP("371784HG Muni","COUNTY_LOCATION_ISSUER")</f>
        <v>#N/A Requesting Data...</v>
      </c>
      <c r="F1048" t="str">
        <f>_xll.BDP("371784HG Muni","DUR_ADJ_MID")</f>
        <v>#N/A Requesting Data...</v>
      </c>
      <c r="G1048" t="str">
        <f>_xll.BDP("371784HG Muni","SPREAD_AT_ISSUANCE_TO_WORST")</f>
        <v>#N/A Requesting Data...</v>
      </c>
      <c r="H1048" t="str">
        <f>_xll.BDP("371784HG Muni","ISSUE_DT")</f>
        <v>#N/A Requesting Data...</v>
      </c>
      <c r="I1048" t="str">
        <f>_xll.BDS("371784HG Muni","MUNI_PURPOSE_SCHED", "aggregate=y")</f>
        <v>#N/A Review</v>
      </c>
      <c r="J1048" t="str">
        <f>_xll.BDP("371784HG Muni","CPN")</f>
        <v>#N/A Requesting Data...</v>
      </c>
      <c r="K1048" t="str">
        <f>_xll.BDP("371784HG Muni","MATURITY")</f>
        <v>#N/A Requesting Data...</v>
      </c>
      <c r="L1048">
        <v>195000</v>
      </c>
      <c r="M1048" t="str">
        <f>_xll.BDP("371784HG Muni","YIELD_ON_ISSUE_DATE")</f>
        <v>#N/A Requesting Data...</v>
      </c>
      <c r="N1048" t="str">
        <f>_xll.BDP("371784HG Muni","YTW_SPREAD_TO_MATURITY_AT_ISSU")</f>
        <v>#N/A Requesting Data...</v>
      </c>
      <c r="O1048" t="str">
        <f>_xll.BDP("371784HG Muni","BVAL_MID_YTM")</f>
        <v>#N/A Requesting Data...</v>
      </c>
      <c r="P1048" t="str">
        <f>_xll.BDP("371784HG Muni","MUNI_TAX_PROV")</f>
        <v>#N/A Requesting Data...</v>
      </c>
      <c r="Q1048" t="str">
        <f>_xll.BDP("371784HG Muni","MUNI_FED_TAX")</f>
        <v>#N/A Requesting Data...</v>
      </c>
      <c r="R1048" t="str">
        <f>_xll.BDP("371784HG Muni","MUNI_MSRB_VOLUME")</f>
        <v>#N/A Requesting Data...</v>
      </c>
      <c r="S1048" t="str">
        <f>_xll.BDP("371784HG Muni","BB_COMPOSITE")</f>
        <v>#N/A Requesting Data...</v>
      </c>
      <c r="T1048" t="str">
        <f>_xll.BDP("371784HG Muni","LQA_LIQUIDITY_SCORE")</f>
        <v>#N/A Requesting Data...</v>
      </c>
    </row>
    <row r="1049" spans="1:20" x14ac:dyDescent="0.25">
      <c r="A1049" t="str">
        <f>_xll.BDP("27183MBQ Muni","ID_CUSIP")</f>
        <v>#N/A Requesting Data...</v>
      </c>
      <c r="B1049" t="s">
        <v>357</v>
      </c>
      <c r="C1049" t="str">
        <f>_xll.BDP("27183MBQ Muni","INSURANCE_STATUS")</f>
        <v>#N/A Requesting Data...</v>
      </c>
      <c r="D1049" t="str">
        <f>_xll.BDP("27183MBQ Muni","STATE_CODE")</f>
        <v>#N/A Requesting Data...</v>
      </c>
      <c r="E1049" t="str">
        <f>_xll.BDP("27183MBQ Muni","COUNTY_LOCATION_ISSUER")</f>
        <v>#N/A Requesting Data...</v>
      </c>
      <c r="F1049" t="str">
        <f>_xll.BDP("27183MBQ Muni","DUR_ADJ_MID")</f>
        <v>#N/A Requesting Data...</v>
      </c>
      <c r="G1049" t="str">
        <f>_xll.BDP("27183MBQ Muni","SPREAD_AT_ISSUANCE_TO_WORST")</f>
        <v>#N/A Requesting Data...</v>
      </c>
      <c r="H1049" t="str">
        <f>_xll.BDP("27183MBQ Muni","ISSUE_DT")</f>
        <v>#N/A Requesting Data...</v>
      </c>
      <c r="I1049" t="str">
        <f>_xll.BDS("27183MBQ Muni","MUNI_PURPOSE_SCHED", "aggregate=y")</f>
        <v>#N/A Review</v>
      </c>
      <c r="J1049" t="str">
        <f>_xll.BDP("27183MBQ Muni","CPN")</f>
        <v>#N/A Requesting Data...</v>
      </c>
      <c r="K1049" t="str">
        <f>_xll.BDP("27183MBQ Muni","MATURITY")</f>
        <v>#N/A Requesting Data...</v>
      </c>
      <c r="L1049">
        <v>885000</v>
      </c>
      <c r="M1049" t="str">
        <f>_xll.BDP("27183MBQ Muni","YIELD_ON_ISSUE_DATE")</f>
        <v>#N/A Requesting Data...</v>
      </c>
      <c r="N1049" t="str">
        <f>_xll.BDP("27183MBQ Muni","YTW_SPREAD_TO_MATURITY_AT_ISSU")</f>
        <v>#N/A Requesting Data...</v>
      </c>
      <c r="O1049" t="str">
        <f>_xll.BDP("27183MBQ Muni","BVAL_MID_YTM")</f>
        <v>#N/A Requesting Data...</v>
      </c>
      <c r="P1049" t="str">
        <f>_xll.BDP("27183MBQ Muni","MUNI_TAX_PROV")</f>
        <v>#N/A Requesting Data...</v>
      </c>
      <c r="Q1049" t="str">
        <f>_xll.BDP("27183MBQ Muni","MUNI_FED_TAX")</f>
        <v>#N/A Requesting Data...</v>
      </c>
      <c r="R1049" t="str">
        <f>_xll.BDP("27183MBQ Muni","MUNI_MSRB_VOLUME")</f>
        <v>#N/A Requesting Data...</v>
      </c>
      <c r="S1049" t="str">
        <f>_xll.BDP("27183MBQ Muni","BB_COMPOSITE")</f>
        <v>#N/A Requesting Data...</v>
      </c>
      <c r="T1049" t="str">
        <f>_xll.BDP("27183MBQ Muni","LQA_LIQUIDITY_SCORE")</f>
        <v>#N/A Requesting Data...</v>
      </c>
    </row>
    <row r="1050" spans="1:20" x14ac:dyDescent="0.25">
      <c r="A1050" t="str">
        <f>_xll.BDP("27183MBT Muni","ID_CUSIP")</f>
        <v>#N/A Requesting Data...</v>
      </c>
      <c r="B1050" t="s">
        <v>357</v>
      </c>
      <c r="C1050" t="str">
        <f>_xll.BDP("27183MBT Muni","INSURANCE_STATUS")</f>
        <v>#N/A Requesting Data...</v>
      </c>
      <c r="D1050" t="str">
        <f>_xll.BDP("27183MBT Muni","STATE_CODE")</f>
        <v>#N/A Requesting Data...</v>
      </c>
      <c r="E1050" t="str">
        <f>_xll.BDP("27183MBT Muni","COUNTY_LOCATION_ISSUER")</f>
        <v>#N/A Requesting Data...</v>
      </c>
      <c r="F1050" t="str">
        <f>_xll.BDP("27183MBT Muni","DUR_ADJ_MID")</f>
        <v>#N/A Requesting Data...</v>
      </c>
      <c r="G1050" t="str">
        <f>_xll.BDP("27183MBT Muni","SPREAD_AT_ISSUANCE_TO_WORST")</f>
        <v>#N/A Requesting Data...</v>
      </c>
      <c r="H1050" t="str">
        <f>_xll.BDP("27183MBT Muni","ISSUE_DT")</f>
        <v>#N/A Requesting Data...</v>
      </c>
      <c r="I1050" t="str">
        <f>_xll.BDS("27183MBT Muni","MUNI_PURPOSE_SCHED", "aggregate=y")</f>
        <v>#N/A Review</v>
      </c>
      <c r="J1050" t="str">
        <f>_xll.BDP("27183MBT Muni","CPN")</f>
        <v>#N/A Requesting Data...</v>
      </c>
      <c r="K1050" t="str">
        <f>_xll.BDP("27183MBT Muni","MATURITY")</f>
        <v>#N/A Requesting Data...</v>
      </c>
      <c r="L1050">
        <v>1020000</v>
      </c>
      <c r="M1050" t="str">
        <f>_xll.BDP("27183MBT Muni","YIELD_ON_ISSUE_DATE")</f>
        <v>#N/A Requesting Data...</v>
      </c>
      <c r="N1050" t="str">
        <f>_xll.BDP("27183MBT Muni","YTW_SPREAD_TO_MATURITY_AT_ISSU")</f>
        <v>#N/A Requesting Data...</v>
      </c>
      <c r="O1050" t="str">
        <f>_xll.BDP("27183MBT Muni","BVAL_MID_YTM")</f>
        <v>#N/A Requesting Data...</v>
      </c>
      <c r="P1050" t="str">
        <f>_xll.BDP("27183MBT Muni","MUNI_TAX_PROV")</f>
        <v>#N/A Requesting Data...</v>
      </c>
      <c r="Q1050" t="str">
        <f>_xll.BDP("27183MBT Muni","MUNI_FED_TAX")</f>
        <v>#N/A Requesting Data...</v>
      </c>
      <c r="R1050" t="str">
        <f>_xll.BDP("27183MBT Muni","MUNI_MSRB_VOLUME")</f>
        <v>#N/A Requesting Data...</v>
      </c>
      <c r="S1050" t="str">
        <f>_xll.BDP("27183MBT Muni","BB_COMPOSITE")</f>
        <v>#N/A Requesting Data...</v>
      </c>
      <c r="T1050" t="str">
        <f>_xll.BDP("27183MBT Muni","LQA_LIQUIDITY_SCORE")</f>
        <v>#N/A Requesting Data...</v>
      </c>
    </row>
    <row r="1051" spans="1:20" x14ac:dyDescent="0.25">
      <c r="A1051" t="str">
        <f>_xll.BDP("272272AF Muni","ID_CUSIP")</f>
        <v>#N/A Requesting Data...</v>
      </c>
      <c r="B1051" t="s">
        <v>358</v>
      </c>
      <c r="C1051" t="str">
        <f>_xll.BDP("272272AF Muni","INSURANCE_STATUS")</f>
        <v>#N/A Requesting Data...</v>
      </c>
      <c r="D1051" t="str">
        <f>_xll.BDP("272272AF Muni","STATE_CODE")</f>
        <v>#N/A Requesting Data...</v>
      </c>
      <c r="E1051" t="str">
        <f>_xll.BDP("272272AF Muni","COUNTY_LOCATION_ISSUER")</f>
        <v>#N/A Requesting Data...</v>
      </c>
      <c r="F1051" t="str">
        <f>_xll.BDP("272272AF Muni","DUR_ADJ_MID")</f>
        <v>#N/A Requesting Data...</v>
      </c>
      <c r="G1051" t="str">
        <f>_xll.BDP("272272AF Muni","SPREAD_AT_ISSUANCE_TO_WORST")</f>
        <v>#N/A Requesting Data...</v>
      </c>
      <c r="H1051" t="str">
        <f>_xll.BDP("272272AF Muni","ISSUE_DT")</f>
        <v>#N/A Requesting Data...</v>
      </c>
      <c r="I1051" t="str">
        <f>_xll.BDS("272272AF Muni","MUNI_PURPOSE_SCHED", "aggregate=y")</f>
        <v>#N/A Review</v>
      </c>
      <c r="J1051" t="str">
        <f>_xll.BDP("272272AF Muni","CPN")</f>
        <v>#N/A Requesting Data...</v>
      </c>
      <c r="K1051" t="str">
        <f>_xll.BDP("272272AF Muni","MATURITY")</f>
        <v>#N/A Requesting Data...</v>
      </c>
      <c r="L1051">
        <v>90000</v>
      </c>
      <c r="M1051" t="str">
        <f>_xll.BDP("272272AF Muni","YIELD_ON_ISSUE_DATE")</f>
        <v>#N/A Requesting Data...</v>
      </c>
      <c r="N1051" t="str">
        <f>_xll.BDP("272272AF Muni","YTW_SPREAD_TO_MATURITY_AT_ISSU")</f>
        <v>#N/A Requesting Data...</v>
      </c>
      <c r="O1051" t="str">
        <f>_xll.BDP("272272AF Muni","BVAL_MID_YTM")</f>
        <v>#N/A Requesting Data...</v>
      </c>
      <c r="P1051" t="str">
        <f>_xll.BDP("272272AF Muni","MUNI_TAX_PROV")</f>
        <v>#N/A Requesting Data...</v>
      </c>
      <c r="Q1051" t="str">
        <f>_xll.BDP("272272AF Muni","MUNI_FED_TAX")</f>
        <v>#N/A Requesting Data...</v>
      </c>
      <c r="R1051" t="str">
        <f>_xll.BDP("272272AF Muni","MUNI_MSRB_VOLUME")</f>
        <v>#N/A Requesting Data...</v>
      </c>
      <c r="S1051" t="str">
        <f>_xll.BDP("272272AF Muni","BB_COMPOSITE")</f>
        <v>#N/A Requesting Data...</v>
      </c>
      <c r="T1051" t="str">
        <f>_xll.BDP("272272AF Muni","LQA_LIQUIDITY_SCORE")</f>
        <v>#N/A Requesting Data...</v>
      </c>
    </row>
    <row r="1052" spans="1:20" x14ac:dyDescent="0.25">
      <c r="A1052" t="str">
        <f>_xll.BDP("272272AJ Muni","ID_CUSIP")</f>
        <v>#N/A Requesting Data...</v>
      </c>
      <c r="B1052" t="s">
        <v>358</v>
      </c>
      <c r="C1052" t="str">
        <f>_xll.BDP("272272AJ Muni","INSURANCE_STATUS")</f>
        <v>#N/A Requesting Data...</v>
      </c>
      <c r="D1052" t="str">
        <f>_xll.BDP("272272AJ Muni","STATE_CODE")</f>
        <v>#N/A Requesting Data...</v>
      </c>
      <c r="E1052" t="str">
        <f>_xll.BDP("272272AJ Muni","COUNTY_LOCATION_ISSUER")</f>
        <v>#N/A Requesting Data...</v>
      </c>
      <c r="F1052" t="str">
        <f>_xll.BDP("272272AJ Muni","DUR_ADJ_MID")</f>
        <v>#N/A Requesting Data...</v>
      </c>
      <c r="G1052" t="str">
        <f>_xll.BDP("272272AJ Muni","SPREAD_AT_ISSUANCE_TO_WORST")</f>
        <v>#N/A Requesting Data...</v>
      </c>
      <c r="H1052" t="str">
        <f>_xll.BDP("272272AJ Muni","ISSUE_DT")</f>
        <v>#N/A Requesting Data...</v>
      </c>
      <c r="I1052" t="str">
        <f>_xll.BDS("272272AJ Muni","MUNI_PURPOSE_SCHED", "aggregate=y")</f>
        <v>#N/A Review</v>
      </c>
      <c r="J1052" t="str">
        <f>_xll.BDP("272272AJ Muni","CPN")</f>
        <v>#N/A Requesting Data...</v>
      </c>
      <c r="K1052" t="str">
        <f>_xll.BDP("272272AJ Muni","MATURITY")</f>
        <v>#N/A Requesting Data...</v>
      </c>
      <c r="L1052">
        <v>130000</v>
      </c>
      <c r="M1052" t="str">
        <f>_xll.BDP("272272AJ Muni","YIELD_ON_ISSUE_DATE")</f>
        <v>#N/A Requesting Data...</v>
      </c>
      <c r="N1052" t="str">
        <f>_xll.BDP("272272AJ Muni","YTW_SPREAD_TO_MATURITY_AT_ISSU")</f>
        <v>#N/A Requesting Data...</v>
      </c>
      <c r="O1052" t="str">
        <f>_xll.BDP("272272AJ Muni","BVAL_MID_YTM")</f>
        <v>#N/A Requesting Data...</v>
      </c>
      <c r="P1052" t="str">
        <f>_xll.BDP("272272AJ Muni","MUNI_TAX_PROV")</f>
        <v>#N/A Requesting Data...</v>
      </c>
      <c r="Q1052" t="str">
        <f>_xll.BDP("272272AJ Muni","MUNI_FED_TAX")</f>
        <v>#N/A Requesting Data...</v>
      </c>
      <c r="R1052" t="str">
        <f>_xll.BDP("272272AJ Muni","MUNI_MSRB_VOLUME")</f>
        <v>#N/A Requesting Data...</v>
      </c>
      <c r="S1052" t="str">
        <f>_xll.BDP("272272AJ Muni","BB_COMPOSITE")</f>
        <v>#N/A Requesting Data...</v>
      </c>
      <c r="T1052" t="str">
        <f>_xll.BDP("272272AJ Muni","LQA_LIQUIDITY_SCORE")</f>
        <v>#N/A Requesting Data...</v>
      </c>
    </row>
    <row r="1053" spans="1:20" x14ac:dyDescent="0.25">
      <c r="A1053" t="str">
        <f>_xll.BDP("544525US Muni","ID_CUSIP")</f>
        <v>#N/A Requesting Data...</v>
      </c>
      <c r="B1053" t="s">
        <v>34</v>
      </c>
      <c r="C1053" t="str">
        <f>_xll.BDP("544525US Muni","INSURANCE_STATUS")</f>
        <v>#N/A Requesting Data...</v>
      </c>
      <c r="D1053" t="str">
        <f>_xll.BDP("544525US Muni","STATE_CODE")</f>
        <v>#N/A Requesting Data...</v>
      </c>
      <c r="E1053" t="str">
        <f>_xll.BDP("544525US Muni","COUNTY_LOCATION_ISSUER")</f>
        <v>#N/A Requesting Data...</v>
      </c>
      <c r="F1053" t="str">
        <f>_xll.BDP("544525US Muni","DUR_ADJ_MID")</f>
        <v>#N/A Requesting Data...</v>
      </c>
      <c r="G1053" t="str">
        <f>_xll.BDP("544525US Muni","SPREAD_AT_ISSUANCE_TO_WORST")</f>
        <v>#N/A Requesting Data...</v>
      </c>
      <c r="H1053" t="str">
        <f>_xll.BDP("544525US Muni","ISSUE_DT")</f>
        <v>#N/A Requesting Data...</v>
      </c>
      <c r="I1053" t="str">
        <f>_xll.BDS("544525US Muni","MUNI_PURPOSE_SCHED", "aggregate=y")</f>
        <v>#N/A Review</v>
      </c>
      <c r="J1053" t="str">
        <f>_xll.BDP("544525US Muni","CPN")</f>
        <v>#N/A Requesting Data...</v>
      </c>
      <c r="K1053" t="str">
        <f>_xll.BDP("544525US Muni","MATURITY")</f>
        <v>#N/A Requesting Data...</v>
      </c>
      <c r="L1053">
        <v>2480000</v>
      </c>
      <c r="M1053" t="str">
        <f>_xll.BDP("544525US Muni","YIELD_ON_ISSUE_DATE")</f>
        <v>#N/A Requesting Data...</v>
      </c>
      <c r="N1053" t="str">
        <f>_xll.BDP("544525US Muni","YTW_SPREAD_TO_MATURITY_AT_ISSU")</f>
        <v>#N/A Requesting Data...</v>
      </c>
      <c r="O1053" t="str">
        <f>_xll.BDP("544525US Muni","BVAL_MID_YTM")</f>
        <v>#N/A Requesting Data...</v>
      </c>
      <c r="P1053" t="str">
        <f>_xll.BDP("544525US Muni","MUNI_TAX_PROV")</f>
        <v>#N/A Requesting Data...</v>
      </c>
      <c r="Q1053" t="str">
        <f>_xll.BDP("544525US Muni","MUNI_FED_TAX")</f>
        <v>#N/A Requesting Data...</v>
      </c>
      <c r="R1053" t="str">
        <f>_xll.BDP("544525US Muni","MUNI_MSRB_VOLUME")</f>
        <v>#N/A Requesting Data...</v>
      </c>
      <c r="S1053" t="str">
        <f>_xll.BDP("544525US Muni","BB_COMPOSITE")</f>
        <v>#N/A Requesting Data...</v>
      </c>
      <c r="T1053" t="str">
        <f>_xll.BDP("544525US Muni","LQA_LIQUIDITY_SCORE")</f>
        <v>#N/A Requesting Data...</v>
      </c>
    </row>
    <row r="1054" spans="1:20" x14ac:dyDescent="0.25">
      <c r="A1054" t="str">
        <f>_xll.BDP("544525UT Muni","ID_CUSIP")</f>
        <v>#N/A Requesting Data...</v>
      </c>
      <c r="B1054" t="s">
        <v>34</v>
      </c>
      <c r="C1054" t="str">
        <f>_xll.BDP("544525UT Muni","INSURANCE_STATUS")</f>
        <v>#N/A Requesting Data...</v>
      </c>
      <c r="D1054" t="str">
        <f>_xll.BDP("544525UT Muni","STATE_CODE")</f>
        <v>#N/A Requesting Data...</v>
      </c>
      <c r="E1054" t="str">
        <f>_xll.BDP("544525UT Muni","COUNTY_LOCATION_ISSUER")</f>
        <v>#N/A Requesting Data...</v>
      </c>
      <c r="F1054" t="str">
        <f>_xll.BDP("544525UT Muni","DUR_ADJ_MID")</f>
        <v>#N/A Requesting Data...</v>
      </c>
      <c r="G1054" t="str">
        <f>_xll.BDP("544525UT Muni","SPREAD_AT_ISSUANCE_TO_WORST")</f>
        <v>#N/A Requesting Data...</v>
      </c>
      <c r="H1054" t="str">
        <f>_xll.BDP("544525UT Muni","ISSUE_DT")</f>
        <v>#N/A Requesting Data...</v>
      </c>
      <c r="I1054" t="str">
        <f>_xll.BDS("544525UT Muni","MUNI_PURPOSE_SCHED", "aggregate=y")</f>
        <v>#N/A Review</v>
      </c>
      <c r="J1054" t="str">
        <f>_xll.BDP("544525UT Muni","CPN")</f>
        <v>#N/A Requesting Data...</v>
      </c>
      <c r="K1054" t="str">
        <f>_xll.BDP("544525UT Muni","MATURITY")</f>
        <v>#N/A Requesting Data...</v>
      </c>
      <c r="L1054">
        <v>3180000</v>
      </c>
      <c r="M1054" t="str">
        <f>_xll.BDP("544525UT Muni","YIELD_ON_ISSUE_DATE")</f>
        <v>#N/A Requesting Data...</v>
      </c>
      <c r="N1054" t="str">
        <f>_xll.BDP("544525UT Muni","YTW_SPREAD_TO_MATURITY_AT_ISSU")</f>
        <v>#N/A Requesting Data...</v>
      </c>
      <c r="O1054" t="str">
        <f>_xll.BDP("544525UT Muni","BVAL_MID_YTM")</f>
        <v>#N/A Requesting Data...</v>
      </c>
      <c r="P1054" t="str">
        <f>_xll.BDP("544525UT Muni","MUNI_TAX_PROV")</f>
        <v>#N/A Requesting Data...</v>
      </c>
      <c r="Q1054" t="str">
        <f>_xll.BDP("544525UT Muni","MUNI_FED_TAX")</f>
        <v>#N/A Requesting Data...</v>
      </c>
      <c r="R1054" t="str">
        <f>_xll.BDP("544525UT Muni","MUNI_MSRB_VOLUME")</f>
        <v>#N/A Requesting Data...</v>
      </c>
      <c r="S1054" t="str">
        <f>_xll.BDP("544525UT Muni","BB_COMPOSITE")</f>
        <v>#N/A Requesting Data...</v>
      </c>
      <c r="T1054" t="str">
        <f>_xll.BDP("544525UT Muni","LQA_LIQUIDITY_SCORE")</f>
        <v>#N/A Requesting Data...</v>
      </c>
    </row>
    <row r="1055" spans="1:20" x14ac:dyDescent="0.25">
      <c r="A1055" t="str">
        <f>_xll.BDP("557820GM Muni","ID_CUSIP")</f>
        <v>#N/A Requesting Data...</v>
      </c>
      <c r="B1055" t="s">
        <v>364</v>
      </c>
      <c r="C1055" t="str">
        <f>_xll.BDP("557820GM Muni","INSURANCE_STATUS")</f>
        <v>#N/A Requesting Data...</v>
      </c>
      <c r="D1055" t="str">
        <f>_xll.BDP("557820GM Muni","STATE_CODE")</f>
        <v>#N/A Requesting Data...</v>
      </c>
      <c r="E1055" t="str">
        <f>_xll.BDP("557820GM Muni","COUNTY_LOCATION_ISSUER")</f>
        <v>#N/A Requesting Data...</v>
      </c>
      <c r="F1055" t="str">
        <f>_xll.BDP("557820GM Muni","DUR_ADJ_MID")</f>
        <v>#N/A Requesting Data...</v>
      </c>
      <c r="G1055" t="str">
        <f>_xll.BDP("557820GM Muni","SPREAD_AT_ISSUANCE_TO_WORST")</f>
        <v>#N/A Requesting Data...</v>
      </c>
      <c r="H1055" t="str">
        <f>_xll.BDP("557820GM Muni","ISSUE_DT")</f>
        <v>#N/A Requesting Data...</v>
      </c>
      <c r="I1055" t="str">
        <f>_xll.BDS("557820GM Muni","MUNI_PURPOSE_SCHED", "aggregate=y")</f>
        <v>#N/A Review</v>
      </c>
      <c r="J1055" t="str">
        <f>_xll.BDP("557820GM Muni","CPN")</f>
        <v>#N/A Requesting Data...</v>
      </c>
      <c r="K1055" t="str">
        <f>_xll.BDP("557820GM Muni","MATURITY")</f>
        <v>#N/A Requesting Data...</v>
      </c>
      <c r="L1055">
        <v>120000</v>
      </c>
      <c r="M1055" t="str">
        <f>_xll.BDP("557820GM Muni","YIELD_ON_ISSUE_DATE")</f>
        <v>#N/A Requesting Data...</v>
      </c>
      <c r="N1055" t="str">
        <f>_xll.BDP("557820GM Muni","YTW_SPREAD_TO_MATURITY_AT_ISSU")</f>
        <v>#N/A Requesting Data...</v>
      </c>
      <c r="O1055" t="str">
        <f>_xll.BDP("557820GM Muni","BVAL_MID_YTM")</f>
        <v>#N/A Requesting Data...</v>
      </c>
      <c r="P1055" t="str">
        <f>_xll.BDP("557820GM Muni","MUNI_TAX_PROV")</f>
        <v>#N/A Requesting Data...</v>
      </c>
      <c r="Q1055" t="str">
        <f>_xll.BDP("557820GM Muni","MUNI_FED_TAX")</f>
        <v>#N/A Requesting Data...</v>
      </c>
      <c r="R1055" t="str">
        <f>_xll.BDP("557820GM Muni","MUNI_MSRB_VOLUME")</f>
        <v>#N/A Requesting Data...</v>
      </c>
      <c r="S1055" t="str">
        <f>_xll.BDP("557820GM Muni","BB_COMPOSITE")</f>
        <v>#N/A Requesting Data...</v>
      </c>
      <c r="T1055" t="str">
        <f>_xll.BDP("557820GM Muni","LQA_LIQUIDITY_SCORE")</f>
        <v>#N/A Requesting Data...</v>
      </c>
    </row>
    <row r="1056" spans="1:20" x14ac:dyDescent="0.25">
      <c r="A1056" t="str">
        <f>_xll.BDP("557820GN Muni","ID_CUSIP")</f>
        <v>#N/A Requesting Data...</v>
      </c>
      <c r="B1056" t="s">
        <v>364</v>
      </c>
      <c r="C1056" t="str">
        <f>_xll.BDP("557820GN Muni","INSURANCE_STATUS")</f>
        <v>#N/A Requesting Data...</v>
      </c>
      <c r="D1056" t="str">
        <f>_xll.BDP("557820GN Muni","STATE_CODE")</f>
        <v>#N/A Requesting Data...</v>
      </c>
      <c r="E1056" t="str">
        <f>_xll.BDP("557820GN Muni","COUNTY_LOCATION_ISSUER")</f>
        <v>#N/A Requesting Data...</v>
      </c>
      <c r="F1056" t="str">
        <f>_xll.BDP("557820GN Muni","DUR_ADJ_MID")</f>
        <v>#N/A Requesting Data...</v>
      </c>
      <c r="G1056" t="str">
        <f>_xll.BDP("557820GN Muni","SPREAD_AT_ISSUANCE_TO_WORST")</f>
        <v>#N/A Requesting Data...</v>
      </c>
      <c r="H1056" t="str">
        <f>_xll.BDP("557820GN Muni","ISSUE_DT")</f>
        <v>#N/A Requesting Data...</v>
      </c>
      <c r="I1056" t="str">
        <f>_xll.BDS("557820GN Muni","MUNI_PURPOSE_SCHED", "aggregate=y")</f>
        <v>#N/A Review</v>
      </c>
      <c r="J1056" t="str">
        <f>_xll.BDP("557820GN Muni","CPN")</f>
        <v>#N/A Requesting Data...</v>
      </c>
      <c r="K1056" t="str">
        <f>_xll.BDP("557820GN Muni","MATURITY")</f>
        <v>#N/A Requesting Data...</v>
      </c>
      <c r="L1056">
        <v>125000</v>
      </c>
      <c r="M1056" t="str">
        <f>_xll.BDP("557820GN Muni","YIELD_ON_ISSUE_DATE")</f>
        <v>#N/A Requesting Data...</v>
      </c>
      <c r="N1056" t="str">
        <f>_xll.BDP("557820GN Muni","YTW_SPREAD_TO_MATURITY_AT_ISSU")</f>
        <v>#N/A Requesting Data...</v>
      </c>
      <c r="O1056" t="str">
        <f>_xll.BDP("557820GN Muni","BVAL_MID_YTM")</f>
        <v>#N/A Requesting Data...</v>
      </c>
      <c r="P1056" t="str">
        <f>_xll.BDP("557820GN Muni","MUNI_TAX_PROV")</f>
        <v>#N/A Requesting Data...</v>
      </c>
      <c r="Q1056" t="str">
        <f>_xll.BDP("557820GN Muni","MUNI_FED_TAX")</f>
        <v>#N/A Requesting Data...</v>
      </c>
      <c r="R1056" t="str">
        <f>_xll.BDP("557820GN Muni","MUNI_MSRB_VOLUME")</f>
        <v>#N/A Requesting Data...</v>
      </c>
      <c r="S1056" t="str">
        <f>_xll.BDP("557820GN Muni","BB_COMPOSITE")</f>
        <v>#N/A Requesting Data...</v>
      </c>
      <c r="T1056" t="str">
        <f>_xll.BDP("557820GN Muni","LQA_LIQUIDITY_SCORE")</f>
        <v>#N/A Requesting Data...</v>
      </c>
    </row>
    <row r="1057" spans="1:20" x14ac:dyDescent="0.25">
      <c r="A1057" t="str">
        <f>_xll.BDP("558272DF Muni","ID_CUSIP")</f>
        <v>#N/A Requesting Data...</v>
      </c>
      <c r="B1057" t="s">
        <v>336</v>
      </c>
      <c r="C1057" t="str">
        <f>_xll.BDP("558272DF Muni","INSURANCE_STATUS")</f>
        <v>#N/A Requesting Data...</v>
      </c>
      <c r="D1057" t="str">
        <f>_xll.BDP("558272DF Muni","STATE_CODE")</f>
        <v>#N/A Requesting Data...</v>
      </c>
      <c r="E1057" t="str">
        <f>_xll.BDP("558272DF Muni","COUNTY_LOCATION_ISSUER")</f>
        <v>#N/A Requesting Data...</v>
      </c>
      <c r="F1057" t="str">
        <f>_xll.BDP("558272DF Muni","DUR_ADJ_MID")</f>
        <v>#N/A Requesting Data...</v>
      </c>
      <c r="G1057" t="str">
        <f>_xll.BDP("558272DF Muni","SPREAD_AT_ISSUANCE_TO_WORST")</f>
        <v>#N/A Requesting Data...</v>
      </c>
      <c r="H1057" t="str">
        <f>_xll.BDP("558272DF Muni","ISSUE_DT")</f>
        <v>#N/A Requesting Data...</v>
      </c>
      <c r="I1057" t="str">
        <f>_xll.BDS("558272DF Muni","MUNI_PURPOSE_SCHED", "aggregate=y")</f>
        <v>#N/A Review</v>
      </c>
      <c r="J1057" t="str">
        <f>_xll.BDP("558272DF Muni","CPN")</f>
        <v>#N/A Requesting Data...</v>
      </c>
      <c r="K1057" t="str">
        <f>_xll.BDP("558272DF Muni","MATURITY")</f>
        <v>#N/A Requesting Data...</v>
      </c>
      <c r="L1057">
        <v>635000</v>
      </c>
      <c r="M1057" t="str">
        <f>_xll.BDP("558272DF Muni","YIELD_ON_ISSUE_DATE")</f>
        <v>#N/A Requesting Data...</v>
      </c>
      <c r="N1057" t="str">
        <f>_xll.BDP("558272DF Muni","YTW_SPREAD_TO_MATURITY_AT_ISSU")</f>
        <v>#N/A Requesting Data...</v>
      </c>
      <c r="O1057" t="str">
        <f>_xll.BDP("558272DF Muni","BVAL_MID_YTM")</f>
        <v>#N/A Requesting Data...</v>
      </c>
      <c r="P1057" t="str">
        <f>_xll.BDP("558272DF Muni","MUNI_TAX_PROV")</f>
        <v>#N/A Requesting Data...</v>
      </c>
      <c r="Q1057" t="str">
        <f>_xll.BDP("558272DF Muni","MUNI_FED_TAX")</f>
        <v>#N/A Requesting Data...</v>
      </c>
      <c r="R1057" t="str">
        <f>_xll.BDP("558272DF Muni","MUNI_MSRB_VOLUME")</f>
        <v>#N/A Requesting Data...</v>
      </c>
      <c r="S1057" t="str">
        <f>_xll.BDP("558272DF Muni","BB_COMPOSITE")</f>
        <v>#N/A Requesting Data...</v>
      </c>
      <c r="T1057" t="str">
        <f>_xll.BDP("558272DF Muni","LQA_LIQUIDITY_SCORE")</f>
        <v>#N/A Requesting Data...</v>
      </c>
    </row>
    <row r="1058" spans="1:20" x14ac:dyDescent="0.25">
      <c r="A1058" t="str">
        <f>_xll.BDP("558272DG Muni","ID_CUSIP")</f>
        <v>#N/A Requesting Data...</v>
      </c>
      <c r="B1058" t="s">
        <v>336</v>
      </c>
      <c r="C1058" t="str">
        <f>_xll.BDP("558272DG Muni","INSURANCE_STATUS")</f>
        <v>#N/A Requesting Data...</v>
      </c>
      <c r="D1058" t="str">
        <f>_xll.BDP("558272DG Muni","STATE_CODE")</f>
        <v>#N/A Requesting Data...</v>
      </c>
      <c r="E1058" t="str">
        <f>_xll.BDP("558272DG Muni","COUNTY_LOCATION_ISSUER")</f>
        <v>#N/A Requesting Data...</v>
      </c>
      <c r="F1058" t="str">
        <f>_xll.BDP("558272DG Muni","DUR_ADJ_MID")</f>
        <v>#N/A Requesting Data...</v>
      </c>
      <c r="G1058" t="str">
        <f>_xll.BDP("558272DG Muni","SPREAD_AT_ISSUANCE_TO_WORST")</f>
        <v>#N/A Requesting Data...</v>
      </c>
      <c r="H1058" t="str">
        <f>_xll.BDP("558272DG Muni","ISSUE_DT")</f>
        <v>#N/A Requesting Data...</v>
      </c>
      <c r="I1058" t="str">
        <f>_xll.BDS("558272DG Muni","MUNI_PURPOSE_SCHED", "aggregate=y")</f>
        <v>#N/A Review</v>
      </c>
      <c r="J1058" t="str">
        <f>_xll.BDP("558272DG Muni","CPN")</f>
        <v>#N/A Requesting Data...</v>
      </c>
      <c r="K1058" t="str">
        <f>_xll.BDP("558272DG Muni","MATURITY")</f>
        <v>#N/A Requesting Data...</v>
      </c>
      <c r="L1058">
        <v>660000</v>
      </c>
      <c r="M1058" t="str">
        <f>_xll.BDP("558272DG Muni","YIELD_ON_ISSUE_DATE")</f>
        <v>#N/A Requesting Data...</v>
      </c>
      <c r="N1058" t="str">
        <f>_xll.BDP("558272DG Muni","YTW_SPREAD_TO_MATURITY_AT_ISSU")</f>
        <v>#N/A Requesting Data...</v>
      </c>
      <c r="O1058" t="str">
        <f>_xll.BDP("558272DG Muni","BVAL_MID_YTM")</f>
        <v>#N/A Requesting Data...</v>
      </c>
      <c r="P1058" t="str">
        <f>_xll.BDP("558272DG Muni","MUNI_TAX_PROV")</f>
        <v>#N/A Requesting Data...</v>
      </c>
      <c r="Q1058" t="str">
        <f>_xll.BDP("558272DG Muni","MUNI_FED_TAX")</f>
        <v>#N/A Requesting Data...</v>
      </c>
      <c r="R1058" t="str">
        <f>_xll.BDP("558272DG Muni","MUNI_MSRB_VOLUME")</f>
        <v>#N/A Requesting Data...</v>
      </c>
      <c r="S1058" t="str">
        <f>_xll.BDP("558272DG Muni","BB_COMPOSITE")</f>
        <v>#N/A Requesting Data...</v>
      </c>
      <c r="T1058" t="str">
        <f>_xll.BDP("558272DG Muni","LQA_LIQUIDITY_SCORE")</f>
        <v>#N/A Requesting Data...</v>
      </c>
    </row>
    <row r="1059" spans="1:20" x14ac:dyDescent="0.25">
      <c r="A1059" t="str">
        <f>_xll.BDP("558272DH Muni","ID_CUSIP")</f>
        <v>#N/A Requesting Data...</v>
      </c>
      <c r="B1059" t="s">
        <v>336</v>
      </c>
      <c r="C1059" t="str">
        <f>_xll.BDP("558272DH Muni","INSURANCE_STATUS")</f>
        <v>#N/A Requesting Data...</v>
      </c>
      <c r="D1059" t="str">
        <f>_xll.BDP("558272DH Muni","STATE_CODE")</f>
        <v>#N/A Requesting Data...</v>
      </c>
      <c r="E1059" t="str">
        <f>_xll.BDP("558272DH Muni","COUNTY_LOCATION_ISSUER")</f>
        <v>#N/A Requesting Data...</v>
      </c>
      <c r="F1059" t="str">
        <f>_xll.BDP("558272DH Muni","DUR_ADJ_MID")</f>
        <v>#N/A Requesting Data...</v>
      </c>
      <c r="G1059" t="str">
        <f>_xll.BDP("558272DH Muni","SPREAD_AT_ISSUANCE_TO_WORST")</f>
        <v>#N/A Requesting Data...</v>
      </c>
      <c r="H1059" t="str">
        <f>_xll.BDP("558272DH Muni","ISSUE_DT")</f>
        <v>#N/A Requesting Data...</v>
      </c>
      <c r="I1059" t="str">
        <f>_xll.BDS("558272DH Muni","MUNI_PURPOSE_SCHED", "aggregate=y")</f>
        <v>#N/A Review</v>
      </c>
      <c r="J1059" t="str">
        <f>_xll.BDP("558272DH Muni","CPN")</f>
        <v>#N/A Requesting Data...</v>
      </c>
      <c r="K1059" t="str">
        <f>_xll.BDP("558272DH Muni","MATURITY")</f>
        <v>#N/A Requesting Data...</v>
      </c>
      <c r="L1059">
        <v>680000</v>
      </c>
      <c r="M1059" t="str">
        <f>_xll.BDP("558272DH Muni","YIELD_ON_ISSUE_DATE")</f>
        <v>#N/A Requesting Data...</v>
      </c>
      <c r="N1059" t="str">
        <f>_xll.BDP("558272DH Muni","YTW_SPREAD_TO_MATURITY_AT_ISSU")</f>
        <v>#N/A Requesting Data...</v>
      </c>
      <c r="O1059" t="str">
        <f>_xll.BDP("558272DH Muni","BVAL_MID_YTM")</f>
        <v>#N/A Requesting Data...</v>
      </c>
      <c r="P1059" t="str">
        <f>_xll.BDP("558272DH Muni","MUNI_TAX_PROV")</f>
        <v>#N/A Requesting Data...</v>
      </c>
      <c r="Q1059" t="str">
        <f>_xll.BDP("558272DH Muni","MUNI_FED_TAX")</f>
        <v>#N/A Requesting Data...</v>
      </c>
      <c r="R1059" t="str">
        <f>_xll.BDP("558272DH Muni","MUNI_MSRB_VOLUME")</f>
        <v>#N/A Requesting Data...</v>
      </c>
      <c r="S1059" t="str">
        <f>_xll.BDP("558272DH Muni","BB_COMPOSITE")</f>
        <v>#N/A Requesting Data...</v>
      </c>
      <c r="T1059" t="str">
        <f>_xll.BDP("558272DH Muni","LQA_LIQUIDITY_SCORE")</f>
        <v>#N/A Requesting Data...</v>
      </c>
    </row>
    <row r="1060" spans="1:20" x14ac:dyDescent="0.25">
      <c r="A1060" t="str">
        <f>_xll.BDP("34682SCE Muni","ID_CUSIP")</f>
        <v>#N/A Requesting Data...</v>
      </c>
      <c r="B1060" t="s">
        <v>365</v>
      </c>
      <c r="C1060" t="str">
        <f>_xll.BDP("34682SCE Muni","INSURANCE_STATUS")</f>
        <v>#N/A Requesting Data...</v>
      </c>
      <c r="D1060" t="str">
        <f>_xll.BDP("34682SCE Muni","STATE_CODE")</f>
        <v>#N/A Requesting Data...</v>
      </c>
      <c r="E1060" t="str">
        <f>_xll.BDP("34682SCE Muni","COUNTY_LOCATION_ISSUER")</f>
        <v>#N/A Requesting Data...</v>
      </c>
      <c r="F1060" t="str">
        <f>_xll.BDP("34682SCE Muni","DUR_ADJ_MID")</f>
        <v>#N/A Requesting Data...</v>
      </c>
      <c r="G1060" t="str">
        <f>_xll.BDP("34682SCE Muni","SPREAD_AT_ISSUANCE_TO_WORST")</f>
        <v>#N/A Requesting Data...</v>
      </c>
      <c r="H1060" t="str">
        <f>_xll.BDP("34682SCE Muni","ISSUE_DT")</f>
        <v>#N/A Requesting Data...</v>
      </c>
      <c r="I1060" t="str">
        <f>_xll.BDS("34682SCE Muni","MUNI_PURPOSE_SCHED", "aggregate=y")</f>
        <v>#N/A Review</v>
      </c>
      <c r="J1060" t="str">
        <f>_xll.BDP("34682SCE Muni","CPN")</f>
        <v>#N/A Requesting Data...</v>
      </c>
      <c r="K1060" t="str">
        <f>_xll.BDP("34682SCE Muni","MATURITY")</f>
        <v>#N/A Requesting Data...</v>
      </c>
      <c r="L1060">
        <v>285000</v>
      </c>
      <c r="M1060" t="str">
        <f>_xll.BDP("34682SCE Muni","YIELD_ON_ISSUE_DATE")</f>
        <v>#N/A Requesting Data...</v>
      </c>
      <c r="N1060" t="str">
        <f>_xll.BDP("34682SCE Muni","YTW_SPREAD_TO_MATURITY_AT_ISSU")</f>
        <v>#N/A Requesting Data...</v>
      </c>
      <c r="O1060" t="str">
        <f>_xll.BDP("34682SCE Muni","BVAL_MID_YTM")</f>
        <v>#N/A Requesting Data...</v>
      </c>
      <c r="P1060" t="str">
        <f>_xll.BDP("34682SCE Muni","MUNI_TAX_PROV")</f>
        <v>#N/A Requesting Data...</v>
      </c>
      <c r="Q1060" t="str">
        <f>_xll.BDP("34682SCE Muni","MUNI_FED_TAX")</f>
        <v>#N/A Requesting Data...</v>
      </c>
      <c r="R1060" t="str">
        <f>_xll.BDP("34682SCE Muni","MUNI_MSRB_VOLUME")</f>
        <v>#N/A Requesting Data...</v>
      </c>
      <c r="S1060" t="str">
        <f>_xll.BDP("34682SCE Muni","BB_COMPOSITE")</f>
        <v>#N/A Requesting Data...</v>
      </c>
      <c r="T1060" t="str">
        <f>_xll.BDP("34682SCE Muni","LQA_LIQUIDITY_SCORE")</f>
        <v>#N/A Requesting Data...</v>
      </c>
    </row>
    <row r="1061" spans="1:20" x14ac:dyDescent="0.25">
      <c r="A1061" t="str">
        <f>_xll.BDP("34682SCF Muni","ID_CUSIP")</f>
        <v>#N/A Requesting Data...</v>
      </c>
      <c r="B1061" t="s">
        <v>365</v>
      </c>
      <c r="C1061" t="str">
        <f>_xll.BDP("34682SCF Muni","INSURANCE_STATUS")</f>
        <v>#N/A Requesting Data...</v>
      </c>
      <c r="D1061" t="str">
        <f>_xll.BDP("34682SCF Muni","STATE_CODE")</f>
        <v>#N/A Requesting Data...</v>
      </c>
      <c r="E1061" t="str">
        <f>_xll.BDP("34682SCF Muni","COUNTY_LOCATION_ISSUER")</f>
        <v>#N/A Requesting Data...</v>
      </c>
      <c r="F1061" t="str">
        <f>_xll.BDP("34682SCF Muni","DUR_ADJ_MID")</f>
        <v>#N/A Requesting Data...</v>
      </c>
      <c r="G1061" t="str">
        <f>_xll.BDP("34682SCF Muni","SPREAD_AT_ISSUANCE_TO_WORST")</f>
        <v>#N/A Requesting Data...</v>
      </c>
      <c r="H1061" t="str">
        <f>_xll.BDP("34682SCF Muni","ISSUE_DT")</f>
        <v>#N/A Requesting Data...</v>
      </c>
      <c r="I1061" t="str">
        <f>_xll.BDS("34682SCF Muni","MUNI_PURPOSE_SCHED", "aggregate=y")</f>
        <v>#N/A Review</v>
      </c>
      <c r="J1061" t="str">
        <f>_xll.BDP("34682SCF Muni","CPN")</f>
        <v>#N/A Requesting Data...</v>
      </c>
      <c r="K1061" t="str">
        <f>_xll.BDP("34682SCF Muni","MATURITY")</f>
        <v>#N/A Requesting Data...</v>
      </c>
      <c r="L1061">
        <v>290000</v>
      </c>
      <c r="M1061" t="str">
        <f>_xll.BDP("34682SCF Muni","YIELD_ON_ISSUE_DATE")</f>
        <v>#N/A Requesting Data...</v>
      </c>
      <c r="N1061" t="str">
        <f>_xll.BDP("34682SCF Muni","YTW_SPREAD_TO_MATURITY_AT_ISSU")</f>
        <v>#N/A Requesting Data...</v>
      </c>
      <c r="O1061" t="str">
        <f>_xll.BDP("34682SCF Muni","BVAL_MID_YTM")</f>
        <v>#N/A Requesting Data...</v>
      </c>
      <c r="P1061" t="str">
        <f>_xll.BDP("34682SCF Muni","MUNI_TAX_PROV")</f>
        <v>#N/A Requesting Data...</v>
      </c>
      <c r="Q1061" t="str">
        <f>_xll.BDP("34682SCF Muni","MUNI_FED_TAX")</f>
        <v>#N/A Requesting Data...</v>
      </c>
      <c r="R1061" t="str">
        <f>_xll.BDP("34682SCF Muni","MUNI_MSRB_VOLUME")</f>
        <v>#N/A Requesting Data...</v>
      </c>
      <c r="S1061" t="str">
        <f>_xll.BDP("34682SCF Muni","BB_COMPOSITE")</f>
        <v>#N/A Requesting Data...</v>
      </c>
      <c r="T1061" t="str">
        <f>_xll.BDP("34682SCF Muni","LQA_LIQUIDITY_SCORE")</f>
        <v>#N/A Requesting Data...</v>
      </c>
    </row>
    <row r="1062" spans="1:20" x14ac:dyDescent="0.25">
      <c r="A1062" t="str">
        <f>_xll.BDP("34682TJH Muni","ID_CUSIP")</f>
        <v>#N/A Requesting Data...</v>
      </c>
      <c r="B1062" t="s">
        <v>366</v>
      </c>
      <c r="C1062" t="str">
        <f>_xll.BDP("34682TJH Muni","INSURANCE_STATUS")</f>
        <v>#N/A Requesting Data...</v>
      </c>
      <c r="D1062" t="str">
        <f>_xll.BDP("34682TJH Muni","STATE_CODE")</f>
        <v>#N/A Requesting Data...</v>
      </c>
      <c r="E1062" t="str">
        <f>_xll.BDP("34682TJH Muni","COUNTY_LOCATION_ISSUER")</f>
        <v>#N/A Requesting Data...</v>
      </c>
      <c r="F1062" t="str">
        <f>_xll.BDP("34682TJH Muni","DUR_ADJ_MID")</f>
        <v>#N/A Requesting Data...</v>
      </c>
      <c r="G1062" t="str">
        <f>_xll.BDP("34682TJH Muni","SPREAD_AT_ISSUANCE_TO_WORST")</f>
        <v>#N/A Requesting Data...</v>
      </c>
      <c r="H1062" t="str">
        <f>_xll.BDP("34682TJH Muni","ISSUE_DT")</f>
        <v>#N/A Requesting Data...</v>
      </c>
      <c r="I1062" t="str">
        <f>_xll.BDS("34682TJH Muni","MUNI_PURPOSE_SCHED", "aggregate=y")</f>
        <v>#N/A Review</v>
      </c>
      <c r="J1062" t="str">
        <f>_xll.BDP("34682TJH Muni","CPN")</f>
        <v>#N/A Requesting Data...</v>
      </c>
      <c r="K1062" t="str">
        <f>_xll.BDP("34682TJH Muni","MATURITY")</f>
        <v>#N/A Requesting Data...</v>
      </c>
      <c r="L1062">
        <v>90000</v>
      </c>
      <c r="M1062" t="str">
        <f>_xll.BDP("34682TJH Muni","YIELD_ON_ISSUE_DATE")</f>
        <v>#N/A Requesting Data...</v>
      </c>
      <c r="N1062" t="str">
        <f>_xll.BDP("34682TJH Muni","YTW_SPREAD_TO_MATURITY_AT_ISSU")</f>
        <v>#N/A Requesting Data...</v>
      </c>
      <c r="O1062" t="str">
        <f>_xll.BDP("34682TJH Muni","BVAL_MID_YTM")</f>
        <v>#N/A Requesting Data...</v>
      </c>
      <c r="P1062" t="str">
        <f>_xll.BDP("34682TJH Muni","MUNI_TAX_PROV")</f>
        <v>#N/A Requesting Data...</v>
      </c>
      <c r="Q1062" t="str">
        <f>_xll.BDP("34682TJH Muni","MUNI_FED_TAX")</f>
        <v>#N/A Requesting Data...</v>
      </c>
      <c r="R1062" t="str">
        <f>_xll.BDP("34682TJH Muni","MUNI_MSRB_VOLUME")</f>
        <v>#N/A Requesting Data...</v>
      </c>
      <c r="S1062" t="str">
        <f>_xll.BDP("34682TJH Muni","BB_COMPOSITE")</f>
        <v>#N/A Requesting Data...</v>
      </c>
      <c r="T1062" t="str">
        <f>_xll.BDP("34682TJH Muni","LQA_LIQUIDITY_SCORE")</f>
        <v>#N/A Requesting Data...</v>
      </c>
    </row>
    <row r="1063" spans="1:20" x14ac:dyDescent="0.25">
      <c r="A1063" t="str">
        <f>_xll.BDP("34682TJJ Muni","ID_CUSIP")</f>
        <v>#N/A Requesting Data...</v>
      </c>
      <c r="B1063" t="s">
        <v>366</v>
      </c>
      <c r="C1063" t="str">
        <f>_xll.BDP("34682TJJ Muni","INSURANCE_STATUS")</f>
        <v>#N/A Requesting Data...</v>
      </c>
      <c r="D1063" t="str">
        <f>_xll.BDP("34682TJJ Muni","STATE_CODE")</f>
        <v>#N/A Requesting Data...</v>
      </c>
      <c r="E1063" t="str">
        <f>_xll.BDP("34682TJJ Muni","COUNTY_LOCATION_ISSUER")</f>
        <v>#N/A Requesting Data...</v>
      </c>
      <c r="F1063" t="str">
        <f>_xll.BDP("34682TJJ Muni","DUR_ADJ_MID")</f>
        <v>#N/A Requesting Data...</v>
      </c>
      <c r="G1063" t="str">
        <f>_xll.BDP("34682TJJ Muni","SPREAD_AT_ISSUANCE_TO_WORST")</f>
        <v>#N/A Requesting Data...</v>
      </c>
      <c r="H1063" t="str">
        <f>_xll.BDP("34682TJJ Muni","ISSUE_DT")</f>
        <v>#N/A Requesting Data...</v>
      </c>
      <c r="I1063" t="str">
        <f>_xll.BDS("34682TJJ Muni","MUNI_PURPOSE_SCHED", "aggregate=y")</f>
        <v>#N/A Review</v>
      </c>
      <c r="J1063" t="str">
        <f>_xll.BDP("34682TJJ Muni","CPN")</f>
        <v>#N/A Requesting Data...</v>
      </c>
      <c r="K1063" t="str">
        <f>_xll.BDP("34682TJJ Muni","MATURITY")</f>
        <v>#N/A Requesting Data...</v>
      </c>
      <c r="L1063">
        <v>90000</v>
      </c>
      <c r="M1063" t="str">
        <f>_xll.BDP("34682TJJ Muni","YIELD_ON_ISSUE_DATE")</f>
        <v>#N/A Requesting Data...</v>
      </c>
      <c r="N1063" t="str">
        <f>_xll.BDP("34682TJJ Muni","YTW_SPREAD_TO_MATURITY_AT_ISSU")</f>
        <v>#N/A Requesting Data...</v>
      </c>
      <c r="O1063" t="str">
        <f>_xll.BDP("34682TJJ Muni","BVAL_MID_YTM")</f>
        <v>#N/A Requesting Data...</v>
      </c>
      <c r="P1063" t="str">
        <f>_xll.BDP("34682TJJ Muni","MUNI_TAX_PROV")</f>
        <v>#N/A Requesting Data...</v>
      </c>
      <c r="Q1063" t="str">
        <f>_xll.BDP("34682TJJ Muni","MUNI_FED_TAX")</f>
        <v>#N/A Requesting Data...</v>
      </c>
      <c r="R1063" t="str">
        <f>_xll.BDP("34682TJJ Muni","MUNI_MSRB_VOLUME")</f>
        <v>#N/A Requesting Data...</v>
      </c>
      <c r="S1063" t="str">
        <f>_xll.BDP("34682TJJ Muni","BB_COMPOSITE")</f>
        <v>#N/A Requesting Data...</v>
      </c>
      <c r="T1063" t="str">
        <f>_xll.BDP("34682TJJ Muni","LQA_LIQUIDITY_SCORE")</f>
        <v>#N/A Requesting Data...</v>
      </c>
    </row>
    <row r="1064" spans="1:20" x14ac:dyDescent="0.25">
      <c r="A1064" t="str">
        <f>_xll.BDP("34682VES Muni","ID_CUSIP")</f>
        <v>#N/A Requesting Data...</v>
      </c>
      <c r="B1064" t="s">
        <v>367</v>
      </c>
      <c r="C1064" t="str">
        <f>_xll.BDP("34682VES Muni","INSURANCE_STATUS")</f>
        <v>#N/A Requesting Data...</v>
      </c>
      <c r="D1064" t="str">
        <f>_xll.BDP("34682VES Muni","STATE_CODE")</f>
        <v>#N/A Requesting Data...</v>
      </c>
      <c r="E1064" t="str">
        <f>_xll.BDP("34682VES Muni","COUNTY_LOCATION_ISSUER")</f>
        <v>#N/A Requesting Data...</v>
      </c>
      <c r="F1064" t="str">
        <f>_xll.BDP("34682VES Muni","DUR_ADJ_MID")</f>
        <v>#N/A Requesting Data...</v>
      </c>
      <c r="G1064" t="str">
        <f>_xll.BDP("34682VES Muni","SPREAD_AT_ISSUANCE_TO_WORST")</f>
        <v>#N/A Requesting Data...</v>
      </c>
      <c r="H1064" t="str">
        <f>_xll.BDP("34682VES Muni","ISSUE_DT")</f>
        <v>#N/A Requesting Data...</v>
      </c>
      <c r="I1064" t="str">
        <f>_xll.BDS("34682VES Muni","MUNI_PURPOSE_SCHED", "aggregate=y")</f>
        <v>#N/A Review</v>
      </c>
      <c r="J1064" t="str">
        <f>_xll.BDP("34682VES Muni","CPN")</f>
        <v>#N/A Requesting Data...</v>
      </c>
      <c r="K1064" t="str">
        <f>_xll.BDP("34682VES Muni","MATURITY")</f>
        <v>#N/A Requesting Data...</v>
      </c>
      <c r="L1064">
        <v>120000</v>
      </c>
      <c r="M1064" t="str">
        <f>_xll.BDP("34682VES Muni","YIELD_ON_ISSUE_DATE")</f>
        <v>#N/A Requesting Data...</v>
      </c>
      <c r="N1064" t="str">
        <f>_xll.BDP("34682VES Muni","YTW_SPREAD_TO_MATURITY_AT_ISSU")</f>
        <v>#N/A Requesting Data...</v>
      </c>
      <c r="O1064" t="str">
        <f>_xll.BDP("34682VES Muni","BVAL_MID_YTM")</f>
        <v>#N/A Requesting Data...</v>
      </c>
      <c r="P1064" t="str">
        <f>_xll.BDP("34682VES Muni","MUNI_TAX_PROV")</f>
        <v>#N/A Requesting Data...</v>
      </c>
      <c r="Q1064" t="str">
        <f>_xll.BDP("34682VES Muni","MUNI_FED_TAX")</f>
        <v>#N/A Requesting Data...</v>
      </c>
      <c r="R1064" t="str">
        <f>_xll.BDP("34682VES Muni","MUNI_MSRB_VOLUME")</f>
        <v>#N/A Requesting Data...</v>
      </c>
      <c r="S1064" t="str">
        <f>_xll.BDP("34682VES Muni","BB_COMPOSITE")</f>
        <v>#N/A Requesting Data...</v>
      </c>
      <c r="T1064" t="str">
        <f>_xll.BDP("34682VES Muni","LQA_LIQUIDITY_SCORE")</f>
        <v>#N/A Requesting Data...</v>
      </c>
    </row>
    <row r="1065" spans="1:20" x14ac:dyDescent="0.25">
      <c r="A1065" t="str">
        <f>_xll.BDP("34682VET Muni","ID_CUSIP")</f>
        <v>#N/A Requesting Data...</v>
      </c>
      <c r="B1065" t="s">
        <v>367</v>
      </c>
      <c r="C1065" t="str">
        <f>_xll.BDP("34682VET Muni","INSURANCE_STATUS")</f>
        <v>#N/A Requesting Data...</v>
      </c>
      <c r="D1065" t="str">
        <f>_xll.BDP("34682VET Muni","STATE_CODE")</f>
        <v>#N/A Requesting Data...</v>
      </c>
      <c r="E1065" t="str">
        <f>_xll.BDP("34682VET Muni","COUNTY_LOCATION_ISSUER")</f>
        <v>#N/A Requesting Data...</v>
      </c>
      <c r="F1065" t="str">
        <f>_xll.BDP("34682VET Muni","DUR_ADJ_MID")</f>
        <v>#N/A Requesting Data...</v>
      </c>
      <c r="G1065" t="str">
        <f>_xll.BDP("34682VET Muni","SPREAD_AT_ISSUANCE_TO_WORST")</f>
        <v>#N/A Requesting Data...</v>
      </c>
      <c r="H1065" t="str">
        <f>_xll.BDP("34682VET Muni","ISSUE_DT")</f>
        <v>#N/A Requesting Data...</v>
      </c>
      <c r="I1065" t="str">
        <f>_xll.BDS("34682VET Muni","MUNI_PURPOSE_SCHED", "aggregate=y")</f>
        <v>#N/A Review</v>
      </c>
      <c r="J1065" t="str">
        <f>_xll.BDP("34682VET Muni","CPN")</f>
        <v>#N/A Requesting Data...</v>
      </c>
      <c r="K1065" t="str">
        <f>_xll.BDP("34682VET Muni","MATURITY")</f>
        <v>#N/A Requesting Data...</v>
      </c>
      <c r="L1065">
        <v>115000</v>
      </c>
      <c r="M1065" t="str">
        <f>_xll.BDP("34682VET Muni","YIELD_ON_ISSUE_DATE")</f>
        <v>#N/A Requesting Data...</v>
      </c>
      <c r="N1065" t="str">
        <f>_xll.BDP("34682VET Muni","YTW_SPREAD_TO_MATURITY_AT_ISSU")</f>
        <v>#N/A Requesting Data...</v>
      </c>
      <c r="O1065" t="str">
        <f>_xll.BDP("34682VET Muni","BVAL_MID_YTM")</f>
        <v>#N/A Requesting Data...</v>
      </c>
      <c r="P1065" t="str">
        <f>_xll.BDP("34682VET Muni","MUNI_TAX_PROV")</f>
        <v>#N/A Requesting Data...</v>
      </c>
      <c r="Q1065" t="str">
        <f>_xll.BDP("34682VET Muni","MUNI_FED_TAX")</f>
        <v>#N/A Requesting Data...</v>
      </c>
      <c r="R1065" t="str">
        <f>_xll.BDP("34682VET Muni","MUNI_MSRB_VOLUME")</f>
        <v>#N/A Requesting Data...</v>
      </c>
      <c r="S1065" t="str">
        <f>_xll.BDP("34682VET Muni","BB_COMPOSITE")</f>
        <v>#N/A Requesting Data...</v>
      </c>
      <c r="T1065" t="str">
        <f>_xll.BDP("34682VET Muni","LQA_LIQUIDITY_SCORE")</f>
        <v>#N/A Requesting Data...</v>
      </c>
    </row>
    <row r="1066" spans="1:20" x14ac:dyDescent="0.25">
      <c r="A1066" t="str">
        <f>_xll.BDP("34682VFR Muni","ID_CUSIP")</f>
        <v>#N/A Requesting Data...</v>
      </c>
      <c r="B1066" t="s">
        <v>367</v>
      </c>
      <c r="C1066" t="str">
        <f>_xll.BDP("34682VFR Muni","INSURANCE_STATUS")</f>
        <v>#N/A Requesting Data...</v>
      </c>
      <c r="D1066" t="str">
        <f>_xll.BDP("34682VFR Muni","STATE_CODE")</f>
        <v>#N/A Requesting Data...</v>
      </c>
      <c r="E1066" t="str">
        <f>_xll.BDP("34682VFR Muni","COUNTY_LOCATION_ISSUER")</f>
        <v>#N/A Requesting Data...</v>
      </c>
      <c r="F1066" t="str">
        <f>_xll.BDP("34682VFR Muni","DUR_ADJ_MID")</f>
        <v>#N/A Requesting Data...</v>
      </c>
      <c r="G1066" t="str">
        <f>_xll.BDP("34682VFR Muni","SPREAD_AT_ISSUANCE_TO_WORST")</f>
        <v>#N/A Requesting Data...</v>
      </c>
      <c r="H1066" t="str">
        <f>_xll.BDP("34682VFR Muni","ISSUE_DT")</f>
        <v>#N/A Requesting Data...</v>
      </c>
      <c r="I1066" t="str">
        <f>_xll.BDS("34682VFR Muni","MUNI_PURPOSE_SCHED", "aggregate=y")</f>
        <v>#N/A Review</v>
      </c>
      <c r="J1066" t="str">
        <f>_xll.BDP("34682VFR Muni","CPN")</f>
        <v>#N/A Requesting Data...</v>
      </c>
      <c r="K1066" t="str">
        <f>_xll.BDP("34682VFR Muni","MATURITY")</f>
        <v>#N/A Requesting Data...</v>
      </c>
      <c r="L1066">
        <v>130000</v>
      </c>
      <c r="M1066" t="str">
        <f>_xll.BDP("34682VFR Muni","YIELD_ON_ISSUE_DATE")</f>
        <v>#N/A Requesting Data...</v>
      </c>
      <c r="N1066" t="str">
        <f>_xll.BDP("34682VFR Muni","YTW_SPREAD_TO_MATURITY_AT_ISSU")</f>
        <v>#N/A Requesting Data...</v>
      </c>
      <c r="O1066" t="str">
        <f>_xll.BDP("34682VFR Muni","BVAL_MID_YTM")</f>
        <v>#N/A Requesting Data...</v>
      </c>
      <c r="P1066" t="str">
        <f>_xll.BDP("34682VFR Muni","MUNI_TAX_PROV")</f>
        <v>#N/A Requesting Data...</v>
      </c>
      <c r="Q1066" t="str">
        <f>_xll.BDP("34682VFR Muni","MUNI_FED_TAX")</f>
        <v>#N/A Requesting Data...</v>
      </c>
      <c r="R1066" t="str">
        <f>_xll.BDP("34682VFR Muni","MUNI_MSRB_VOLUME")</f>
        <v>#N/A Requesting Data...</v>
      </c>
      <c r="S1066" t="str">
        <f>_xll.BDP("34682VFR Muni","BB_COMPOSITE")</f>
        <v>#N/A Requesting Data...</v>
      </c>
      <c r="T1066" t="str">
        <f>_xll.BDP("34682VFR Muni","LQA_LIQUIDITY_SCORE")</f>
        <v>#N/A Requesting Data...</v>
      </c>
    </row>
    <row r="1067" spans="1:20" x14ac:dyDescent="0.25">
      <c r="A1067" t="str">
        <f>_xll.BDP("34682VFS Muni","ID_CUSIP")</f>
        <v>#N/A Requesting Data...</v>
      </c>
      <c r="B1067" t="s">
        <v>367</v>
      </c>
      <c r="C1067" t="str">
        <f>_xll.BDP("34682VFS Muni","INSURANCE_STATUS")</f>
        <v>#N/A Requesting Data...</v>
      </c>
      <c r="D1067" t="str">
        <f>_xll.BDP("34682VFS Muni","STATE_CODE")</f>
        <v>#N/A Requesting Data...</v>
      </c>
      <c r="E1067" t="str">
        <f>_xll.BDP("34682VFS Muni","COUNTY_LOCATION_ISSUER")</f>
        <v>#N/A Requesting Data...</v>
      </c>
      <c r="F1067" t="str">
        <f>_xll.BDP("34682VFS Muni","DUR_ADJ_MID")</f>
        <v>#N/A Requesting Data...</v>
      </c>
      <c r="G1067" t="str">
        <f>_xll.BDP("34682VFS Muni","SPREAD_AT_ISSUANCE_TO_WORST")</f>
        <v>#N/A Requesting Data...</v>
      </c>
      <c r="H1067" t="str">
        <f>_xll.BDP("34682VFS Muni","ISSUE_DT")</f>
        <v>#N/A Requesting Data...</v>
      </c>
      <c r="I1067" t="str">
        <f>_xll.BDS("34682VFS Muni","MUNI_PURPOSE_SCHED", "aggregate=y")</f>
        <v>#N/A Review</v>
      </c>
      <c r="J1067" t="str">
        <f>_xll.BDP("34682VFS Muni","CPN")</f>
        <v>#N/A Requesting Data...</v>
      </c>
      <c r="K1067" t="str">
        <f>_xll.BDP("34682VFS Muni","MATURITY")</f>
        <v>#N/A Requesting Data...</v>
      </c>
      <c r="L1067">
        <v>140000</v>
      </c>
      <c r="M1067" t="str">
        <f>_xll.BDP("34682VFS Muni","YIELD_ON_ISSUE_DATE")</f>
        <v>#N/A Requesting Data...</v>
      </c>
      <c r="N1067" t="str">
        <f>_xll.BDP("34682VFS Muni","YTW_SPREAD_TO_MATURITY_AT_ISSU")</f>
        <v>#N/A Requesting Data...</v>
      </c>
      <c r="O1067" t="str">
        <f>_xll.BDP("34682VFS Muni","BVAL_MID_YTM")</f>
        <v>#N/A Requesting Data...</v>
      </c>
      <c r="P1067" t="str">
        <f>_xll.BDP("34682VFS Muni","MUNI_TAX_PROV")</f>
        <v>#N/A Requesting Data...</v>
      </c>
      <c r="Q1067" t="str">
        <f>_xll.BDP("34682VFS Muni","MUNI_FED_TAX")</f>
        <v>#N/A Requesting Data...</v>
      </c>
      <c r="R1067" t="str">
        <f>_xll.BDP("34682VFS Muni","MUNI_MSRB_VOLUME")</f>
        <v>#N/A Requesting Data...</v>
      </c>
      <c r="S1067" t="str">
        <f>_xll.BDP("34682VFS Muni","BB_COMPOSITE")</f>
        <v>#N/A Requesting Data...</v>
      </c>
      <c r="T1067" t="str">
        <f>_xll.BDP("34682VFS Muni","LQA_LIQUIDITY_SCORE")</f>
        <v>#N/A Requesting Data...</v>
      </c>
    </row>
    <row r="1068" spans="1:20" x14ac:dyDescent="0.25">
      <c r="A1068" t="str">
        <f>_xll.BDP("34682WHG Muni","ID_CUSIP")</f>
        <v>#N/A Requesting Data...</v>
      </c>
      <c r="B1068" t="s">
        <v>368</v>
      </c>
      <c r="C1068" t="str">
        <f>_xll.BDP("34682WHG Muni","INSURANCE_STATUS")</f>
        <v>#N/A Requesting Data...</v>
      </c>
      <c r="D1068" t="str">
        <f>_xll.BDP("34682WHG Muni","STATE_CODE")</f>
        <v>#N/A Requesting Data...</v>
      </c>
      <c r="E1068" t="str">
        <f>_xll.BDP("34682WHG Muni","COUNTY_LOCATION_ISSUER")</f>
        <v>#N/A Requesting Data...</v>
      </c>
      <c r="F1068" t="str">
        <f>_xll.BDP("34682WHG Muni","DUR_ADJ_MID")</f>
        <v>#N/A Requesting Data...</v>
      </c>
      <c r="G1068" t="str">
        <f>_xll.BDP("34682WHG Muni","SPREAD_AT_ISSUANCE_TO_WORST")</f>
        <v>#N/A Requesting Data...</v>
      </c>
      <c r="H1068" t="str">
        <f>_xll.BDP("34682WHG Muni","ISSUE_DT")</f>
        <v>#N/A Requesting Data...</v>
      </c>
      <c r="I1068" t="str">
        <f>_xll.BDS("34682WHG Muni","MUNI_PURPOSE_SCHED", "aggregate=y")</f>
        <v>#N/A Review</v>
      </c>
      <c r="J1068" t="str">
        <f>_xll.BDP("34682WHG Muni","CPN")</f>
        <v>#N/A Requesting Data...</v>
      </c>
      <c r="K1068" t="str">
        <f>_xll.BDP("34682WHG Muni","MATURITY")</f>
        <v>#N/A Requesting Data...</v>
      </c>
      <c r="L1068">
        <v>330000</v>
      </c>
      <c r="M1068" t="str">
        <f>_xll.BDP("34682WHG Muni","YIELD_ON_ISSUE_DATE")</f>
        <v>#N/A Requesting Data...</v>
      </c>
      <c r="N1068" t="str">
        <f>_xll.BDP("34682WHG Muni","YTW_SPREAD_TO_MATURITY_AT_ISSU")</f>
        <v>#N/A Requesting Data...</v>
      </c>
      <c r="O1068" t="str">
        <f>_xll.BDP("34682WHG Muni","BVAL_MID_YTM")</f>
        <v>#N/A Requesting Data...</v>
      </c>
      <c r="P1068" t="str">
        <f>_xll.BDP("34682WHG Muni","MUNI_TAX_PROV")</f>
        <v>#N/A Requesting Data...</v>
      </c>
      <c r="Q1068" t="str">
        <f>_xll.BDP("34682WHG Muni","MUNI_FED_TAX")</f>
        <v>#N/A Requesting Data...</v>
      </c>
      <c r="R1068" t="str">
        <f>_xll.BDP("34682WHG Muni","MUNI_MSRB_VOLUME")</f>
        <v>#N/A Requesting Data...</v>
      </c>
      <c r="S1068" t="str">
        <f>_xll.BDP("34682WHG Muni","BB_COMPOSITE")</f>
        <v>#N/A Requesting Data...</v>
      </c>
      <c r="T1068" t="str">
        <f>_xll.BDP("34682WHG Muni","LQA_LIQUIDITY_SCORE")</f>
        <v>#N/A Requesting Data...</v>
      </c>
    </row>
    <row r="1069" spans="1:20" x14ac:dyDescent="0.25">
      <c r="A1069" t="str">
        <f>_xll.BDP("34682WHH Muni","ID_CUSIP")</f>
        <v>#N/A Requesting Data...</v>
      </c>
      <c r="B1069" t="s">
        <v>368</v>
      </c>
      <c r="C1069" t="str">
        <f>_xll.BDP("34682WHH Muni","INSURANCE_STATUS")</f>
        <v>#N/A Requesting Data...</v>
      </c>
      <c r="D1069" t="str">
        <f>_xll.BDP("34682WHH Muni","STATE_CODE")</f>
        <v>#N/A Requesting Data...</v>
      </c>
      <c r="E1069" t="str">
        <f>_xll.BDP("34682WHH Muni","COUNTY_LOCATION_ISSUER")</f>
        <v>#N/A Requesting Data...</v>
      </c>
      <c r="F1069" t="str">
        <f>_xll.BDP("34682WHH Muni","DUR_ADJ_MID")</f>
        <v>#N/A Requesting Data...</v>
      </c>
      <c r="G1069" t="str">
        <f>_xll.BDP("34682WHH Muni","SPREAD_AT_ISSUANCE_TO_WORST")</f>
        <v>#N/A Requesting Data...</v>
      </c>
      <c r="H1069" t="str">
        <f>_xll.BDP("34682WHH Muni","ISSUE_DT")</f>
        <v>#N/A Requesting Data...</v>
      </c>
      <c r="I1069" t="str">
        <f>_xll.BDS("34682WHH Muni","MUNI_PURPOSE_SCHED", "aggregate=y")</f>
        <v>#N/A Review</v>
      </c>
      <c r="J1069" t="str">
        <f>_xll.BDP("34682WHH Muni","CPN")</f>
        <v>#N/A Requesting Data...</v>
      </c>
      <c r="K1069" t="str">
        <f>_xll.BDP("34682WHH Muni","MATURITY")</f>
        <v>#N/A Requesting Data...</v>
      </c>
      <c r="L1069">
        <v>330000</v>
      </c>
      <c r="M1069" t="str">
        <f>_xll.BDP("34682WHH Muni","YIELD_ON_ISSUE_DATE")</f>
        <v>#N/A Requesting Data...</v>
      </c>
      <c r="N1069" t="str">
        <f>_xll.BDP("34682WHH Muni","YTW_SPREAD_TO_MATURITY_AT_ISSU")</f>
        <v>#N/A Requesting Data...</v>
      </c>
      <c r="O1069" t="str">
        <f>_xll.BDP("34682WHH Muni","BVAL_MID_YTM")</f>
        <v>#N/A Requesting Data...</v>
      </c>
      <c r="P1069" t="str">
        <f>_xll.BDP("34682WHH Muni","MUNI_TAX_PROV")</f>
        <v>#N/A Requesting Data...</v>
      </c>
      <c r="Q1069" t="str">
        <f>_xll.BDP("34682WHH Muni","MUNI_FED_TAX")</f>
        <v>#N/A Requesting Data...</v>
      </c>
      <c r="R1069" t="str">
        <f>_xll.BDP("34682WHH Muni","MUNI_MSRB_VOLUME")</f>
        <v>#N/A Requesting Data...</v>
      </c>
      <c r="S1069" t="str">
        <f>_xll.BDP("34682WHH Muni","BB_COMPOSITE")</f>
        <v>#N/A Requesting Data...</v>
      </c>
      <c r="T1069" t="str">
        <f>_xll.BDP("34682WHH Muni","LQA_LIQUIDITY_SCORE")</f>
        <v>#N/A Requesting Data...</v>
      </c>
    </row>
    <row r="1070" spans="1:20" x14ac:dyDescent="0.25">
      <c r="A1070" t="str">
        <f>_xll.BDP("34682WHJ Muni","ID_CUSIP")</f>
        <v>#N/A Requesting Data...</v>
      </c>
      <c r="B1070" t="s">
        <v>368</v>
      </c>
      <c r="C1070" t="str">
        <f>_xll.BDP("34682WHJ Muni","INSURANCE_STATUS")</f>
        <v>#N/A Requesting Data...</v>
      </c>
      <c r="D1070" t="str">
        <f>_xll.BDP("34682WHJ Muni","STATE_CODE")</f>
        <v>#N/A Requesting Data...</v>
      </c>
      <c r="E1070" t="str">
        <f>_xll.BDP("34682WHJ Muni","COUNTY_LOCATION_ISSUER")</f>
        <v>#N/A Requesting Data...</v>
      </c>
      <c r="F1070" t="str">
        <f>_xll.BDP("34682WHJ Muni","DUR_ADJ_MID")</f>
        <v>#N/A Requesting Data...</v>
      </c>
      <c r="G1070" t="str">
        <f>_xll.BDP("34682WHJ Muni","SPREAD_AT_ISSUANCE_TO_WORST")</f>
        <v>#N/A Requesting Data...</v>
      </c>
      <c r="H1070" t="str">
        <f>_xll.BDP("34682WHJ Muni","ISSUE_DT")</f>
        <v>#N/A Requesting Data...</v>
      </c>
      <c r="I1070" t="str">
        <f>_xll.BDS("34682WHJ Muni","MUNI_PURPOSE_SCHED", "aggregate=y")</f>
        <v>#N/A Review</v>
      </c>
      <c r="J1070" t="str">
        <f>_xll.BDP("34682WHJ Muni","CPN")</f>
        <v>#N/A Requesting Data...</v>
      </c>
      <c r="K1070" t="str">
        <f>_xll.BDP("34682WHJ Muni","MATURITY")</f>
        <v>#N/A Requesting Data...</v>
      </c>
      <c r="L1070">
        <v>325000</v>
      </c>
      <c r="M1070" t="str">
        <f>_xll.BDP("34682WHJ Muni","YIELD_ON_ISSUE_DATE")</f>
        <v>#N/A Requesting Data...</v>
      </c>
      <c r="N1070" t="str">
        <f>_xll.BDP("34682WHJ Muni","YTW_SPREAD_TO_MATURITY_AT_ISSU")</f>
        <v>#N/A Requesting Data...</v>
      </c>
      <c r="O1070" t="str">
        <f>_xll.BDP("34682WHJ Muni","BVAL_MID_YTM")</f>
        <v>#N/A Requesting Data...</v>
      </c>
      <c r="P1070" t="str">
        <f>_xll.BDP("34682WHJ Muni","MUNI_TAX_PROV")</f>
        <v>#N/A Requesting Data...</v>
      </c>
      <c r="Q1070" t="str">
        <f>_xll.BDP("34682WHJ Muni","MUNI_FED_TAX")</f>
        <v>#N/A Requesting Data...</v>
      </c>
      <c r="R1070" t="str">
        <f>_xll.BDP("34682WHJ Muni","MUNI_MSRB_VOLUME")</f>
        <v>#N/A Requesting Data...</v>
      </c>
      <c r="S1070" t="str">
        <f>_xll.BDP("34682WHJ Muni","BB_COMPOSITE")</f>
        <v>#N/A Requesting Data...</v>
      </c>
      <c r="T1070" t="str">
        <f>_xll.BDP("34682WHJ Muni","LQA_LIQUIDITY_SCORE")</f>
        <v>#N/A Requesting Data...</v>
      </c>
    </row>
    <row r="1071" spans="1:20" x14ac:dyDescent="0.25">
      <c r="A1071" t="str">
        <f>_xll.BDP("34683BBE Muni","ID_CUSIP")</f>
        <v>#N/A Requesting Data...</v>
      </c>
      <c r="B1071" t="s">
        <v>369</v>
      </c>
      <c r="C1071" t="str">
        <f>_xll.BDP("34683BBE Muni","INSURANCE_STATUS")</f>
        <v>#N/A Requesting Data...</v>
      </c>
      <c r="D1071" t="str">
        <f>_xll.BDP("34683BBE Muni","STATE_CODE")</f>
        <v>#N/A Requesting Data...</v>
      </c>
      <c r="E1071" t="str">
        <f>_xll.BDP("34683BBE Muni","COUNTY_LOCATION_ISSUER")</f>
        <v>#N/A Requesting Data...</v>
      </c>
      <c r="F1071" t="str">
        <f>_xll.BDP("34683BBE Muni","DUR_ADJ_MID")</f>
        <v>#N/A Requesting Data...</v>
      </c>
      <c r="G1071" t="str">
        <f>_xll.BDP("34683BBE Muni","SPREAD_AT_ISSUANCE_TO_WORST")</f>
        <v>#N/A Requesting Data...</v>
      </c>
      <c r="H1071" t="str">
        <f>_xll.BDP("34683BBE Muni","ISSUE_DT")</f>
        <v>#N/A Requesting Data...</v>
      </c>
      <c r="I1071" t="str">
        <f>_xll.BDS("34683BBE Muni","MUNI_PURPOSE_SCHED", "aggregate=y")</f>
        <v>#N/A Review</v>
      </c>
      <c r="J1071" t="str">
        <f>_xll.BDP("34683BBE Muni","CPN")</f>
        <v>#N/A Requesting Data...</v>
      </c>
      <c r="K1071" t="str">
        <f>_xll.BDP("34683BBE Muni","MATURITY")</f>
        <v>#N/A Requesting Data...</v>
      </c>
      <c r="L1071">
        <v>160000</v>
      </c>
      <c r="M1071" t="str">
        <f>_xll.BDP("34683BBE Muni","YIELD_ON_ISSUE_DATE")</f>
        <v>#N/A Requesting Data...</v>
      </c>
      <c r="N1071" t="str">
        <f>_xll.BDP("34683BBE Muni","YTW_SPREAD_TO_MATURITY_AT_ISSU")</f>
        <v>#N/A Requesting Data...</v>
      </c>
      <c r="O1071" t="str">
        <f>_xll.BDP("34683BBE Muni","BVAL_MID_YTM")</f>
        <v>#N/A Requesting Data...</v>
      </c>
      <c r="P1071" t="str">
        <f>_xll.BDP("34683BBE Muni","MUNI_TAX_PROV")</f>
        <v>#N/A Requesting Data...</v>
      </c>
      <c r="Q1071" t="str">
        <f>_xll.BDP("34683BBE Muni","MUNI_FED_TAX")</f>
        <v>#N/A Requesting Data...</v>
      </c>
      <c r="R1071" t="str">
        <f>_xll.BDP("34683BBE Muni","MUNI_MSRB_VOLUME")</f>
        <v>#N/A Requesting Data...</v>
      </c>
      <c r="S1071" t="str">
        <f>_xll.BDP("34683BBE Muni","BB_COMPOSITE")</f>
        <v>#N/A Requesting Data...</v>
      </c>
      <c r="T1071" t="str">
        <f>_xll.BDP("34683BBE Muni","LQA_LIQUIDITY_SCORE")</f>
        <v>#N/A Requesting Data...</v>
      </c>
    </row>
    <row r="1072" spans="1:20" x14ac:dyDescent="0.25">
      <c r="A1072" t="str">
        <f>_xll.BDP("34683BBF Muni","ID_CUSIP")</f>
        <v>#N/A Requesting Data...</v>
      </c>
      <c r="B1072" t="s">
        <v>369</v>
      </c>
      <c r="C1072" t="str">
        <f>_xll.BDP("34683BBF Muni","INSURANCE_STATUS")</f>
        <v>#N/A Requesting Data...</v>
      </c>
      <c r="D1072" t="str">
        <f>_xll.BDP("34683BBF Muni","STATE_CODE")</f>
        <v>#N/A Requesting Data...</v>
      </c>
      <c r="E1072" t="str">
        <f>_xll.BDP("34683BBF Muni","COUNTY_LOCATION_ISSUER")</f>
        <v>#N/A Requesting Data...</v>
      </c>
      <c r="F1072" t="str">
        <f>_xll.BDP("34683BBF Muni","DUR_ADJ_MID")</f>
        <v>#N/A Requesting Data...</v>
      </c>
      <c r="G1072" t="str">
        <f>_xll.BDP("34683BBF Muni","SPREAD_AT_ISSUANCE_TO_WORST")</f>
        <v>#N/A Requesting Data...</v>
      </c>
      <c r="H1072" t="str">
        <f>_xll.BDP("34683BBF Muni","ISSUE_DT")</f>
        <v>#N/A Requesting Data...</v>
      </c>
      <c r="I1072" t="str">
        <f>_xll.BDS("34683BBF Muni","MUNI_PURPOSE_SCHED", "aggregate=y")</f>
        <v>#N/A Review</v>
      </c>
      <c r="J1072" t="str">
        <f>_xll.BDP("34683BBF Muni","CPN")</f>
        <v>#N/A Requesting Data...</v>
      </c>
      <c r="K1072" t="str">
        <f>_xll.BDP("34683BBF Muni","MATURITY")</f>
        <v>#N/A Requesting Data...</v>
      </c>
      <c r="L1072">
        <v>160000</v>
      </c>
      <c r="M1072" t="str">
        <f>_xll.BDP("34683BBF Muni","YIELD_ON_ISSUE_DATE")</f>
        <v>#N/A Requesting Data...</v>
      </c>
      <c r="N1072" t="str">
        <f>_xll.BDP("34683BBF Muni","YTW_SPREAD_TO_MATURITY_AT_ISSU")</f>
        <v>#N/A Requesting Data...</v>
      </c>
      <c r="O1072" t="str">
        <f>_xll.BDP("34683BBF Muni","BVAL_MID_YTM")</f>
        <v>#N/A Requesting Data...</v>
      </c>
      <c r="P1072" t="str">
        <f>_xll.BDP("34683BBF Muni","MUNI_TAX_PROV")</f>
        <v>#N/A Requesting Data...</v>
      </c>
      <c r="Q1072" t="str">
        <f>_xll.BDP("34683BBF Muni","MUNI_FED_TAX")</f>
        <v>#N/A Requesting Data...</v>
      </c>
      <c r="R1072" t="str">
        <f>_xll.BDP("34683BBF Muni","MUNI_MSRB_VOLUME")</f>
        <v>#N/A Requesting Data...</v>
      </c>
      <c r="S1072" t="str">
        <f>_xll.BDP("34683BBF Muni","BB_COMPOSITE")</f>
        <v>#N/A Requesting Data...</v>
      </c>
      <c r="T1072" t="str">
        <f>_xll.BDP("34683BBF Muni","LQA_LIQUIDITY_SCORE")</f>
        <v>#N/A Requesting Data...</v>
      </c>
    </row>
    <row r="1073" spans="1:20" x14ac:dyDescent="0.25">
      <c r="A1073" t="str">
        <f>_xll.BDP("34683BBG Muni","ID_CUSIP")</f>
        <v>#N/A Requesting Data...</v>
      </c>
      <c r="B1073" t="s">
        <v>369</v>
      </c>
      <c r="C1073" t="str">
        <f>_xll.BDP("34683BBG Muni","INSURANCE_STATUS")</f>
        <v>#N/A Requesting Data...</v>
      </c>
      <c r="D1073" t="str">
        <f>_xll.BDP("34683BBG Muni","STATE_CODE")</f>
        <v>#N/A Requesting Data...</v>
      </c>
      <c r="E1073" t="str">
        <f>_xll.BDP("34683BBG Muni","COUNTY_LOCATION_ISSUER")</f>
        <v>#N/A Requesting Data...</v>
      </c>
      <c r="F1073" t="str">
        <f>_xll.BDP("34683BBG Muni","DUR_ADJ_MID")</f>
        <v>#N/A Requesting Data...</v>
      </c>
      <c r="G1073" t="str">
        <f>_xll.BDP("34683BBG Muni","SPREAD_AT_ISSUANCE_TO_WORST")</f>
        <v>#N/A Requesting Data...</v>
      </c>
      <c r="H1073" t="str">
        <f>_xll.BDP("34683BBG Muni","ISSUE_DT")</f>
        <v>#N/A Requesting Data...</v>
      </c>
      <c r="I1073" t="str">
        <f>_xll.BDS("34683BBG Muni","MUNI_PURPOSE_SCHED", "aggregate=y")</f>
        <v>#N/A Review</v>
      </c>
      <c r="J1073" t="str">
        <f>_xll.BDP("34683BBG Muni","CPN")</f>
        <v>#N/A Requesting Data...</v>
      </c>
      <c r="K1073" t="str">
        <f>_xll.BDP("34683BBG Muni","MATURITY")</f>
        <v>#N/A Requesting Data...</v>
      </c>
      <c r="L1073">
        <v>160000</v>
      </c>
      <c r="M1073" t="str">
        <f>_xll.BDP("34683BBG Muni","YIELD_ON_ISSUE_DATE")</f>
        <v>#N/A Requesting Data...</v>
      </c>
      <c r="N1073" t="str">
        <f>_xll.BDP("34683BBG Muni","YTW_SPREAD_TO_MATURITY_AT_ISSU")</f>
        <v>#N/A Requesting Data...</v>
      </c>
      <c r="O1073" t="str">
        <f>_xll.BDP("34683BBG Muni","BVAL_MID_YTM")</f>
        <v>#N/A Requesting Data...</v>
      </c>
      <c r="P1073" t="str">
        <f>_xll.BDP("34683BBG Muni","MUNI_TAX_PROV")</f>
        <v>#N/A Requesting Data...</v>
      </c>
      <c r="Q1073" t="str">
        <f>_xll.BDP("34683BBG Muni","MUNI_FED_TAX")</f>
        <v>#N/A Requesting Data...</v>
      </c>
      <c r="R1073" t="str">
        <f>_xll.BDP("34683BBG Muni","MUNI_MSRB_VOLUME")</f>
        <v>#N/A Requesting Data...</v>
      </c>
      <c r="S1073" t="str">
        <f>_xll.BDP("34683BBG Muni","BB_COMPOSITE")</f>
        <v>#N/A Requesting Data...</v>
      </c>
      <c r="T1073" t="str">
        <f>_xll.BDP("34683BBG Muni","LQA_LIQUIDITY_SCORE")</f>
        <v>#N/A Requesting Data...</v>
      </c>
    </row>
    <row r="1074" spans="1:20" x14ac:dyDescent="0.25">
      <c r="A1074" t="str">
        <f>_xll.BDP("34683DGG Muni","ID_CUSIP")</f>
        <v>#N/A Requesting Data...</v>
      </c>
      <c r="B1074" t="s">
        <v>370</v>
      </c>
      <c r="C1074" t="str">
        <f>_xll.BDP("34683DGG Muni","INSURANCE_STATUS")</f>
        <v>#N/A Requesting Data...</v>
      </c>
      <c r="D1074" t="str">
        <f>_xll.BDP("34683DGG Muni","STATE_CODE")</f>
        <v>#N/A Requesting Data...</v>
      </c>
      <c r="E1074" t="str">
        <f>_xll.BDP("34683DGG Muni","COUNTY_LOCATION_ISSUER")</f>
        <v>#N/A Requesting Data...</v>
      </c>
      <c r="F1074" t="str">
        <f>_xll.BDP("34683DGG Muni","DUR_ADJ_MID")</f>
        <v>#N/A Requesting Data...</v>
      </c>
      <c r="G1074" t="str">
        <f>_xll.BDP("34683DGG Muni","SPREAD_AT_ISSUANCE_TO_WORST")</f>
        <v>#N/A Requesting Data...</v>
      </c>
      <c r="H1074" t="str">
        <f>_xll.BDP("34683DGG Muni","ISSUE_DT")</f>
        <v>#N/A Requesting Data...</v>
      </c>
      <c r="I1074" t="str">
        <f>_xll.BDS("34683DGG Muni","MUNI_PURPOSE_SCHED", "aggregate=y")</f>
        <v>#N/A Review</v>
      </c>
      <c r="J1074" t="str">
        <f>_xll.BDP("34683DGG Muni","CPN")</f>
        <v>#N/A Requesting Data...</v>
      </c>
      <c r="K1074" t="str">
        <f>_xll.BDP("34683DGG Muni","MATURITY")</f>
        <v>#N/A Requesting Data...</v>
      </c>
      <c r="L1074">
        <v>190000</v>
      </c>
      <c r="M1074" t="str">
        <f>_xll.BDP("34683DGG Muni","YIELD_ON_ISSUE_DATE")</f>
        <v>#N/A Requesting Data...</v>
      </c>
      <c r="N1074" t="str">
        <f>_xll.BDP("34683DGG Muni","YTW_SPREAD_TO_MATURITY_AT_ISSU")</f>
        <v>#N/A Requesting Data...</v>
      </c>
      <c r="O1074" t="str">
        <f>_xll.BDP("34683DGG Muni","BVAL_MID_YTM")</f>
        <v>#N/A Requesting Data...</v>
      </c>
      <c r="P1074" t="str">
        <f>_xll.BDP("34683DGG Muni","MUNI_TAX_PROV")</f>
        <v>#N/A Requesting Data...</v>
      </c>
      <c r="Q1074" t="str">
        <f>_xll.BDP("34683DGG Muni","MUNI_FED_TAX")</f>
        <v>#N/A Requesting Data...</v>
      </c>
      <c r="R1074" t="str">
        <f>_xll.BDP("34683DGG Muni","MUNI_MSRB_VOLUME")</f>
        <v>#N/A Requesting Data...</v>
      </c>
      <c r="S1074" t="str">
        <f>_xll.BDP("34683DGG Muni","BB_COMPOSITE")</f>
        <v>#N/A Requesting Data...</v>
      </c>
      <c r="T1074" t="str">
        <f>_xll.BDP("34683DGG Muni","LQA_LIQUIDITY_SCORE")</f>
        <v>#N/A Requesting Data...</v>
      </c>
    </row>
    <row r="1075" spans="1:20" x14ac:dyDescent="0.25">
      <c r="A1075" t="str">
        <f>_xll.BDP("34683DGH Muni","ID_CUSIP")</f>
        <v>#N/A Requesting Data...</v>
      </c>
      <c r="B1075" t="s">
        <v>370</v>
      </c>
      <c r="C1075" t="str">
        <f>_xll.BDP("34683DGH Muni","INSURANCE_STATUS")</f>
        <v>#N/A Requesting Data...</v>
      </c>
      <c r="D1075" t="str">
        <f>_xll.BDP("34683DGH Muni","STATE_CODE")</f>
        <v>#N/A Requesting Data...</v>
      </c>
      <c r="E1075" t="str">
        <f>_xll.BDP("34683DGH Muni","COUNTY_LOCATION_ISSUER")</f>
        <v>#N/A Requesting Data...</v>
      </c>
      <c r="F1075" t="str">
        <f>_xll.BDP("34683DGH Muni","DUR_ADJ_MID")</f>
        <v>#N/A Requesting Data...</v>
      </c>
      <c r="G1075" t="str">
        <f>_xll.BDP("34683DGH Muni","SPREAD_AT_ISSUANCE_TO_WORST")</f>
        <v>#N/A Requesting Data...</v>
      </c>
      <c r="H1075" t="str">
        <f>_xll.BDP("34683DGH Muni","ISSUE_DT")</f>
        <v>#N/A Requesting Data...</v>
      </c>
      <c r="I1075" t="str">
        <f>_xll.BDS("34683DGH Muni","MUNI_PURPOSE_SCHED", "aggregate=y")</f>
        <v>#N/A Review</v>
      </c>
      <c r="J1075" t="str">
        <f>_xll.BDP("34683DGH Muni","CPN")</f>
        <v>#N/A Requesting Data...</v>
      </c>
      <c r="K1075" t="str">
        <f>_xll.BDP("34683DGH Muni","MATURITY")</f>
        <v>#N/A Requesting Data...</v>
      </c>
      <c r="L1075">
        <v>190000</v>
      </c>
      <c r="M1075" t="str">
        <f>_xll.BDP("34683DGH Muni","YIELD_ON_ISSUE_DATE")</f>
        <v>#N/A Requesting Data...</v>
      </c>
      <c r="N1075" t="str">
        <f>_xll.BDP("34683DGH Muni","YTW_SPREAD_TO_MATURITY_AT_ISSU")</f>
        <v>#N/A Requesting Data...</v>
      </c>
      <c r="O1075" t="str">
        <f>_xll.BDP("34683DGH Muni","BVAL_MID_YTM")</f>
        <v>#N/A Requesting Data...</v>
      </c>
      <c r="P1075" t="str">
        <f>_xll.BDP("34683DGH Muni","MUNI_TAX_PROV")</f>
        <v>#N/A Requesting Data...</v>
      </c>
      <c r="Q1075" t="str">
        <f>_xll.BDP("34683DGH Muni","MUNI_FED_TAX")</f>
        <v>#N/A Requesting Data...</v>
      </c>
      <c r="R1075" t="str">
        <f>_xll.BDP("34683DGH Muni","MUNI_MSRB_VOLUME")</f>
        <v>#N/A Requesting Data...</v>
      </c>
      <c r="S1075" t="str">
        <f>_xll.BDP("34683DGH Muni","BB_COMPOSITE")</f>
        <v>#N/A Requesting Data...</v>
      </c>
      <c r="T1075" t="str">
        <f>_xll.BDP("34683DGH Muni","LQA_LIQUIDITY_SCORE")</f>
        <v>#N/A Requesting Data...</v>
      </c>
    </row>
    <row r="1076" spans="1:20" x14ac:dyDescent="0.25">
      <c r="A1076" t="str">
        <f>_xll.BDP("34683DGJ Muni","ID_CUSIP")</f>
        <v>#N/A Requesting Data...</v>
      </c>
      <c r="B1076" t="s">
        <v>370</v>
      </c>
      <c r="C1076" t="str">
        <f>_xll.BDP("34683DGJ Muni","INSURANCE_STATUS")</f>
        <v>#N/A Requesting Data...</v>
      </c>
      <c r="D1076" t="str">
        <f>_xll.BDP("34683DGJ Muni","STATE_CODE")</f>
        <v>#N/A Requesting Data...</v>
      </c>
      <c r="E1076" t="str">
        <f>_xll.BDP("34683DGJ Muni","COUNTY_LOCATION_ISSUER")</f>
        <v>#N/A Requesting Data...</v>
      </c>
      <c r="F1076" t="str">
        <f>_xll.BDP("34683DGJ Muni","DUR_ADJ_MID")</f>
        <v>#N/A Requesting Data...</v>
      </c>
      <c r="G1076" t="str">
        <f>_xll.BDP("34683DGJ Muni","SPREAD_AT_ISSUANCE_TO_WORST")</f>
        <v>#N/A Requesting Data...</v>
      </c>
      <c r="H1076" t="str">
        <f>_xll.BDP("34683DGJ Muni","ISSUE_DT")</f>
        <v>#N/A Requesting Data...</v>
      </c>
      <c r="I1076" t="str">
        <f>_xll.BDS("34683DGJ Muni","MUNI_PURPOSE_SCHED", "aggregate=y")</f>
        <v>#N/A Review</v>
      </c>
      <c r="J1076" t="str">
        <f>_xll.BDP("34683DGJ Muni","CPN")</f>
        <v>#N/A Requesting Data...</v>
      </c>
      <c r="K1076" t="str">
        <f>_xll.BDP("34683DGJ Muni","MATURITY")</f>
        <v>#N/A Requesting Data...</v>
      </c>
      <c r="L1076">
        <v>190000</v>
      </c>
      <c r="M1076" t="str">
        <f>_xll.BDP("34683DGJ Muni","YIELD_ON_ISSUE_DATE")</f>
        <v>#N/A Requesting Data...</v>
      </c>
      <c r="N1076" t="str">
        <f>_xll.BDP("34683DGJ Muni","YTW_SPREAD_TO_MATURITY_AT_ISSU")</f>
        <v>#N/A Requesting Data...</v>
      </c>
      <c r="O1076" t="str">
        <f>_xll.BDP("34683DGJ Muni","BVAL_MID_YTM")</f>
        <v>#N/A Requesting Data...</v>
      </c>
      <c r="P1076" t="str">
        <f>_xll.BDP("34683DGJ Muni","MUNI_TAX_PROV")</f>
        <v>#N/A Requesting Data...</v>
      </c>
      <c r="Q1076" t="str">
        <f>_xll.BDP("34683DGJ Muni","MUNI_FED_TAX")</f>
        <v>#N/A Requesting Data...</v>
      </c>
      <c r="R1076" t="str">
        <f>_xll.BDP("34683DGJ Muni","MUNI_MSRB_VOLUME")</f>
        <v>#N/A Requesting Data...</v>
      </c>
      <c r="S1076" t="str">
        <f>_xll.BDP("34683DGJ Muni","BB_COMPOSITE")</f>
        <v>#N/A Requesting Data...</v>
      </c>
      <c r="T1076" t="str">
        <f>_xll.BDP("34683DGJ Muni","LQA_LIQUIDITY_SCORE")</f>
        <v>#N/A Requesting Data...</v>
      </c>
    </row>
    <row r="1077" spans="1:20" x14ac:dyDescent="0.25">
      <c r="A1077" t="str">
        <f>_xll.BDP("34683EGL Muni","ID_CUSIP")</f>
        <v>#N/A Requesting Data...</v>
      </c>
      <c r="B1077" t="s">
        <v>371</v>
      </c>
      <c r="C1077" t="str">
        <f>_xll.BDP("34683EGL Muni","INSURANCE_STATUS")</f>
        <v>#N/A Requesting Data...</v>
      </c>
      <c r="D1077" t="str">
        <f>_xll.BDP("34683EGL Muni","STATE_CODE")</f>
        <v>#N/A Requesting Data...</v>
      </c>
      <c r="E1077" t="str">
        <f>_xll.BDP("34683EGL Muni","COUNTY_LOCATION_ISSUER")</f>
        <v>#N/A Requesting Data...</v>
      </c>
      <c r="F1077" t="str">
        <f>_xll.BDP("34683EGL Muni","DUR_ADJ_MID")</f>
        <v>#N/A Requesting Data...</v>
      </c>
      <c r="G1077" t="str">
        <f>_xll.BDP("34683EGL Muni","SPREAD_AT_ISSUANCE_TO_WORST")</f>
        <v>#N/A Requesting Data...</v>
      </c>
      <c r="H1077" t="str">
        <f>_xll.BDP("34683EGL Muni","ISSUE_DT")</f>
        <v>#N/A Requesting Data...</v>
      </c>
      <c r="I1077" t="str">
        <f>_xll.BDS("34683EGL Muni","MUNI_PURPOSE_SCHED", "aggregate=y")</f>
        <v>#N/A Review</v>
      </c>
      <c r="J1077" t="str">
        <f>_xll.BDP("34683EGL Muni","CPN")</f>
        <v>#N/A Requesting Data...</v>
      </c>
      <c r="K1077" t="str">
        <f>_xll.BDP("34683EGL Muni","MATURITY")</f>
        <v>#N/A Requesting Data...</v>
      </c>
      <c r="L1077">
        <v>170000</v>
      </c>
      <c r="M1077" t="str">
        <f>_xll.BDP("34683EGL Muni","YIELD_ON_ISSUE_DATE")</f>
        <v>#N/A Requesting Data...</v>
      </c>
      <c r="N1077" t="str">
        <f>_xll.BDP("34683EGL Muni","YTW_SPREAD_TO_MATURITY_AT_ISSU")</f>
        <v>#N/A Requesting Data...</v>
      </c>
      <c r="O1077" t="str">
        <f>_xll.BDP("34683EGL Muni","BVAL_MID_YTM")</f>
        <v>#N/A Requesting Data...</v>
      </c>
      <c r="P1077" t="str">
        <f>_xll.BDP("34683EGL Muni","MUNI_TAX_PROV")</f>
        <v>#N/A Requesting Data...</v>
      </c>
      <c r="Q1077" t="str">
        <f>_xll.BDP("34683EGL Muni","MUNI_FED_TAX")</f>
        <v>#N/A Requesting Data...</v>
      </c>
      <c r="R1077" t="str">
        <f>_xll.BDP("34683EGL Muni","MUNI_MSRB_VOLUME")</f>
        <v>#N/A Requesting Data...</v>
      </c>
      <c r="S1077" t="str">
        <f>_xll.BDP("34683EGL Muni","BB_COMPOSITE")</f>
        <v>#N/A Requesting Data...</v>
      </c>
      <c r="T1077" t="str">
        <f>_xll.BDP("34683EGL Muni","LQA_LIQUIDITY_SCORE")</f>
        <v>#N/A Requesting Data...</v>
      </c>
    </row>
    <row r="1078" spans="1:20" x14ac:dyDescent="0.25">
      <c r="A1078" t="str">
        <f>_xll.BDP("34683KAE Muni","ID_CUSIP")</f>
        <v>#N/A Requesting Data...</v>
      </c>
      <c r="B1078" t="s">
        <v>372</v>
      </c>
      <c r="C1078" t="str">
        <f>_xll.BDP("34683KAE Muni","INSURANCE_STATUS")</f>
        <v>#N/A Requesting Data...</v>
      </c>
      <c r="D1078" t="str">
        <f>_xll.BDP("34683KAE Muni","STATE_CODE")</f>
        <v>#N/A Requesting Data...</v>
      </c>
      <c r="E1078" t="str">
        <f>_xll.BDP("34683KAE Muni","COUNTY_LOCATION_ISSUER")</f>
        <v>#N/A Requesting Data...</v>
      </c>
      <c r="F1078" t="str">
        <f>_xll.BDP("34683KAE Muni","DUR_ADJ_MID")</f>
        <v>#N/A Requesting Data...</v>
      </c>
      <c r="G1078" t="str">
        <f>_xll.BDP("34683KAE Muni","SPREAD_AT_ISSUANCE_TO_WORST")</f>
        <v>#N/A Requesting Data...</v>
      </c>
      <c r="H1078" t="str">
        <f>_xll.BDP("34683KAE Muni","ISSUE_DT")</f>
        <v>#N/A Requesting Data...</v>
      </c>
      <c r="I1078" t="str">
        <f>_xll.BDS("34683KAE Muni","MUNI_PURPOSE_SCHED", "aggregate=y")</f>
        <v>#N/A Review</v>
      </c>
      <c r="J1078" t="str">
        <f>_xll.BDP("34683KAE Muni","CPN")</f>
        <v>#N/A Requesting Data...</v>
      </c>
      <c r="K1078" t="str">
        <f>_xll.BDP("34683KAE Muni","MATURITY")</f>
        <v>#N/A Requesting Data...</v>
      </c>
      <c r="L1078">
        <v>125000</v>
      </c>
      <c r="M1078" t="str">
        <f>_xll.BDP("34683KAE Muni","YIELD_ON_ISSUE_DATE")</f>
        <v>#N/A Requesting Data...</v>
      </c>
      <c r="N1078" t="str">
        <f>_xll.BDP("34683KAE Muni","YTW_SPREAD_TO_MATURITY_AT_ISSU")</f>
        <v>#N/A Requesting Data...</v>
      </c>
      <c r="O1078" t="str">
        <f>_xll.BDP("34683KAE Muni","BVAL_MID_YTM")</f>
        <v>#N/A Requesting Data...</v>
      </c>
      <c r="P1078" t="str">
        <f>_xll.BDP("34683KAE Muni","MUNI_TAX_PROV")</f>
        <v>#N/A Requesting Data...</v>
      </c>
      <c r="Q1078" t="str">
        <f>_xll.BDP("34683KAE Muni","MUNI_FED_TAX")</f>
        <v>#N/A Requesting Data...</v>
      </c>
      <c r="R1078" t="str">
        <f>_xll.BDP("34683KAE Muni","MUNI_MSRB_VOLUME")</f>
        <v>#N/A Requesting Data...</v>
      </c>
      <c r="S1078" t="str">
        <f>_xll.BDP("34683KAE Muni","BB_COMPOSITE")</f>
        <v>#N/A Requesting Data...</v>
      </c>
      <c r="T1078" t="str">
        <f>_xll.BDP("34683KAE Muni","LQA_LIQUIDITY_SCORE")</f>
        <v>#N/A Requesting Data...</v>
      </c>
    </row>
    <row r="1079" spans="1:20" x14ac:dyDescent="0.25">
      <c r="A1079" t="str">
        <f>_xll.BDP("34683KAF Muni","ID_CUSIP")</f>
        <v>#N/A Requesting Data...</v>
      </c>
      <c r="B1079" t="s">
        <v>372</v>
      </c>
      <c r="C1079" t="str">
        <f>_xll.BDP("34683KAF Muni","INSURANCE_STATUS")</f>
        <v>#N/A Requesting Data...</v>
      </c>
      <c r="D1079" t="str">
        <f>_xll.BDP("34683KAF Muni","STATE_CODE")</f>
        <v>#N/A Requesting Data...</v>
      </c>
      <c r="E1079" t="str">
        <f>_xll.BDP("34683KAF Muni","COUNTY_LOCATION_ISSUER")</f>
        <v>#N/A Requesting Data...</v>
      </c>
      <c r="F1079" t="str">
        <f>_xll.BDP("34683KAF Muni","DUR_ADJ_MID")</f>
        <v>#N/A Requesting Data...</v>
      </c>
      <c r="G1079" t="str">
        <f>_xll.BDP("34683KAF Muni","SPREAD_AT_ISSUANCE_TO_WORST")</f>
        <v>#N/A Requesting Data...</v>
      </c>
      <c r="H1079" t="str">
        <f>_xll.BDP("34683KAF Muni","ISSUE_DT")</f>
        <v>#N/A Requesting Data...</v>
      </c>
      <c r="I1079" t="str">
        <f>_xll.BDS("34683KAF Muni","MUNI_PURPOSE_SCHED", "aggregate=y")</f>
        <v>#N/A Review</v>
      </c>
      <c r="J1079" t="str">
        <f>_xll.BDP("34683KAF Muni","CPN")</f>
        <v>#N/A Requesting Data...</v>
      </c>
      <c r="K1079" t="str">
        <f>_xll.BDP("34683KAF Muni","MATURITY")</f>
        <v>#N/A Requesting Data...</v>
      </c>
      <c r="L1079">
        <v>130000</v>
      </c>
      <c r="M1079" t="str">
        <f>_xll.BDP("34683KAF Muni","YIELD_ON_ISSUE_DATE")</f>
        <v>#N/A Requesting Data...</v>
      </c>
      <c r="N1079" t="str">
        <f>_xll.BDP("34683KAF Muni","YTW_SPREAD_TO_MATURITY_AT_ISSU")</f>
        <v>#N/A Requesting Data...</v>
      </c>
      <c r="O1079" t="str">
        <f>_xll.BDP("34683KAF Muni","BVAL_MID_YTM")</f>
        <v>#N/A Requesting Data...</v>
      </c>
      <c r="P1079" t="str">
        <f>_xll.BDP("34683KAF Muni","MUNI_TAX_PROV")</f>
        <v>#N/A Requesting Data...</v>
      </c>
      <c r="Q1079" t="str">
        <f>_xll.BDP("34683KAF Muni","MUNI_FED_TAX")</f>
        <v>#N/A Requesting Data...</v>
      </c>
      <c r="R1079" t="str">
        <f>_xll.BDP("34683KAF Muni","MUNI_MSRB_VOLUME")</f>
        <v>#N/A Requesting Data...</v>
      </c>
      <c r="S1079" t="str">
        <f>_xll.BDP("34683KAF Muni","BB_COMPOSITE")</f>
        <v>#N/A Requesting Data...</v>
      </c>
      <c r="T1079" t="str">
        <f>_xll.BDP("34683KAF Muni","LQA_LIQUIDITY_SCORE")</f>
        <v>#N/A Requesting Data...</v>
      </c>
    </row>
    <row r="1080" spans="1:20" x14ac:dyDescent="0.25">
      <c r="A1080" t="str">
        <f>_xll.BDP("34683KAG Muni","ID_CUSIP")</f>
        <v>#N/A Requesting Data...</v>
      </c>
      <c r="B1080" t="s">
        <v>372</v>
      </c>
      <c r="C1080" t="str">
        <f>_xll.BDP("34683KAG Muni","INSURANCE_STATUS")</f>
        <v>#N/A Requesting Data...</v>
      </c>
      <c r="D1080" t="str">
        <f>_xll.BDP("34683KAG Muni","STATE_CODE")</f>
        <v>#N/A Requesting Data...</v>
      </c>
      <c r="E1080" t="str">
        <f>_xll.BDP("34683KAG Muni","COUNTY_LOCATION_ISSUER")</f>
        <v>#N/A Requesting Data...</v>
      </c>
      <c r="F1080" t="str">
        <f>_xll.BDP("34683KAG Muni","DUR_ADJ_MID")</f>
        <v>#N/A Requesting Data...</v>
      </c>
      <c r="G1080" t="str">
        <f>_xll.BDP("34683KAG Muni","SPREAD_AT_ISSUANCE_TO_WORST")</f>
        <v>#N/A Requesting Data...</v>
      </c>
      <c r="H1080" t="str">
        <f>_xll.BDP("34683KAG Muni","ISSUE_DT")</f>
        <v>#N/A Requesting Data...</v>
      </c>
      <c r="I1080" t="str">
        <f>_xll.BDS("34683KAG Muni","MUNI_PURPOSE_SCHED", "aggregate=y")</f>
        <v>#N/A Review</v>
      </c>
      <c r="J1080" t="str">
        <f>_xll.BDP("34683KAG Muni","CPN")</f>
        <v>#N/A Requesting Data...</v>
      </c>
      <c r="K1080" t="str">
        <f>_xll.BDP("34683KAG Muni","MATURITY")</f>
        <v>#N/A Requesting Data...</v>
      </c>
      <c r="L1080">
        <v>135000</v>
      </c>
      <c r="M1080" t="str">
        <f>_xll.BDP("34683KAG Muni","YIELD_ON_ISSUE_DATE")</f>
        <v>#N/A Requesting Data...</v>
      </c>
      <c r="N1080" t="str">
        <f>_xll.BDP("34683KAG Muni","YTW_SPREAD_TO_MATURITY_AT_ISSU")</f>
        <v>#N/A Requesting Data...</v>
      </c>
      <c r="O1080" t="str">
        <f>_xll.BDP("34683KAG Muni","BVAL_MID_YTM")</f>
        <v>#N/A Requesting Data...</v>
      </c>
      <c r="P1080" t="str">
        <f>_xll.BDP("34683KAG Muni","MUNI_TAX_PROV")</f>
        <v>#N/A Requesting Data...</v>
      </c>
      <c r="Q1080" t="str">
        <f>_xll.BDP("34683KAG Muni","MUNI_FED_TAX")</f>
        <v>#N/A Requesting Data...</v>
      </c>
      <c r="R1080" t="str">
        <f>_xll.BDP("34683KAG Muni","MUNI_MSRB_VOLUME")</f>
        <v>#N/A Requesting Data...</v>
      </c>
      <c r="S1080" t="str">
        <f>_xll.BDP("34683KAG Muni","BB_COMPOSITE")</f>
        <v>#N/A Requesting Data...</v>
      </c>
      <c r="T1080" t="str">
        <f>_xll.BDP("34683KAG Muni","LQA_LIQUIDITY_SCORE")</f>
        <v>#N/A Requesting Data...</v>
      </c>
    </row>
    <row r="1081" spans="1:20" x14ac:dyDescent="0.25">
      <c r="A1081" t="str">
        <f>_xll.BDP("430434XQ Muni","ID_CUSIP")</f>
        <v>#N/A Requesting Data...</v>
      </c>
      <c r="B1081" t="s">
        <v>373</v>
      </c>
      <c r="C1081" t="str">
        <f>_xll.BDP("430434XQ Muni","INSURANCE_STATUS")</f>
        <v>#N/A Requesting Data...</v>
      </c>
      <c r="D1081" t="str">
        <f>_xll.BDP("430434XQ Muni","STATE_CODE")</f>
        <v>#N/A Requesting Data...</v>
      </c>
      <c r="E1081" t="str">
        <f>_xll.BDP("430434XQ Muni","COUNTY_LOCATION_ISSUER")</f>
        <v>#N/A Requesting Data...</v>
      </c>
      <c r="F1081" t="str">
        <f>_xll.BDP("430434XQ Muni","DUR_ADJ_MID")</f>
        <v>#N/A Requesting Data...</v>
      </c>
      <c r="G1081" t="str">
        <f>_xll.BDP("430434XQ Muni","SPREAD_AT_ISSUANCE_TO_WORST")</f>
        <v>#N/A Requesting Data...</v>
      </c>
      <c r="H1081" t="str">
        <f>_xll.BDP("430434XQ Muni","ISSUE_DT")</f>
        <v>#N/A Requesting Data...</v>
      </c>
      <c r="I1081" t="str">
        <f>_xll.BDS("430434XQ Muni","MUNI_PURPOSE_SCHED", "aggregate=y")</f>
        <v>#N/A Review</v>
      </c>
      <c r="J1081" t="str">
        <f>_xll.BDP("430434XQ Muni","CPN")</f>
        <v>#N/A Requesting Data...</v>
      </c>
      <c r="K1081" t="str">
        <f>_xll.BDP("430434XQ Muni","MATURITY")</f>
        <v>#N/A Requesting Data...</v>
      </c>
      <c r="L1081">
        <v>275000</v>
      </c>
      <c r="M1081" t="str">
        <f>_xll.BDP("430434XQ Muni","YIELD_ON_ISSUE_DATE")</f>
        <v>#N/A Requesting Data...</v>
      </c>
      <c r="N1081" t="str">
        <f>_xll.BDP("430434XQ Muni","YTW_SPREAD_TO_MATURITY_AT_ISSU")</f>
        <v>#N/A Requesting Data...</v>
      </c>
      <c r="O1081" t="str">
        <f>_xll.BDP("430434XQ Muni","BVAL_MID_YTM")</f>
        <v>#N/A Requesting Data...</v>
      </c>
      <c r="P1081" t="str">
        <f>_xll.BDP("430434XQ Muni","MUNI_TAX_PROV")</f>
        <v>#N/A Requesting Data...</v>
      </c>
      <c r="Q1081" t="str">
        <f>_xll.BDP("430434XQ Muni","MUNI_FED_TAX")</f>
        <v>#N/A Requesting Data...</v>
      </c>
      <c r="R1081" t="str">
        <f>_xll.BDP("430434XQ Muni","MUNI_MSRB_VOLUME")</f>
        <v>#N/A Requesting Data...</v>
      </c>
      <c r="S1081" t="str">
        <f>_xll.BDP("430434XQ Muni","BB_COMPOSITE")</f>
        <v>#N/A Requesting Data...</v>
      </c>
      <c r="T1081" t="str">
        <f>_xll.BDP("430434XQ Muni","LQA_LIQUIDITY_SCORE")</f>
        <v>#N/A Requesting Data...</v>
      </c>
    </row>
    <row r="1082" spans="1:20" x14ac:dyDescent="0.25">
      <c r="A1082" t="str">
        <f>_xll.BDP("430434XR Muni","ID_CUSIP")</f>
        <v>#N/A Requesting Data...</v>
      </c>
      <c r="B1082" t="s">
        <v>373</v>
      </c>
      <c r="C1082" t="str">
        <f>_xll.BDP("430434XR Muni","INSURANCE_STATUS")</f>
        <v>#N/A Requesting Data...</v>
      </c>
      <c r="D1082" t="str">
        <f>_xll.BDP("430434XR Muni","STATE_CODE")</f>
        <v>#N/A Requesting Data...</v>
      </c>
      <c r="E1082" t="str">
        <f>_xll.BDP("430434XR Muni","COUNTY_LOCATION_ISSUER")</f>
        <v>#N/A Requesting Data...</v>
      </c>
      <c r="F1082" t="str">
        <f>_xll.BDP("430434XR Muni","DUR_ADJ_MID")</f>
        <v>#N/A Requesting Data...</v>
      </c>
      <c r="G1082" t="str">
        <f>_xll.BDP("430434XR Muni","SPREAD_AT_ISSUANCE_TO_WORST")</f>
        <v>#N/A Requesting Data...</v>
      </c>
      <c r="H1082" t="str">
        <f>_xll.BDP("430434XR Muni","ISSUE_DT")</f>
        <v>#N/A Requesting Data...</v>
      </c>
      <c r="I1082" t="str">
        <f>_xll.BDS("430434XR Muni","MUNI_PURPOSE_SCHED", "aggregate=y")</f>
        <v>#N/A Review</v>
      </c>
      <c r="J1082" t="str">
        <f>_xll.BDP("430434XR Muni","CPN")</f>
        <v>#N/A Requesting Data...</v>
      </c>
      <c r="K1082" t="str">
        <f>_xll.BDP("430434XR Muni","MATURITY")</f>
        <v>#N/A Requesting Data...</v>
      </c>
      <c r="L1082">
        <v>280000</v>
      </c>
      <c r="M1082" t="str">
        <f>_xll.BDP("430434XR Muni","YIELD_ON_ISSUE_DATE")</f>
        <v>#N/A Requesting Data...</v>
      </c>
      <c r="N1082" t="str">
        <f>_xll.BDP("430434XR Muni","YTW_SPREAD_TO_MATURITY_AT_ISSU")</f>
        <v>#N/A Requesting Data...</v>
      </c>
      <c r="O1082" t="str">
        <f>_xll.BDP("430434XR Muni","BVAL_MID_YTM")</f>
        <v>#N/A Requesting Data...</v>
      </c>
      <c r="P1082" t="str">
        <f>_xll.BDP("430434XR Muni","MUNI_TAX_PROV")</f>
        <v>#N/A Requesting Data...</v>
      </c>
      <c r="Q1082" t="str">
        <f>_xll.BDP("430434XR Muni","MUNI_FED_TAX")</f>
        <v>#N/A Requesting Data...</v>
      </c>
      <c r="R1082" t="str">
        <f>_xll.BDP("430434XR Muni","MUNI_MSRB_VOLUME")</f>
        <v>#N/A Requesting Data...</v>
      </c>
      <c r="S1082" t="str">
        <f>_xll.BDP("430434XR Muni","BB_COMPOSITE")</f>
        <v>#N/A Requesting Data...</v>
      </c>
      <c r="T1082" t="str">
        <f>_xll.BDP("430434XR Muni","LQA_LIQUIDITY_SCORE")</f>
        <v>#N/A Requesting Data...</v>
      </c>
    </row>
    <row r="1083" spans="1:20" x14ac:dyDescent="0.25">
      <c r="A1083" t="str">
        <f>_xll.BDP("430883BH Muni","ID_CUSIP")</f>
        <v>#N/A Requesting Data...</v>
      </c>
      <c r="B1083" t="s">
        <v>374</v>
      </c>
      <c r="C1083" t="str">
        <f>_xll.BDP("430883BH Muni","INSURANCE_STATUS")</f>
        <v>#N/A Requesting Data...</v>
      </c>
      <c r="D1083" t="str">
        <f>_xll.BDP("430883BH Muni","STATE_CODE")</f>
        <v>#N/A Requesting Data...</v>
      </c>
      <c r="E1083" t="str">
        <f>_xll.BDP("430883BH Muni","COUNTY_LOCATION_ISSUER")</f>
        <v>#N/A Requesting Data...</v>
      </c>
      <c r="F1083" t="str">
        <f>_xll.BDP("430883BH Muni","DUR_ADJ_MID")</f>
        <v>#N/A Requesting Data...</v>
      </c>
      <c r="G1083" t="str">
        <f>_xll.BDP("430883BH Muni","SPREAD_AT_ISSUANCE_TO_WORST")</f>
        <v>#N/A Requesting Data...</v>
      </c>
      <c r="H1083" t="str">
        <f>_xll.BDP("430883BH Muni","ISSUE_DT")</f>
        <v>#N/A Requesting Data...</v>
      </c>
      <c r="I1083" t="str">
        <f>_xll.BDS("430883BH Muni","MUNI_PURPOSE_SCHED", "aggregate=y")</f>
        <v>#N/A Review</v>
      </c>
      <c r="J1083" t="str">
        <f>_xll.BDP("430883BH Muni","CPN")</f>
        <v>#N/A Requesting Data...</v>
      </c>
      <c r="K1083" t="str">
        <f>_xll.BDP("430883BH Muni","MATURITY")</f>
        <v>#N/A Requesting Data...</v>
      </c>
      <c r="L1083">
        <v>95000</v>
      </c>
      <c r="M1083" t="str">
        <f>_xll.BDP("430883BH Muni","YIELD_ON_ISSUE_DATE")</f>
        <v>#N/A Requesting Data...</v>
      </c>
      <c r="N1083" t="str">
        <f>_xll.BDP("430883BH Muni","YTW_SPREAD_TO_MATURITY_AT_ISSU")</f>
        <v>#N/A Requesting Data...</v>
      </c>
      <c r="O1083" t="str">
        <f>_xll.BDP("430883BH Muni","BVAL_MID_YTM")</f>
        <v>#N/A Requesting Data...</v>
      </c>
      <c r="P1083" t="str">
        <f>_xll.BDP("430883BH Muni","MUNI_TAX_PROV")</f>
        <v>#N/A Requesting Data...</v>
      </c>
      <c r="Q1083" t="str">
        <f>_xll.BDP("430883BH Muni","MUNI_FED_TAX")</f>
        <v>#N/A Requesting Data...</v>
      </c>
      <c r="R1083" t="str">
        <f>_xll.BDP("430883BH Muni","MUNI_MSRB_VOLUME")</f>
        <v>#N/A Requesting Data...</v>
      </c>
      <c r="S1083" t="str">
        <f>_xll.BDP("430883BH Muni","BB_COMPOSITE")</f>
        <v>#N/A Requesting Data...</v>
      </c>
      <c r="T1083" t="str">
        <f>_xll.BDP("430883BH Muni","LQA_LIQUIDITY_SCORE")</f>
        <v>#N/A Requesting Data...</v>
      </c>
    </row>
    <row r="1084" spans="1:20" x14ac:dyDescent="0.25">
      <c r="A1084" t="str">
        <f>_xll.BDP("430883BJ Muni","ID_CUSIP")</f>
        <v>#N/A Requesting Data...</v>
      </c>
      <c r="B1084" t="s">
        <v>374</v>
      </c>
      <c r="C1084" t="str">
        <f>_xll.BDP("430883BJ Muni","INSURANCE_STATUS")</f>
        <v>#N/A Requesting Data...</v>
      </c>
      <c r="D1084" t="str">
        <f>_xll.BDP("430883BJ Muni","STATE_CODE")</f>
        <v>#N/A Requesting Data...</v>
      </c>
      <c r="E1084" t="str">
        <f>_xll.BDP("430883BJ Muni","COUNTY_LOCATION_ISSUER")</f>
        <v>#N/A Requesting Data...</v>
      </c>
      <c r="F1084" t="str">
        <f>_xll.BDP("430883BJ Muni","DUR_ADJ_MID")</f>
        <v>#N/A Requesting Data...</v>
      </c>
      <c r="G1084" t="str">
        <f>_xll.BDP("430883BJ Muni","SPREAD_AT_ISSUANCE_TO_WORST")</f>
        <v>#N/A Requesting Data...</v>
      </c>
      <c r="H1084" t="str">
        <f>_xll.BDP("430883BJ Muni","ISSUE_DT")</f>
        <v>#N/A Requesting Data...</v>
      </c>
      <c r="I1084" t="str">
        <f>_xll.BDS("430883BJ Muni","MUNI_PURPOSE_SCHED", "aggregate=y")</f>
        <v>#N/A Review</v>
      </c>
      <c r="J1084" t="str">
        <f>_xll.BDP("430883BJ Muni","CPN")</f>
        <v>#N/A Requesting Data...</v>
      </c>
      <c r="K1084" t="str">
        <f>_xll.BDP("430883BJ Muni","MATURITY")</f>
        <v>#N/A Requesting Data...</v>
      </c>
      <c r="L1084">
        <v>100000</v>
      </c>
      <c r="M1084" t="str">
        <f>_xll.BDP("430883BJ Muni","YIELD_ON_ISSUE_DATE")</f>
        <v>#N/A Requesting Data...</v>
      </c>
      <c r="N1084" t="str">
        <f>_xll.BDP("430883BJ Muni","YTW_SPREAD_TO_MATURITY_AT_ISSU")</f>
        <v>#N/A Requesting Data...</v>
      </c>
      <c r="O1084" t="str">
        <f>_xll.BDP("430883BJ Muni","BVAL_MID_YTM")</f>
        <v>#N/A Requesting Data...</v>
      </c>
      <c r="P1084" t="str">
        <f>_xll.BDP("430883BJ Muni","MUNI_TAX_PROV")</f>
        <v>#N/A Requesting Data...</v>
      </c>
      <c r="Q1084" t="str">
        <f>_xll.BDP("430883BJ Muni","MUNI_FED_TAX")</f>
        <v>#N/A Requesting Data...</v>
      </c>
      <c r="R1084" t="str">
        <f>_xll.BDP("430883BJ Muni","MUNI_MSRB_VOLUME")</f>
        <v>#N/A Requesting Data...</v>
      </c>
      <c r="S1084" t="str">
        <f>_xll.BDP("430883BJ Muni","BB_COMPOSITE")</f>
        <v>#N/A Requesting Data...</v>
      </c>
      <c r="T1084" t="str">
        <f>_xll.BDP("430883BJ Muni","LQA_LIQUIDITY_SCORE")</f>
        <v>#N/A Requesting Data...</v>
      </c>
    </row>
    <row r="1085" spans="1:20" x14ac:dyDescent="0.25">
      <c r="A1085" t="str">
        <f>_xll.BDP("432347LY Muni","ID_CUSIP")</f>
        <v>#N/A Requesting Data...</v>
      </c>
      <c r="B1085" t="s">
        <v>35</v>
      </c>
      <c r="C1085" t="str">
        <f>_xll.BDP("432347LY Muni","INSURANCE_STATUS")</f>
        <v>#N/A Requesting Data...</v>
      </c>
      <c r="D1085" t="str">
        <f>_xll.BDP("432347LY Muni","STATE_CODE")</f>
        <v>#N/A Requesting Data...</v>
      </c>
      <c r="E1085" t="str">
        <f>_xll.BDP("432347LY Muni","COUNTY_LOCATION_ISSUER")</f>
        <v>#N/A Requesting Data...</v>
      </c>
      <c r="F1085" t="str">
        <f>_xll.BDP("432347LY Muni","DUR_ADJ_MID")</f>
        <v>#N/A Requesting Data...</v>
      </c>
      <c r="G1085" t="str">
        <f>_xll.BDP("432347LY Muni","SPREAD_AT_ISSUANCE_TO_WORST")</f>
        <v>#N/A Requesting Data...</v>
      </c>
      <c r="H1085" t="str">
        <f>_xll.BDP("432347LY Muni","ISSUE_DT")</f>
        <v>#N/A Requesting Data...</v>
      </c>
      <c r="I1085" t="str">
        <f>_xll.BDS("432347LY Muni","MUNI_PURPOSE_SCHED", "aggregate=y")</f>
        <v>#N/A Review</v>
      </c>
      <c r="J1085" t="str">
        <f>_xll.BDP("432347LY Muni","CPN")</f>
        <v>#N/A Requesting Data...</v>
      </c>
      <c r="K1085" t="str">
        <f>_xll.BDP("432347LY Muni","MATURITY")</f>
        <v>#N/A Requesting Data...</v>
      </c>
      <c r="L1085">
        <v>3575000</v>
      </c>
      <c r="M1085" t="str">
        <f>_xll.BDP("432347LY Muni","YIELD_ON_ISSUE_DATE")</f>
        <v>#N/A Requesting Data...</v>
      </c>
      <c r="N1085" t="str">
        <f>_xll.BDP("432347LY Muni","YTW_SPREAD_TO_MATURITY_AT_ISSU")</f>
        <v>#N/A Requesting Data...</v>
      </c>
      <c r="O1085" t="str">
        <f>_xll.BDP("432347LY Muni","BVAL_MID_YTM")</f>
        <v>#N/A Requesting Data...</v>
      </c>
      <c r="P1085" t="str">
        <f>_xll.BDP("432347LY Muni","MUNI_TAX_PROV")</f>
        <v>#N/A Requesting Data...</v>
      </c>
      <c r="Q1085" t="str">
        <f>_xll.BDP("432347LY Muni","MUNI_FED_TAX")</f>
        <v>#N/A Requesting Data...</v>
      </c>
      <c r="R1085" t="str">
        <f>_xll.BDP("432347LY Muni","MUNI_MSRB_VOLUME")</f>
        <v>#N/A Requesting Data...</v>
      </c>
      <c r="S1085" t="str">
        <f>_xll.BDP("432347LY Muni","BB_COMPOSITE")</f>
        <v>#N/A Requesting Data...</v>
      </c>
      <c r="T1085" t="str">
        <f>_xll.BDP("432347LY Muni","LQA_LIQUIDITY_SCORE")</f>
        <v>#N/A Requesting Data...</v>
      </c>
    </row>
    <row r="1086" spans="1:20" x14ac:dyDescent="0.25">
      <c r="A1086" t="str">
        <f>_xll.BDP("432347MB Muni","ID_CUSIP")</f>
        <v>#N/A Requesting Data...</v>
      </c>
      <c r="B1086" t="s">
        <v>35</v>
      </c>
      <c r="C1086" t="str">
        <f>_xll.BDP("432347MB Muni","INSURANCE_STATUS")</f>
        <v>#N/A Requesting Data...</v>
      </c>
      <c r="D1086" t="str">
        <f>_xll.BDP("432347MB Muni","STATE_CODE")</f>
        <v>#N/A Requesting Data...</v>
      </c>
      <c r="E1086" t="str">
        <f>_xll.BDP("432347MB Muni","COUNTY_LOCATION_ISSUER")</f>
        <v>#N/A Requesting Data...</v>
      </c>
      <c r="F1086" t="str">
        <f>_xll.BDP("432347MB Muni","DUR_ADJ_MID")</f>
        <v>#N/A Requesting Data...</v>
      </c>
      <c r="G1086" t="str">
        <f>_xll.BDP("432347MB Muni","SPREAD_AT_ISSUANCE_TO_WORST")</f>
        <v>#N/A Requesting Data...</v>
      </c>
      <c r="H1086" t="str">
        <f>_xll.BDP("432347MB Muni","ISSUE_DT")</f>
        <v>#N/A Requesting Data...</v>
      </c>
      <c r="I1086" t="str">
        <f>_xll.BDS("432347MB Muni","MUNI_PURPOSE_SCHED", "aggregate=y")</f>
        <v>#N/A Review</v>
      </c>
      <c r="J1086" t="str">
        <f>_xll.BDP("432347MB Muni","CPN")</f>
        <v>#N/A Requesting Data...</v>
      </c>
      <c r="K1086" t="str">
        <f>_xll.BDP("432347MB Muni","MATURITY")</f>
        <v>#N/A Requesting Data...</v>
      </c>
      <c r="L1086">
        <v>4140000</v>
      </c>
      <c r="M1086" t="str">
        <f>_xll.BDP("432347MB Muni","YIELD_ON_ISSUE_DATE")</f>
        <v>#N/A Requesting Data...</v>
      </c>
      <c r="N1086" t="str">
        <f>_xll.BDP("432347MB Muni","YTW_SPREAD_TO_MATURITY_AT_ISSU")</f>
        <v>#N/A Requesting Data...</v>
      </c>
      <c r="O1086" t="str">
        <f>_xll.BDP("432347MB Muni","BVAL_MID_YTM")</f>
        <v>#N/A Requesting Data...</v>
      </c>
      <c r="P1086" t="str">
        <f>_xll.BDP("432347MB Muni","MUNI_TAX_PROV")</f>
        <v>#N/A Requesting Data...</v>
      </c>
      <c r="Q1086" t="str">
        <f>_xll.BDP("432347MB Muni","MUNI_FED_TAX")</f>
        <v>#N/A Requesting Data...</v>
      </c>
      <c r="R1086" t="str">
        <f>_xll.BDP("432347MB Muni","MUNI_MSRB_VOLUME")</f>
        <v>#N/A Requesting Data...</v>
      </c>
      <c r="S1086" t="str">
        <f>_xll.BDP("432347MB Muni","BB_COMPOSITE")</f>
        <v>#N/A Requesting Data...</v>
      </c>
      <c r="T1086" t="str">
        <f>_xll.BDP("432347MB Muni","LQA_LIQUIDITY_SCORE")</f>
        <v>#N/A Requesting Data...</v>
      </c>
    </row>
    <row r="1087" spans="1:20" x14ac:dyDescent="0.25">
      <c r="A1087" t="str">
        <f>_xll.BDP("433002HW Muni","ID_CUSIP")</f>
        <v>#N/A Requesting Data...</v>
      </c>
      <c r="B1087" t="s">
        <v>375</v>
      </c>
      <c r="C1087" t="str">
        <f>_xll.BDP("433002HW Muni","INSURANCE_STATUS")</f>
        <v>#N/A Requesting Data...</v>
      </c>
      <c r="D1087" t="str">
        <f>_xll.BDP("433002HW Muni","STATE_CODE")</f>
        <v>#N/A Requesting Data...</v>
      </c>
      <c r="E1087" t="str">
        <f>_xll.BDP("433002HW Muni","COUNTY_LOCATION_ISSUER")</f>
        <v>#N/A Requesting Data...</v>
      </c>
      <c r="F1087" t="str">
        <f>_xll.BDP("433002HW Muni","DUR_ADJ_MID")</f>
        <v>#N/A Requesting Data...</v>
      </c>
      <c r="G1087" t="str">
        <f>_xll.BDP("433002HW Muni","SPREAD_AT_ISSUANCE_TO_WORST")</f>
        <v>#N/A Requesting Data...</v>
      </c>
      <c r="H1087" t="str">
        <f>_xll.BDP("433002HW Muni","ISSUE_DT")</f>
        <v>#N/A Requesting Data...</v>
      </c>
      <c r="I1087" t="str">
        <f>_xll.BDS("433002HW Muni","MUNI_PURPOSE_SCHED", "aggregate=y")</f>
        <v>#N/A Review</v>
      </c>
      <c r="J1087" t="str">
        <f>_xll.BDP("433002HW Muni","CPN")</f>
        <v>#N/A Requesting Data...</v>
      </c>
      <c r="K1087" t="str">
        <f>_xll.BDP("433002HW Muni","MATURITY")</f>
        <v>#N/A Requesting Data...</v>
      </c>
      <c r="L1087">
        <v>170000</v>
      </c>
      <c r="M1087" t="str">
        <f>_xll.BDP("433002HW Muni","YIELD_ON_ISSUE_DATE")</f>
        <v>#N/A Requesting Data...</v>
      </c>
      <c r="N1087" t="str">
        <f>_xll.BDP("433002HW Muni","YTW_SPREAD_TO_MATURITY_AT_ISSU")</f>
        <v>#N/A Requesting Data...</v>
      </c>
      <c r="O1087" t="str">
        <f>_xll.BDP("433002HW Muni","BVAL_MID_YTM")</f>
        <v>#N/A Requesting Data...</v>
      </c>
      <c r="P1087" t="str">
        <f>_xll.BDP("433002HW Muni","MUNI_TAX_PROV")</f>
        <v>#N/A Requesting Data...</v>
      </c>
      <c r="Q1087" t="str">
        <f>_xll.BDP("433002HW Muni","MUNI_FED_TAX")</f>
        <v>#N/A Requesting Data...</v>
      </c>
      <c r="R1087" t="str">
        <f>_xll.BDP("433002HW Muni","MUNI_MSRB_VOLUME")</f>
        <v>#N/A Requesting Data...</v>
      </c>
      <c r="S1087" t="str">
        <f>_xll.BDP("433002HW Muni","BB_COMPOSITE")</f>
        <v>#N/A Requesting Data...</v>
      </c>
      <c r="T1087" t="str">
        <f>_xll.BDP("433002HW Muni","LQA_LIQUIDITY_SCORE")</f>
        <v>#N/A Requesting Data...</v>
      </c>
    </row>
    <row r="1088" spans="1:20" x14ac:dyDescent="0.25">
      <c r="A1088" t="str">
        <f>_xll.BDP("434830RE Muni","ID_CUSIP")</f>
        <v>#N/A Requesting Data...</v>
      </c>
      <c r="B1088" t="s">
        <v>376</v>
      </c>
      <c r="C1088" t="str">
        <f>_xll.BDP("434830RE Muni","INSURANCE_STATUS")</f>
        <v>#N/A Requesting Data...</v>
      </c>
      <c r="D1088" t="str">
        <f>_xll.BDP("434830RE Muni","STATE_CODE")</f>
        <v>#N/A Requesting Data...</v>
      </c>
      <c r="E1088" t="str">
        <f>_xll.BDP("434830RE Muni","COUNTY_LOCATION_ISSUER")</f>
        <v>#N/A Requesting Data...</v>
      </c>
      <c r="F1088" t="str">
        <f>_xll.BDP("434830RE Muni","DUR_ADJ_MID")</f>
        <v>#N/A Requesting Data...</v>
      </c>
      <c r="G1088" t="str">
        <f>_xll.BDP("434830RE Muni","SPREAD_AT_ISSUANCE_TO_WORST")</f>
        <v>#N/A Requesting Data...</v>
      </c>
      <c r="H1088" t="str">
        <f>_xll.BDP("434830RE Muni","ISSUE_DT")</f>
        <v>#N/A Requesting Data...</v>
      </c>
      <c r="I1088" t="str">
        <f>_xll.BDS("434830RE Muni","MUNI_PURPOSE_SCHED", "aggregate=y")</f>
        <v>#N/A Review</v>
      </c>
      <c r="J1088" t="str">
        <f>_xll.BDP("434830RE Muni","CPN")</f>
        <v>#N/A Requesting Data...</v>
      </c>
      <c r="K1088" t="str">
        <f>_xll.BDP("434830RE Muni","MATURITY")</f>
        <v>#N/A Requesting Data...</v>
      </c>
      <c r="L1088">
        <v>850000</v>
      </c>
      <c r="M1088" t="str">
        <f>_xll.BDP("434830RE Muni","YIELD_ON_ISSUE_DATE")</f>
        <v>#N/A Requesting Data...</v>
      </c>
      <c r="N1088" t="str">
        <f>_xll.BDP("434830RE Muni","YTW_SPREAD_TO_MATURITY_AT_ISSU")</f>
        <v>#N/A Requesting Data...</v>
      </c>
      <c r="O1088" t="str">
        <f>_xll.BDP("434830RE Muni","BVAL_MID_YTM")</f>
        <v>#N/A Requesting Data...</v>
      </c>
      <c r="P1088" t="str">
        <f>_xll.BDP("434830RE Muni","MUNI_TAX_PROV")</f>
        <v>#N/A Requesting Data...</v>
      </c>
      <c r="Q1088" t="str">
        <f>_xll.BDP("434830RE Muni","MUNI_FED_TAX")</f>
        <v>#N/A Requesting Data...</v>
      </c>
      <c r="R1088" t="str">
        <f>_xll.BDP("434830RE Muni","MUNI_MSRB_VOLUME")</f>
        <v>#N/A Requesting Data...</v>
      </c>
      <c r="S1088" t="str">
        <f>_xll.BDP("434830RE Muni","BB_COMPOSITE")</f>
        <v>#N/A Requesting Data...</v>
      </c>
      <c r="T1088" t="str">
        <f>_xll.BDP("434830RE Muni","LQA_LIQUIDITY_SCORE")</f>
        <v>#N/A Requesting Data...</v>
      </c>
    </row>
    <row r="1089" spans="1:20" x14ac:dyDescent="0.25">
      <c r="A1089" t="str">
        <f>_xll.BDP("434830RF Muni","ID_CUSIP")</f>
        <v>#N/A Requesting Data...</v>
      </c>
      <c r="B1089" t="s">
        <v>376</v>
      </c>
      <c r="C1089" t="str">
        <f>_xll.BDP("434830RF Muni","INSURANCE_STATUS")</f>
        <v>#N/A Requesting Data...</v>
      </c>
      <c r="D1089" t="str">
        <f>_xll.BDP("434830RF Muni","STATE_CODE")</f>
        <v>#N/A Requesting Data...</v>
      </c>
      <c r="E1089" t="str">
        <f>_xll.BDP("434830RF Muni","COUNTY_LOCATION_ISSUER")</f>
        <v>#N/A Requesting Data...</v>
      </c>
      <c r="F1089" t="str">
        <f>_xll.BDP("434830RF Muni","DUR_ADJ_MID")</f>
        <v>#N/A Requesting Data...</v>
      </c>
      <c r="G1089" t="str">
        <f>_xll.BDP("434830RF Muni","SPREAD_AT_ISSUANCE_TO_WORST")</f>
        <v>#N/A Requesting Data...</v>
      </c>
      <c r="H1089" t="str">
        <f>_xll.BDP("434830RF Muni","ISSUE_DT")</f>
        <v>#N/A Requesting Data...</v>
      </c>
      <c r="I1089" t="str">
        <f>_xll.BDS("434830RF Muni","MUNI_PURPOSE_SCHED", "aggregate=y")</f>
        <v>#N/A Review</v>
      </c>
      <c r="J1089" t="str">
        <f>_xll.BDP("434830RF Muni","CPN")</f>
        <v>#N/A Requesting Data...</v>
      </c>
      <c r="K1089" t="str">
        <f>_xll.BDP("434830RF Muni","MATURITY")</f>
        <v>#N/A Requesting Data...</v>
      </c>
      <c r="L1089">
        <v>850000</v>
      </c>
      <c r="M1089" t="str">
        <f>_xll.BDP("434830RF Muni","YIELD_ON_ISSUE_DATE")</f>
        <v>#N/A Requesting Data...</v>
      </c>
      <c r="N1089" t="str">
        <f>_xll.BDP("434830RF Muni","YTW_SPREAD_TO_MATURITY_AT_ISSU")</f>
        <v>#N/A Requesting Data...</v>
      </c>
      <c r="O1089" t="str">
        <f>_xll.BDP("434830RF Muni","BVAL_MID_YTM")</f>
        <v>#N/A Requesting Data...</v>
      </c>
      <c r="P1089" t="str">
        <f>_xll.BDP("434830RF Muni","MUNI_TAX_PROV")</f>
        <v>#N/A Requesting Data...</v>
      </c>
      <c r="Q1089" t="str">
        <f>_xll.BDP("434830RF Muni","MUNI_FED_TAX")</f>
        <v>#N/A Requesting Data...</v>
      </c>
      <c r="R1089" t="str">
        <f>_xll.BDP("434830RF Muni","MUNI_MSRB_VOLUME")</f>
        <v>#N/A Requesting Data...</v>
      </c>
      <c r="S1089" t="str">
        <f>_xll.BDP("434830RF Muni","BB_COMPOSITE")</f>
        <v>#N/A Requesting Data...</v>
      </c>
      <c r="T1089" t="str">
        <f>_xll.BDP("434830RF Muni","LQA_LIQUIDITY_SCORE")</f>
        <v>#N/A Requesting Data...</v>
      </c>
    </row>
    <row r="1090" spans="1:20" x14ac:dyDescent="0.25">
      <c r="A1090" t="str">
        <f>_xll.BDP("434830RG Muni","ID_CUSIP")</f>
        <v>#N/A Requesting Data...</v>
      </c>
      <c r="B1090" t="s">
        <v>376</v>
      </c>
      <c r="C1090" t="str">
        <f>_xll.BDP("434830RG Muni","INSURANCE_STATUS")</f>
        <v>#N/A Requesting Data...</v>
      </c>
      <c r="D1090" t="str">
        <f>_xll.BDP("434830RG Muni","STATE_CODE")</f>
        <v>#N/A Requesting Data...</v>
      </c>
      <c r="E1090" t="str">
        <f>_xll.BDP("434830RG Muni","COUNTY_LOCATION_ISSUER")</f>
        <v>#N/A Requesting Data...</v>
      </c>
      <c r="F1090" t="str">
        <f>_xll.BDP("434830RG Muni","DUR_ADJ_MID")</f>
        <v>#N/A Requesting Data...</v>
      </c>
      <c r="G1090" t="str">
        <f>_xll.BDP("434830RG Muni","SPREAD_AT_ISSUANCE_TO_WORST")</f>
        <v>#N/A Requesting Data...</v>
      </c>
      <c r="H1090" t="str">
        <f>_xll.BDP("434830RG Muni","ISSUE_DT")</f>
        <v>#N/A Requesting Data...</v>
      </c>
      <c r="I1090" t="str">
        <f>_xll.BDS("434830RG Muni","MUNI_PURPOSE_SCHED", "aggregate=y")</f>
        <v>#N/A Review</v>
      </c>
      <c r="J1090" t="str">
        <f>_xll.BDP("434830RG Muni","CPN")</f>
        <v>#N/A Requesting Data...</v>
      </c>
      <c r="K1090" t="str">
        <f>_xll.BDP("434830RG Muni","MATURITY")</f>
        <v>#N/A Requesting Data...</v>
      </c>
      <c r="L1090">
        <v>850000</v>
      </c>
      <c r="M1090" t="str">
        <f>_xll.BDP("434830RG Muni","YIELD_ON_ISSUE_DATE")</f>
        <v>#N/A Requesting Data...</v>
      </c>
      <c r="N1090" t="str">
        <f>_xll.BDP("434830RG Muni","YTW_SPREAD_TO_MATURITY_AT_ISSU")</f>
        <v>#N/A Requesting Data...</v>
      </c>
      <c r="O1090" t="str">
        <f>_xll.BDP("434830RG Muni","BVAL_MID_YTM")</f>
        <v>#N/A Requesting Data...</v>
      </c>
      <c r="P1090" t="str">
        <f>_xll.BDP("434830RG Muni","MUNI_TAX_PROV")</f>
        <v>#N/A Requesting Data...</v>
      </c>
      <c r="Q1090" t="str">
        <f>_xll.BDP("434830RG Muni","MUNI_FED_TAX")</f>
        <v>#N/A Requesting Data...</v>
      </c>
      <c r="R1090" t="str">
        <f>_xll.BDP("434830RG Muni","MUNI_MSRB_VOLUME")</f>
        <v>#N/A Requesting Data...</v>
      </c>
      <c r="S1090" t="str">
        <f>_xll.BDP("434830RG Muni","BB_COMPOSITE")</f>
        <v>#N/A Requesting Data...</v>
      </c>
      <c r="T1090" t="str">
        <f>_xll.BDP("434830RG Muni","LQA_LIQUIDITY_SCORE")</f>
        <v>#N/A Requesting Data...</v>
      </c>
    </row>
    <row r="1091" spans="1:20" x14ac:dyDescent="0.25">
      <c r="A1091" t="str">
        <f>_xll.BDP("434830RH Muni","ID_CUSIP")</f>
        <v>#N/A Requesting Data...</v>
      </c>
      <c r="B1091" t="s">
        <v>376</v>
      </c>
      <c r="C1091" t="str">
        <f>_xll.BDP("434830RH Muni","INSURANCE_STATUS")</f>
        <v>#N/A Requesting Data...</v>
      </c>
      <c r="D1091" t="str">
        <f>_xll.BDP("434830RH Muni","STATE_CODE")</f>
        <v>#N/A Requesting Data...</v>
      </c>
      <c r="E1091" t="str">
        <f>_xll.BDP("434830RH Muni","COUNTY_LOCATION_ISSUER")</f>
        <v>#N/A Requesting Data...</v>
      </c>
      <c r="F1091" t="str">
        <f>_xll.BDP("434830RH Muni","DUR_ADJ_MID")</f>
        <v>#N/A Requesting Data...</v>
      </c>
      <c r="G1091" t="str">
        <f>_xll.BDP("434830RH Muni","SPREAD_AT_ISSUANCE_TO_WORST")</f>
        <v>#N/A Requesting Data...</v>
      </c>
      <c r="H1091" t="str">
        <f>_xll.BDP("434830RH Muni","ISSUE_DT")</f>
        <v>#N/A Requesting Data...</v>
      </c>
      <c r="I1091" t="str">
        <f>_xll.BDS("434830RH Muni","MUNI_PURPOSE_SCHED", "aggregate=y")</f>
        <v>#N/A Review</v>
      </c>
      <c r="J1091" t="str">
        <f>_xll.BDP("434830RH Muni","CPN")</f>
        <v>#N/A Requesting Data...</v>
      </c>
      <c r="K1091" t="str">
        <f>_xll.BDP("434830RH Muni","MATURITY")</f>
        <v>#N/A Requesting Data...</v>
      </c>
      <c r="L1091">
        <v>845000</v>
      </c>
      <c r="M1091" t="str">
        <f>_xll.BDP("434830RH Muni","YIELD_ON_ISSUE_DATE")</f>
        <v>#N/A Requesting Data...</v>
      </c>
      <c r="N1091" t="str">
        <f>_xll.BDP("434830RH Muni","YTW_SPREAD_TO_MATURITY_AT_ISSU")</f>
        <v>#N/A Requesting Data...</v>
      </c>
      <c r="O1091" t="str">
        <f>_xll.BDP("434830RH Muni","BVAL_MID_YTM")</f>
        <v>#N/A Requesting Data...</v>
      </c>
      <c r="P1091" t="str">
        <f>_xll.BDP("434830RH Muni","MUNI_TAX_PROV")</f>
        <v>#N/A Requesting Data...</v>
      </c>
      <c r="Q1091" t="str">
        <f>_xll.BDP("434830RH Muni","MUNI_FED_TAX")</f>
        <v>#N/A Requesting Data...</v>
      </c>
      <c r="R1091" t="str">
        <f>_xll.BDP("434830RH Muni","MUNI_MSRB_VOLUME")</f>
        <v>#N/A Requesting Data...</v>
      </c>
      <c r="S1091" t="str">
        <f>_xll.BDP("434830RH Muni","BB_COMPOSITE")</f>
        <v>#N/A Requesting Data...</v>
      </c>
      <c r="T1091" t="str">
        <f>_xll.BDP("434830RH Muni","LQA_LIQUIDITY_SCORE")</f>
        <v>#N/A Requesting Data...</v>
      </c>
    </row>
    <row r="1092" spans="1:20" x14ac:dyDescent="0.25">
      <c r="A1092" t="str">
        <f>_xll.BDP("602431JN Muni","ID_CUSIP")</f>
        <v>#N/A Requesting Data...</v>
      </c>
      <c r="B1092" t="s">
        <v>123</v>
      </c>
      <c r="C1092" t="str">
        <f>_xll.BDP("602431JN Muni","INSURANCE_STATUS")</f>
        <v>#N/A Requesting Data...</v>
      </c>
      <c r="D1092" t="str">
        <f>_xll.BDP("602431JN Muni","STATE_CODE")</f>
        <v>#N/A Requesting Data...</v>
      </c>
      <c r="E1092" t="str">
        <f>_xll.BDP("602431JN Muni","COUNTY_LOCATION_ISSUER")</f>
        <v>#N/A Requesting Data...</v>
      </c>
      <c r="F1092" t="str">
        <f>_xll.BDP("602431JN Muni","DUR_ADJ_MID")</f>
        <v>#N/A Requesting Data...</v>
      </c>
      <c r="G1092" t="str">
        <f>_xll.BDP("602431JN Muni","SPREAD_AT_ISSUANCE_TO_WORST")</f>
        <v>#N/A Requesting Data...</v>
      </c>
      <c r="H1092" t="str">
        <f>_xll.BDP("602431JN Muni","ISSUE_DT")</f>
        <v>#N/A Requesting Data...</v>
      </c>
      <c r="I1092" t="str">
        <f>_xll.BDS("602431JN Muni","MUNI_PURPOSE_SCHED", "aggregate=y")</f>
        <v>#N/A Review</v>
      </c>
      <c r="J1092" t="str">
        <f>_xll.BDP("602431JN Muni","CPN")</f>
        <v>#N/A Requesting Data...</v>
      </c>
      <c r="K1092" t="str">
        <f>_xll.BDP("602431JN Muni","MATURITY")</f>
        <v>#N/A Requesting Data...</v>
      </c>
      <c r="L1092">
        <v>460000</v>
      </c>
      <c r="M1092" t="str">
        <f>_xll.BDP("602431JN Muni","YIELD_ON_ISSUE_DATE")</f>
        <v>#N/A Requesting Data...</v>
      </c>
      <c r="N1092" t="str">
        <f>_xll.BDP("602431JN Muni","YTW_SPREAD_TO_MATURITY_AT_ISSU")</f>
        <v>#N/A Requesting Data...</v>
      </c>
      <c r="O1092" t="str">
        <f>_xll.BDP("602431JN Muni","BVAL_MID_YTM")</f>
        <v>#N/A Requesting Data...</v>
      </c>
      <c r="P1092" t="str">
        <f>_xll.BDP("602431JN Muni","MUNI_TAX_PROV")</f>
        <v>#N/A Requesting Data...</v>
      </c>
      <c r="Q1092" t="str">
        <f>_xll.BDP("602431JN Muni","MUNI_FED_TAX")</f>
        <v>#N/A Requesting Data...</v>
      </c>
      <c r="R1092" t="str">
        <f>_xll.BDP("602431JN Muni","MUNI_MSRB_VOLUME")</f>
        <v>#N/A Requesting Data...</v>
      </c>
      <c r="S1092" t="str">
        <f>_xll.BDP("602431JN Muni","BB_COMPOSITE")</f>
        <v>#N/A Requesting Data...</v>
      </c>
      <c r="T1092" t="str">
        <f>_xll.BDP("602431JN Muni","LQA_LIQUIDITY_SCORE")</f>
        <v>#N/A Requesting Data...</v>
      </c>
    </row>
    <row r="1093" spans="1:20" x14ac:dyDescent="0.25">
      <c r="A1093" t="str">
        <f>_xll.BDP("602431JQ Muni","ID_CUSIP")</f>
        <v>#N/A Requesting Data...</v>
      </c>
      <c r="B1093" t="s">
        <v>123</v>
      </c>
      <c r="C1093" t="str">
        <f>_xll.BDP("602431JQ Muni","INSURANCE_STATUS")</f>
        <v>#N/A Requesting Data...</v>
      </c>
      <c r="D1093" t="str">
        <f>_xll.BDP("602431JQ Muni","STATE_CODE")</f>
        <v>#N/A Requesting Data...</v>
      </c>
      <c r="E1093" t="str">
        <f>_xll.BDP("602431JQ Muni","COUNTY_LOCATION_ISSUER")</f>
        <v>#N/A Requesting Data...</v>
      </c>
      <c r="F1093" t="str">
        <f>_xll.BDP("602431JQ Muni","DUR_ADJ_MID")</f>
        <v>#N/A Requesting Data...</v>
      </c>
      <c r="G1093" t="str">
        <f>_xll.BDP("602431JQ Muni","SPREAD_AT_ISSUANCE_TO_WORST")</f>
        <v>#N/A Requesting Data...</v>
      </c>
      <c r="H1093" t="str">
        <f>_xll.BDP("602431JQ Muni","ISSUE_DT")</f>
        <v>#N/A Requesting Data...</v>
      </c>
      <c r="I1093" t="str">
        <f>_xll.BDS("602431JQ Muni","MUNI_PURPOSE_SCHED", "aggregate=y")</f>
        <v>#N/A Review</v>
      </c>
      <c r="J1093" t="str">
        <f>_xll.BDP("602431JQ Muni","CPN")</f>
        <v>#N/A Requesting Data...</v>
      </c>
      <c r="K1093" t="str">
        <f>_xll.BDP("602431JQ Muni","MATURITY")</f>
        <v>#N/A Requesting Data...</v>
      </c>
      <c r="L1093">
        <v>475000</v>
      </c>
      <c r="M1093" t="str">
        <f>_xll.BDP("602431JQ Muni","YIELD_ON_ISSUE_DATE")</f>
        <v>#N/A Requesting Data...</v>
      </c>
      <c r="N1093" t="str">
        <f>_xll.BDP("602431JQ Muni","YTW_SPREAD_TO_MATURITY_AT_ISSU")</f>
        <v>#N/A Requesting Data...</v>
      </c>
      <c r="O1093" t="str">
        <f>_xll.BDP("602431JQ Muni","BVAL_MID_YTM")</f>
        <v>#N/A Requesting Data...</v>
      </c>
      <c r="P1093" t="str">
        <f>_xll.BDP("602431JQ Muni","MUNI_TAX_PROV")</f>
        <v>#N/A Requesting Data...</v>
      </c>
      <c r="Q1093" t="str">
        <f>_xll.BDP("602431JQ Muni","MUNI_FED_TAX")</f>
        <v>#N/A Requesting Data...</v>
      </c>
      <c r="R1093" t="str">
        <f>_xll.BDP("602431JQ Muni","MUNI_MSRB_VOLUME")</f>
        <v>#N/A Requesting Data...</v>
      </c>
      <c r="S1093" t="str">
        <f>_xll.BDP("602431JQ Muni","BB_COMPOSITE")</f>
        <v>#N/A Requesting Data...</v>
      </c>
      <c r="T1093" t="str">
        <f>_xll.BDP("602431JQ Muni","LQA_LIQUIDITY_SCORE")</f>
        <v>#N/A Requesting Data...</v>
      </c>
    </row>
    <row r="1094" spans="1:20" x14ac:dyDescent="0.25">
      <c r="A1094" t="str">
        <f>_xll.BDP("602431JR Muni","ID_CUSIP")</f>
        <v>#N/A Requesting Data...</v>
      </c>
      <c r="B1094" t="s">
        <v>123</v>
      </c>
      <c r="C1094" t="str">
        <f>_xll.BDP("602431JR Muni","INSURANCE_STATUS")</f>
        <v>#N/A Requesting Data...</v>
      </c>
      <c r="D1094" t="str">
        <f>_xll.BDP("602431JR Muni","STATE_CODE")</f>
        <v>#N/A Requesting Data...</v>
      </c>
      <c r="E1094" t="str">
        <f>_xll.BDP("602431JR Muni","COUNTY_LOCATION_ISSUER")</f>
        <v>#N/A Requesting Data...</v>
      </c>
      <c r="F1094" t="str">
        <f>_xll.BDP("602431JR Muni","DUR_ADJ_MID")</f>
        <v>#N/A Requesting Data...</v>
      </c>
      <c r="G1094" t="str">
        <f>_xll.BDP("602431JR Muni","SPREAD_AT_ISSUANCE_TO_WORST")</f>
        <v>#N/A Requesting Data...</v>
      </c>
      <c r="H1094" t="str">
        <f>_xll.BDP("602431JR Muni","ISSUE_DT")</f>
        <v>#N/A Requesting Data...</v>
      </c>
      <c r="I1094" t="str">
        <f>_xll.BDS("602431JR Muni","MUNI_PURPOSE_SCHED", "aggregate=y")</f>
        <v>#N/A Review</v>
      </c>
      <c r="J1094" t="str">
        <f>_xll.BDP("602431JR Muni","CPN")</f>
        <v>#N/A Requesting Data...</v>
      </c>
      <c r="K1094" t="str">
        <f>_xll.BDP("602431JR Muni","MATURITY")</f>
        <v>#N/A Requesting Data...</v>
      </c>
      <c r="L1094">
        <v>480000</v>
      </c>
      <c r="M1094" t="str">
        <f>_xll.BDP("602431JR Muni","YIELD_ON_ISSUE_DATE")</f>
        <v>#N/A Requesting Data...</v>
      </c>
      <c r="N1094" t="str">
        <f>_xll.BDP("602431JR Muni","YTW_SPREAD_TO_MATURITY_AT_ISSU")</f>
        <v>#N/A Requesting Data...</v>
      </c>
      <c r="O1094" t="str">
        <f>_xll.BDP("602431JR Muni","BVAL_MID_YTM")</f>
        <v>#N/A Requesting Data...</v>
      </c>
      <c r="P1094" t="str">
        <f>_xll.BDP("602431JR Muni","MUNI_TAX_PROV")</f>
        <v>#N/A Requesting Data...</v>
      </c>
      <c r="Q1094" t="str">
        <f>_xll.BDP("602431JR Muni","MUNI_FED_TAX")</f>
        <v>#N/A Requesting Data...</v>
      </c>
      <c r="R1094" t="str">
        <f>_xll.BDP("602431JR Muni","MUNI_MSRB_VOLUME")</f>
        <v>#N/A Requesting Data...</v>
      </c>
      <c r="S1094" t="str">
        <f>_xll.BDP("602431JR Muni","BB_COMPOSITE")</f>
        <v>#N/A Requesting Data...</v>
      </c>
      <c r="T1094" t="str">
        <f>_xll.BDP("602431JR Muni","LQA_LIQUIDITY_SCORE")</f>
        <v>#N/A Requesting Data...</v>
      </c>
    </row>
    <row r="1095" spans="1:20" x14ac:dyDescent="0.25">
      <c r="A1095" t="str">
        <f>_xll.BDP("462632XU Muni","ID_CUSIP")</f>
        <v>#N/A Requesting Data...</v>
      </c>
      <c r="B1095" t="s">
        <v>377</v>
      </c>
      <c r="C1095" t="str">
        <f>_xll.BDP("462632XU Muni","INSURANCE_STATUS")</f>
        <v>#N/A Requesting Data...</v>
      </c>
      <c r="D1095" t="str">
        <f>_xll.BDP("462632XU Muni","STATE_CODE")</f>
        <v>#N/A Requesting Data...</v>
      </c>
      <c r="E1095" t="str">
        <f>_xll.BDP("462632XU Muni","COUNTY_LOCATION_ISSUER")</f>
        <v>#N/A Requesting Data...</v>
      </c>
      <c r="F1095" t="str">
        <f>_xll.BDP("462632XU Muni","DUR_ADJ_MID")</f>
        <v>#N/A Requesting Data...</v>
      </c>
      <c r="G1095" t="str">
        <f>_xll.BDP("462632XU Muni","SPREAD_AT_ISSUANCE_TO_WORST")</f>
        <v>#N/A Requesting Data...</v>
      </c>
      <c r="H1095" t="str">
        <f>_xll.BDP("462632XU Muni","ISSUE_DT")</f>
        <v>#N/A Requesting Data...</v>
      </c>
      <c r="I1095" t="str">
        <f>_xll.BDS("462632XU Muni","MUNI_PURPOSE_SCHED", "aggregate=y")</f>
        <v>#N/A Review</v>
      </c>
      <c r="J1095" t="str">
        <f>_xll.BDP("462632XU Muni","CPN")</f>
        <v>#N/A Requesting Data...</v>
      </c>
      <c r="K1095" t="str">
        <f>_xll.BDP("462632XU Muni","MATURITY")</f>
        <v>#N/A Requesting Data...</v>
      </c>
      <c r="L1095">
        <v>205000</v>
      </c>
      <c r="M1095" t="str">
        <f>_xll.BDP("462632XU Muni","YIELD_ON_ISSUE_DATE")</f>
        <v>#N/A Requesting Data...</v>
      </c>
      <c r="N1095" t="str">
        <f>_xll.BDP("462632XU Muni","YTW_SPREAD_TO_MATURITY_AT_ISSU")</f>
        <v>#N/A Requesting Data...</v>
      </c>
      <c r="O1095" t="str">
        <f>_xll.BDP("462632XU Muni","BVAL_MID_YTM")</f>
        <v>#N/A Requesting Data...</v>
      </c>
      <c r="P1095" t="str">
        <f>_xll.BDP("462632XU Muni","MUNI_TAX_PROV")</f>
        <v>#N/A Requesting Data...</v>
      </c>
      <c r="Q1095" t="str">
        <f>_xll.BDP("462632XU Muni","MUNI_FED_TAX")</f>
        <v>#N/A Requesting Data...</v>
      </c>
      <c r="R1095" t="str">
        <f>_xll.BDP("462632XU Muni","MUNI_MSRB_VOLUME")</f>
        <v>#N/A Requesting Data...</v>
      </c>
      <c r="S1095" t="str">
        <f>_xll.BDP("462632XU Muni","BB_COMPOSITE")</f>
        <v>#N/A Requesting Data...</v>
      </c>
      <c r="T1095" t="str">
        <f>_xll.BDP("462632XU Muni","LQA_LIQUIDITY_SCORE")</f>
        <v>#N/A Requesting Data...</v>
      </c>
    </row>
    <row r="1096" spans="1:20" x14ac:dyDescent="0.25">
      <c r="A1096" t="str">
        <f>_xll.BDP("462632XV Muni","ID_CUSIP")</f>
        <v>#N/A Requesting Data...</v>
      </c>
      <c r="B1096" t="s">
        <v>377</v>
      </c>
      <c r="C1096" t="str">
        <f>_xll.BDP("462632XV Muni","INSURANCE_STATUS")</f>
        <v>#N/A Requesting Data...</v>
      </c>
      <c r="D1096" t="str">
        <f>_xll.BDP("462632XV Muni","STATE_CODE")</f>
        <v>#N/A Requesting Data...</v>
      </c>
      <c r="E1096" t="str">
        <f>_xll.BDP("462632XV Muni","COUNTY_LOCATION_ISSUER")</f>
        <v>#N/A Requesting Data...</v>
      </c>
      <c r="F1096" t="str">
        <f>_xll.BDP("462632XV Muni","DUR_ADJ_MID")</f>
        <v>#N/A Requesting Data...</v>
      </c>
      <c r="G1096" t="str">
        <f>_xll.BDP("462632XV Muni","SPREAD_AT_ISSUANCE_TO_WORST")</f>
        <v>#N/A Requesting Data...</v>
      </c>
      <c r="H1096" t="str">
        <f>_xll.BDP("462632XV Muni","ISSUE_DT")</f>
        <v>#N/A Requesting Data...</v>
      </c>
      <c r="I1096" t="str">
        <f>_xll.BDS("462632XV Muni","MUNI_PURPOSE_SCHED", "aggregate=y")</f>
        <v>#N/A Review</v>
      </c>
      <c r="J1096" t="str">
        <f>_xll.BDP("462632XV Muni","CPN")</f>
        <v>#N/A Requesting Data...</v>
      </c>
      <c r="K1096" t="str">
        <f>_xll.BDP("462632XV Muni","MATURITY")</f>
        <v>#N/A Requesting Data...</v>
      </c>
      <c r="L1096">
        <v>205000</v>
      </c>
      <c r="M1096" t="str">
        <f>_xll.BDP("462632XV Muni","YIELD_ON_ISSUE_DATE")</f>
        <v>#N/A Requesting Data...</v>
      </c>
      <c r="N1096" t="str">
        <f>_xll.BDP("462632XV Muni","YTW_SPREAD_TO_MATURITY_AT_ISSU")</f>
        <v>#N/A Requesting Data...</v>
      </c>
      <c r="O1096" t="str">
        <f>_xll.BDP("462632XV Muni","BVAL_MID_YTM")</f>
        <v>#N/A Requesting Data...</v>
      </c>
      <c r="P1096" t="str">
        <f>_xll.BDP("462632XV Muni","MUNI_TAX_PROV")</f>
        <v>#N/A Requesting Data...</v>
      </c>
      <c r="Q1096" t="str">
        <f>_xll.BDP("462632XV Muni","MUNI_FED_TAX")</f>
        <v>#N/A Requesting Data...</v>
      </c>
      <c r="R1096" t="str">
        <f>_xll.BDP("462632XV Muni","MUNI_MSRB_VOLUME")</f>
        <v>#N/A Requesting Data...</v>
      </c>
      <c r="S1096" t="str">
        <f>_xll.BDP("462632XV Muni","BB_COMPOSITE")</f>
        <v>#N/A Requesting Data...</v>
      </c>
      <c r="T1096" t="str">
        <f>_xll.BDP("462632XV Muni","LQA_LIQUIDITY_SCORE")</f>
        <v>#N/A Requesting Data...</v>
      </c>
    </row>
    <row r="1097" spans="1:20" x14ac:dyDescent="0.25">
      <c r="A1097" t="str">
        <f>_xll.BDP("462632XW Muni","ID_CUSIP")</f>
        <v>#N/A Requesting Data...</v>
      </c>
      <c r="B1097" t="s">
        <v>377</v>
      </c>
      <c r="C1097" t="str">
        <f>_xll.BDP("462632XW Muni","INSURANCE_STATUS")</f>
        <v>#N/A Requesting Data...</v>
      </c>
      <c r="D1097" t="str">
        <f>_xll.BDP("462632XW Muni","STATE_CODE")</f>
        <v>#N/A Requesting Data...</v>
      </c>
      <c r="E1097" t="str">
        <f>_xll.BDP("462632XW Muni","COUNTY_LOCATION_ISSUER")</f>
        <v>#N/A Requesting Data...</v>
      </c>
      <c r="F1097" t="str">
        <f>_xll.BDP("462632XW Muni","DUR_ADJ_MID")</f>
        <v>#N/A Requesting Data...</v>
      </c>
      <c r="G1097" t="str">
        <f>_xll.BDP("462632XW Muni","SPREAD_AT_ISSUANCE_TO_WORST")</f>
        <v>#N/A Requesting Data...</v>
      </c>
      <c r="H1097" t="str">
        <f>_xll.BDP("462632XW Muni","ISSUE_DT")</f>
        <v>#N/A Requesting Data...</v>
      </c>
      <c r="I1097" t="str">
        <f>_xll.BDS("462632XW Muni","MUNI_PURPOSE_SCHED", "aggregate=y")</f>
        <v>#N/A Review</v>
      </c>
      <c r="J1097" t="str">
        <f>_xll.BDP("462632XW Muni","CPN")</f>
        <v>#N/A Requesting Data...</v>
      </c>
      <c r="K1097" t="str">
        <f>_xll.BDP("462632XW Muni","MATURITY")</f>
        <v>#N/A Requesting Data...</v>
      </c>
      <c r="L1097">
        <v>180000</v>
      </c>
      <c r="M1097" t="str">
        <f>_xll.BDP("462632XW Muni","YIELD_ON_ISSUE_DATE")</f>
        <v>#N/A Requesting Data...</v>
      </c>
      <c r="N1097" t="str">
        <f>_xll.BDP("462632XW Muni","YTW_SPREAD_TO_MATURITY_AT_ISSU")</f>
        <v>#N/A Requesting Data...</v>
      </c>
      <c r="O1097" t="str">
        <f>_xll.BDP("462632XW Muni","BVAL_MID_YTM")</f>
        <v>#N/A Requesting Data...</v>
      </c>
      <c r="P1097" t="str">
        <f>_xll.BDP("462632XW Muni","MUNI_TAX_PROV")</f>
        <v>#N/A Requesting Data...</v>
      </c>
      <c r="Q1097" t="str">
        <f>_xll.BDP("462632XW Muni","MUNI_FED_TAX")</f>
        <v>#N/A Requesting Data...</v>
      </c>
      <c r="R1097" t="str">
        <f>_xll.BDP("462632XW Muni","MUNI_MSRB_VOLUME")</f>
        <v>#N/A Requesting Data...</v>
      </c>
      <c r="S1097" t="str">
        <f>_xll.BDP("462632XW Muni","BB_COMPOSITE")</f>
        <v>#N/A Requesting Data...</v>
      </c>
      <c r="T1097" t="str">
        <f>_xll.BDP("462632XW Muni","LQA_LIQUIDITY_SCORE")</f>
        <v>#N/A Requesting Data...</v>
      </c>
    </row>
    <row r="1098" spans="1:20" x14ac:dyDescent="0.25">
      <c r="A1098" t="str">
        <f>_xll.BDP("462632XX Muni","ID_CUSIP")</f>
        <v>#N/A Requesting Data...</v>
      </c>
      <c r="B1098" t="s">
        <v>377</v>
      </c>
      <c r="C1098" t="str">
        <f>_xll.BDP("462632XX Muni","INSURANCE_STATUS")</f>
        <v>#N/A Requesting Data...</v>
      </c>
      <c r="D1098" t="str">
        <f>_xll.BDP("462632XX Muni","STATE_CODE")</f>
        <v>#N/A Requesting Data...</v>
      </c>
      <c r="E1098" t="str">
        <f>_xll.BDP("462632XX Muni","COUNTY_LOCATION_ISSUER")</f>
        <v>#N/A Requesting Data...</v>
      </c>
      <c r="F1098" t="str">
        <f>_xll.BDP("462632XX Muni","DUR_ADJ_MID")</f>
        <v>#N/A Requesting Data...</v>
      </c>
      <c r="G1098" t="str">
        <f>_xll.BDP("462632XX Muni","SPREAD_AT_ISSUANCE_TO_WORST")</f>
        <v>#N/A Requesting Data...</v>
      </c>
      <c r="H1098" t="str">
        <f>_xll.BDP("462632XX Muni","ISSUE_DT")</f>
        <v>#N/A Requesting Data...</v>
      </c>
      <c r="I1098" t="str">
        <f>_xll.BDS("462632XX Muni","MUNI_PURPOSE_SCHED", "aggregate=y")</f>
        <v>#N/A Review</v>
      </c>
      <c r="J1098" t="str">
        <f>_xll.BDP("462632XX Muni","CPN")</f>
        <v>#N/A Requesting Data...</v>
      </c>
      <c r="K1098" t="str">
        <f>_xll.BDP("462632XX Muni","MATURITY")</f>
        <v>#N/A Requesting Data...</v>
      </c>
      <c r="L1098">
        <v>175000</v>
      </c>
      <c r="M1098" t="str">
        <f>_xll.BDP("462632XX Muni","YIELD_ON_ISSUE_DATE")</f>
        <v>#N/A Requesting Data...</v>
      </c>
      <c r="N1098" t="str">
        <f>_xll.BDP("462632XX Muni","YTW_SPREAD_TO_MATURITY_AT_ISSU")</f>
        <v>#N/A Requesting Data...</v>
      </c>
      <c r="O1098" t="str">
        <f>_xll.BDP("462632XX Muni","BVAL_MID_YTM")</f>
        <v>#N/A Requesting Data...</v>
      </c>
      <c r="P1098" t="str">
        <f>_xll.BDP("462632XX Muni","MUNI_TAX_PROV")</f>
        <v>#N/A Requesting Data...</v>
      </c>
      <c r="Q1098" t="str">
        <f>_xll.BDP("462632XX Muni","MUNI_FED_TAX")</f>
        <v>#N/A Requesting Data...</v>
      </c>
      <c r="R1098" t="str">
        <f>_xll.BDP("462632XX Muni","MUNI_MSRB_VOLUME")</f>
        <v>#N/A Requesting Data...</v>
      </c>
      <c r="S1098" t="str">
        <f>_xll.BDP("462632XX Muni","BB_COMPOSITE")</f>
        <v>#N/A Requesting Data...</v>
      </c>
      <c r="T1098" t="str">
        <f>_xll.BDP("462632XX Muni","LQA_LIQUIDITY_SCORE")</f>
        <v>#N/A Requesting Data...</v>
      </c>
    </row>
    <row r="1099" spans="1:20" x14ac:dyDescent="0.25">
      <c r="A1099" t="str">
        <f>_xll.BDP("46360TED Muni","ID_CUSIP")</f>
        <v>#N/A Requesting Data...</v>
      </c>
      <c r="B1099" t="s">
        <v>378</v>
      </c>
      <c r="C1099" t="str">
        <f>_xll.BDP("46360TED Muni","INSURANCE_STATUS")</f>
        <v>#N/A Requesting Data...</v>
      </c>
      <c r="D1099" t="str">
        <f>_xll.BDP("46360TED Muni","STATE_CODE")</f>
        <v>#N/A Requesting Data...</v>
      </c>
      <c r="E1099" t="str">
        <f>_xll.BDP("46360TED Muni","COUNTY_LOCATION_ISSUER")</f>
        <v>#N/A Requesting Data...</v>
      </c>
      <c r="F1099" t="str">
        <f>_xll.BDP("46360TED Muni","DUR_ADJ_MID")</f>
        <v>#N/A Requesting Data...</v>
      </c>
      <c r="G1099" t="str">
        <f>_xll.BDP("46360TED Muni","SPREAD_AT_ISSUANCE_TO_WORST")</f>
        <v>#N/A Requesting Data...</v>
      </c>
      <c r="H1099" t="str">
        <f>_xll.BDP("46360TED Muni","ISSUE_DT")</f>
        <v>#N/A Requesting Data...</v>
      </c>
      <c r="I1099" t="str">
        <f>_xll.BDS("46360TED Muni","MUNI_PURPOSE_SCHED", "aggregate=y")</f>
        <v>#N/A Review</v>
      </c>
      <c r="J1099" t="str">
        <f>_xll.BDP("46360TED Muni","CPN")</f>
        <v>#N/A Requesting Data...</v>
      </c>
      <c r="K1099" t="str">
        <f>_xll.BDP("46360TED Muni","MATURITY")</f>
        <v>#N/A Requesting Data...</v>
      </c>
      <c r="L1099">
        <v>1045000</v>
      </c>
      <c r="M1099" t="str">
        <f>_xll.BDP("46360TED Muni","YIELD_ON_ISSUE_DATE")</f>
        <v>#N/A Requesting Data...</v>
      </c>
      <c r="N1099" t="str">
        <f>_xll.BDP("46360TED Muni","YTW_SPREAD_TO_MATURITY_AT_ISSU")</f>
        <v>#N/A Requesting Data...</v>
      </c>
      <c r="O1099" t="str">
        <f>_xll.BDP("46360TED Muni","BVAL_MID_YTM")</f>
        <v>#N/A Requesting Data...</v>
      </c>
      <c r="P1099" t="str">
        <f>_xll.BDP("46360TED Muni","MUNI_TAX_PROV")</f>
        <v>#N/A Requesting Data...</v>
      </c>
      <c r="Q1099" t="str">
        <f>_xll.BDP("46360TED Muni","MUNI_FED_TAX")</f>
        <v>#N/A Requesting Data...</v>
      </c>
      <c r="R1099" t="str">
        <f>_xll.BDP("46360TED Muni","MUNI_MSRB_VOLUME")</f>
        <v>#N/A Requesting Data...</v>
      </c>
      <c r="S1099" t="str">
        <f>_xll.BDP("46360TED Muni","BB_COMPOSITE")</f>
        <v>#N/A Requesting Data...</v>
      </c>
      <c r="T1099" t="str">
        <f>_xll.BDP("46360TED Muni","LQA_LIQUIDITY_SCORE")</f>
        <v>#N/A Requesting Data...</v>
      </c>
    </row>
    <row r="1100" spans="1:20" x14ac:dyDescent="0.25">
      <c r="A1100" t="str">
        <f>_xll.BDP("46360TEE Muni","ID_CUSIP")</f>
        <v>#N/A Requesting Data...</v>
      </c>
      <c r="B1100" t="s">
        <v>378</v>
      </c>
      <c r="C1100" t="str">
        <f>_xll.BDP("46360TEE Muni","INSURANCE_STATUS")</f>
        <v>#N/A Requesting Data...</v>
      </c>
      <c r="D1100" t="str">
        <f>_xll.BDP("46360TEE Muni","STATE_CODE")</f>
        <v>#N/A Requesting Data...</v>
      </c>
      <c r="E1100" t="str">
        <f>_xll.BDP("46360TEE Muni","COUNTY_LOCATION_ISSUER")</f>
        <v>#N/A Requesting Data...</v>
      </c>
      <c r="F1100" t="str">
        <f>_xll.BDP("46360TEE Muni","DUR_ADJ_MID")</f>
        <v>#N/A Requesting Data...</v>
      </c>
      <c r="G1100" t="str">
        <f>_xll.BDP("46360TEE Muni","SPREAD_AT_ISSUANCE_TO_WORST")</f>
        <v>#N/A Requesting Data...</v>
      </c>
      <c r="H1100" t="str">
        <f>_xll.BDP("46360TEE Muni","ISSUE_DT")</f>
        <v>#N/A Requesting Data...</v>
      </c>
      <c r="I1100" t="str">
        <f>_xll.BDS("46360TEE Muni","MUNI_PURPOSE_SCHED", "aggregate=y")</f>
        <v>#N/A Review</v>
      </c>
      <c r="J1100" t="str">
        <f>_xll.BDP("46360TEE Muni","CPN")</f>
        <v>#N/A Requesting Data...</v>
      </c>
      <c r="K1100" t="str">
        <f>_xll.BDP("46360TEE Muni","MATURITY")</f>
        <v>#N/A Requesting Data...</v>
      </c>
      <c r="L1100">
        <v>1215000</v>
      </c>
      <c r="M1100" t="str">
        <f>_xll.BDP("46360TEE Muni","YIELD_ON_ISSUE_DATE")</f>
        <v>#N/A Requesting Data...</v>
      </c>
      <c r="N1100" t="str">
        <f>_xll.BDP("46360TEE Muni","YTW_SPREAD_TO_MATURITY_AT_ISSU")</f>
        <v>#N/A Requesting Data...</v>
      </c>
      <c r="O1100" t="str">
        <f>_xll.BDP("46360TEE Muni","BVAL_MID_YTM")</f>
        <v>#N/A Requesting Data...</v>
      </c>
      <c r="P1100" t="str">
        <f>_xll.BDP("46360TEE Muni","MUNI_TAX_PROV")</f>
        <v>#N/A Requesting Data...</v>
      </c>
      <c r="Q1100" t="str">
        <f>_xll.BDP("46360TEE Muni","MUNI_FED_TAX")</f>
        <v>#N/A Requesting Data...</v>
      </c>
      <c r="R1100" t="str">
        <f>_xll.BDP("46360TEE Muni","MUNI_MSRB_VOLUME")</f>
        <v>#N/A Requesting Data...</v>
      </c>
      <c r="S1100" t="str">
        <f>_xll.BDP("46360TEE Muni","BB_COMPOSITE")</f>
        <v>#N/A Requesting Data...</v>
      </c>
      <c r="T1100" t="str">
        <f>_xll.BDP("46360TEE Muni","LQA_LIQUIDITY_SCORE")</f>
        <v>#N/A Requesting Data...</v>
      </c>
    </row>
    <row r="1101" spans="1:20" x14ac:dyDescent="0.25">
      <c r="A1101" t="str">
        <f>_xll.BDP("4636324W Muni","ID_CUSIP")</f>
        <v>#N/A Requesting Data...</v>
      </c>
      <c r="B1101" t="s">
        <v>26</v>
      </c>
      <c r="C1101" t="str">
        <f>_xll.BDP("4636324W Muni","INSURANCE_STATUS")</f>
        <v>#N/A Requesting Data...</v>
      </c>
      <c r="D1101" t="str">
        <f>_xll.BDP("4636324W Muni","STATE_CODE")</f>
        <v>#N/A Requesting Data...</v>
      </c>
      <c r="E1101" t="str">
        <f>_xll.BDP("4636324W Muni","COUNTY_LOCATION_ISSUER")</f>
        <v>#N/A Requesting Data...</v>
      </c>
      <c r="F1101" t="str">
        <f>_xll.BDP("4636324W Muni","DUR_ADJ_MID")</f>
        <v>#N/A Requesting Data...</v>
      </c>
      <c r="G1101" t="str">
        <f>_xll.BDP("4636324W Muni","SPREAD_AT_ISSUANCE_TO_WORST")</f>
        <v>#N/A Requesting Data...</v>
      </c>
      <c r="H1101" t="str">
        <f>_xll.BDP("4636324W Muni","ISSUE_DT")</f>
        <v>#N/A Requesting Data...</v>
      </c>
      <c r="I1101" t="str">
        <f>_xll.BDS("4636324W Muni","MUNI_PURPOSE_SCHED", "aggregate=y")</f>
        <v>#N/A Review</v>
      </c>
      <c r="J1101" t="str">
        <f>_xll.BDP("4636324W Muni","CPN")</f>
        <v>#N/A Requesting Data...</v>
      </c>
      <c r="K1101" t="str">
        <f>_xll.BDP("4636324W Muni","MATURITY")</f>
        <v>#N/A Requesting Data...</v>
      </c>
      <c r="L1101">
        <v>2265000</v>
      </c>
      <c r="M1101" t="str">
        <f>_xll.BDP("4636324W Muni","YIELD_ON_ISSUE_DATE")</f>
        <v>#N/A Requesting Data...</v>
      </c>
      <c r="N1101" t="str">
        <f>_xll.BDP("4636324W Muni","YTW_SPREAD_TO_MATURITY_AT_ISSU")</f>
        <v>#N/A Requesting Data...</v>
      </c>
      <c r="O1101" t="str">
        <f>_xll.BDP("4636324W Muni","BVAL_MID_YTM")</f>
        <v>#N/A Requesting Data...</v>
      </c>
      <c r="P1101" t="str">
        <f>_xll.BDP("4636324W Muni","MUNI_TAX_PROV")</f>
        <v>#N/A Requesting Data...</v>
      </c>
      <c r="Q1101" t="str">
        <f>_xll.BDP("4636324W Muni","MUNI_FED_TAX")</f>
        <v>#N/A Requesting Data...</v>
      </c>
      <c r="R1101" t="str">
        <f>_xll.BDP("4636324W Muni","MUNI_MSRB_VOLUME")</f>
        <v>#N/A Requesting Data...</v>
      </c>
      <c r="S1101" t="str">
        <f>_xll.BDP("4636324W Muni","BB_COMPOSITE")</f>
        <v>#N/A Requesting Data...</v>
      </c>
      <c r="T1101" t="str">
        <f>_xll.BDP("4636324W Muni","LQA_LIQUIDITY_SCORE")</f>
        <v>#N/A Requesting Data...</v>
      </c>
    </row>
    <row r="1102" spans="1:20" x14ac:dyDescent="0.25">
      <c r="A1102" t="str">
        <f>_xll.BDP("4636324X Muni","ID_CUSIP")</f>
        <v>#N/A Requesting Data...</v>
      </c>
      <c r="B1102" t="s">
        <v>26</v>
      </c>
      <c r="C1102" t="str">
        <f>_xll.BDP("4636324X Muni","INSURANCE_STATUS")</f>
        <v>#N/A Requesting Data...</v>
      </c>
      <c r="D1102" t="str">
        <f>_xll.BDP("4636324X Muni","STATE_CODE")</f>
        <v>#N/A Requesting Data...</v>
      </c>
      <c r="E1102" t="str">
        <f>_xll.BDP("4636324X Muni","COUNTY_LOCATION_ISSUER")</f>
        <v>#N/A Requesting Data...</v>
      </c>
      <c r="F1102" t="str">
        <f>_xll.BDP("4636324X Muni","DUR_ADJ_MID")</f>
        <v>#N/A Requesting Data...</v>
      </c>
      <c r="G1102" t="str">
        <f>_xll.BDP("4636324X Muni","SPREAD_AT_ISSUANCE_TO_WORST")</f>
        <v>#N/A Requesting Data...</v>
      </c>
      <c r="H1102" t="str">
        <f>_xll.BDP("4636324X Muni","ISSUE_DT")</f>
        <v>#N/A Requesting Data...</v>
      </c>
      <c r="I1102" t="str">
        <f>_xll.BDS("4636324X Muni","MUNI_PURPOSE_SCHED", "aggregate=y")</f>
        <v>#N/A Review</v>
      </c>
      <c r="J1102" t="str">
        <f>_xll.BDP("4636324X Muni","CPN")</f>
        <v>#N/A Requesting Data...</v>
      </c>
      <c r="K1102" t="str">
        <f>_xll.BDP("4636324X Muni","MATURITY")</f>
        <v>#N/A Requesting Data...</v>
      </c>
      <c r="L1102">
        <v>2375000</v>
      </c>
      <c r="M1102" t="str">
        <f>_xll.BDP("4636324X Muni","YIELD_ON_ISSUE_DATE")</f>
        <v>#N/A Requesting Data...</v>
      </c>
      <c r="N1102" t="str">
        <f>_xll.BDP("4636324X Muni","YTW_SPREAD_TO_MATURITY_AT_ISSU")</f>
        <v>#N/A Requesting Data...</v>
      </c>
      <c r="O1102" t="str">
        <f>_xll.BDP("4636324X Muni","BVAL_MID_YTM")</f>
        <v>#N/A Requesting Data...</v>
      </c>
      <c r="P1102" t="str">
        <f>_xll.BDP("4636324X Muni","MUNI_TAX_PROV")</f>
        <v>#N/A Requesting Data...</v>
      </c>
      <c r="Q1102" t="str">
        <f>_xll.BDP("4636324X Muni","MUNI_FED_TAX")</f>
        <v>#N/A Requesting Data...</v>
      </c>
      <c r="R1102" t="str">
        <f>_xll.BDP("4636324X Muni","MUNI_MSRB_VOLUME")</f>
        <v>#N/A Requesting Data...</v>
      </c>
      <c r="S1102" t="str">
        <f>_xll.BDP("4636324X Muni","BB_COMPOSITE")</f>
        <v>#N/A Requesting Data...</v>
      </c>
      <c r="T1102" t="str">
        <f>_xll.BDP("4636324X Muni","LQA_LIQUIDITY_SCORE")</f>
        <v>#N/A Requesting Data...</v>
      </c>
    </row>
    <row r="1103" spans="1:20" x14ac:dyDescent="0.25">
      <c r="A1103" t="str">
        <f>_xll.BDP("463641CC Muni","ID_CUSIP")</f>
        <v>#N/A Requesting Data...</v>
      </c>
      <c r="B1103" t="s">
        <v>26</v>
      </c>
      <c r="C1103" t="str">
        <f>_xll.BDP("463641CC Muni","INSURANCE_STATUS")</f>
        <v>#N/A Requesting Data...</v>
      </c>
      <c r="D1103" t="str">
        <f>_xll.BDP("463641CC Muni","STATE_CODE")</f>
        <v>#N/A Requesting Data...</v>
      </c>
      <c r="E1103" t="str">
        <f>_xll.BDP("463641CC Muni","COUNTY_LOCATION_ISSUER")</f>
        <v>#N/A Requesting Data...</v>
      </c>
      <c r="F1103" t="str">
        <f>_xll.BDP("463641CC Muni","DUR_ADJ_MID")</f>
        <v>#N/A Requesting Data...</v>
      </c>
      <c r="G1103" t="str">
        <f>_xll.BDP("463641CC Muni","SPREAD_AT_ISSUANCE_TO_WORST")</f>
        <v>#N/A Requesting Data...</v>
      </c>
      <c r="H1103" t="str">
        <f>_xll.BDP("463641CC Muni","ISSUE_DT")</f>
        <v>#N/A Requesting Data...</v>
      </c>
      <c r="I1103" t="str">
        <f>_xll.BDS("463641CC Muni","MUNI_PURPOSE_SCHED", "aggregate=y")</f>
        <v>#N/A Review</v>
      </c>
      <c r="J1103" t="str">
        <f>_xll.BDP("463641CC Muni","CPN")</f>
        <v>#N/A Requesting Data...</v>
      </c>
      <c r="K1103" t="str">
        <f>_xll.BDP("463641CC Muni","MATURITY")</f>
        <v>#N/A Requesting Data...</v>
      </c>
      <c r="L1103">
        <v>4555000</v>
      </c>
      <c r="M1103" t="str">
        <f>_xll.BDP("463641CC Muni","YIELD_ON_ISSUE_DATE")</f>
        <v>#N/A Requesting Data...</v>
      </c>
      <c r="N1103" t="str">
        <f>_xll.BDP("463641CC Muni","YTW_SPREAD_TO_MATURITY_AT_ISSU")</f>
        <v>#N/A Requesting Data...</v>
      </c>
      <c r="O1103" t="str">
        <f>_xll.BDP("463641CC Muni","BVAL_MID_YTM")</f>
        <v>#N/A Requesting Data...</v>
      </c>
      <c r="P1103" t="str">
        <f>_xll.BDP("463641CC Muni","MUNI_TAX_PROV")</f>
        <v>#N/A Requesting Data...</v>
      </c>
      <c r="Q1103" t="str">
        <f>_xll.BDP("463641CC Muni","MUNI_FED_TAX")</f>
        <v>#N/A Requesting Data...</v>
      </c>
      <c r="R1103" t="str">
        <f>_xll.BDP("463641CC Muni","MUNI_MSRB_VOLUME")</f>
        <v>#N/A Requesting Data...</v>
      </c>
      <c r="S1103" t="str">
        <f>_xll.BDP("463641CC Muni","BB_COMPOSITE")</f>
        <v>#N/A Requesting Data...</v>
      </c>
      <c r="T1103" t="str">
        <f>_xll.BDP("463641CC Muni","LQA_LIQUIDITY_SCORE")</f>
        <v>#N/A Requesting Data...</v>
      </c>
    </row>
    <row r="1104" spans="1:20" x14ac:dyDescent="0.25">
      <c r="A1104" t="str">
        <f>_xll.BDP("463831NT Muni","ID_CUSIP")</f>
        <v>#N/A Requesting Data...</v>
      </c>
      <c r="B1104" t="s">
        <v>84</v>
      </c>
      <c r="C1104" t="str">
        <f>_xll.BDP("463831NT Muni","INSURANCE_STATUS")</f>
        <v>#N/A Requesting Data...</v>
      </c>
      <c r="D1104" t="str">
        <f>_xll.BDP("463831NT Muni","STATE_CODE")</f>
        <v>#N/A Requesting Data...</v>
      </c>
      <c r="E1104" t="str">
        <f>_xll.BDP("463831NT Muni","COUNTY_LOCATION_ISSUER")</f>
        <v>#N/A Requesting Data...</v>
      </c>
      <c r="F1104" t="str">
        <f>_xll.BDP("463831NT Muni","DUR_ADJ_MID")</f>
        <v>#N/A Requesting Data...</v>
      </c>
      <c r="G1104" t="str">
        <f>_xll.BDP("463831NT Muni","SPREAD_AT_ISSUANCE_TO_WORST")</f>
        <v>#N/A Requesting Data...</v>
      </c>
      <c r="H1104" t="str">
        <f>_xll.BDP("463831NT Muni","ISSUE_DT")</f>
        <v>#N/A Requesting Data...</v>
      </c>
      <c r="I1104" t="str">
        <f>_xll.BDS("463831NT Muni","MUNI_PURPOSE_SCHED", "aggregate=y")</f>
        <v>#N/A Review</v>
      </c>
      <c r="J1104" t="str">
        <f>_xll.BDP("463831NT Muni","CPN")</f>
        <v>#N/A Requesting Data...</v>
      </c>
      <c r="K1104" t="str">
        <f>_xll.BDP("463831NT Muni","MATURITY")</f>
        <v>#N/A Requesting Data...</v>
      </c>
      <c r="L1104">
        <v>1565000</v>
      </c>
      <c r="M1104" t="str">
        <f>_xll.BDP("463831NT Muni","YIELD_ON_ISSUE_DATE")</f>
        <v>#N/A Requesting Data...</v>
      </c>
      <c r="N1104" t="str">
        <f>_xll.BDP("463831NT Muni","YTW_SPREAD_TO_MATURITY_AT_ISSU")</f>
        <v>#N/A Requesting Data...</v>
      </c>
      <c r="O1104" t="str">
        <f>_xll.BDP("463831NT Muni","BVAL_MID_YTM")</f>
        <v>#N/A Requesting Data...</v>
      </c>
      <c r="P1104" t="str">
        <f>_xll.BDP("463831NT Muni","MUNI_TAX_PROV")</f>
        <v>#N/A Requesting Data...</v>
      </c>
      <c r="Q1104" t="str">
        <f>_xll.BDP("463831NT Muni","MUNI_FED_TAX")</f>
        <v>#N/A Requesting Data...</v>
      </c>
      <c r="R1104" t="str">
        <f>_xll.BDP("463831NT Muni","MUNI_MSRB_VOLUME")</f>
        <v>#N/A Requesting Data...</v>
      </c>
      <c r="S1104" t="str">
        <f>_xll.BDP("463831NT Muni","BB_COMPOSITE")</f>
        <v>#N/A Requesting Data...</v>
      </c>
      <c r="T1104" t="str">
        <f>_xll.BDP("463831NT Muni","LQA_LIQUIDITY_SCORE")</f>
        <v>#N/A Requesting Data...</v>
      </c>
    </row>
    <row r="1105" spans="1:20" x14ac:dyDescent="0.25">
      <c r="A1105" t="str">
        <f>_xll.BDP("463831NU Muni","ID_CUSIP")</f>
        <v>#N/A Requesting Data...</v>
      </c>
      <c r="B1105" t="s">
        <v>84</v>
      </c>
      <c r="C1105" t="str">
        <f>_xll.BDP("463831NU Muni","INSURANCE_STATUS")</f>
        <v>#N/A Requesting Data...</v>
      </c>
      <c r="D1105" t="str">
        <f>_xll.BDP("463831NU Muni","STATE_CODE")</f>
        <v>#N/A Requesting Data...</v>
      </c>
      <c r="E1105" t="str">
        <f>_xll.BDP("463831NU Muni","COUNTY_LOCATION_ISSUER")</f>
        <v>#N/A Requesting Data...</v>
      </c>
      <c r="F1105" t="str">
        <f>_xll.BDP("463831NU Muni","DUR_ADJ_MID")</f>
        <v>#N/A Requesting Data...</v>
      </c>
      <c r="G1105" t="str">
        <f>_xll.BDP("463831NU Muni","SPREAD_AT_ISSUANCE_TO_WORST")</f>
        <v>#N/A Requesting Data...</v>
      </c>
      <c r="H1105" t="str">
        <f>_xll.BDP("463831NU Muni","ISSUE_DT")</f>
        <v>#N/A Requesting Data...</v>
      </c>
      <c r="I1105" t="str">
        <f>_xll.BDS("463831NU Muni","MUNI_PURPOSE_SCHED", "aggregate=y")</f>
        <v>#N/A Review</v>
      </c>
      <c r="J1105" t="str">
        <f>_xll.BDP("463831NU Muni","CPN")</f>
        <v>#N/A Requesting Data...</v>
      </c>
      <c r="K1105" t="str">
        <f>_xll.BDP("463831NU Muni","MATURITY")</f>
        <v>#N/A Requesting Data...</v>
      </c>
      <c r="L1105">
        <v>1645000</v>
      </c>
      <c r="M1105" t="str">
        <f>_xll.BDP("463831NU Muni","YIELD_ON_ISSUE_DATE")</f>
        <v>#N/A Requesting Data...</v>
      </c>
      <c r="N1105" t="str">
        <f>_xll.BDP("463831NU Muni","YTW_SPREAD_TO_MATURITY_AT_ISSU")</f>
        <v>#N/A Requesting Data...</v>
      </c>
      <c r="O1105" t="str">
        <f>_xll.BDP("463831NU Muni","BVAL_MID_YTM")</f>
        <v>#N/A Requesting Data...</v>
      </c>
      <c r="P1105" t="str">
        <f>_xll.BDP("463831NU Muni","MUNI_TAX_PROV")</f>
        <v>#N/A Requesting Data...</v>
      </c>
      <c r="Q1105" t="str">
        <f>_xll.BDP("463831NU Muni","MUNI_FED_TAX")</f>
        <v>#N/A Requesting Data...</v>
      </c>
      <c r="R1105" t="str">
        <f>_xll.BDP("463831NU Muni","MUNI_MSRB_VOLUME")</f>
        <v>#N/A Requesting Data...</v>
      </c>
      <c r="S1105" t="str">
        <f>_xll.BDP("463831NU Muni","BB_COMPOSITE")</f>
        <v>#N/A Requesting Data...</v>
      </c>
      <c r="T1105" t="str">
        <f>_xll.BDP("463831NU Muni","LQA_LIQUIDITY_SCORE")</f>
        <v>#N/A Requesting Data...</v>
      </c>
    </row>
    <row r="1106" spans="1:20" x14ac:dyDescent="0.25">
      <c r="A1106" t="str">
        <f>_xll.BDP("463831NV Muni","ID_CUSIP")</f>
        <v>#N/A Requesting Data...</v>
      </c>
      <c r="B1106" t="s">
        <v>84</v>
      </c>
      <c r="C1106" t="str">
        <f>_xll.BDP("463831NV Muni","INSURANCE_STATUS")</f>
        <v>#N/A Requesting Data...</v>
      </c>
      <c r="D1106" t="str">
        <f>_xll.BDP("463831NV Muni","STATE_CODE")</f>
        <v>#N/A Requesting Data...</v>
      </c>
      <c r="E1106" t="str">
        <f>_xll.BDP("463831NV Muni","COUNTY_LOCATION_ISSUER")</f>
        <v>#N/A Requesting Data...</v>
      </c>
      <c r="F1106" t="str">
        <f>_xll.BDP("463831NV Muni","DUR_ADJ_MID")</f>
        <v>#N/A Requesting Data...</v>
      </c>
      <c r="G1106" t="str">
        <f>_xll.BDP("463831NV Muni","SPREAD_AT_ISSUANCE_TO_WORST")</f>
        <v>#N/A Requesting Data...</v>
      </c>
      <c r="H1106" t="str">
        <f>_xll.BDP("463831NV Muni","ISSUE_DT")</f>
        <v>#N/A Requesting Data...</v>
      </c>
      <c r="I1106" t="str">
        <f>_xll.BDS("463831NV Muni","MUNI_PURPOSE_SCHED", "aggregate=y")</f>
        <v>#N/A Review</v>
      </c>
      <c r="J1106" t="str">
        <f>_xll.BDP("463831NV Muni","CPN")</f>
        <v>#N/A Requesting Data...</v>
      </c>
      <c r="K1106" t="str">
        <f>_xll.BDP("463831NV Muni","MATURITY")</f>
        <v>#N/A Requesting Data...</v>
      </c>
      <c r="L1106">
        <v>1730000</v>
      </c>
      <c r="M1106" t="str">
        <f>_xll.BDP("463831NV Muni","YIELD_ON_ISSUE_DATE")</f>
        <v>#N/A Requesting Data...</v>
      </c>
      <c r="N1106" t="str">
        <f>_xll.BDP("463831NV Muni","YTW_SPREAD_TO_MATURITY_AT_ISSU")</f>
        <v>#N/A Requesting Data...</v>
      </c>
      <c r="O1106" t="str">
        <f>_xll.BDP("463831NV Muni","BVAL_MID_YTM")</f>
        <v>#N/A Requesting Data...</v>
      </c>
      <c r="P1106" t="str">
        <f>_xll.BDP("463831NV Muni","MUNI_TAX_PROV")</f>
        <v>#N/A Requesting Data...</v>
      </c>
      <c r="Q1106" t="str">
        <f>_xll.BDP("463831NV Muni","MUNI_FED_TAX")</f>
        <v>#N/A Requesting Data...</v>
      </c>
      <c r="R1106" t="str">
        <f>_xll.BDP("463831NV Muni","MUNI_MSRB_VOLUME")</f>
        <v>#N/A Requesting Data...</v>
      </c>
      <c r="S1106" t="str">
        <f>_xll.BDP("463831NV Muni","BB_COMPOSITE")</f>
        <v>#N/A Requesting Data...</v>
      </c>
      <c r="T1106" t="str">
        <f>_xll.BDP("463831NV Muni","LQA_LIQUIDITY_SCORE")</f>
        <v>#N/A Requesting Data...</v>
      </c>
    </row>
    <row r="1107" spans="1:20" x14ac:dyDescent="0.25">
      <c r="A1107" t="str">
        <f>_xll.BDP("463831NW Muni","ID_CUSIP")</f>
        <v>#N/A Requesting Data...</v>
      </c>
      <c r="B1107" t="s">
        <v>84</v>
      </c>
      <c r="C1107" t="str">
        <f>_xll.BDP("463831NW Muni","INSURANCE_STATUS")</f>
        <v>#N/A Requesting Data...</v>
      </c>
      <c r="D1107" t="str">
        <f>_xll.BDP("463831NW Muni","STATE_CODE")</f>
        <v>#N/A Requesting Data...</v>
      </c>
      <c r="E1107" t="str">
        <f>_xll.BDP("463831NW Muni","COUNTY_LOCATION_ISSUER")</f>
        <v>#N/A Requesting Data...</v>
      </c>
      <c r="F1107" t="str">
        <f>_xll.BDP("463831NW Muni","DUR_ADJ_MID")</f>
        <v>#N/A Requesting Data...</v>
      </c>
      <c r="G1107" t="str">
        <f>_xll.BDP("463831NW Muni","SPREAD_AT_ISSUANCE_TO_WORST")</f>
        <v>#N/A Requesting Data...</v>
      </c>
      <c r="H1107" t="str">
        <f>_xll.BDP("463831NW Muni","ISSUE_DT")</f>
        <v>#N/A Requesting Data...</v>
      </c>
      <c r="I1107" t="str">
        <f>_xll.BDS("463831NW Muni","MUNI_PURPOSE_SCHED", "aggregate=y")</f>
        <v>#N/A Review</v>
      </c>
      <c r="J1107" t="str">
        <f>_xll.BDP("463831NW Muni","CPN")</f>
        <v>#N/A Requesting Data...</v>
      </c>
      <c r="K1107" t="str">
        <f>_xll.BDP("463831NW Muni","MATURITY")</f>
        <v>#N/A Requesting Data...</v>
      </c>
      <c r="L1107">
        <v>1815000</v>
      </c>
      <c r="M1107" t="str">
        <f>_xll.BDP("463831NW Muni","YIELD_ON_ISSUE_DATE")</f>
        <v>#N/A Requesting Data...</v>
      </c>
      <c r="N1107" t="str">
        <f>_xll.BDP("463831NW Muni","YTW_SPREAD_TO_MATURITY_AT_ISSU")</f>
        <v>#N/A Requesting Data...</v>
      </c>
      <c r="O1107" t="str">
        <f>_xll.BDP("463831NW Muni","BVAL_MID_YTM")</f>
        <v>#N/A Requesting Data...</v>
      </c>
      <c r="P1107" t="str">
        <f>_xll.BDP("463831NW Muni","MUNI_TAX_PROV")</f>
        <v>#N/A Requesting Data...</v>
      </c>
      <c r="Q1107" t="str">
        <f>_xll.BDP("463831NW Muni","MUNI_FED_TAX")</f>
        <v>#N/A Requesting Data...</v>
      </c>
      <c r="R1107" t="str">
        <f>_xll.BDP("463831NW Muni","MUNI_MSRB_VOLUME")</f>
        <v>#N/A Requesting Data...</v>
      </c>
      <c r="S1107" t="str">
        <f>_xll.BDP("463831NW Muni","BB_COMPOSITE")</f>
        <v>#N/A Requesting Data...</v>
      </c>
      <c r="T1107" t="str">
        <f>_xll.BDP("463831NW Muni","LQA_LIQUIDITY_SCORE")</f>
        <v>#N/A Requesting Data...</v>
      </c>
    </row>
    <row r="1108" spans="1:20" x14ac:dyDescent="0.25">
      <c r="A1108" t="str">
        <f>_xll.BDP("491196QS Muni","ID_CUSIP")</f>
        <v>#N/A Requesting Data...</v>
      </c>
      <c r="B1108" t="s">
        <v>379</v>
      </c>
      <c r="C1108" t="str">
        <f>_xll.BDP("491196QS Muni","INSURANCE_STATUS")</f>
        <v>#N/A Requesting Data...</v>
      </c>
      <c r="D1108" t="str">
        <f>_xll.BDP("491196QS Muni","STATE_CODE")</f>
        <v>#N/A Requesting Data...</v>
      </c>
      <c r="E1108" t="str">
        <f>_xll.BDP("491196QS Muni","COUNTY_LOCATION_ISSUER")</f>
        <v>#N/A Requesting Data...</v>
      </c>
      <c r="F1108" t="str">
        <f>_xll.BDP("491196QS Muni","DUR_ADJ_MID")</f>
        <v>#N/A Requesting Data...</v>
      </c>
      <c r="G1108" t="str">
        <f>_xll.BDP("491196QS Muni","SPREAD_AT_ISSUANCE_TO_WORST")</f>
        <v>#N/A Requesting Data...</v>
      </c>
      <c r="H1108" t="str">
        <f>_xll.BDP("491196QS Muni","ISSUE_DT")</f>
        <v>#N/A Requesting Data...</v>
      </c>
      <c r="I1108" t="str">
        <f>_xll.BDS("491196QS Muni","MUNI_PURPOSE_SCHED", "aggregate=y")</f>
        <v>#N/A Review</v>
      </c>
      <c r="J1108" t="str">
        <f>_xll.BDP("491196QS Muni","CPN")</f>
        <v>#N/A Requesting Data...</v>
      </c>
      <c r="K1108" t="str">
        <f>_xll.BDP("491196QS Muni","MATURITY")</f>
        <v>#N/A Requesting Data...</v>
      </c>
      <c r="L1108">
        <v>180000</v>
      </c>
      <c r="M1108" t="str">
        <f>_xll.BDP("491196QS Muni","YIELD_ON_ISSUE_DATE")</f>
        <v>#N/A Requesting Data...</v>
      </c>
      <c r="N1108" t="str">
        <f>_xll.BDP("491196QS Muni","YTW_SPREAD_TO_MATURITY_AT_ISSU")</f>
        <v>#N/A Requesting Data...</v>
      </c>
      <c r="O1108" t="str">
        <f>_xll.BDP("491196QS Muni","BVAL_MID_YTM")</f>
        <v>#N/A Requesting Data...</v>
      </c>
      <c r="P1108" t="str">
        <f>_xll.BDP("491196QS Muni","MUNI_TAX_PROV")</f>
        <v>#N/A Requesting Data...</v>
      </c>
      <c r="Q1108" t="str">
        <f>_xll.BDP("491196QS Muni","MUNI_FED_TAX")</f>
        <v>#N/A Requesting Data...</v>
      </c>
      <c r="R1108" t="str">
        <f>_xll.BDP("491196QS Muni","MUNI_MSRB_VOLUME")</f>
        <v>#N/A Requesting Data...</v>
      </c>
      <c r="S1108" t="str">
        <f>_xll.BDP("491196QS Muni","BB_COMPOSITE")</f>
        <v>#N/A Requesting Data...</v>
      </c>
      <c r="T1108" t="str">
        <f>_xll.BDP("491196QS Muni","LQA_LIQUIDITY_SCORE")</f>
        <v>#N/A Requesting Data...</v>
      </c>
    </row>
    <row r="1109" spans="1:20" x14ac:dyDescent="0.25">
      <c r="A1109" t="str">
        <f>_xll.BDP("491196QT Muni","ID_CUSIP")</f>
        <v>#N/A Requesting Data...</v>
      </c>
      <c r="B1109" t="s">
        <v>379</v>
      </c>
      <c r="C1109" t="str">
        <f>_xll.BDP("491196QT Muni","INSURANCE_STATUS")</f>
        <v>#N/A Requesting Data...</v>
      </c>
      <c r="D1109" t="str">
        <f>_xll.BDP("491196QT Muni","STATE_CODE")</f>
        <v>#N/A Requesting Data...</v>
      </c>
      <c r="E1109" t="str">
        <f>_xll.BDP("491196QT Muni","COUNTY_LOCATION_ISSUER")</f>
        <v>#N/A Requesting Data...</v>
      </c>
      <c r="F1109" t="str">
        <f>_xll.BDP("491196QT Muni","DUR_ADJ_MID")</f>
        <v>#N/A Requesting Data...</v>
      </c>
      <c r="G1109" t="str">
        <f>_xll.BDP("491196QT Muni","SPREAD_AT_ISSUANCE_TO_WORST")</f>
        <v>#N/A Requesting Data...</v>
      </c>
      <c r="H1109" t="str">
        <f>_xll.BDP("491196QT Muni","ISSUE_DT")</f>
        <v>#N/A Requesting Data...</v>
      </c>
      <c r="I1109" t="str">
        <f>_xll.BDS("491196QT Muni","MUNI_PURPOSE_SCHED", "aggregate=y")</f>
        <v>#N/A Review</v>
      </c>
      <c r="J1109" t="str">
        <f>_xll.BDP("491196QT Muni","CPN")</f>
        <v>#N/A Requesting Data...</v>
      </c>
      <c r="K1109" t="str">
        <f>_xll.BDP("491196QT Muni","MATURITY")</f>
        <v>#N/A Requesting Data...</v>
      </c>
      <c r="L1109">
        <v>130000</v>
      </c>
      <c r="M1109" t="str">
        <f>_xll.BDP("491196QT Muni","YIELD_ON_ISSUE_DATE")</f>
        <v>#N/A Requesting Data...</v>
      </c>
      <c r="N1109" t="str">
        <f>_xll.BDP("491196QT Muni","YTW_SPREAD_TO_MATURITY_AT_ISSU")</f>
        <v>#N/A Requesting Data...</v>
      </c>
      <c r="O1109" t="str">
        <f>_xll.BDP("491196QT Muni","BVAL_MID_YTM")</f>
        <v>#N/A Requesting Data...</v>
      </c>
      <c r="P1109" t="str">
        <f>_xll.BDP("491196QT Muni","MUNI_TAX_PROV")</f>
        <v>#N/A Requesting Data...</v>
      </c>
      <c r="Q1109" t="str">
        <f>_xll.BDP("491196QT Muni","MUNI_FED_TAX")</f>
        <v>#N/A Requesting Data...</v>
      </c>
      <c r="R1109" t="str">
        <f>_xll.BDP("491196QT Muni","MUNI_MSRB_VOLUME")</f>
        <v>#N/A Requesting Data...</v>
      </c>
      <c r="S1109" t="str">
        <f>_xll.BDP("491196QT Muni","BB_COMPOSITE")</f>
        <v>#N/A Requesting Data...</v>
      </c>
      <c r="T1109" t="str">
        <f>_xll.BDP("491196QT Muni","LQA_LIQUIDITY_SCORE")</f>
        <v>#N/A Requesting Data...</v>
      </c>
    </row>
    <row r="1110" spans="1:20" x14ac:dyDescent="0.25">
      <c r="A1110" t="str">
        <f>_xll.BDP("491196QU Muni","ID_CUSIP")</f>
        <v>#N/A Requesting Data...</v>
      </c>
      <c r="B1110" t="s">
        <v>379</v>
      </c>
      <c r="C1110" t="str">
        <f>_xll.BDP("491196QU Muni","INSURANCE_STATUS")</f>
        <v>#N/A Requesting Data...</v>
      </c>
      <c r="D1110" t="str">
        <f>_xll.BDP("491196QU Muni","STATE_CODE")</f>
        <v>#N/A Requesting Data...</v>
      </c>
      <c r="E1110" t="str">
        <f>_xll.BDP("491196QU Muni","COUNTY_LOCATION_ISSUER")</f>
        <v>#N/A Requesting Data...</v>
      </c>
      <c r="F1110" t="str">
        <f>_xll.BDP("491196QU Muni","DUR_ADJ_MID")</f>
        <v>#N/A Requesting Data...</v>
      </c>
      <c r="G1110" t="str">
        <f>_xll.BDP("491196QU Muni","SPREAD_AT_ISSUANCE_TO_WORST")</f>
        <v>#N/A Requesting Data...</v>
      </c>
      <c r="H1110" t="str">
        <f>_xll.BDP("491196QU Muni","ISSUE_DT")</f>
        <v>#N/A Requesting Data...</v>
      </c>
      <c r="I1110" t="str">
        <f>_xll.BDS("491196QU Muni","MUNI_PURPOSE_SCHED", "aggregate=y")</f>
        <v>#N/A Review</v>
      </c>
      <c r="J1110" t="str">
        <f>_xll.BDP("491196QU Muni","CPN")</f>
        <v>#N/A Requesting Data...</v>
      </c>
      <c r="K1110" t="str">
        <f>_xll.BDP("491196QU Muni","MATURITY")</f>
        <v>#N/A Requesting Data...</v>
      </c>
      <c r="L1110">
        <v>135000</v>
      </c>
      <c r="M1110" t="str">
        <f>_xll.BDP("491196QU Muni","YIELD_ON_ISSUE_DATE")</f>
        <v>#N/A Requesting Data...</v>
      </c>
      <c r="N1110" t="str">
        <f>_xll.BDP("491196QU Muni","YTW_SPREAD_TO_MATURITY_AT_ISSU")</f>
        <v>#N/A Requesting Data...</v>
      </c>
      <c r="O1110" t="str">
        <f>_xll.BDP("491196QU Muni","BVAL_MID_YTM")</f>
        <v>#N/A Requesting Data...</v>
      </c>
      <c r="P1110" t="str">
        <f>_xll.BDP("491196QU Muni","MUNI_TAX_PROV")</f>
        <v>#N/A Requesting Data...</v>
      </c>
      <c r="Q1110" t="str">
        <f>_xll.BDP("491196QU Muni","MUNI_FED_TAX")</f>
        <v>#N/A Requesting Data...</v>
      </c>
      <c r="R1110" t="str">
        <f>_xll.BDP("491196QU Muni","MUNI_MSRB_VOLUME")</f>
        <v>#N/A Requesting Data...</v>
      </c>
      <c r="S1110" t="str">
        <f>_xll.BDP("491196QU Muni","BB_COMPOSITE")</f>
        <v>#N/A Requesting Data...</v>
      </c>
      <c r="T1110" t="str">
        <f>_xll.BDP("491196QU Muni","LQA_LIQUIDITY_SCORE")</f>
        <v>#N/A Requesting Data...</v>
      </c>
    </row>
    <row r="1111" spans="1:20" x14ac:dyDescent="0.25">
      <c r="A1111" t="str">
        <f>_xll.BDP("491196QV Muni","ID_CUSIP")</f>
        <v>#N/A Requesting Data...</v>
      </c>
      <c r="B1111" t="s">
        <v>379</v>
      </c>
      <c r="C1111" t="str">
        <f>_xll.BDP("491196QV Muni","INSURANCE_STATUS")</f>
        <v>#N/A Requesting Data...</v>
      </c>
      <c r="D1111" t="str">
        <f>_xll.BDP("491196QV Muni","STATE_CODE")</f>
        <v>#N/A Requesting Data...</v>
      </c>
      <c r="E1111" t="str">
        <f>_xll.BDP("491196QV Muni","COUNTY_LOCATION_ISSUER")</f>
        <v>#N/A Requesting Data...</v>
      </c>
      <c r="F1111" t="str">
        <f>_xll.BDP("491196QV Muni","DUR_ADJ_MID")</f>
        <v>#N/A Requesting Data...</v>
      </c>
      <c r="G1111" t="str">
        <f>_xll.BDP("491196QV Muni","SPREAD_AT_ISSUANCE_TO_WORST")</f>
        <v>#N/A Requesting Data...</v>
      </c>
      <c r="H1111" t="str">
        <f>_xll.BDP("491196QV Muni","ISSUE_DT")</f>
        <v>#N/A Requesting Data...</v>
      </c>
      <c r="I1111" t="str">
        <f>_xll.BDS("491196QV Muni","MUNI_PURPOSE_SCHED", "aggregate=y")</f>
        <v>#N/A Review</v>
      </c>
      <c r="J1111" t="str">
        <f>_xll.BDP("491196QV Muni","CPN")</f>
        <v>#N/A Requesting Data...</v>
      </c>
      <c r="K1111" t="str">
        <f>_xll.BDP("491196QV Muni","MATURITY")</f>
        <v>#N/A Requesting Data...</v>
      </c>
      <c r="L1111">
        <v>140000</v>
      </c>
      <c r="M1111" t="str">
        <f>_xll.BDP("491196QV Muni","YIELD_ON_ISSUE_DATE")</f>
        <v>#N/A Requesting Data...</v>
      </c>
      <c r="N1111" t="str">
        <f>_xll.BDP("491196QV Muni","YTW_SPREAD_TO_MATURITY_AT_ISSU")</f>
        <v>#N/A Requesting Data...</v>
      </c>
      <c r="O1111" t="str">
        <f>_xll.BDP("491196QV Muni","BVAL_MID_YTM")</f>
        <v>#N/A Requesting Data...</v>
      </c>
      <c r="P1111" t="str">
        <f>_xll.BDP("491196QV Muni","MUNI_TAX_PROV")</f>
        <v>#N/A Requesting Data...</v>
      </c>
      <c r="Q1111" t="str">
        <f>_xll.BDP("491196QV Muni","MUNI_FED_TAX")</f>
        <v>#N/A Requesting Data...</v>
      </c>
      <c r="R1111" t="str">
        <f>_xll.BDP("491196QV Muni","MUNI_MSRB_VOLUME")</f>
        <v>#N/A Requesting Data...</v>
      </c>
      <c r="S1111" t="str">
        <f>_xll.BDP("491196QV Muni","BB_COMPOSITE")</f>
        <v>#N/A Requesting Data...</v>
      </c>
      <c r="T1111" t="str">
        <f>_xll.BDP("491196QV Muni","LQA_LIQUIDITY_SCORE")</f>
        <v>#N/A Requesting Data...</v>
      </c>
    </row>
    <row r="1112" spans="1:20" x14ac:dyDescent="0.25">
      <c r="A1112" t="str">
        <f>_xll.BDP("491207TT Muni","ID_CUSIP")</f>
        <v>#N/A Requesting Data...</v>
      </c>
      <c r="B1112" t="s">
        <v>380</v>
      </c>
      <c r="C1112" t="str">
        <f>_xll.BDP("491207TT Muni","INSURANCE_STATUS")</f>
        <v>#N/A Requesting Data...</v>
      </c>
      <c r="D1112" t="str">
        <f>_xll.BDP("491207TT Muni","STATE_CODE")</f>
        <v>#N/A Requesting Data...</v>
      </c>
      <c r="E1112" t="str">
        <f>_xll.BDP("491207TT Muni","COUNTY_LOCATION_ISSUER")</f>
        <v>#N/A Requesting Data...</v>
      </c>
      <c r="F1112" t="str">
        <f>_xll.BDP("491207TT Muni","DUR_ADJ_MID")</f>
        <v>#N/A Requesting Data...</v>
      </c>
      <c r="G1112" t="str">
        <f>_xll.BDP("491207TT Muni","SPREAD_AT_ISSUANCE_TO_WORST")</f>
        <v>#N/A Requesting Data...</v>
      </c>
      <c r="H1112" t="str">
        <f>_xll.BDP("491207TT Muni","ISSUE_DT")</f>
        <v>#N/A Requesting Data...</v>
      </c>
      <c r="I1112" t="str">
        <f>_xll.BDS("491207TT Muni","MUNI_PURPOSE_SCHED", "aggregate=y")</f>
        <v>#N/A Review</v>
      </c>
      <c r="J1112" t="str">
        <f>_xll.BDP("491207TT Muni","CPN")</f>
        <v>#N/A Requesting Data...</v>
      </c>
      <c r="K1112" t="str">
        <f>_xll.BDP("491207TT Muni","MATURITY")</f>
        <v>#N/A Requesting Data...</v>
      </c>
      <c r="L1112">
        <v>85000</v>
      </c>
      <c r="M1112" t="str">
        <f>_xll.BDP("491207TT Muni","YIELD_ON_ISSUE_DATE")</f>
        <v>#N/A Requesting Data...</v>
      </c>
      <c r="N1112" t="str">
        <f>_xll.BDP("491207TT Muni","YTW_SPREAD_TO_MATURITY_AT_ISSU")</f>
        <v>#N/A Requesting Data...</v>
      </c>
      <c r="O1112" t="str">
        <f>_xll.BDP("491207TT Muni","BVAL_MID_YTM")</f>
        <v>#N/A Requesting Data...</v>
      </c>
      <c r="P1112" t="str">
        <f>_xll.BDP("491207TT Muni","MUNI_TAX_PROV")</f>
        <v>#N/A Requesting Data...</v>
      </c>
      <c r="Q1112" t="str">
        <f>_xll.BDP("491207TT Muni","MUNI_FED_TAX")</f>
        <v>#N/A Requesting Data...</v>
      </c>
      <c r="R1112" t="str">
        <f>_xll.BDP("491207TT Muni","MUNI_MSRB_VOLUME")</f>
        <v>#N/A Requesting Data...</v>
      </c>
      <c r="S1112" t="str">
        <f>_xll.BDP("491207TT Muni","BB_COMPOSITE")</f>
        <v>#N/A Requesting Data...</v>
      </c>
      <c r="T1112" t="str">
        <f>_xll.BDP("491207TT Muni","LQA_LIQUIDITY_SCORE")</f>
        <v>#N/A Requesting Data...</v>
      </c>
    </row>
    <row r="1113" spans="1:20" x14ac:dyDescent="0.25">
      <c r="A1113" t="str">
        <f>_xll.BDP("491207TU Muni","ID_CUSIP")</f>
        <v>#N/A Requesting Data...</v>
      </c>
      <c r="B1113" t="s">
        <v>380</v>
      </c>
      <c r="C1113" t="str">
        <f>_xll.BDP("491207TU Muni","INSURANCE_STATUS")</f>
        <v>#N/A Requesting Data...</v>
      </c>
      <c r="D1113" t="str">
        <f>_xll.BDP("491207TU Muni","STATE_CODE")</f>
        <v>#N/A Requesting Data...</v>
      </c>
      <c r="E1113" t="str">
        <f>_xll.BDP("491207TU Muni","COUNTY_LOCATION_ISSUER")</f>
        <v>#N/A Requesting Data...</v>
      </c>
      <c r="F1113" t="str">
        <f>_xll.BDP("491207TU Muni","DUR_ADJ_MID")</f>
        <v>#N/A Requesting Data...</v>
      </c>
      <c r="G1113" t="str">
        <f>_xll.BDP("491207TU Muni","SPREAD_AT_ISSUANCE_TO_WORST")</f>
        <v>#N/A Requesting Data...</v>
      </c>
      <c r="H1113" t="str">
        <f>_xll.BDP("491207TU Muni","ISSUE_DT")</f>
        <v>#N/A Requesting Data...</v>
      </c>
      <c r="I1113" t="str">
        <f>_xll.BDS("491207TU Muni","MUNI_PURPOSE_SCHED", "aggregate=y")</f>
        <v>#N/A Review</v>
      </c>
      <c r="J1113" t="str">
        <f>_xll.BDP("491207TU Muni","CPN")</f>
        <v>#N/A Requesting Data...</v>
      </c>
      <c r="K1113" t="str">
        <f>_xll.BDP("491207TU Muni","MATURITY")</f>
        <v>#N/A Requesting Data...</v>
      </c>
      <c r="L1113">
        <v>95000</v>
      </c>
      <c r="M1113" t="str">
        <f>_xll.BDP("491207TU Muni","YIELD_ON_ISSUE_DATE")</f>
        <v>#N/A Requesting Data...</v>
      </c>
      <c r="N1113" t="str">
        <f>_xll.BDP("491207TU Muni","YTW_SPREAD_TO_MATURITY_AT_ISSU")</f>
        <v>#N/A Requesting Data...</v>
      </c>
      <c r="O1113" t="str">
        <f>_xll.BDP("491207TU Muni","BVAL_MID_YTM")</f>
        <v>#N/A Requesting Data...</v>
      </c>
      <c r="P1113" t="str">
        <f>_xll.BDP("491207TU Muni","MUNI_TAX_PROV")</f>
        <v>#N/A Requesting Data...</v>
      </c>
      <c r="Q1113" t="str">
        <f>_xll.BDP("491207TU Muni","MUNI_FED_TAX")</f>
        <v>#N/A Requesting Data...</v>
      </c>
      <c r="R1113" t="str">
        <f>_xll.BDP("491207TU Muni","MUNI_MSRB_VOLUME")</f>
        <v>#N/A Requesting Data...</v>
      </c>
      <c r="S1113" t="str">
        <f>_xll.BDP("491207TU Muni","BB_COMPOSITE")</f>
        <v>#N/A Requesting Data...</v>
      </c>
      <c r="T1113" t="str">
        <f>_xll.BDP("491207TU Muni","LQA_LIQUIDITY_SCORE")</f>
        <v>#N/A Requesting Data...</v>
      </c>
    </row>
    <row r="1114" spans="1:20" x14ac:dyDescent="0.25">
      <c r="A1114" t="str">
        <f>_xll.BDP("491207TV Muni","ID_CUSIP")</f>
        <v>#N/A Requesting Data...</v>
      </c>
      <c r="B1114" t="s">
        <v>380</v>
      </c>
      <c r="C1114" t="str">
        <f>_xll.BDP("491207TV Muni","INSURANCE_STATUS")</f>
        <v>#N/A Requesting Data...</v>
      </c>
      <c r="D1114" t="str">
        <f>_xll.BDP("491207TV Muni","STATE_CODE")</f>
        <v>#N/A Requesting Data...</v>
      </c>
      <c r="E1114" t="str">
        <f>_xll.BDP("491207TV Muni","COUNTY_LOCATION_ISSUER")</f>
        <v>#N/A Requesting Data...</v>
      </c>
      <c r="F1114" t="str">
        <f>_xll.BDP("491207TV Muni","DUR_ADJ_MID")</f>
        <v>#N/A Requesting Data...</v>
      </c>
      <c r="G1114" t="str">
        <f>_xll.BDP("491207TV Muni","SPREAD_AT_ISSUANCE_TO_WORST")</f>
        <v>#N/A Requesting Data...</v>
      </c>
      <c r="H1114" t="str">
        <f>_xll.BDP("491207TV Muni","ISSUE_DT")</f>
        <v>#N/A Requesting Data...</v>
      </c>
      <c r="I1114" t="str">
        <f>_xll.BDS("491207TV Muni","MUNI_PURPOSE_SCHED", "aggregate=y")</f>
        <v>#N/A Review</v>
      </c>
      <c r="J1114" t="str">
        <f>_xll.BDP("491207TV Muni","CPN")</f>
        <v>#N/A Requesting Data...</v>
      </c>
      <c r="K1114" t="str">
        <f>_xll.BDP("491207TV Muni","MATURITY")</f>
        <v>#N/A Requesting Data...</v>
      </c>
      <c r="L1114">
        <v>105000</v>
      </c>
      <c r="M1114" t="str">
        <f>_xll.BDP("491207TV Muni","YIELD_ON_ISSUE_DATE")</f>
        <v>#N/A Requesting Data...</v>
      </c>
      <c r="N1114" t="str">
        <f>_xll.BDP("491207TV Muni","YTW_SPREAD_TO_MATURITY_AT_ISSU")</f>
        <v>#N/A Requesting Data...</v>
      </c>
      <c r="O1114" t="str">
        <f>_xll.BDP("491207TV Muni","BVAL_MID_YTM")</f>
        <v>#N/A Requesting Data...</v>
      </c>
      <c r="P1114" t="str">
        <f>_xll.BDP("491207TV Muni","MUNI_TAX_PROV")</f>
        <v>#N/A Requesting Data...</v>
      </c>
      <c r="Q1114" t="str">
        <f>_xll.BDP("491207TV Muni","MUNI_FED_TAX")</f>
        <v>#N/A Requesting Data...</v>
      </c>
      <c r="R1114" t="str">
        <f>_xll.BDP("491207TV Muni","MUNI_MSRB_VOLUME")</f>
        <v>#N/A Requesting Data...</v>
      </c>
      <c r="S1114" t="str">
        <f>_xll.BDP("491207TV Muni","BB_COMPOSITE")</f>
        <v>#N/A Requesting Data...</v>
      </c>
      <c r="T1114" t="str">
        <f>_xll.BDP("491207TV Muni","LQA_LIQUIDITY_SCORE")</f>
        <v>#N/A Requesting Data...</v>
      </c>
    </row>
    <row r="1115" spans="1:20" x14ac:dyDescent="0.25">
      <c r="A1115" t="str">
        <f>_xll.BDP("491207TW Muni","ID_CUSIP")</f>
        <v>#N/A Requesting Data...</v>
      </c>
      <c r="B1115" t="s">
        <v>380</v>
      </c>
      <c r="C1115" t="str">
        <f>_xll.BDP("491207TW Muni","INSURANCE_STATUS")</f>
        <v>#N/A Requesting Data...</v>
      </c>
      <c r="D1115" t="str">
        <f>_xll.BDP("491207TW Muni","STATE_CODE")</f>
        <v>#N/A Requesting Data...</v>
      </c>
      <c r="E1115" t="str">
        <f>_xll.BDP("491207TW Muni","COUNTY_LOCATION_ISSUER")</f>
        <v>#N/A Requesting Data...</v>
      </c>
      <c r="F1115" t="str">
        <f>_xll.BDP("491207TW Muni","DUR_ADJ_MID")</f>
        <v>#N/A Requesting Data...</v>
      </c>
      <c r="G1115" t="str">
        <f>_xll.BDP("491207TW Muni","SPREAD_AT_ISSUANCE_TO_WORST")</f>
        <v>#N/A Requesting Data...</v>
      </c>
      <c r="H1115" t="str">
        <f>_xll.BDP("491207TW Muni","ISSUE_DT")</f>
        <v>#N/A Requesting Data...</v>
      </c>
      <c r="I1115" t="str">
        <f>_xll.BDS("491207TW Muni","MUNI_PURPOSE_SCHED", "aggregate=y")</f>
        <v>#N/A Review</v>
      </c>
      <c r="J1115" t="str">
        <f>_xll.BDP("491207TW Muni","CPN")</f>
        <v>#N/A Requesting Data...</v>
      </c>
      <c r="K1115" t="str">
        <f>_xll.BDP("491207TW Muni","MATURITY")</f>
        <v>#N/A Requesting Data...</v>
      </c>
      <c r="L1115">
        <v>115000</v>
      </c>
      <c r="M1115" t="str">
        <f>_xll.BDP("491207TW Muni","YIELD_ON_ISSUE_DATE")</f>
        <v>#N/A Requesting Data...</v>
      </c>
      <c r="N1115" t="str">
        <f>_xll.BDP("491207TW Muni","YTW_SPREAD_TO_MATURITY_AT_ISSU")</f>
        <v>#N/A Requesting Data...</v>
      </c>
      <c r="O1115" t="str">
        <f>_xll.BDP("491207TW Muni","BVAL_MID_YTM")</f>
        <v>#N/A Requesting Data...</v>
      </c>
      <c r="P1115" t="str">
        <f>_xll.BDP("491207TW Muni","MUNI_TAX_PROV")</f>
        <v>#N/A Requesting Data...</v>
      </c>
      <c r="Q1115" t="str">
        <f>_xll.BDP("491207TW Muni","MUNI_FED_TAX")</f>
        <v>#N/A Requesting Data...</v>
      </c>
      <c r="R1115" t="str">
        <f>_xll.BDP("491207TW Muni","MUNI_MSRB_VOLUME")</f>
        <v>#N/A Requesting Data...</v>
      </c>
      <c r="S1115" t="str">
        <f>_xll.BDP("491207TW Muni","BB_COMPOSITE")</f>
        <v>#N/A Requesting Data...</v>
      </c>
      <c r="T1115" t="str">
        <f>_xll.BDP("491207TW Muni","LQA_LIQUIDITY_SCORE")</f>
        <v>#N/A Requesting Data...</v>
      </c>
    </row>
    <row r="1116" spans="1:20" x14ac:dyDescent="0.25">
      <c r="A1116" t="str">
        <f>_xll.BDP("491207VD Muni","ID_CUSIP")</f>
        <v>#N/A Requesting Data...</v>
      </c>
      <c r="B1116" t="s">
        <v>380</v>
      </c>
      <c r="C1116" t="str">
        <f>_xll.BDP("491207VD Muni","INSURANCE_STATUS")</f>
        <v>#N/A Requesting Data...</v>
      </c>
      <c r="D1116" t="str">
        <f>_xll.BDP("491207VD Muni","STATE_CODE")</f>
        <v>#N/A Requesting Data...</v>
      </c>
      <c r="E1116" t="str">
        <f>_xll.BDP("491207VD Muni","COUNTY_LOCATION_ISSUER")</f>
        <v>#N/A Requesting Data...</v>
      </c>
      <c r="F1116" t="str">
        <f>_xll.BDP("491207VD Muni","DUR_ADJ_MID")</f>
        <v>#N/A Requesting Data...</v>
      </c>
      <c r="G1116" t="str">
        <f>_xll.BDP("491207VD Muni","SPREAD_AT_ISSUANCE_TO_WORST")</f>
        <v>#N/A Requesting Data...</v>
      </c>
      <c r="H1116" t="str">
        <f>_xll.BDP("491207VD Muni","ISSUE_DT")</f>
        <v>#N/A Requesting Data...</v>
      </c>
      <c r="I1116" t="str">
        <f>_xll.BDS("491207VD Muni","MUNI_PURPOSE_SCHED", "aggregate=y")</f>
        <v>#N/A Review</v>
      </c>
      <c r="J1116" t="str">
        <f>_xll.BDP("491207VD Muni","CPN")</f>
        <v>#N/A Requesting Data...</v>
      </c>
      <c r="K1116" t="str">
        <f>_xll.BDP("491207VD Muni","MATURITY")</f>
        <v>#N/A Requesting Data...</v>
      </c>
      <c r="L1116">
        <v>175000</v>
      </c>
      <c r="M1116" t="str">
        <f>_xll.BDP("491207VD Muni","YIELD_ON_ISSUE_DATE")</f>
        <v>#N/A Requesting Data...</v>
      </c>
      <c r="N1116" t="str">
        <f>_xll.BDP("491207VD Muni","YTW_SPREAD_TO_MATURITY_AT_ISSU")</f>
        <v>#N/A Requesting Data...</v>
      </c>
      <c r="O1116" t="str">
        <f>_xll.BDP("491207VD Muni","BVAL_MID_YTM")</f>
        <v>#N/A Requesting Data...</v>
      </c>
      <c r="P1116" t="str">
        <f>_xll.BDP("491207VD Muni","MUNI_TAX_PROV")</f>
        <v>#N/A Requesting Data...</v>
      </c>
      <c r="Q1116" t="str">
        <f>_xll.BDP("491207VD Muni","MUNI_FED_TAX")</f>
        <v>#N/A Requesting Data...</v>
      </c>
      <c r="R1116" t="str">
        <f>_xll.BDP("491207VD Muni","MUNI_MSRB_VOLUME")</f>
        <v>#N/A Requesting Data...</v>
      </c>
      <c r="S1116" t="str">
        <f>_xll.BDP("491207VD Muni","BB_COMPOSITE")</f>
        <v>#N/A Requesting Data...</v>
      </c>
      <c r="T1116" t="str">
        <f>_xll.BDP("491207VD Muni","LQA_LIQUIDITY_SCORE")</f>
        <v>#N/A Requesting Data...</v>
      </c>
    </row>
    <row r="1117" spans="1:20" x14ac:dyDescent="0.25">
      <c r="A1117" t="str">
        <f>_xll.BDP("491207VE Muni","ID_CUSIP")</f>
        <v>#N/A Requesting Data...</v>
      </c>
      <c r="B1117" t="s">
        <v>380</v>
      </c>
      <c r="C1117" t="str">
        <f>_xll.BDP("491207VE Muni","INSURANCE_STATUS")</f>
        <v>#N/A Requesting Data...</v>
      </c>
      <c r="D1117" t="str">
        <f>_xll.BDP("491207VE Muni","STATE_CODE")</f>
        <v>#N/A Requesting Data...</v>
      </c>
      <c r="E1117" t="str">
        <f>_xll.BDP("491207VE Muni","COUNTY_LOCATION_ISSUER")</f>
        <v>#N/A Requesting Data...</v>
      </c>
      <c r="F1117" t="str">
        <f>_xll.BDP("491207VE Muni","DUR_ADJ_MID")</f>
        <v>#N/A Requesting Data...</v>
      </c>
      <c r="G1117" t="str">
        <f>_xll.BDP("491207VE Muni","SPREAD_AT_ISSUANCE_TO_WORST")</f>
        <v>#N/A Requesting Data...</v>
      </c>
      <c r="H1117" t="str">
        <f>_xll.BDP("491207VE Muni","ISSUE_DT")</f>
        <v>#N/A Requesting Data...</v>
      </c>
      <c r="I1117" t="str">
        <f>_xll.BDS("491207VE Muni","MUNI_PURPOSE_SCHED", "aggregate=y")</f>
        <v>#N/A Review</v>
      </c>
      <c r="J1117" t="str">
        <f>_xll.BDP("491207VE Muni","CPN")</f>
        <v>#N/A Requesting Data...</v>
      </c>
      <c r="K1117" t="str">
        <f>_xll.BDP("491207VE Muni","MATURITY")</f>
        <v>#N/A Requesting Data...</v>
      </c>
      <c r="L1117">
        <v>195000</v>
      </c>
      <c r="M1117" t="str">
        <f>_xll.BDP("491207VE Muni","YIELD_ON_ISSUE_DATE")</f>
        <v>#N/A Requesting Data...</v>
      </c>
      <c r="N1117" t="str">
        <f>_xll.BDP("491207VE Muni","YTW_SPREAD_TO_MATURITY_AT_ISSU")</f>
        <v>#N/A Requesting Data...</v>
      </c>
      <c r="O1117" t="str">
        <f>_xll.BDP("491207VE Muni","BVAL_MID_YTM")</f>
        <v>#N/A Requesting Data...</v>
      </c>
      <c r="P1117" t="str">
        <f>_xll.BDP("491207VE Muni","MUNI_TAX_PROV")</f>
        <v>#N/A Requesting Data...</v>
      </c>
      <c r="Q1117" t="str">
        <f>_xll.BDP("491207VE Muni","MUNI_FED_TAX")</f>
        <v>#N/A Requesting Data...</v>
      </c>
      <c r="R1117" t="str">
        <f>_xll.BDP("491207VE Muni","MUNI_MSRB_VOLUME")</f>
        <v>#N/A Requesting Data...</v>
      </c>
      <c r="S1117" t="str">
        <f>_xll.BDP("491207VE Muni","BB_COMPOSITE")</f>
        <v>#N/A Requesting Data...</v>
      </c>
      <c r="T1117" t="str">
        <f>_xll.BDP("491207VE Muni","LQA_LIQUIDITY_SCORE")</f>
        <v>#N/A Requesting Data...</v>
      </c>
    </row>
    <row r="1118" spans="1:20" x14ac:dyDescent="0.25">
      <c r="A1118" t="str">
        <f>_xll.BDP("491207VF Muni","ID_CUSIP")</f>
        <v>#N/A Requesting Data...</v>
      </c>
      <c r="B1118" t="s">
        <v>380</v>
      </c>
      <c r="C1118" t="str">
        <f>_xll.BDP("491207VF Muni","INSURANCE_STATUS")</f>
        <v>#N/A Requesting Data...</v>
      </c>
      <c r="D1118" t="str">
        <f>_xll.BDP("491207VF Muni","STATE_CODE")</f>
        <v>#N/A Requesting Data...</v>
      </c>
      <c r="E1118" t="str">
        <f>_xll.BDP("491207VF Muni","COUNTY_LOCATION_ISSUER")</f>
        <v>#N/A Requesting Data...</v>
      </c>
      <c r="F1118" t="str">
        <f>_xll.BDP("491207VF Muni","DUR_ADJ_MID")</f>
        <v>#N/A Requesting Data...</v>
      </c>
      <c r="G1118" t="str">
        <f>_xll.BDP("491207VF Muni","SPREAD_AT_ISSUANCE_TO_WORST")</f>
        <v>#N/A Requesting Data...</v>
      </c>
      <c r="H1118" t="str">
        <f>_xll.BDP("491207VF Muni","ISSUE_DT")</f>
        <v>#N/A Requesting Data...</v>
      </c>
      <c r="I1118" t="str">
        <f>_xll.BDS("491207VF Muni","MUNI_PURPOSE_SCHED", "aggregate=y")</f>
        <v>#N/A Review</v>
      </c>
      <c r="J1118" t="str">
        <f>_xll.BDP("491207VF Muni","CPN")</f>
        <v>#N/A Requesting Data...</v>
      </c>
      <c r="K1118" t="str">
        <f>_xll.BDP("491207VF Muni","MATURITY")</f>
        <v>#N/A Requesting Data...</v>
      </c>
      <c r="L1118">
        <v>215000</v>
      </c>
      <c r="M1118" t="str">
        <f>_xll.BDP("491207VF Muni","YIELD_ON_ISSUE_DATE")</f>
        <v>#N/A Requesting Data...</v>
      </c>
      <c r="N1118" t="str">
        <f>_xll.BDP("491207VF Muni","YTW_SPREAD_TO_MATURITY_AT_ISSU")</f>
        <v>#N/A Requesting Data...</v>
      </c>
      <c r="O1118" t="str">
        <f>_xll.BDP("491207VF Muni","BVAL_MID_YTM")</f>
        <v>#N/A Requesting Data...</v>
      </c>
      <c r="P1118" t="str">
        <f>_xll.BDP("491207VF Muni","MUNI_TAX_PROV")</f>
        <v>#N/A Requesting Data...</v>
      </c>
      <c r="Q1118" t="str">
        <f>_xll.BDP("491207VF Muni","MUNI_FED_TAX")</f>
        <v>#N/A Requesting Data...</v>
      </c>
      <c r="R1118" t="str">
        <f>_xll.BDP("491207VF Muni","MUNI_MSRB_VOLUME")</f>
        <v>#N/A Requesting Data...</v>
      </c>
      <c r="S1118" t="str">
        <f>_xll.BDP("491207VF Muni","BB_COMPOSITE")</f>
        <v>#N/A Requesting Data...</v>
      </c>
      <c r="T1118" t="str">
        <f>_xll.BDP("491207VF Muni","LQA_LIQUIDITY_SCORE")</f>
        <v>#N/A Requesting Data...</v>
      </c>
    </row>
    <row r="1119" spans="1:20" x14ac:dyDescent="0.25">
      <c r="A1119" t="str">
        <f>_xll.BDP("491207VG Muni","ID_CUSIP")</f>
        <v>#N/A Requesting Data...</v>
      </c>
      <c r="B1119" t="s">
        <v>380</v>
      </c>
      <c r="C1119" t="str">
        <f>_xll.BDP("491207VG Muni","INSURANCE_STATUS")</f>
        <v>#N/A Requesting Data...</v>
      </c>
      <c r="D1119" t="str">
        <f>_xll.BDP("491207VG Muni","STATE_CODE")</f>
        <v>#N/A Requesting Data...</v>
      </c>
      <c r="E1119" t="str">
        <f>_xll.BDP("491207VG Muni","COUNTY_LOCATION_ISSUER")</f>
        <v>#N/A Requesting Data...</v>
      </c>
      <c r="F1119" t="str">
        <f>_xll.BDP("491207VG Muni","DUR_ADJ_MID")</f>
        <v>#N/A Requesting Data...</v>
      </c>
      <c r="G1119" t="str">
        <f>_xll.BDP("491207VG Muni","SPREAD_AT_ISSUANCE_TO_WORST")</f>
        <v>#N/A Requesting Data...</v>
      </c>
      <c r="H1119" t="str">
        <f>_xll.BDP("491207VG Muni","ISSUE_DT")</f>
        <v>#N/A Requesting Data...</v>
      </c>
      <c r="I1119" t="str">
        <f>_xll.BDS("491207VG Muni","MUNI_PURPOSE_SCHED", "aggregate=y")</f>
        <v>#N/A Review</v>
      </c>
      <c r="J1119" t="str">
        <f>_xll.BDP("491207VG Muni","CPN")</f>
        <v>#N/A Requesting Data...</v>
      </c>
      <c r="K1119" t="str">
        <f>_xll.BDP("491207VG Muni","MATURITY")</f>
        <v>#N/A Requesting Data...</v>
      </c>
      <c r="L1119">
        <v>240000</v>
      </c>
      <c r="M1119" t="str">
        <f>_xll.BDP("491207VG Muni","YIELD_ON_ISSUE_DATE")</f>
        <v>#N/A Requesting Data...</v>
      </c>
      <c r="N1119" t="str">
        <f>_xll.BDP("491207VG Muni","YTW_SPREAD_TO_MATURITY_AT_ISSU")</f>
        <v>#N/A Requesting Data...</v>
      </c>
      <c r="O1119" t="str">
        <f>_xll.BDP("491207VG Muni","BVAL_MID_YTM")</f>
        <v>#N/A Requesting Data...</v>
      </c>
      <c r="P1119" t="str">
        <f>_xll.BDP("491207VG Muni","MUNI_TAX_PROV")</f>
        <v>#N/A Requesting Data...</v>
      </c>
      <c r="Q1119" t="str">
        <f>_xll.BDP("491207VG Muni","MUNI_FED_TAX")</f>
        <v>#N/A Requesting Data...</v>
      </c>
      <c r="R1119" t="str">
        <f>_xll.BDP("491207VG Muni","MUNI_MSRB_VOLUME")</f>
        <v>#N/A Requesting Data...</v>
      </c>
      <c r="S1119" t="str">
        <f>_xll.BDP("491207VG Muni","BB_COMPOSITE")</f>
        <v>#N/A Requesting Data...</v>
      </c>
      <c r="T1119" t="str">
        <f>_xll.BDP("491207VG Muni","LQA_LIQUIDITY_SCORE")</f>
        <v>#N/A Requesting Data...</v>
      </c>
    </row>
    <row r="1120" spans="1:20" x14ac:dyDescent="0.25">
      <c r="A1120" t="str">
        <f>_xll.BDP("491207VZ Muni","ID_CUSIP")</f>
        <v>#N/A Requesting Data...</v>
      </c>
      <c r="B1120" t="s">
        <v>380</v>
      </c>
      <c r="C1120" t="str">
        <f>_xll.BDP("491207VZ Muni","INSURANCE_STATUS")</f>
        <v>#N/A Requesting Data...</v>
      </c>
      <c r="D1120" t="str">
        <f>_xll.BDP("491207VZ Muni","STATE_CODE")</f>
        <v>#N/A Requesting Data...</v>
      </c>
      <c r="E1120" t="str">
        <f>_xll.BDP("491207VZ Muni","COUNTY_LOCATION_ISSUER")</f>
        <v>#N/A Requesting Data...</v>
      </c>
      <c r="F1120" t="str">
        <f>_xll.BDP("491207VZ Muni","DUR_ADJ_MID")</f>
        <v>#N/A Requesting Data...</v>
      </c>
      <c r="G1120" t="str">
        <f>_xll.BDP("491207VZ Muni","SPREAD_AT_ISSUANCE_TO_WORST")</f>
        <v>#N/A Requesting Data...</v>
      </c>
      <c r="H1120" t="str">
        <f>_xll.BDP("491207VZ Muni","ISSUE_DT")</f>
        <v>#N/A Requesting Data...</v>
      </c>
      <c r="I1120" t="str">
        <f>_xll.BDS("491207VZ Muni","MUNI_PURPOSE_SCHED", "aggregate=y")</f>
        <v>#N/A Review</v>
      </c>
      <c r="J1120" t="str">
        <f>_xll.BDP("491207VZ Muni","CPN")</f>
        <v>#N/A Requesting Data...</v>
      </c>
      <c r="K1120" t="str">
        <f>_xll.BDP("491207VZ Muni","MATURITY")</f>
        <v>#N/A Requesting Data...</v>
      </c>
      <c r="L1120">
        <v>195000</v>
      </c>
      <c r="M1120" t="str">
        <f>_xll.BDP("491207VZ Muni","YIELD_ON_ISSUE_DATE")</f>
        <v>#N/A Requesting Data...</v>
      </c>
      <c r="N1120" t="str">
        <f>_xll.BDP("491207VZ Muni","YTW_SPREAD_TO_MATURITY_AT_ISSU")</f>
        <v>#N/A Requesting Data...</v>
      </c>
      <c r="O1120" t="str">
        <f>_xll.BDP("491207VZ Muni","BVAL_MID_YTM")</f>
        <v>#N/A Requesting Data...</v>
      </c>
      <c r="P1120" t="str">
        <f>_xll.BDP("491207VZ Muni","MUNI_TAX_PROV")</f>
        <v>#N/A Requesting Data...</v>
      </c>
      <c r="Q1120" t="str">
        <f>_xll.BDP("491207VZ Muni","MUNI_FED_TAX")</f>
        <v>#N/A Requesting Data...</v>
      </c>
      <c r="R1120" t="str">
        <f>_xll.BDP("491207VZ Muni","MUNI_MSRB_VOLUME")</f>
        <v>#N/A Requesting Data...</v>
      </c>
      <c r="S1120" t="str">
        <f>_xll.BDP("491207VZ Muni","BB_COMPOSITE")</f>
        <v>#N/A Requesting Data...</v>
      </c>
      <c r="T1120" t="str">
        <f>_xll.BDP("491207VZ Muni","LQA_LIQUIDITY_SCORE")</f>
        <v>#N/A Requesting Data...</v>
      </c>
    </row>
    <row r="1121" spans="1:20" x14ac:dyDescent="0.25">
      <c r="A1121" t="str">
        <f>_xll.BDP("491207WA Muni","ID_CUSIP")</f>
        <v>#N/A Requesting Data...</v>
      </c>
      <c r="B1121" t="s">
        <v>380</v>
      </c>
      <c r="C1121" t="str">
        <f>_xll.BDP("491207WA Muni","INSURANCE_STATUS")</f>
        <v>#N/A Requesting Data...</v>
      </c>
      <c r="D1121" t="str">
        <f>_xll.BDP("491207WA Muni","STATE_CODE")</f>
        <v>#N/A Requesting Data...</v>
      </c>
      <c r="E1121" t="str">
        <f>_xll.BDP("491207WA Muni","COUNTY_LOCATION_ISSUER")</f>
        <v>#N/A Requesting Data...</v>
      </c>
      <c r="F1121" t="str">
        <f>_xll.BDP("491207WA Muni","DUR_ADJ_MID")</f>
        <v>#N/A Requesting Data...</v>
      </c>
      <c r="G1121" t="str">
        <f>_xll.BDP("491207WA Muni","SPREAD_AT_ISSUANCE_TO_WORST")</f>
        <v>#N/A Requesting Data...</v>
      </c>
      <c r="H1121" t="str">
        <f>_xll.BDP("491207WA Muni","ISSUE_DT")</f>
        <v>#N/A Requesting Data...</v>
      </c>
      <c r="I1121" t="str">
        <f>_xll.BDS("491207WA Muni","MUNI_PURPOSE_SCHED", "aggregate=y")</f>
        <v>#N/A Review</v>
      </c>
      <c r="J1121" t="str">
        <f>_xll.BDP("491207WA Muni","CPN")</f>
        <v>#N/A Requesting Data...</v>
      </c>
      <c r="K1121" t="str">
        <f>_xll.BDP("491207WA Muni","MATURITY")</f>
        <v>#N/A Requesting Data...</v>
      </c>
      <c r="L1121">
        <v>220000</v>
      </c>
      <c r="M1121" t="str">
        <f>_xll.BDP("491207WA Muni","YIELD_ON_ISSUE_DATE")</f>
        <v>#N/A Requesting Data...</v>
      </c>
      <c r="N1121" t="str">
        <f>_xll.BDP("491207WA Muni","YTW_SPREAD_TO_MATURITY_AT_ISSU")</f>
        <v>#N/A Requesting Data...</v>
      </c>
      <c r="O1121" t="str">
        <f>_xll.BDP("491207WA Muni","BVAL_MID_YTM")</f>
        <v>#N/A Requesting Data...</v>
      </c>
      <c r="P1121" t="str">
        <f>_xll.BDP("491207WA Muni","MUNI_TAX_PROV")</f>
        <v>#N/A Requesting Data...</v>
      </c>
      <c r="Q1121" t="str">
        <f>_xll.BDP("491207WA Muni","MUNI_FED_TAX")</f>
        <v>#N/A Requesting Data...</v>
      </c>
      <c r="R1121" t="str">
        <f>_xll.BDP("491207WA Muni","MUNI_MSRB_VOLUME")</f>
        <v>#N/A Requesting Data...</v>
      </c>
      <c r="S1121" t="str">
        <f>_xll.BDP("491207WA Muni","BB_COMPOSITE")</f>
        <v>#N/A Requesting Data...</v>
      </c>
      <c r="T1121" t="str">
        <f>_xll.BDP("491207WA Muni","LQA_LIQUIDITY_SCORE")</f>
        <v>#N/A Requesting Data...</v>
      </c>
    </row>
    <row r="1122" spans="1:20" x14ac:dyDescent="0.25">
      <c r="A1122" t="str">
        <f>_xll.BDP("491207WB Muni","ID_CUSIP")</f>
        <v>#N/A Requesting Data...</v>
      </c>
      <c r="B1122" t="s">
        <v>380</v>
      </c>
      <c r="C1122" t="str">
        <f>_xll.BDP("491207WB Muni","INSURANCE_STATUS")</f>
        <v>#N/A Requesting Data...</v>
      </c>
      <c r="D1122" t="str">
        <f>_xll.BDP("491207WB Muni","STATE_CODE")</f>
        <v>#N/A Requesting Data...</v>
      </c>
      <c r="E1122" t="str">
        <f>_xll.BDP("491207WB Muni","COUNTY_LOCATION_ISSUER")</f>
        <v>#N/A Requesting Data...</v>
      </c>
      <c r="F1122" t="str">
        <f>_xll.BDP("491207WB Muni","DUR_ADJ_MID")</f>
        <v>#N/A Requesting Data...</v>
      </c>
      <c r="G1122" t="str">
        <f>_xll.BDP("491207WB Muni","SPREAD_AT_ISSUANCE_TO_WORST")</f>
        <v>#N/A Requesting Data...</v>
      </c>
      <c r="H1122" t="str">
        <f>_xll.BDP("491207WB Muni","ISSUE_DT")</f>
        <v>#N/A Requesting Data...</v>
      </c>
      <c r="I1122" t="str">
        <f>_xll.BDS("491207WB Muni","MUNI_PURPOSE_SCHED", "aggregate=y")</f>
        <v>#N/A Review</v>
      </c>
      <c r="J1122" t="str">
        <f>_xll.BDP("491207WB Muni","CPN")</f>
        <v>#N/A Requesting Data...</v>
      </c>
      <c r="K1122" t="str">
        <f>_xll.BDP("491207WB Muni","MATURITY")</f>
        <v>#N/A Requesting Data...</v>
      </c>
      <c r="L1122">
        <v>225000</v>
      </c>
      <c r="M1122" t="str">
        <f>_xll.BDP("491207WB Muni","YIELD_ON_ISSUE_DATE")</f>
        <v>#N/A Requesting Data...</v>
      </c>
      <c r="N1122" t="str">
        <f>_xll.BDP("491207WB Muni","YTW_SPREAD_TO_MATURITY_AT_ISSU")</f>
        <v>#N/A Requesting Data...</v>
      </c>
      <c r="O1122" t="str">
        <f>_xll.BDP("491207WB Muni","BVAL_MID_YTM")</f>
        <v>#N/A Requesting Data...</v>
      </c>
      <c r="P1122" t="str">
        <f>_xll.BDP("491207WB Muni","MUNI_TAX_PROV")</f>
        <v>#N/A Requesting Data...</v>
      </c>
      <c r="Q1122" t="str">
        <f>_xll.BDP("491207WB Muni","MUNI_FED_TAX")</f>
        <v>#N/A Requesting Data...</v>
      </c>
      <c r="R1122" t="str">
        <f>_xll.BDP("491207WB Muni","MUNI_MSRB_VOLUME")</f>
        <v>#N/A Requesting Data...</v>
      </c>
      <c r="S1122" t="str">
        <f>_xll.BDP("491207WB Muni","BB_COMPOSITE")</f>
        <v>#N/A Requesting Data...</v>
      </c>
      <c r="T1122" t="str">
        <f>_xll.BDP("491207WB Muni","LQA_LIQUIDITY_SCORE")</f>
        <v>#N/A Requesting Data...</v>
      </c>
    </row>
    <row r="1123" spans="1:20" x14ac:dyDescent="0.25">
      <c r="A1123" t="str">
        <f>_xll.BDP("491207WC Muni","ID_CUSIP")</f>
        <v>#N/A Requesting Data...</v>
      </c>
      <c r="B1123" t="s">
        <v>380</v>
      </c>
      <c r="C1123" t="str">
        <f>_xll.BDP("491207WC Muni","INSURANCE_STATUS")</f>
        <v>#N/A Requesting Data...</v>
      </c>
      <c r="D1123" t="str">
        <f>_xll.BDP("491207WC Muni","STATE_CODE")</f>
        <v>#N/A Requesting Data...</v>
      </c>
      <c r="E1123" t="str">
        <f>_xll.BDP("491207WC Muni","COUNTY_LOCATION_ISSUER")</f>
        <v>#N/A Requesting Data...</v>
      </c>
      <c r="F1123" t="str">
        <f>_xll.BDP("491207WC Muni","DUR_ADJ_MID")</f>
        <v>#N/A Requesting Data...</v>
      </c>
      <c r="G1123" t="str">
        <f>_xll.BDP("491207WC Muni","SPREAD_AT_ISSUANCE_TO_WORST")</f>
        <v>#N/A Requesting Data...</v>
      </c>
      <c r="H1123" t="str">
        <f>_xll.BDP("491207WC Muni","ISSUE_DT")</f>
        <v>#N/A Requesting Data...</v>
      </c>
      <c r="I1123" t="str">
        <f>_xll.BDS("491207WC Muni","MUNI_PURPOSE_SCHED", "aggregate=y")</f>
        <v>#N/A Review</v>
      </c>
      <c r="J1123" t="str">
        <f>_xll.BDP("491207WC Muni","CPN")</f>
        <v>#N/A Requesting Data...</v>
      </c>
      <c r="K1123" t="str">
        <f>_xll.BDP("491207WC Muni","MATURITY")</f>
        <v>#N/A Requesting Data...</v>
      </c>
      <c r="L1123">
        <v>235000</v>
      </c>
      <c r="M1123" t="str">
        <f>_xll.BDP("491207WC Muni","YIELD_ON_ISSUE_DATE")</f>
        <v>#N/A Requesting Data...</v>
      </c>
      <c r="N1123" t="str">
        <f>_xll.BDP("491207WC Muni","YTW_SPREAD_TO_MATURITY_AT_ISSU")</f>
        <v>#N/A Requesting Data...</v>
      </c>
      <c r="O1123" t="str">
        <f>_xll.BDP("491207WC Muni","BVAL_MID_YTM")</f>
        <v>#N/A Requesting Data...</v>
      </c>
      <c r="P1123" t="str">
        <f>_xll.BDP("491207WC Muni","MUNI_TAX_PROV")</f>
        <v>#N/A Requesting Data...</v>
      </c>
      <c r="Q1123" t="str">
        <f>_xll.BDP("491207WC Muni","MUNI_FED_TAX")</f>
        <v>#N/A Requesting Data...</v>
      </c>
      <c r="R1123" t="str">
        <f>_xll.BDP("491207WC Muni","MUNI_MSRB_VOLUME")</f>
        <v>#N/A Requesting Data...</v>
      </c>
      <c r="S1123" t="str">
        <f>_xll.BDP("491207WC Muni","BB_COMPOSITE")</f>
        <v>#N/A Requesting Data...</v>
      </c>
      <c r="T1123" t="str">
        <f>_xll.BDP("491207WC Muni","LQA_LIQUIDITY_SCORE")</f>
        <v>#N/A Requesting Data...</v>
      </c>
    </row>
    <row r="1124" spans="1:20" x14ac:dyDescent="0.25">
      <c r="A1124" t="str">
        <f>_xll.BDP("49140M2W Muni","ID_CUSIP")</f>
        <v>#N/A Requesting Data...</v>
      </c>
      <c r="B1124" t="s">
        <v>117</v>
      </c>
      <c r="C1124" t="str">
        <f>_xll.BDP("49140M2W Muni","INSURANCE_STATUS")</f>
        <v>#N/A Requesting Data...</v>
      </c>
      <c r="D1124" t="str">
        <f>_xll.BDP("49140M2W Muni","STATE_CODE")</f>
        <v>#N/A Requesting Data...</v>
      </c>
      <c r="E1124" t="str">
        <f>_xll.BDP("49140M2W Muni","COUNTY_LOCATION_ISSUER")</f>
        <v>#N/A Requesting Data...</v>
      </c>
      <c r="F1124" t="str">
        <f>_xll.BDP("49140M2W Muni","DUR_ADJ_MID")</f>
        <v>#N/A Requesting Data...</v>
      </c>
      <c r="G1124" t="str">
        <f>_xll.BDP("49140M2W Muni","SPREAD_AT_ISSUANCE_TO_WORST")</f>
        <v>#N/A Requesting Data...</v>
      </c>
      <c r="H1124" t="str">
        <f>_xll.BDP("49140M2W Muni","ISSUE_DT")</f>
        <v>#N/A Requesting Data...</v>
      </c>
      <c r="I1124" t="str">
        <f>_xll.BDS("49140M2W Muni","MUNI_PURPOSE_SCHED", "aggregate=y")</f>
        <v>#N/A Review</v>
      </c>
      <c r="J1124" t="str">
        <f>_xll.BDP("49140M2W Muni","CPN")</f>
        <v>#N/A Requesting Data...</v>
      </c>
      <c r="K1124" t="str">
        <f>_xll.BDP("49140M2W Muni","MATURITY")</f>
        <v>#N/A Requesting Data...</v>
      </c>
      <c r="L1124">
        <v>670000</v>
      </c>
      <c r="M1124" t="str">
        <f>_xll.BDP("49140M2W Muni","YIELD_ON_ISSUE_DATE")</f>
        <v>#N/A Requesting Data...</v>
      </c>
      <c r="N1124" t="str">
        <f>_xll.BDP("49140M2W Muni","YTW_SPREAD_TO_MATURITY_AT_ISSU")</f>
        <v>#N/A Requesting Data...</v>
      </c>
      <c r="O1124" t="str">
        <f>_xll.BDP("49140M2W Muni","BVAL_MID_YTM")</f>
        <v>#N/A Requesting Data...</v>
      </c>
      <c r="P1124" t="str">
        <f>_xll.BDP("49140M2W Muni","MUNI_TAX_PROV")</f>
        <v>#N/A Requesting Data...</v>
      </c>
      <c r="Q1124" t="str">
        <f>_xll.BDP("49140M2W Muni","MUNI_FED_TAX")</f>
        <v>#N/A Requesting Data...</v>
      </c>
      <c r="R1124" t="str">
        <f>_xll.BDP("49140M2W Muni","MUNI_MSRB_VOLUME")</f>
        <v>#N/A Requesting Data...</v>
      </c>
      <c r="S1124" t="str">
        <f>_xll.BDP("49140M2W Muni","BB_COMPOSITE")</f>
        <v>#N/A Requesting Data...</v>
      </c>
      <c r="T1124" t="str">
        <f>_xll.BDP("49140M2W Muni","LQA_LIQUIDITY_SCORE")</f>
        <v>#N/A Requesting Data...</v>
      </c>
    </row>
    <row r="1125" spans="1:20" x14ac:dyDescent="0.25">
      <c r="A1125" t="str">
        <f>_xll.BDP("49140M2X Muni","ID_CUSIP")</f>
        <v>#N/A Requesting Data...</v>
      </c>
      <c r="B1125" t="s">
        <v>117</v>
      </c>
      <c r="C1125" t="str">
        <f>_xll.BDP("49140M2X Muni","INSURANCE_STATUS")</f>
        <v>#N/A Requesting Data...</v>
      </c>
      <c r="D1125" t="str">
        <f>_xll.BDP("49140M2X Muni","STATE_CODE")</f>
        <v>#N/A Requesting Data...</v>
      </c>
      <c r="E1125" t="str">
        <f>_xll.BDP("49140M2X Muni","COUNTY_LOCATION_ISSUER")</f>
        <v>#N/A Requesting Data...</v>
      </c>
      <c r="F1125" t="str">
        <f>_xll.BDP("49140M2X Muni","DUR_ADJ_MID")</f>
        <v>#N/A Requesting Data...</v>
      </c>
      <c r="G1125" t="str">
        <f>_xll.BDP("49140M2X Muni","SPREAD_AT_ISSUANCE_TO_WORST")</f>
        <v>#N/A Requesting Data...</v>
      </c>
      <c r="H1125" t="str">
        <f>_xll.BDP("49140M2X Muni","ISSUE_DT")</f>
        <v>#N/A Requesting Data...</v>
      </c>
      <c r="I1125" t="str">
        <f>_xll.BDS("49140M2X Muni","MUNI_PURPOSE_SCHED", "aggregate=y")</f>
        <v>#N/A Review</v>
      </c>
      <c r="J1125" t="str">
        <f>_xll.BDP("49140M2X Muni","CPN")</f>
        <v>#N/A Requesting Data...</v>
      </c>
      <c r="K1125" t="str">
        <f>_xll.BDP("49140M2X Muni","MATURITY")</f>
        <v>#N/A Requesting Data...</v>
      </c>
      <c r="L1125">
        <v>600000</v>
      </c>
      <c r="M1125" t="str">
        <f>_xll.BDP("49140M2X Muni","YIELD_ON_ISSUE_DATE")</f>
        <v>#N/A Requesting Data...</v>
      </c>
      <c r="N1125" t="str">
        <f>_xll.BDP("49140M2X Muni","YTW_SPREAD_TO_MATURITY_AT_ISSU")</f>
        <v>#N/A Requesting Data...</v>
      </c>
      <c r="O1125" t="str">
        <f>_xll.BDP("49140M2X Muni","BVAL_MID_YTM")</f>
        <v>#N/A Requesting Data...</v>
      </c>
      <c r="P1125" t="str">
        <f>_xll.BDP("49140M2X Muni","MUNI_TAX_PROV")</f>
        <v>#N/A Requesting Data...</v>
      </c>
      <c r="Q1125" t="str">
        <f>_xll.BDP("49140M2X Muni","MUNI_FED_TAX")</f>
        <v>#N/A Requesting Data...</v>
      </c>
      <c r="R1125" t="str">
        <f>_xll.BDP("49140M2X Muni","MUNI_MSRB_VOLUME")</f>
        <v>#N/A Requesting Data...</v>
      </c>
      <c r="S1125" t="str">
        <f>_xll.BDP("49140M2X Muni","BB_COMPOSITE")</f>
        <v>#N/A Requesting Data...</v>
      </c>
      <c r="T1125" t="str">
        <f>_xll.BDP("49140M2X Muni","LQA_LIQUIDITY_SCORE")</f>
        <v>#N/A Requesting Data...</v>
      </c>
    </row>
    <row r="1126" spans="1:20" x14ac:dyDescent="0.25">
      <c r="A1126" t="str">
        <f>_xll.BDP("49140M2Y Muni","ID_CUSIP")</f>
        <v>#N/A Requesting Data...</v>
      </c>
      <c r="B1126" t="s">
        <v>117</v>
      </c>
      <c r="C1126" t="str">
        <f>_xll.BDP("49140M2Y Muni","INSURANCE_STATUS")</f>
        <v>#N/A Requesting Data...</v>
      </c>
      <c r="D1126" t="str">
        <f>_xll.BDP("49140M2Y Muni","STATE_CODE")</f>
        <v>#N/A Requesting Data...</v>
      </c>
      <c r="E1126" t="str">
        <f>_xll.BDP("49140M2Y Muni","COUNTY_LOCATION_ISSUER")</f>
        <v>#N/A Requesting Data...</v>
      </c>
      <c r="F1126" t="str">
        <f>_xll.BDP("49140M2Y Muni","DUR_ADJ_MID")</f>
        <v>#N/A Requesting Data...</v>
      </c>
      <c r="G1126" t="str">
        <f>_xll.BDP("49140M2Y Muni","SPREAD_AT_ISSUANCE_TO_WORST")</f>
        <v>#N/A Requesting Data...</v>
      </c>
      <c r="H1126" t="str">
        <f>_xll.BDP("49140M2Y Muni","ISSUE_DT")</f>
        <v>#N/A Requesting Data...</v>
      </c>
      <c r="I1126" t="str">
        <f>_xll.BDS("49140M2Y Muni","MUNI_PURPOSE_SCHED", "aggregate=y")</f>
        <v>#N/A Review</v>
      </c>
      <c r="J1126" t="str">
        <f>_xll.BDP("49140M2Y Muni","CPN")</f>
        <v>#N/A Requesting Data...</v>
      </c>
      <c r="K1126" t="str">
        <f>_xll.BDP("49140M2Y Muni","MATURITY")</f>
        <v>#N/A Requesting Data...</v>
      </c>
      <c r="L1126">
        <v>605000</v>
      </c>
      <c r="M1126" t="str">
        <f>_xll.BDP("49140M2Y Muni","YIELD_ON_ISSUE_DATE")</f>
        <v>#N/A Requesting Data...</v>
      </c>
      <c r="N1126" t="str">
        <f>_xll.BDP("49140M2Y Muni","YTW_SPREAD_TO_MATURITY_AT_ISSU")</f>
        <v>#N/A Requesting Data...</v>
      </c>
      <c r="O1126" t="str">
        <f>_xll.BDP("49140M2Y Muni","BVAL_MID_YTM")</f>
        <v>#N/A Requesting Data...</v>
      </c>
      <c r="P1126" t="str">
        <f>_xll.BDP("49140M2Y Muni","MUNI_TAX_PROV")</f>
        <v>#N/A Requesting Data...</v>
      </c>
      <c r="Q1126" t="str">
        <f>_xll.BDP("49140M2Y Muni","MUNI_FED_TAX")</f>
        <v>#N/A Requesting Data...</v>
      </c>
      <c r="R1126" t="str">
        <f>_xll.BDP("49140M2Y Muni","MUNI_MSRB_VOLUME")</f>
        <v>#N/A Requesting Data...</v>
      </c>
      <c r="S1126" t="str">
        <f>_xll.BDP("49140M2Y Muni","BB_COMPOSITE")</f>
        <v>#N/A Requesting Data...</v>
      </c>
      <c r="T1126" t="str">
        <f>_xll.BDP("49140M2Y Muni","LQA_LIQUIDITY_SCORE")</f>
        <v>#N/A Requesting Data...</v>
      </c>
    </row>
    <row r="1127" spans="1:20" x14ac:dyDescent="0.25">
      <c r="A1127" t="str">
        <f>_xll.BDP("49140M3K Muni","ID_CUSIP")</f>
        <v>#N/A Requesting Data...</v>
      </c>
      <c r="B1127" t="s">
        <v>117</v>
      </c>
      <c r="C1127" t="str">
        <f>_xll.BDP("49140M3K Muni","INSURANCE_STATUS")</f>
        <v>#N/A Requesting Data...</v>
      </c>
      <c r="D1127" t="str">
        <f>_xll.BDP("49140M3K Muni","STATE_CODE")</f>
        <v>#N/A Requesting Data...</v>
      </c>
      <c r="E1127" t="str">
        <f>_xll.BDP("49140M3K Muni","COUNTY_LOCATION_ISSUER")</f>
        <v>#N/A Requesting Data...</v>
      </c>
      <c r="F1127" t="str">
        <f>_xll.BDP("49140M3K Muni","DUR_ADJ_MID")</f>
        <v>#N/A Requesting Data...</v>
      </c>
      <c r="G1127" t="str">
        <f>_xll.BDP("49140M3K Muni","SPREAD_AT_ISSUANCE_TO_WORST")</f>
        <v>#N/A Requesting Data...</v>
      </c>
      <c r="H1127" t="str">
        <f>_xll.BDP("49140M3K Muni","ISSUE_DT")</f>
        <v>#N/A Requesting Data...</v>
      </c>
      <c r="I1127" t="str">
        <f>_xll.BDS("49140M3K Muni","MUNI_PURPOSE_SCHED", "aggregate=y")</f>
        <v>#N/A Review</v>
      </c>
      <c r="J1127" t="str">
        <f>_xll.BDP("49140M3K Muni","CPN")</f>
        <v>#N/A Requesting Data...</v>
      </c>
      <c r="K1127" t="str">
        <f>_xll.BDP("49140M3K Muni","MATURITY")</f>
        <v>#N/A Requesting Data...</v>
      </c>
      <c r="L1127">
        <v>80000</v>
      </c>
      <c r="M1127" t="str">
        <f>_xll.BDP("49140M3K Muni","YIELD_ON_ISSUE_DATE")</f>
        <v>#N/A Requesting Data...</v>
      </c>
      <c r="N1127" t="str">
        <f>_xll.BDP("49140M3K Muni","YTW_SPREAD_TO_MATURITY_AT_ISSU")</f>
        <v>#N/A Requesting Data...</v>
      </c>
      <c r="O1127" t="str">
        <f>_xll.BDP("49140M3K Muni","BVAL_MID_YTM")</f>
        <v>#N/A Requesting Data...</v>
      </c>
      <c r="P1127" t="str">
        <f>_xll.BDP("49140M3K Muni","MUNI_TAX_PROV")</f>
        <v>#N/A Requesting Data...</v>
      </c>
      <c r="Q1127" t="str">
        <f>_xll.BDP("49140M3K Muni","MUNI_FED_TAX")</f>
        <v>#N/A Requesting Data...</v>
      </c>
      <c r="R1127" t="str">
        <f>_xll.BDP("49140M3K Muni","MUNI_MSRB_VOLUME")</f>
        <v>#N/A Requesting Data...</v>
      </c>
      <c r="S1127" t="str">
        <f>_xll.BDP("49140M3K Muni","BB_COMPOSITE")</f>
        <v>#N/A Requesting Data...</v>
      </c>
      <c r="T1127" t="str">
        <f>_xll.BDP("49140M3K Muni","LQA_LIQUIDITY_SCORE")</f>
        <v>#N/A Requesting Data...</v>
      </c>
    </row>
    <row r="1128" spans="1:20" x14ac:dyDescent="0.25">
      <c r="A1128" t="str">
        <f>_xll.BDP("49140M3L Muni","ID_CUSIP")</f>
        <v>#N/A Requesting Data...</v>
      </c>
      <c r="B1128" t="s">
        <v>117</v>
      </c>
      <c r="C1128" t="str">
        <f>_xll.BDP("49140M3L Muni","INSURANCE_STATUS")</f>
        <v>#N/A Requesting Data...</v>
      </c>
      <c r="D1128" t="str">
        <f>_xll.BDP("49140M3L Muni","STATE_CODE")</f>
        <v>#N/A Requesting Data...</v>
      </c>
      <c r="E1128" t="str">
        <f>_xll.BDP("49140M3L Muni","COUNTY_LOCATION_ISSUER")</f>
        <v>#N/A Requesting Data...</v>
      </c>
      <c r="F1128" t="str">
        <f>_xll.BDP("49140M3L Muni","DUR_ADJ_MID")</f>
        <v>#N/A Requesting Data...</v>
      </c>
      <c r="G1128" t="str">
        <f>_xll.BDP("49140M3L Muni","SPREAD_AT_ISSUANCE_TO_WORST")</f>
        <v>#N/A Requesting Data...</v>
      </c>
      <c r="H1128" t="str">
        <f>_xll.BDP("49140M3L Muni","ISSUE_DT")</f>
        <v>#N/A Requesting Data...</v>
      </c>
      <c r="I1128" t="str">
        <f>_xll.BDS("49140M3L Muni","MUNI_PURPOSE_SCHED", "aggregate=y")</f>
        <v>#N/A Review</v>
      </c>
      <c r="J1128" t="str">
        <f>_xll.BDP("49140M3L Muni","CPN")</f>
        <v>#N/A Requesting Data...</v>
      </c>
      <c r="K1128" t="str">
        <f>_xll.BDP("49140M3L Muni","MATURITY")</f>
        <v>#N/A Requesting Data...</v>
      </c>
      <c r="L1128">
        <v>85000</v>
      </c>
      <c r="M1128" t="str">
        <f>_xll.BDP("49140M3L Muni","YIELD_ON_ISSUE_DATE")</f>
        <v>#N/A Requesting Data...</v>
      </c>
      <c r="N1128" t="str">
        <f>_xll.BDP("49140M3L Muni","YTW_SPREAD_TO_MATURITY_AT_ISSU")</f>
        <v>#N/A Requesting Data...</v>
      </c>
      <c r="O1128" t="str">
        <f>_xll.BDP("49140M3L Muni","BVAL_MID_YTM")</f>
        <v>#N/A Requesting Data...</v>
      </c>
      <c r="P1128" t="str">
        <f>_xll.BDP("49140M3L Muni","MUNI_TAX_PROV")</f>
        <v>#N/A Requesting Data...</v>
      </c>
      <c r="Q1128" t="str">
        <f>_xll.BDP("49140M3L Muni","MUNI_FED_TAX")</f>
        <v>#N/A Requesting Data...</v>
      </c>
      <c r="R1128" t="str">
        <f>_xll.BDP("49140M3L Muni","MUNI_MSRB_VOLUME")</f>
        <v>#N/A Requesting Data...</v>
      </c>
      <c r="S1128" t="str">
        <f>_xll.BDP("49140M3L Muni","BB_COMPOSITE")</f>
        <v>#N/A Requesting Data...</v>
      </c>
      <c r="T1128" t="str">
        <f>_xll.BDP("49140M3L Muni","LQA_LIQUIDITY_SCORE")</f>
        <v>#N/A Requesting Data...</v>
      </c>
    </row>
    <row r="1129" spans="1:20" x14ac:dyDescent="0.25">
      <c r="A1129" t="str">
        <f>_xll.BDP("49140M3M Muni","ID_CUSIP")</f>
        <v>#N/A Requesting Data...</v>
      </c>
      <c r="B1129" t="s">
        <v>117</v>
      </c>
      <c r="C1129" t="str">
        <f>_xll.BDP("49140M3M Muni","INSURANCE_STATUS")</f>
        <v>#N/A Requesting Data...</v>
      </c>
      <c r="D1129" t="str">
        <f>_xll.BDP("49140M3M Muni","STATE_CODE")</f>
        <v>#N/A Requesting Data...</v>
      </c>
      <c r="E1129" t="str">
        <f>_xll.BDP("49140M3M Muni","COUNTY_LOCATION_ISSUER")</f>
        <v>#N/A Requesting Data...</v>
      </c>
      <c r="F1129" t="str">
        <f>_xll.BDP("49140M3M Muni","DUR_ADJ_MID")</f>
        <v>#N/A Requesting Data...</v>
      </c>
      <c r="G1129" t="str">
        <f>_xll.BDP("49140M3M Muni","SPREAD_AT_ISSUANCE_TO_WORST")</f>
        <v>#N/A Requesting Data...</v>
      </c>
      <c r="H1129" t="str">
        <f>_xll.BDP("49140M3M Muni","ISSUE_DT")</f>
        <v>#N/A Requesting Data...</v>
      </c>
      <c r="I1129" t="str">
        <f>_xll.BDS("49140M3M Muni","MUNI_PURPOSE_SCHED", "aggregate=y")</f>
        <v>#N/A Review</v>
      </c>
      <c r="J1129" t="str">
        <f>_xll.BDP("49140M3M Muni","CPN")</f>
        <v>#N/A Requesting Data...</v>
      </c>
      <c r="K1129" t="str">
        <f>_xll.BDP("49140M3M Muni","MATURITY")</f>
        <v>#N/A Requesting Data...</v>
      </c>
      <c r="L1129">
        <v>85000</v>
      </c>
      <c r="M1129" t="str">
        <f>_xll.BDP("49140M3M Muni","YIELD_ON_ISSUE_DATE")</f>
        <v>#N/A Requesting Data...</v>
      </c>
      <c r="N1129" t="str">
        <f>_xll.BDP("49140M3M Muni","YTW_SPREAD_TO_MATURITY_AT_ISSU")</f>
        <v>#N/A Requesting Data...</v>
      </c>
      <c r="O1129" t="str">
        <f>_xll.BDP("49140M3M Muni","BVAL_MID_YTM")</f>
        <v>#N/A Requesting Data...</v>
      </c>
      <c r="P1129" t="str">
        <f>_xll.BDP("49140M3M Muni","MUNI_TAX_PROV")</f>
        <v>#N/A Requesting Data...</v>
      </c>
      <c r="Q1129" t="str">
        <f>_xll.BDP("49140M3M Muni","MUNI_FED_TAX")</f>
        <v>#N/A Requesting Data...</v>
      </c>
      <c r="R1129" t="str">
        <f>_xll.BDP("49140M3M Muni","MUNI_MSRB_VOLUME")</f>
        <v>#N/A Requesting Data...</v>
      </c>
      <c r="S1129" t="str">
        <f>_xll.BDP("49140M3M Muni","BB_COMPOSITE")</f>
        <v>#N/A Requesting Data...</v>
      </c>
      <c r="T1129" t="str">
        <f>_xll.BDP("49140M3M Muni","LQA_LIQUIDITY_SCORE")</f>
        <v>#N/A Requesting Data...</v>
      </c>
    </row>
    <row r="1130" spans="1:20" x14ac:dyDescent="0.25">
      <c r="A1130" t="str">
        <f>_xll.BDP("49140M3N Muni","ID_CUSIP")</f>
        <v>#N/A Requesting Data...</v>
      </c>
      <c r="B1130" t="s">
        <v>117</v>
      </c>
      <c r="C1130" t="str">
        <f>_xll.BDP("49140M3N Muni","INSURANCE_STATUS")</f>
        <v>#N/A Requesting Data...</v>
      </c>
      <c r="D1130" t="str">
        <f>_xll.BDP("49140M3N Muni","STATE_CODE")</f>
        <v>#N/A Requesting Data...</v>
      </c>
      <c r="E1130" t="str">
        <f>_xll.BDP("49140M3N Muni","COUNTY_LOCATION_ISSUER")</f>
        <v>#N/A Requesting Data...</v>
      </c>
      <c r="F1130" t="str">
        <f>_xll.BDP("49140M3N Muni","DUR_ADJ_MID")</f>
        <v>#N/A Requesting Data...</v>
      </c>
      <c r="G1130" t="str">
        <f>_xll.BDP("49140M3N Muni","SPREAD_AT_ISSUANCE_TO_WORST")</f>
        <v>#N/A Requesting Data...</v>
      </c>
      <c r="H1130" t="str">
        <f>_xll.BDP("49140M3N Muni","ISSUE_DT")</f>
        <v>#N/A Requesting Data...</v>
      </c>
      <c r="I1130" t="str">
        <f>_xll.BDS("49140M3N Muni","MUNI_PURPOSE_SCHED", "aggregate=y")</f>
        <v>#N/A Review</v>
      </c>
      <c r="J1130" t="str">
        <f>_xll.BDP("49140M3N Muni","CPN")</f>
        <v>#N/A Requesting Data...</v>
      </c>
      <c r="K1130" t="str">
        <f>_xll.BDP("49140M3N Muni","MATURITY")</f>
        <v>#N/A Requesting Data...</v>
      </c>
      <c r="L1130">
        <v>90000</v>
      </c>
      <c r="M1130" t="str">
        <f>_xll.BDP("49140M3N Muni","YIELD_ON_ISSUE_DATE")</f>
        <v>#N/A Requesting Data...</v>
      </c>
      <c r="N1130" t="str">
        <f>_xll.BDP("49140M3N Muni","YTW_SPREAD_TO_MATURITY_AT_ISSU")</f>
        <v>#N/A Requesting Data...</v>
      </c>
      <c r="O1130" t="str">
        <f>_xll.BDP("49140M3N Muni","BVAL_MID_YTM")</f>
        <v>#N/A Requesting Data...</v>
      </c>
      <c r="P1130" t="str">
        <f>_xll.BDP("49140M3N Muni","MUNI_TAX_PROV")</f>
        <v>#N/A Requesting Data...</v>
      </c>
      <c r="Q1130" t="str">
        <f>_xll.BDP("49140M3N Muni","MUNI_FED_TAX")</f>
        <v>#N/A Requesting Data...</v>
      </c>
      <c r="R1130" t="str">
        <f>_xll.BDP("49140M3N Muni","MUNI_MSRB_VOLUME")</f>
        <v>#N/A Requesting Data...</v>
      </c>
      <c r="S1130" t="str">
        <f>_xll.BDP("49140M3N Muni","BB_COMPOSITE")</f>
        <v>#N/A Requesting Data...</v>
      </c>
      <c r="T1130" t="str">
        <f>_xll.BDP("49140M3N Muni","LQA_LIQUIDITY_SCORE")</f>
        <v>#N/A Requesting Data...</v>
      </c>
    </row>
    <row r="1131" spans="1:20" x14ac:dyDescent="0.25">
      <c r="A1131" t="str">
        <f>_xll.BDP("49140M3P Muni","ID_CUSIP")</f>
        <v>#N/A Requesting Data...</v>
      </c>
      <c r="B1131" t="s">
        <v>117</v>
      </c>
      <c r="C1131" t="str">
        <f>_xll.BDP("49140M3P Muni","INSURANCE_STATUS")</f>
        <v>#N/A Requesting Data...</v>
      </c>
      <c r="D1131" t="str">
        <f>_xll.BDP("49140M3P Muni","STATE_CODE")</f>
        <v>#N/A Requesting Data...</v>
      </c>
      <c r="E1131" t="str">
        <f>_xll.BDP("49140M3P Muni","COUNTY_LOCATION_ISSUER")</f>
        <v>#N/A Requesting Data...</v>
      </c>
      <c r="F1131" t="str">
        <f>_xll.BDP("49140M3P Muni","DUR_ADJ_MID")</f>
        <v>#N/A Requesting Data...</v>
      </c>
      <c r="G1131" t="str">
        <f>_xll.BDP("49140M3P Muni","SPREAD_AT_ISSUANCE_TO_WORST")</f>
        <v>#N/A Requesting Data...</v>
      </c>
      <c r="H1131" t="str">
        <f>_xll.BDP("49140M3P Muni","ISSUE_DT")</f>
        <v>#N/A Requesting Data...</v>
      </c>
      <c r="I1131" t="str">
        <f>_xll.BDS("49140M3P Muni","MUNI_PURPOSE_SCHED", "aggregate=y")</f>
        <v>#N/A Review</v>
      </c>
      <c r="J1131" t="str">
        <f>_xll.BDP("49140M3P Muni","CPN")</f>
        <v>#N/A Requesting Data...</v>
      </c>
      <c r="K1131" t="str">
        <f>_xll.BDP("49140M3P Muni","MATURITY")</f>
        <v>#N/A Requesting Data...</v>
      </c>
      <c r="L1131">
        <v>90000</v>
      </c>
      <c r="M1131" t="str">
        <f>_xll.BDP("49140M3P Muni","YIELD_ON_ISSUE_DATE")</f>
        <v>#N/A Requesting Data...</v>
      </c>
      <c r="N1131" t="str">
        <f>_xll.BDP("49140M3P Muni","YTW_SPREAD_TO_MATURITY_AT_ISSU")</f>
        <v>#N/A Requesting Data...</v>
      </c>
      <c r="O1131" t="str">
        <f>_xll.BDP("49140M3P Muni","BVAL_MID_YTM")</f>
        <v>#N/A Requesting Data...</v>
      </c>
      <c r="P1131" t="str">
        <f>_xll.BDP("49140M3P Muni","MUNI_TAX_PROV")</f>
        <v>#N/A Requesting Data...</v>
      </c>
      <c r="Q1131" t="str">
        <f>_xll.BDP("49140M3P Muni","MUNI_FED_TAX")</f>
        <v>#N/A Requesting Data...</v>
      </c>
      <c r="R1131" t="str">
        <f>_xll.BDP("49140M3P Muni","MUNI_MSRB_VOLUME")</f>
        <v>#N/A Requesting Data...</v>
      </c>
      <c r="S1131" t="str">
        <f>_xll.BDP("49140M3P Muni","BB_COMPOSITE")</f>
        <v>#N/A Requesting Data...</v>
      </c>
      <c r="T1131" t="str">
        <f>_xll.BDP("49140M3P Muni","LQA_LIQUIDITY_SCORE")</f>
        <v>#N/A Requesting Data...</v>
      </c>
    </row>
    <row r="1132" spans="1:20" x14ac:dyDescent="0.25">
      <c r="A1132" t="str">
        <f>_xll.BDP("49140M3Y Muni","ID_CUSIP")</f>
        <v>#N/A Requesting Data...</v>
      </c>
      <c r="B1132" t="s">
        <v>117</v>
      </c>
      <c r="C1132" t="str">
        <f>_xll.BDP("49140M3Y Muni","INSURANCE_STATUS")</f>
        <v>#N/A Requesting Data...</v>
      </c>
      <c r="D1132" t="str">
        <f>_xll.BDP("49140M3Y Muni","STATE_CODE")</f>
        <v>#N/A Requesting Data...</v>
      </c>
      <c r="E1132" t="str">
        <f>_xll.BDP("49140M3Y Muni","COUNTY_LOCATION_ISSUER")</f>
        <v>#N/A Requesting Data...</v>
      </c>
      <c r="F1132" t="str">
        <f>_xll.BDP("49140M3Y Muni","DUR_ADJ_MID")</f>
        <v>#N/A Requesting Data...</v>
      </c>
      <c r="G1132" t="str">
        <f>_xll.BDP("49140M3Y Muni","SPREAD_AT_ISSUANCE_TO_WORST")</f>
        <v>#N/A Requesting Data...</v>
      </c>
      <c r="H1132" t="str">
        <f>_xll.BDP("49140M3Y Muni","ISSUE_DT")</f>
        <v>#N/A Requesting Data...</v>
      </c>
      <c r="I1132" t="str">
        <f>_xll.BDS("49140M3Y Muni","MUNI_PURPOSE_SCHED", "aggregate=y")</f>
        <v>#N/A Review</v>
      </c>
      <c r="J1132" t="str">
        <f>_xll.BDP("49140M3Y Muni","CPN")</f>
        <v>#N/A Requesting Data...</v>
      </c>
      <c r="K1132" t="str">
        <f>_xll.BDP("49140M3Y Muni","MATURITY")</f>
        <v>#N/A Requesting Data...</v>
      </c>
      <c r="L1132">
        <v>305000</v>
      </c>
      <c r="M1132" t="str">
        <f>_xll.BDP("49140M3Y Muni","YIELD_ON_ISSUE_DATE")</f>
        <v>#N/A Requesting Data...</v>
      </c>
      <c r="N1132" t="str">
        <f>_xll.BDP("49140M3Y Muni","YTW_SPREAD_TO_MATURITY_AT_ISSU")</f>
        <v>#N/A Requesting Data...</v>
      </c>
      <c r="O1132" t="str">
        <f>_xll.BDP("49140M3Y Muni","BVAL_MID_YTM")</f>
        <v>#N/A Requesting Data...</v>
      </c>
      <c r="P1132" t="str">
        <f>_xll.BDP("49140M3Y Muni","MUNI_TAX_PROV")</f>
        <v>#N/A Requesting Data...</v>
      </c>
      <c r="Q1132" t="str">
        <f>_xll.BDP("49140M3Y Muni","MUNI_FED_TAX")</f>
        <v>#N/A Requesting Data...</v>
      </c>
      <c r="R1132" t="str">
        <f>_xll.BDP("49140M3Y Muni","MUNI_MSRB_VOLUME")</f>
        <v>#N/A Requesting Data...</v>
      </c>
      <c r="S1132" t="str">
        <f>_xll.BDP("49140M3Y Muni","BB_COMPOSITE")</f>
        <v>#N/A Requesting Data...</v>
      </c>
      <c r="T1132" t="str">
        <f>_xll.BDP("49140M3Y Muni","LQA_LIQUIDITY_SCORE")</f>
        <v>#N/A Requesting Data...</v>
      </c>
    </row>
    <row r="1133" spans="1:20" x14ac:dyDescent="0.25">
      <c r="A1133" t="str">
        <f>_xll.BDP("49140M3Z Muni","ID_CUSIP")</f>
        <v>#N/A Requesting Data...</v>
      </c>
      <c r="B1133" t="s">
        <v>117</v>
      </c>
      <c r="C1133" t="str">
        <f>_xll.BDP("49140M3Z Muni","INSURANCE_STATUS")</f>
        <v>#N/A Requesting Data...</v>
      </c>
      <c r="D1133" t="str">
        <f>_xll.BDP("49140M3Z Muni","STATE_CODE")</f>
        <v>#N/A Requesting Data...</v>
      </c>
      <c r="E1133" t="str">
        <f>_xll.BDP("49140M3Z Muni","COUNTY_LOCATION_ISSUER")</f>
        <v>#N/A Requesting Data...</v>
      </c>
      <c r="F1133" t="str">
        <f>_xll.BDP("49140M3Z Muni","DUR_ADJ_MID")</f>
        <v>#N/A Requesting Data...</v>
      </c>
      <c r="G1133" t="str">
        <f>_xll.BDP("49140M3Z Muni","SPREAD_AT_ISSUANCE_TO_WORST")</f>
        <v>#N/A Requesting Data...</v>
      </c>
      <c r="H1133" t="str">
        <f>_xll.BDP("49140M3Z Muni","ISSUE_DT")</f>
        <v>#N/A Requesting Data...</v>
      </c>
      <c r="I1133" t="str">
        <f>_xll.BDS("49140M3Z Muni","MUNI_PURPOSE_SCHED", "aggregate=y")</f>
        <v>#N/A Review</v>
      </c>
      <c r="J1133" t="str">
        <f>_xll.BDP("49140M3Z Muni","CPN")</f>
        <v>#N/A Requesting Data...</v>
      </c>
      <c r="K1133" t="str">
        <f>_xll.BDP("49140M3Z Muni","MATURITY")</f>
        <v>#N/A Requesting Data...</v>
      </c>
      <c r="L1133">
        <v>320000</v>
      </c>
      <c r="M1133" t="str">
        <f>_xll.BDP("49140M3Z Muni","YIELD_ON_ISSUE_DATE")</f>
        <v>#N/A Requesting Data...</v>
      </c>
      <c r="N1133" t="str">
        <f>_xll.BDP("49140M3Z Muni","YTW_SPREAD_TO_MATURITY_AT_ISSU")</f>
        <v>#N/A Requesting Data...</v>
      </c>
      <c r="O1133" t="str">
        <f>_xll.BDP("49140M3Z Muni","BVAL_MID_YTM")</f>
        <v>#N/A Requesting Data...</v>
      </c>
      <c r="P1133" t="str">
        <f>_xll.BDP("49140M3Z Muni","MUNI_TAX_PROV")</f>
        <v>#N/A Requesting Data...</v>
      </c>
      <c r="Q1133" t="str">
        <f>_xll.BDP("49140M3Z Muni","MUNI_FED_TAX")</f>
        <v>#N/A Requesting Data...</v>
      </c>
      <c r="R1133" t="str">
        <f>_xll.BDP("49140M3Z Muni","MUNI_MSRB_VOLUME")</f>
        <v>#N/A Requesting Data...</v>
      </c>
      <c r="S1133" t="str">
        <f>_xll.BDP("49140M3Z Muni","BB_COMPOSITE")</f>
        <v>#N/A Requesting Data...</v>
      </c>
      <c r="T1133" t="str">
        <f>_xll.BDP("49140M3Z Muni","LQA_LIQUIDITY_SCORE")</f>
        <v>#N/A Requesting Data...</v>
      </c>
    </row>
    <row r="1134" spans="1:20" x14ac:dyDescent="0.25">
      <c r="A1134" t="str">
        <f>_xll.BDP("49140M4A Muni","ID_CUSIP")</f>
        <v>#N/A Requesting Data...</v>
      </c>
      <c r="B1134" t="s">
        <v>117</v>
      </c>
      <c r="C1134" t="str">
        <f>_xll.BDP("49140M4A Muni","INSURANCE_STATUS")</f>
        <v>#N/A Requesting Data...</v>
      </c>
      <c r="D1134" t="str">
        <f>_xll.BDP("49140M4A Muni","STATE_CODE")</f>
        <v>#N/A Requesting Data...</v>
      </c>
      <c r="E1134" t="str">
        <f>_xll.BDP("49140M4A Muni","COUNTY_LOCATION_ISSUER")</f>
        <v>#N/A Requesting Data...</v>
      </c>
      <c r="F1134" t="str">
        <f>_xll.BDP("49140M4A Muni","DUR_ADJ_MID")</f>
        <v>#N/A Requesting Data...</v>
      </c>
      <c r="G1134" t="str">
        <f>_xll.BDP("49140M4A Muni","SPREAD_AT_ISSUANCE_TO_WORST")</f>
        <v>#N/A Requesting Data...</v>
      </c>
      <c r="H1134" t="str">
        <f>_xll.BDP("49140M4A Muni","ISSUE_DT")</f>
        <v>#N/A Requesting Data...</v>
      </c>
      <c r="I1134" t="str">
        <f>_xll.BDS("49140M4A Muni","MUNI_PURPOSE_SCHED", "aggregate=y")</f>
        <v>#N/A Review</v>
      </c>
      <c r="J1134" t="str">
        <f>_xll.BDP("49140M4A Muni","CPN")</f>
        <v>#N/A Requesting Data...</v>
      </c>
      <c r="K1134" t="str">
        <f>_xll.BDP("49140M4A Muni","MATURITY")</f>
        <v>#N/A Requesting Data...</v>
      </c>
      <c r="L1134">
        <v>335000</v>
      </c>
      <c r="M1134" t="str">
        <f>_xll.BDP("49140M4A Muni","YIELD_ON_ISSUE_DATE")</f>
        <v>#N/A Requesting Data...</v>
      </c>
      <c r="N1134" t="str">
        <f>_xll.BDP("49140M4A Muni","YTW_SPREAD_TO_MATURITY_AT_ISSU")</f>
        <v>#N/A Requesting Data...</v>
      </c>
      <c r="O1134" t="str">
        <f>_xll.BDP("49140M4A Muni","BVAL_MID_YTM")</f>
        <v>#N/A Requesting Data...</v>
      </c>
      <c r="P1134" t="str">
        <f>_xll.BDP("49140M4A Muni","MUNI_TAX_PROV")</f>
        <v>#N/A Requesting Data...</v>
      </c>
      <c r="Q1134" t="str">
        <f>_xll.BDP("49140M4A Muni","MUNI_FED_TAX")</f>
        <v>#N/A Requesting Data...</v>
      </c>
      <c r="R1134" t="str">
        <f>_xll.BDP("49140M4A Muni","MUNI_MSRB_VOLUME")</f>
        <v>#N/A Requesting Data...</v>
      </c>
      <c r="S1134" t="str">
        <f>_xll.BDP("49140M4A Muni","BB_COMPOSITE")</f>
        <v>#N/A Requesting Data...</v>
      </c>
      <c r="T1134" t="str">
        <f>_xll.BDP("49140M4A Muni","LQA_LIQUIDITY_SCORE")</f>
        <v>#N/A Requesting Data...</v>
      </c>
    </row>
    <row r="1135" spans="1:20" x14ac:dyDescent="0.25">
      <c r="A1135" t="str">
        <f>_xll.BDP("49140M4B Muni","ID_CUSIP")</f>
        <v>#N/A Requesting Data...</v>
      </c>
      <c r="B1135" t="s">
        <v>117</v>
      </c>
      <c r="C1135" t="str">
        <f>_xll.BDP("49140M4B Muni","INSURANCE_STATUS")</f>
        <v>#N/A Requesting Data...</v>
      </c>
      <c r="D1135" t="str">
        <f>_xll.BDP("49140M4B Muni","STATE_CODE")</f>
        <v>#N/A Requesting Data...</v>
      </c>
      <c r="E1135" t="str">
        <f>_xll.BDP("49140M4B Muni","COUNTY_LOCATION_ISSUER")</f>
        <v>#N/A Requesting Data...</v>
      </c>
      <c r="F1135" t="str">
        <f>_xll.BDP("49140M4B Muni","DUR_ADJ_MID")</f>
        <v>#N/A Requesting Data...</v>
      </c>
      <c r="G1135" t="str">
        <f>_xll.BDP("49140M4B Muni","SPREAD_AT_ISSUANCE_TO_WORST")</f>
        <v>#N/A Requesting Data...</v>
      </c>
      <c r="H1135" t="str">
        <f>_xll.BDP("49140M4B Muni","ISSUE_DT")</f>
        <v>#N/A Requesting Data...</v>
      </c>
      <c r="I1135" t="str">
        <f>_xll.BDS("49140M4B Muni","MUNI_PURPOSE_SCHED", "aggregate=y")</f>
        <v>#N/A Review</v>
      </c>
      <c r="J1135" t="str">
        <f>_xll.BDP("49140M4B Muni","CPN")</f>
        <v>#N/A Requesting Data...</v>
      </c>
      <c r="K1135" t="str">
        <f>_xll.BDP("49140M4B Muni","MATURITY")</f>
        <v>#N/A Requesting Data...</v>
      </c>
      <c r="L1135">
        <v>345000</v>
      </c>
      <c r="M1135" t="str">
        <f>_xll.BDP("49140M4B Muni","YIELD_ON_ISSUE_DATE")</f>
        <v>#N/A Requesting Data...</v>
      </c>
      <c r="N1135" t="str">
        <f>_xll.BDP("49140M4B Muni","YTW_SPREAD_TO_MATURITY_AT_ISSU")</f>
        <v>#N/A Requesting Data...</v>
      </c>
      <c r="O1135" t="str">
        <f>_xll.BDP("49140M4B Muni","BVAL_MID_YTM")</f>
        <v>#N/A Requesting Data...</v>
      </c>
      <c r="P1135" t="str">
        <f>_xll.BDP("49140M4B Muni","MUNI_TAX_PROV")</f>
        <v>#N/A Requesting Data...</v>
      </c>
      <c r="Q1135" t="str">
        <f>_xll.BDP("49140M4B Muni","MUNI_FED_TAX")</f>
        <v>#N/A Requesting Data...</v>
      </c>
      <c r="R1135" t="str">
        <f>_xll.BDP("49140M4B Muni","MUNI_MSRB_VOLUME")</f>
        <v>#N/A Requesting Data...</v>
      </c>
      <c r="S1135" t="str">
        <f>_xll.BDP("49140M4B Muni","BB_COMPOSITE")</f>
        <v>#N/A Requesting Data...</v>
      </c>
      <c r="T1135" t="str">
        <f>_xll.BDP("49140M4B Muni","LQA_LIQUIDITY_SCORE")</f>
        <v>#N/A Requesting Data...</v>
      </c>
    </row>
    <row r="1136" spans="1:20" x14ac:dyDescent="0.25">
      <c r="A1136" t="str">
        <f>_xll.BDP("492422PP Muni","ID_CUSIP")</f>
        <v>#N/A Requesting Data...</v>
      </c>
      <c r="B1136" t="s">
        <v>381</v>
      </c>
      <c r="C1136" t="str">
        <f>_xll.BDP("492422PP Muni","INSURANCE_STATUS")</f>
        <v>#N/A Requesting Data...</v>
      </c>
      <c r="D1136" t="str">
        <f>_xll.BDP("492422PP Muni","STATE_CODE")</f>
        <v>#N/A Requesting Data...</v>
      </c>
      <c r="E1136" t="str">
        <f>_xll.BDP("492422PP Muni","COUNTY_LOCATION_ISSUER")</f>
        <v>#N/A Requesting Data...</v>
      </c>
      <c r="F1136" t="str">
        <f>_xll.BDP("492422PP Muni","DUR_ADJ_MID")</f>
        <v>#N/A Requesting Data...</v>
      </c>
      <c r="G1136" t="str">
        <f>_xll.BDP("492422PP Muni","SPREAD_AT_ISSUANCE_TO_WORST")</f>
        <v>#N/A Requesting Data...</v>
      </c>
      <c r="H1136" t="str">
        <f>_xll.BDP("492422PP Muni","ISSUE_DT")</f>
        <v>#N/A Requesting Data...</v>
      </c>
      <c r="I1136" t="str">
        <f>_xll.BDS("492422PP Muni","MUNI_PURPOSE_SCHED", "aggregate=y")</f>
        <v>#N/A Review</v>
      </c>
      <c r="J1136" t="str">
        <f>_xll.BDP("492422PP Muni","CPN")</f>
        <v>#N/A Requesting Data...</v>
      </c>
      <c r="K1136" t="str">
        <f>_xll.BDP("492422PP Muni","MATURITY")</f>
        <v>#N/A Requesting Data...</v>
      </c>
      <c r="L1136">
        <v>435000</v>
      </c>
      <c r="M1136" t="str">
        <f>_xll.BDP("492422PP Muni","YIELD_ON_ISSUE_DATE")</f>
        <v>#N/A Requesting Data...</v>
      </c>
      <c r="N1136" t="str">
        <f>_xll.BDP("492422PP Muni","YTW_SPREAD_TO_MATURITY_AT_ISSU")</f>
        <v>#N/A Requesting Data...</v>
      </c>
      <c r="O1136" t="str">
        <f>_xll.BDP("492422PP Muni","BVAL_MID_YTM")</f>
        <v>#N/A Requesting Data...</v>
      </c>
      <c r="P1136" t="str">
        <f>_xll.BDP("492422PP Muni","MUNI_TAX_PROV")</f>
        <v>#N/A Requesting Data...</v>
      </c>
      <c r="Q1136" t="str">
        <f>_xll.BDP("492422PP Muni","MUNI_FED_TAX")</f>
        <v>#N/A Requesting Data...</v>
      </c>
      <c r="R1136" t="str">
        <f>_xll.BDP("492422PP Muni","MUNI_MSRB_VOLUME")</f>
        <v>#N/A Requesting Data...</v>
      </c>
      <c r="S1136" t="str">
        <f>_xll.BDP("492422PP Muni","BB_COMPOSITE")</f>
        <v>#N/A Requesting Data...</v>
      </c>
      <c r="T1136" t="str">
        <f>_xll.BDP("492422PP Muni","LQA_LIQUIDITY_SCORE")</f>
        <v>#N/A Requesting Data...</v>
      </c>
    </row>
    <row r="1137" spans="1:20" x14ac:dyDescent="0.25">
      <c r="A1137" t="str">
        <f>_xll.BDP("492422PQ Muni","ID_CUSIP")</f>
        <v>#N/A Requesting Data...</v>
      </c>
      <c r="B1137" t="s">
        <v>381</v>
      </c>
      <c r="C1137" t="str">
        <f>_xll.BDP("492422PQ Muni","INSURANCE_STATUS")</f>
        <v>#N/A Requesting Data...</v>
      </c>
      <c r="D1137" t="str">
        <f>_xll.BDP("492422PQ Muni","STATE_CODE")</f>
        <v>#N/A Requesting Data...</v>
      </c>
      <c r="E1137" t="str">
        <f>_xll.BDP("492422PQ Muni","COUNTY_LOCATION_ISSUER")</f>
        <v>#N/A Requesting Data...</v>
      </c>
      <c r="F1137" t="str">
        <f>_xll.BDP("492422PQ Muni","DUR_ADJ_MID")</f>
        <v>#N/A Requesting Data...</v>
      </c>
      <c r="G1137" t="str">
        <f>_xll.BDP("492422PQ Muni","SPREAD_AT_ISSUANCE_TO_WORST")</f>
        <v>#N/A Requesting Data...</v>
      </c>
      <c r="H1137" t="str">
        <f>_xll.BDP("492422PQ Muni","ISSUE_DT")</f>
        <v>#N/A Requesting Data...</v>
      </c>
      <c r="I1137" t="str">
        <f>_xll.BDS("492422PQ Muni","MUNI_PURPOSE_SCHED", "aggregate=y")</f>
        <v>#N/A Review</v>
      </c>
      <c r="J1137" t="str">
        <f>_xll.BDP("492422PQ Muni","CPN")</f>
        <v>#N/A Requesting Data...</v>
      </c>
      <c r="K1137" t="str">
        <f>_xll.BDP("492422PQ Muni","MATURITY")</f>
        <v>#N/A Requesting Data...</v>
      </c>
      <c r="L1137">
        <v>445000</v>
      </c>
      <c r="M1137" t="str">
        <f>_xll.BDP("492422PQ Muni","YIELD_ON_ISSUE_DATE")</f>
        <v>#N/A Requesting Data...</v>
      </c>
      <c r="N1137" t="str">
        <f>_xll.BDP("492422PQ Muni","YTW_SPREAD_TO_MATURITY_AT_ISSU")</f>
        <v>#N/A Requesting Data...</v>
      </c>
      <c r="O1137" t="str">
        <f>_xll.BDP("492422PQ Muni","BVAL_MID_YTM")</f>
        <v>#N/A Requesting Data...</v>
      </c>
      <c r="P1137" t="str">
        <f>_xll.BDP("492422PQ Muni","MUNI_TAX_PROV")</f>
        <v>#N/A Requesting Data...</v>
      </c>
      <c r="Q1137" t="str">
        <f>_xll.BDP("492422PQ Muni","MUNI_FED_TAX")</f>
        <v>#N/A Requesting Data...</v>
      </c>
      <c r="R1137" t="str">
        <f>_xll.BDP("492422PQ Muni","MUNI_MSRB_VOLUME")</f>
        <v>#N/A Requesting Data...</v>
      </c>
      <c r="S1137" t="str">
        <f>_xll.BDP("492422PQ Muni","BB_COMPOSITE")</f>
        <v>#N/A Requesting Data...</v>
      </c>
      <c r="T1137" t="str">
        <f>_xll.BDP("492422PQ Muni","LQA_LIQUIDITY_SCORE")</f>
        <v>#N/A Requesting Data...</v>
      </c>
    </row>
    <row r="1138" spans="1:20" x14ac:dyDescent="0.25">
      <c r="A1138" t="str">
        <f>_xll.BDP("492422PR Muni","ID_CUSIP")</f>
        <v>#N/A Requesting Data...</v>
      </c>
      <c r="B1138" t="s">
        <v>381</v>
      </c>
      <c r="C1138" t="str">
        <f>_xll.BDP("492422PR Muni","INSURANCE_STATUS")</f>
        <v>#N/A Requesting Data...</v>
      </c>
      <c r="D1138" t="str">
        <f>_xll.BDP("492422PR Muni","STATE_CODE")</f>
        <v>#N/A Requesting Data...</v>
      </c>
      <c r="E1138" t="str">
        <f>_xll.BDP("492422PR Muni","COUNTY_LOCATION_ISSUER")</f>
        <v>#N/A Requesting Data...</v>
      </c>
      <c r="F1138" t="str">
        <f>_xll.BDP("492422PR Muni","DUR_ADJ_MID")</f>
        <v>#N/A Requesting Data...</v>
      </c>
      <c r="G1138" t="str">
        <f>_xll.BDP("492422PR Muni","SPREAD_AT_ISSUANCE_TO_WORST")</f>
        <v>#N/A Requesting Data...</v>
      </c>
      <c r="H1138" t="str">
        <f>_xll.BDP("492422PR Muni","ISSUE_DT")</f>
        <v>#N/A Requesting Data...</v>
      </c>
      <c r="I1138" t="str">
        <f>_xll.BDS("492422PR Muni","MUNI_PURPOSE_SCHED", "aggregate=y")</f>
        <v>#N/A Review</v>
      </c>
      <c r="J1138" t="str">
        <f>_xll.BDP("492422PR Muni","CPN")</f>
        <v>#N/A Requesting Data...</v>
      </c>
      <c r="K1138" t="str">
        <f>_xll.BDP("492422PR Muni","MATURITY")</f>
        <v>#N/A Requesting Data...</v>
      </c>
      <c r="L1138">
        <v>460000</v>
      </c>
      <c r="M1138" t="str">
        <f>_xll.BDP("492422PR Muni","YIELD_ON_ISSUE_DATE")</f>
        <v>#N/A Requesting Data...</v>
      </c>
      <c r="N1138" t="str">
        <f>_xll.BDP("492422PR Muni","YTW_SPREAD_TO_MATURITY_AT_ISSU")</f>
        <v>#N/A Requesting Data...</v>
      </c>
      <c r="O1138" t="str">
        <f>_xll.BDP("492422PR Muni","BVAL_MID_YTM")</f>
        <v>#N/A Requesting Data...</v>
      </c>
      <c r="P1138" t="str">
        <f>_xll.BDP("492422PR Muni","MUNI_TAX_PROV")</f>
        <v>#N/A Requesting Data...</v>
      </c>
      <c r="Q1138" t="str">
        <f>_xll.BDP("492422PR Muni","MUNI_FED_TAX")</f>
        <v>#N/A Requesting Data...</v>
      </c>
      <c r="R1138" t="str">
        <f>_xll.BDP("492422PR Muni","MUNI_MSRB_VOLUME")</f>
        <v>#N/A Requesting Data...</v>
      </c>
      <c r="S1138" t="str">
        <f>_xll.BDP("492422PR Muni","BB_COMPOSITE")</f>
        <v>#N/A Requesting Data...</v>
      </c>
      <c r="T1138" t="str">
        <f>_xll.BDP("492422PR Muni","LQA_LIQUIDITY_SCORE")</f>
        <v>#N/A Requesting Data...</v>
      </c>
    </row>
    <row r="1139" spans="1:20" x14ac:dyDescent="0.25">
      <c r="A1139" t="str">
        <f>_xll.BDP("393731AF Muni","ID_CUSIP")</f>
        <v>#N/A Requesting Data...</v>
      </c>
      <c r="B1139" t="s">
        <v>382</v>
      </c>
      <c r="C1139" t="str">
        <f>_xll.BDP("393731AF Muni","INSURANCE_STATUS")</f>
        <v>#N/A Requesting Data...</v>
      </c>
      <c r="D1139" t="str">
        <f>_xll.BDP("393731AF Muni","STATE_CODE")</f>
        <v>#N/A Requesting Data...</v>
      </c>
      <c r="E1139" t="str">
        <f>_xll.BDP("393731AF Muni","COUNTY_LOCATION_ISSUER")</f>
        <v>#N/A Requesting Data...</v>
      </c>
      <c r="F1139" t="str">
        <f>_xll.BDP("393731AF Muni","DUR_ADJ_MID")</f>
        <v>#N/A Requesting Data...</v>
      </c>
      <c r="G1139" t="str">
        <f>_xll.BDP("393731AF Muni","SPREAD_AT_ISSUANCE_TO_WORST")</f>
        <v>#N/A Requesting Data...</v>
      </c>
      <c r="H1139" t="str">
        <f>_xll.BDP("393731AF Muni","ISSUE_DT")</f>
        <v>#N/A Requesting Data...</v>
      </c>
      <c r="I1139" t="str">
        <f>_xll.BDS("393731AF Muni","MUNI_PURPOSE_SCHED", "aggregate=y")</f>
        <v>#N/A Review</v>
      </c>
      <c r="J1139" t="str">
        <f>_xll.BDP("393731AF Muni","CPN")</f>
        <v>#N/A Requesting Data...</v>
      </c>
      <c r="K1139" t="str">
        <f>_xll.BDP("393731AF Muni","MATURITY")</f>
        <v>#N/A Requesting Data...</v>
      </c>
      <c r="L1139">
        <v>605000</v>
      </c>
      <c r="M1139" t="str">
        <f>_xll.BDP("393731AF Muni","YIELD_ON_ISSUE_DATE")</f>
        <v>#N/A Requesting Data...</v>
      </c>
      <c r="N1139" t="str">
        <f>_xll.BDP("393731AF Muni","YTW_SPREAD_TO_MATURITY_AT_ISSU")</f>
        <v>#N/A Requesting Data...</v>
      </c>
      <c r="O1139" t="str">
        <f>_xll.BDP("393731AF Muni","BVAL_MID_YTM")</f>
        <v>#N/A Requesting Data...</v>
      </c>
      <c r="P1139" t="str">
        <f>_xll.BDP("393731AF Muni","MUNI_TAX_PROV")</f>
        <v>#N/A Requesting Data...</v>
      </c>
      <c r="Q1139" t="str">
        <f>_xll.BDP("393731AF Muni","MUNI_FED_TAX")</f>
        <v>#N/A Requesting Data...</v>
      </c>
      <c r="R1139" t="str">
        <f>_xll.BDP("393731AF Muni","MUNI_MSRB_VOLUME")</f>
        <v>#N/A Requesting Data...</v>
      </c>
      <c r="S1139" t="str">
        <f>_xll.BDP("393731AF Muni","BB_COMPOSITE")</f>
        <v>#N/A Requesting Data...</v>
      </c>
      <c r="T1139" t="str">
        <f>_xll.BDP("393731AF Muni","LQA_LIQUIDITY_SCORE")</f>
        <v>#N/A Requesting Data...</v>
      </c>
    </row>
    <row r="1140" spans="1:20" x14ac:dyDescent="0.25">
      <c r="A1140" t="str">
        <f>_xll.BDP("393731AG Muni","ID_CUSIP")</f>
        <v>#N/A Requesting Data...</v>
      </c>
      <c r="B1140" t="s">
        <v>382</v>
      </c>
      <c r="C1140" t="str">
        <f>_xll.BDP("393731AG Muni","INSURANCE_STATUS")</f>
        <v>#N/A Requesting Data...</v>
      </c>
      <c r="D1140" t="str">
        <f>_xll.BDP("393731AG Muni","STATE_CODE")</f>
        <v>#N/A Requesting Data...</v>
      </c>
      <c r="E1140" t="str">
        <f>_xll.BDP("393731AG Muni","COUNTY_LOCATION_ISSUER")</f>
        <v>#N/A Requesting Data...</v>
      </c>
      <c r="F1140" t="str">
        <f>_xll.BDP("393731AG Muni","DUR_ADJ_MID")</f>
        <v>#N/A Requesting Data...</v>
      </c>
      <c r="G1140" t="str">
        <f>_xll.BDP("393731AG Muni","SPREAD_AT_ISSUANCE_TO_WORST")</f>
        <v>#N/A Requesting Data...</v>
      </c>
      <c r="H1140" t="str">
        <f>_xll.BDP("393731AG Muni","ISSUE_DT")</f>
        <v>#N/A Requesting Data...</v>
      </c>
      <c r="I1140" t="str">
        <f>_xll.BDS("393731AG Muni","MUNI_PURPOSE_SCHED", "aggregate=y")</f>
        <v>#N/A Review</v>
      </c>
      <c r="J1140" t="str">
        <f>_xll.BDP("393731AG Muni","CPN")</f>
        <v>#N/A Requesting Data...</v>
      </c>
      <c r="K1140" t="str">
        <f>_xll.BDP("393731AG Muni","MATURITY")</f>
        <v>#N/A Requesting Data...</v>
      </c>
      <c r="L1140">
        <v>605000</v>
      </c>
      <c r="M1140" t="str">
        <f>_xll.BDP("393731AG Muni","YIELD_ON_ISSUE_DATE")</f>
        <v>#N/A Requesting Data...</v>
      </c>
      <c r="N1140" t="str">
        <f>_xll.BDP("393731AG Muni","YTW_SPREAD_TO_MATURITY_AT_ISSU")</f>
        <v>#N/A Requesting Data...</v>
      </c>
      <c r="O1140" t="str">
        <f>_xll.BDP("393731AG Muni","BVAL_MID_YTM")</f>
        <v>#N/A Requesting Data...</v>
      </c>
      <c r="P1140" t="str">
        <f>_xll.BDP("393731AG Muni","MUNI_TAX_PROV")</f>
        <v>#N/A Requesting Data...</v>
      </c>
      <c r="Q1140" t="str">
        <f>_xll.BDP("393731AG Muni","MUNI_FED_TAX")</f>
        <v>#N/A Requesting Data...</v>
      </c>
      <c r="R1140" t="str">
        <f>_xll.BDP("393731AG Muni","MUNI_MSRB_VOLUME")</f>
        <v>#N/A Requesting Data...</v>
      </c>
      <c r="S1140" t="str">
        <f>_xll.BDP("393731AG Muni","BB_COMPOSITE")</f>
        <v>#N/A Requesting Data...</v>
      </c>
      <c r="T1140" t="str">
        <f>_xll.BDP("393731AG Muni","LQA_LIQUIDITY_SCORE")</f>
        <v>#N/A Requesting Data...</v>
      </c>
    </row>
    <row r="1141" spans="1:20" x14ac:dyDescent="0.25">
      <c r="A1141" t="str">
        <f>_xll.BDP("393731AH Muni","ID_CUSIP")</f>
        <v>#N/A Requesting Data...</v>
      </c>
      <c r="B1141" t="s">
        <v>382</v>
      </c>
      <c r="C1141" t="str">
        <f>_xll.BDP("393731AH Muni","INSURANCE_STATUS")</f>
        <v>#N/A Requesting Data...</v>
      </c>
      <c r="D1141" t="str">
        <f>_xll.BDP("393731AH Muni","STATE_CODE")</f>
        <v>#N/A Requesting Data...</v>
      </c>
      <c r="E1141" t="str">
        <f>_xll.BDP("393731AH Muni","COUNTY_LOCATION_ISSUER")</f>
        <v>#N/A Requesting Data...</v>
      </c>
      <c r="F1141" t="str">
        <f>_xll.BDP("393731AH Muni","DUR_ADJ_MID")</f>
        <v>#N/A Requesting Data...</v>
      </c>
      <c r="G1141" t="str">
        <f>_xll.BDP("393731AH Muni","SPREAD_AT_ISSUANCE_TO_WORST")</f>
        <v>#N/A Requesting Data...</v>
      </c>
      <c r="H1141" t="str">
        <f>_xll.BDP("393731AH Muni","ISSUE_DT")</f>
        <v>#N/A Requesting Data...</v>
      </c>
      <c r="I1141" t="str">
        <f>_xll.BDS("393731AH Muni","MUNI_PURPOSE_SCHED", "aggregate=y")</f>
        <v>#N/A Review</v>
      </c>
      <c r="J1141" t="str">
        <f>_xll.BDP("393731AH Muni","CPN")</f>
        <v>#N/A Requesting Data...</v>
      </c>
      <c r="K1141" t="str">
        <f>_xll.BDP("393731AH Muni","MATURITY")</f>
        <v>#N/A Requesting Data...</v>
      </c>
      <c r="L1141">
        <v>610000</v>
      </c>
      <c r="M1141" t="str">
        <f>_xll.BDP("393731AH Muni","YIELD_ON_ISSUE_DATE")</f>
        <v>#N/A Requesting Data...</v>
      </c>
      <c r="N1141" t="str">
        <f>_xll.BDP("393731AH Muni","YTW_SPREAD_TO_MATURITY_AT_ISSU")</f>
        <v>#N/A Requesting Data...</v>
      </c>
      <c r="O1141" t="str">
        <f>_xll.BDP("393731AH Muni","BVAL_MID_YTM")</f>
        <v>#N/A Requesting Data...</v>
      </c>
      <c r="P1141" t="str">
        <f>_xll.BDP("393731AH Muni","MUNI_TAX_PROV")</f>
        <v>#N/A Requesting Data...</v>
      </c>
      <c r="Q1141" t="str">
        <f>_xll.BDP("393731AH Muni","MUNI_FED_TAX")</f>
        <v>#N/A Requesting Data...</v>
      </c>
      <c r="R1141" t="str">
        <f>_xll.BDP("393731AH Muni","MUNI_MSRB_VOLUME")</f>
        <v>#N/A Requesting Data...</v>
      </c>
      <c r="S1141" t="str">
        <f>_xll.BDP("393731AH Muni","BB_COMPOSITE")</f>
        <v>#N/A Requesting Data...</v>
      </c>
      <c r="T1141" t="str">
        <f>_xll.BDP("393731AH Muni","LQA_LIQUIDITY_SCORE")</f>
        <v>#N/A Requesting Data...</v>
      </c>
    </row>
    <row r="1142" spans="1:20" x14ac:dyDescent="0.25">
      <c r="A1142" t="str">
        <f>_xll.BDP("378136U8 Muni","ID_CUSIP")</f>
        <v>#N/A Requesting Data...</v>
      </c>
      <c r="B1142" t="s">
        <v>383</v>
      </c>
      <c r="C1142" t="str">
        <f>_xll.BDP("378136U8 Muni","INSURANCE_STATUS")</f>
        <v>#N/A Requesting Data...</v>
      </c>
      <c r="D1142" t="str">
        <f>_xll.BDP("378136U8 Muni","STATE_CODE")</f>
        <v>#N/A Requesting Data...</v>
      </c>
      <c r="E1142" t="str">
        <f>_xll.BDP("378136U8 Muni","COUNTY_LOCATION_ISSUER")</f>
        <v>#N/A Requesting Data...</v>
      </c>
      <c r="F1142" t="str">
        <f>_xll.BDP("378136U8 Muni","DUR_ADJ_MID")</f>
        <v>#N/A Requesting Data...</v>
      </c>
      <c r="G1142" t="str">
        <f>_xll.BDP("378136U8 Muni","SPREAD_AT_ISSUANCE_TO_WORST")</f>
        <v>#N/A Requesting Data...</v>
      </c>
      <c r="H1142" t="str">
        <f>_xll.BDP("378136U8 Muni","ISSUE_DT")</f>
        <v>#N/A Requesting Data...</v>
      </c>
      <c r="I1142" t="str">
        <f>_xll.BDS("378136U8 Muni","MUNI_PURPOSE_SCHED", "aggregate=y")</f>
        <v>#N/A Review</v>
      </c>
      <c r="J1142" t="str">
        <f>_xll.BDP("378136U8 Muni","CPN")</f>
        <v>#N/A Requesting Data...</v>
      </c>
      <c r="K1142" t="str">
        <f>_xll.BDP("378136U8 Muni","MATURITY")</f>
        <v>#N/A Requesting Data...</v>
      </c>
      <c r="L1142">
        <v>255000</v>
      </c>
      <c r="M1142" t="str">
        <f>_xll.BDP("378136U8 Muni","YIELD_ON_ISSUE_DATE")</f>
        <v>#N/A Requesting Data...</v>
      </c>
      <c r="N1142" t="str">
        <f>_xll.BDP("378136U8 Muni","YTW_SPREAD_TO_MATURITY_AT_ISSU")</f>
        <v>#N/A Requesting Data...</v>
      </c>
      <c r="O1142" t="str">
        <f>_xll.BDP("378136U8 Muni","BVAL_MID_YTM")</f>
        <v>#N/A Requesting Data...</v>
      </c>
      <c r="P1142" t="str">
        <f>_xll.BDP("378136U8 Muni","MUNI_TAX_PROV")</f>
        <v>#N/A Requesting Data...</v>
      </c>
      <c r="Q1142" t="str">
        <f>_xll.BDP("378136U8 Muni","MUNI_FED_TAX")</f>
        <v>#N/A Requesting Data...</v>
      </c>
      <c r="R1142" t="str">
        <f>_xll.BDP("378136U8 Muni","MUNI_MSRB_VOLUME")</f>
        <v>#N/A Requesting Data...</v>
      </c>
      <c r="S1142" t="str">
        <f>_xll.BDP("378136U8 Muni","BB_COMPOSITE")</f>
        <v>#N/A Requesting Data...</v>
      </c>
      <c r="T1142" t="str">
        <f>_xll.BDP("378136U8 Muni","LQA_LIQUIDITY_SCORE")</f>
        <v>#N/A Requesting Data...</v>
      </c>
    </row>
    <row r="1143" spans="1:20" x14ac:dyDescent="0.25">
      <c r="A1143" t="str">
        <f>_xll.BDP("378136U9 Muni","ID_CUSIP")</f>
        <v>#N/A Requesting Data...</v>
      </c>
      <c r="B1143" t="s">
        <v>383</v>
      </c>
      <c r="C1143" t="str">
        <f>_xll.BDP("378136U9 Muni","INSURANCE_STATUS")</f>
        <v>#N/A Requesting Data...</v>
      </c>
      <c r="D1143" t="str">
        <f>_xll.BDP("378136U9 Muni","STATE_CODE")</f>
        <v>#N/A Requesting Data...</v>
      </c>
      <c r="E1143" t="str">
        <f>_xll.BDP("378136U9 Muni","COUNTY_LOCATION_ISSUER")</f>
        <v>#N/A Requesting Data...</v>
      </c>
      <c r="F1143" t="str">
        <f>_xll.BDP("378136U9 Muni","DUR_ADJ_MID")</f>
        <v>#N/A Requesting Data...</v>
      </c>
      <c r="G1143" t="str">
        <f>_xll.BDP("378136U9 Muni","SPREAD_AT_ISSUANCE_TO_WORST")</f>
        <v>#N/A Requesting Data...</v>
      </c>
      <c r="H1143" t="str">
        <f>_xll.BDP("378136U9 Muni","ISSUE_DT")</f>
        <v>#N/A Requesting Data...</v>
      </c>
      <c r="I1143" t="str">
        <f>_xll.BDS("378136U9 Muni","MUNI_PURPOSE_SCHED", "aggregate=y")</f>
        <v>#N/A Review</v>
      </c>
      <c r="J1143" t="str">
        <f>_xll.BDP("378136U9 Muni","CPN")</f>
        <v>#N/A Requesting Data...</v>
      </c>
      <c r="K1143" t="str">
        <f>_xll.BDP("378136U9 Muni","MATURITY")</f>
        <v>#N/A Requesting Data...</v>
      </c>
      <c r="L1143">
        <v>265000</v>
      </c>
      <c r="M1143" t="str">
        <f>_xll.BDP("378136U9 Muni","YIELD_ON_ISSUE_DATE")</f>
        <v>#N/A Requesting Data...</v>
      </c>
      <c r="N1143" t="str">
        <f>_xll.BDP("378136U9 Muni","YTW_SPREAD_TO_MATURITY_AT_ISSU")</f>
        <v>#N/A Requesting Data...</v>
      </c>
      <c r="O1143" t="str">
        <f>_xll.BDP("378136U9 Muni","BVAL_MID_YTM")</f>
        <v>#N/A Requesting Data...</v>
      </c>
      <c r="P1143" t="str">
        <f>_xll.BDP("378136U9 Muni","MUNI_TAX_PROV")</f>
        <v>#N/A Requesting Data...</v>
      </c>
      <c r="Q1143" t="str">
        <f>_xll.BDP("378136U9 Muni","MUNI_FED_TAX")</f>
        <v>#N/A Requesting Data...</v>
      </c>
      <c r="R1143" t="str">
        <f>_xll.BDP("378136U9 Muni","MUNI_MSRB_VOLUME")</f>
        <v>#N/A Requesting Data...</v>
      </c>
      <c r="S1143" t="str">
        <f>_xll.BDP("378136U9 Muni","BB_COMPOSITE")</f>
        <v>#N/A Requesting Data...</v>
      </c>
      <c r="T1143" t="str">
        <f>_xll.BDP("378136U9 Muni","LQA_LIQUIDITY_SCORE")</f>
        <v>#N/A Requesting Data...</v>
      </c>
    </row>
    <row r="1144" spans="1:20" x14ac:dyDescent="0.25">
      <c r="A1144" t="str">
        <f>_xll.BDP("378136V2 Muni","ID_CUSIP")</f>
        <v>#N/A Requesting Data...</v>
      </c>
      <c r="B1144" t="s">
        <v>383</v>
      </c>
      <c r="C1144" t="str">
        <f>_xll.BDP("378136V2 Muni","INSURANCE_STATUS")</f>
        <v>#N/A Requesting Data...</v>
      </c>
      <c r="D1144" t="str">
        <f>_xll.BDP("378136V2 Muni","STATE_CODE")</f>
        <v>#N/A Requesting Data...</v>
      </c>
      <c r="E1144" t="str">
        <f>_xll.BDP("378136V2 Muni","COUNTY_LOCATION_ISSUER")</f>
        <v>#N/A Requesting Data...</v>
      </c>
      <c r="F1144" t="str">
        <f>_xll.BDP("378136V2 Muni","DUR_ADJ_MID")</f>
        <v>#N/A Requesting Data...</v>
      </c>
      <c r="G1144" t="str">
        <f>_xll.BDP("378136V2 Muni","SPREAD_AT_ISSUANCE_TO_WORST")</f>
        <v>#N/A Requesting Data...</v>
      </c>
      <c r="H1144" t="str">
        <f>_xll.BDP("378136V2 Muni","ISSUE_DT")</f>
        <v>#N/A Requesting Data...</v>
      </c>
      <c r="I1144" t="str">
        <f>_xll.BDS("378136V2 Muni","MUNI_PURPOSE_SCHED", "aggregate=y")</f>
        <v>#N/A Review</v>
      </c>
      <c r="J1144" t="str">
        <f>_xll.BDP("378136V2 Muni","CPN")</f>
        <v>#N/A Requesting Data...</v>
      </c>
      <c r="K1144" t="str">
        <f>_xll.BDP("378136V2 Muni","MATURITY")</f>
        <v>#N/A Requesting Data...</v>
      </c>
      <c r="L1144">
        <v>270000</v>
      </c>
      <c r="M1144" t="str">
        <f>_xll.BDP("378136V2 Muni","YIELD_ON_ISSUE_DATE")</f>
        <v>#N/A Requesting Data...</v>
      </c>
      <c r="N1144" t="str">
        <f>_xll.BDP("378136V2 Muni","YTW_SPREAD_TO_MATURITY_AT_ISSU")</f>
        <v>#N/A Requesting Data...</v>
      </c>
      <c r="O1144" t="str">
        <f>_xll.BDP("378136V2 Muni","BVAL_MID_YTM")</f>
        <v>#N/A Requesting Data...</v>
      </c>
      <c r="P1144" t="str">
        <f>_xll.BDP("378136V2 Muni","MUNI_TAX_PROV")</f>
        <v>#N/A Requesting Data...</v>
      </c>
      <c r="Q1144" t="str">
        <f>_xll.BDP("378136V2 Muni","MUNI_FED_TAX")</f>
        <v>#N/A Requesting Data...</v>
      </c>
      <c r="R1144" t="str">
        <f>_xll.BDP("378136V2 Muni","MUNI_MSRB_VOLUME")</f>
        <v>#N/A Requesting Data...</v>
      </c>
      <c r="S1144" t="str">
        <f>_xll.BDP("378136V2 Muni","BB_COMPOSITE")</f>
        <v>#N/A Requesting Data...</v>
      </c>
      <c r="T1144" t="str">
        <f>_xll.BDP("378136V2 Muni","LQA_LIQUIDITY_SCORE")</f>
        <v>#N/A Requesting Data...</v>
      </c>
    </row>
    <row r="1145" spans="1:20" x14ac:dyDescent="0.25">
      <c r="A1145" t="str">
        <f>_xll.BDP("382334GE Muni","ID_CUSIP")</f>
        <v>#N/A Requesting Data...</v>
      </c>
      <c r="B1145" t="s">
        <v>384</v>
      </c>
      <c r="C1145" t="str">
        <f>_xll.BDP("382334GE Muni","INSURANCE_STATUS")</f>
        <v>#N/A Requesting Data...</v>
      </c>
      <c r="D1145" t="str">
        <f>_xll.BDP("382334GE Muni","STATE_CODE")</f>
        <v>#N/A Requesting Data...</v>
      </c>
      <c r="E1145" t="str">
        <f>_xll.BDP("382334GE Muni","COUNTY_LOCATION_ISSUER")</f>
        <v>#N/A Requesting Data...</v>
      </c>
      <c r="F1145" t="str">
        <f>_xll.BDP("382334GE Muni","DUR_ADJ_MID")</f>
        <v>#N/A Requesting Data...</v>
      </c>
      <c r="G1145" t="str">
        <f>_xll.BDP("382334GE Muni","SPREAD_AT_ISSUANCE_TO_WORST")</f>
        <v>#N/A Requesting Data...</v>
      </c>
      <c r="H1145" t="str">
        <f>_xll.BDP("382334GE Muni","ISSUE_DT")</f>
        <v>#N/A Requesting Data...</v>
      </c>
      <c r="I1145" t="str">
        <f>_xll.BDS("382334GE Muni","MUNI_PURPOSE_SCHED", "aggregate=y")</f>
        <v>#N/A Review</v>
      </c>
      <c r="J1145" t="str">
        <f>_xll.BDP("382334GE Muni","CPN")</f>
        <v>#N/A Requesting Data...</v>
      </c>
      <c r="K1145" t="str">
        <f>_xll.BDP("382334GE Muni","MATURITY")</f>
        <v>#N/A Requesting Data...</v>
      </c>
      <c r="L1145">
        <v>195000</v>
      </c>
      <c r="M1145" t="str">
        <f>_xll.BDP("382334GE Muni","YIELD_ON_ISSUE_DATE")</f>
        <v>#N/A Requesting Data...</v>
      </c>
      <c r="N1145" t="str">
        <f>_xll.BDP("382334GE Muni","YTW_SPREAD_TO_MATURITY_AT_ISSU")</f>
        <v>#N/A Requesting Data...</v>
      </c>
      <c r="O1145" t="str">
        <f>_xll.BDP("382334GE Muni","BVAL_MID_YTM")</f>
        <v>#N/A Requesting Data...</v>
      </c>
      <c r="P1145" t="str">
        <f>_xll.BDP("382334GE Muni","MUNI_TAX_PROV")</f>
        <v>#N/A Requesting Data...</v>
      </c>
      <c r="Q1145" t="str">
        <f>_xll.BDP("382334GE Muni","MUNI_FED_TAX")</f>
        <v>#N/A Requesting Data...</v>
      </c>
      <c r="R1145" t="str">
        <f>_xll.BDP("382334GE Muni","MUNI_MSRB_VOLUME")</f>
        <v>#N/A Requesting Data...</v>
      </c>
      <c r="S1145" t="str">
        <f>_xll.BDP("382334GE Muni","BB_COMPOSITE")</f>
        <v>#N/A Requesting Data...</v>
      </c>
      <c r="T1145" t="str">
        <f>_xll.BDP("382334GE Muni","LQA_LIQUIDITY_SCORE")</f>
        <v>#N/A Requesting Data...</v>
      </c>
    </row>
    <row r="1146" spans="1:20" x14ac:dyDescent="0.25">
      <c r="A1146" t="str">
        <f>_xll.BDP("382334GF Muni","ID_CUSIP")</f>
        <v>#N/A Requesting Data...</v>
      </c>
      <c r="B1146" t="s">
        <v>384</v>
      </c>
      <c r="C1146" t="str">
        <f>_xll.BDP("382334GF Muni","INSURANCE_STATUS")</f>
        <v>#N/A Requesting Data...</v>
      </c>
      <c r="D1146" t="str">
        <f>_xll.BDP("382334GF Muni","STATE_CODE")</f>
        <v>#N/A Requesting Data...</v>
      </c>
      <c r="E1146" t="str">
        <f>_xll.BDP("382334GF Muni","COUNTY_LOCATION_ISSUER")</f>
        <v>#N/A Requesting Data...</v>
      </c>
      <c r="F1146" t="str">
        <f>_xll.BDP("382334GF Muni","DUR_ADJ_MID")</f>
        <v>#N/A Requesting Data...</v>
      </c>
      <c r="G1146" t="str">
        <f>_xll.BDP("382334GF Muni","SPREAD_AT_ISSUANCE_TO_WORST")</f>
        <v>#N/A Requesting Data...</v>
      </c>
      <c r="H1146" t="str">
        <f>_xll.BDP("382334GF Muni","ISSUE_DT")</f>
        <v>#N/A Requesting Data...</v>
      </c>
      <c r="I1146" t="str">
        <f>_xll.BDS("382334GF Muni","MUNI_PURPOSE_SCHED", "aggregate=y")</f>
        <v>#N/A Review</v>
      </c>
      <c r="J1146" t="str">
        <f>_xll.BDP("382334GF Muni","CPN")</f>
        <v>#N/A Requesting Data...</v>
      </c>
      <c r="K1146" t="str">
        <f>_xll.BDP("382334GF Muni","MATURITY")</f>
        <v>#N/A Requesting Data...</v>
      </c>
      <c r="L1146">
        <v>195000</v>
      </c>
      <c r="M1146" t="str">
        <f>_xll.BDP("382334GF Muni","YIELD_ON_ISSUE_DATE")</f>
        <v>#N/A Requesting Data...</v>
      </c>
      <c r="N1146" t="str">
        <f>_xll.BDP("382334GF Muni","YTW_SPREAD_TO_MATURITY_AT_ISSU")</f>
        <v>#N/A Requesting Data...</v>
      </c>
      <c r="O1146" t="str">
        <f>_xll.BDP("382334GF Muni","BVAL_MID_YTM")</f>
        <v>#N/A Requesting Data...</v>
      </c>
      <c r="P1146" t="str">
        <f>_xll.BDP("382334GF Muni","MUNI_TAX_PROV")</f>
        <v>#N/A Requesting Data...</v>
      </c>
      <c r="Q1146" t="str">
        <f>_xll.BDP("382334GF Muni","MUNI_FED_TAX")</f>
        <v>#N/A Requesting Data...</v>
      </c>
      <c r="R1146" t="str">
        <f>_xll.BDP("382334GF Muni","MUNI_MSRB_VOLUME")</f>
        <v>#N/A Requesting Data...</v>
      </c>
      <c r="S1146" t="str">
        <f>_xll.BDP("382334GF Muni","BB_COMPOSITE")</f>
        <v>#N/A Requesting Data...</v>
      </c>
      <c r="T1146" t="str">
        <f>_xll.BDP("382334GF Muni","LQA_LIQUIDITY_SCORE")</f>
        <v>#N/A Requesting Data...</v>
      </c>
    </row>
    <row r="1147" spans="1:20" x14ac:dyDescent="0.25">
      <c r="A1147" t="str">
        <f>_xll.BDP("382334GG Muni","ID_CUSIP")</f>
        <v>#N/A Requesting Data...</v>
      </c>
      <c r="B1147" t="s">
        <v>384</v>
      </c>
      <c r="C1147" t="str">
        <f>_xll.BDP("382334GG Muni","INSURANCE_STATUS")</f>
        <v>#N/A Requesting Data...</v>
      </c>
      <c r="D1147" t="str">
        <f>_xll.BDP("382334GG Muni","STATE_CODE")</f>
        <v>#N/A Requesting Data...</v>
      </c>
      <c r="E1147" t="str">
        <f>_xll.BDP("382334GG Muni","COUNTY_LOCATION_ISSUER")</f>
        <v>#N/A Requesting Data...</v>
      </c>
      <c r="F1147" t="str">
        <f>_xll.BDP("382334GG Muni","DUR_ADJ_MID")</f>
        <v>#N/A Requesting Data...</v>
      </c>
      <c r="G1147" t="str">
        <f>_xll.BDP("382334GG Muni","SPREAD_AT_ISSUANCE_TO_WORST")</f>
        <v>#N/A Requesting Data...</v>
      </c>
      <c r="H1147" t="str">
        <f>_xll.BDP("382334GG Muni","ISSUE_DT")</f>
        <v>#N/A Requesting Data...</v>
      </c>
      <c r="I1147" t="str">
        <f>_xll.BDS("382334GG Muni","MUNI_PURPOSE_SCHED", "aggregate=y")</f>
        <v>#N/A Review</v>
      </c>
      <c r="J1147" t="str">
        <f>_xll.BDP("382334GG Muni","CPN")</f>
        <v>#N/A Requesting Data...</v>
      </c>
      <c r="K1147" t="str">
        <f>_xll.BDP("382334GG Muni","MATURITY")</f>
        <v>#N/A Requesting Data...</v>
      </c>
      <c r="L1147">
        <v>200000</v>
      </c>
      <c r="M1147" t="str">
        <f>_xll.BDP("382334GG Muni","YIELD_ON_ISSUE_DATE")</f>
        <v>#N/A Requesting Data...</v>
      </c>
      <c r="N1147" t="str">
        <f>_xll.BDP("382334GG Muni","YTW_SPREAD_TO_MATURITY_AT_ISSU")</f>
        <v>#N/A Requesting Data...</v>
      </c>
      <c r="O1147" t="str">
        <f>_xll.BDP("382334GG Muni","BVAL_MID_YTM")</f>
        <v>#N/A Requesting Data...</v>
      </c>
      <c r="P1147" t="str">
        <f>_xll.BDP("382334GG Muni","MUNI_TAX_PROV")</f>
        <v>#N/A Requesting Data...</v>
      </c>
      <c r="Q1147" t="str">
        <f>_xll.BDP("382334GG Muni","MUNI_FED_TAX")</f>
        <v>#N/A Requesting Data...</v>
      </c>
      <c r="R1147" t="str">
        <f>_xll.BDP("382334GG Muni","MUNI_MSRB_VOLUME")</f>
        <v>#N/A Requesting Data...</v>
      </c>
      <c r="S1147" t="str">
        <f>_xll.BDP("382334GG Muni","BB_COMPOSITE")</f>
        <v>#N/A Requesting Data...</v>
      </c>
      <c r="T1147" t="str">
        <f>_xll.BDP("382334GG Muni","LQA_LIQUIDITY_SCORE")</f>
        <v>#N/A Requesting Data...</v>
      </c>
    </row>
    <row r="1148" spans="1:20" x14ac:dyDescent="0.25">
      <c r="A1148" t="str">
        <f>_xll.BDP("382900CS Muni","ID_CUSIP")</f>
        <v>#N/A Requesting Data...</v>
      </c>
      <c r="B1148" t="s">
        <v>385</v>
      </c>
      <c r="C1148" t="str">
        <f>_xll.BDP("382900CS Muni","INSURANCE_STATUS")</f>
        <v>#N/A Requesting Data...</v>
      </c>
      <c r="D1148" t="str">
        <f>_xll.BDP("382900CS Muni","STATE_CODE")</f>
        <v>#N/A Requesting Data...</v>
      </c>
      <c r="E1148" t="str">
        <f>_xll.BDP("382900CS Muni","COUNTY_LOCATION_ISSUER")</f>
        <v>#N/A Requesting Data...</v>
      </c>
      <c r="F1148" t="str">
        <f>_xll.BDP("382900CS Muni","DUR_ADJ_MID")</f>
        <v>#N/A Requesting Data...</v>
      </c>
      <c r="G1148" t="str">
        <f>_xll.BDP("382900CS Muni","SPREAD_AT_ISSUANCE_TO_WORST")</f>
        <v>#N/A Requesting Data...</v>
      </c>
      <c r="H1148" t="str">
        <f>_xll.BDP("382900CS Muni","ISSUE_DT")</f>
        <v>#N/A Requesting Data...</v>
      </c>
      <c r="I1148" t="str">
        <f>_xll.BDS("382900CS Muni","MUNI_PURPOSE_SCHED", "aggregate=y")</f>
        <v>#N/A Review</v>
      </c>
      <c r="J1148" t="str">
        <f>_xll.BDP("382900CS Muni","CPN")</f>
        <v>#N/A Requesting Data...</v>
      </c>
      <c r="K1148" t="str">
        <f>_xll.BDP("382900CS Muni","MATURITY")</f>
        <v>#N/A Requesting Data...</v>
      </c>
      <c r="L1148">
        <v>165000</v>
      </c>
      <c r="M1148" t="str">
        <f>_xll.BDP("382900CS Muni","YIELD_ON_ISSUE_DATE")</f>
        <v>#N/A Requesting Data...</v>
      </c>
      <c r="N1148" t="str">
        <f>_xll.BDP("382900CS Muni","YTW_SPREAD_TO_MATURITY_AT_ISSU")</f>
        <v>#N/A Requesting Data...</v>
      </c>
      <c r="O1148" t="str">
        <f>_xll.BDP("382900CS Muni","BVAL_MID_YTM")</f>
        <v>#N/A Requesting Data...</v>
      </c>
      <c r="P1148" t="str">
        <f>_xll.BDP("382900CS Muni","MUNI_TAX_PROV")</f>
        <v>#N/A Requesting Data...</v>
      </c>
      <c r="Q1148" t="str">
        <f>_xll.BDP("382900CS Muni","MUNI_FED_TAX")</f>
        <v>#N/A Requesting Data...</v>
      </c>
      <c r="R1148" t="str">
        <f>_xll.BDP("382900CS Muni","MUNI_MSRB_VOLUME")</f>
        <v>#N/A Requesting Data...</v>
      </c>
      <c r="S1148" t="str">
        <f>_xll.BDP("382900CS Muni","BB_COMPOSITE")</f>
        <v>#N/A Requesting Data...</v>
      </c>
      <c r="T1148" t="str">
        <f>_xll.BDP("382900CS Muni","LQA_LIQUIDITY_SCORE")</f>
        <v>#N/A Requesting Data...</v>
      </c>
    </row>
    <row r="1149" spans="1:20" x14ac:dyDescent="0.25">
      <c r="A1149" t="str">
        <f>_xll.BDP("382900CT Muni","ID_CUSIP")</f>
        <v>#N/A Requesting Data...</v>
      </c>
      <c r="B1149" t="s">
        <v>385</v>
      </c>
      <c r="C1149" t="str">
        <f>_xll.BDP("382900CT Muni","INSURANCE_STATUS")</f>
        <v>#N/A Requesting Data...</v>
      </c>
      <c r="D1149" t="str">
        <f>_xll.BDP("382900CT Muni","STATE_CODE")</f>
        <v>#N/A Requesting Data...</v>
      </c>
      <c r="E1149" t="str">
        <f>_xll.BDP("382900CT Muni","COUNTY_LOCATION_ISSUER")</f>
        <v>#N/A Requesting Data...</v>
      </c>
      <c r="F1149" t="str">
        <f>_xll.BDP("382900CT Muni","DUR_ADJ_MID")</f>
        <v>#N/A Requesting Data...</v>
      </c>
      <c r="G1149" t="str">
        <f>_xll.BDP("382900CT Muni","SPREAD_AT_ISSUANCE_TO_WORST")</f>
        <v>#N/A Requesting Data...</v>
      </c>
      <c r="H1149" t="str">
        <f>_xll.BDP("382900CT Muni","ISSUE_DT")</f>
        <v>#N/A Requesting Data...</v>
      </c>
      <c r="I1149" t="str">
        <f>_xll.BDS("382900CT Muni","MUNI_PURPOSE_SCHED", "aggregate=y")</f>
        <v>#N/A Review</v>
      </c>
      <c r="J1149" t="str">
        <f>_xll.BDP("382900CT Muni","CPN")</f>
        <v>#N/A Requesting Data...</v>
      </c>
      <c r="K1149" t="str">
        <f>_xll.BDP("382900CT Muni","MATURITY")</f>
        <v>#N/A Requesting Data...</v>
      </c>
      <c r="L1149">
        <v>175000</v>
      </c>
      <c r="M1149" t="str">
        <f>_xll.BDP("382900CT Muni","YIELD_ON_ISSUE_DATE")</f>
        <v>#N/A Requesting Data...</v>
      </c>
      <c r="N1149" t="str">
        <f>_xll.BDP("382900CT Muni","YTW_SPREAD_TO_MATURITY_AT_ISSU")</f>
        <v>#N/A Requesting Data...</v>
      </c>
      <c r="O1149" t="str">
        <f>_xll.BDP("382900CT Muni","BVAL_MID_YTM")</f>
        <v>#N/A Requesting Data...</v>
      </c>
      <c r="P1149" t="str">
        <f>_xll.BDP("382900CT Muni","MUNI_TAX_PROV")</f>
        <v>#N/A Requesting Data...</v>
      </c>
      <c r="Q1149" t="str">
        <f>_xll.BDP("382900CT Muni","MUNI_FED_TAX")</f>
        <v>#N/A Requesting Data...</v>
      </c>
      <c r="R1149" t="str">
        <f>_xll.BDP("382900CT Muni","MUNI_MSRB_VOLUME")</f>
        <v>#N/A Requesting Data...</v>
      </c>
      <c r="S1149" t="str">
        <f>_xll.BDP("382900CT Muni","BB_COMPOSITE")</f>
        <v>#N/A Requesting Data...</v>
      </c>
      <c r="T1149" t="str">
        <f>_xll.BDP("382900CT Muni","LQA_LIQUIDITY_SCORE")</f>
        <v>#N/A Requesting Data...</v>
      </c>
    </row>
    <row r="1150" spans="1:20" x14ac:dyDescent="0.25">
      <c r="A1150" t="str">
        <f>_xll.BDP("382900CU Muni","ID_CUSIP")</f>
        <v>#N/A Requesting Data...</v>
      </c>
      <c r="B1150" t="s">
        <v>385</v>
      </c>
      <c r="C1150" t="str">
        <f>_xll.BDP("382900CU Muni","INSURANCE_STATUS")</f>
        <v>#N/A Requesting Data...</v>
      </c>
      <c r="D1150" t="str">
        <f>_xll.BDP("382900CU Muni","STATE_CODE")</f>
        <v>#N/A Requesting Data...</v>
      </c>
      <c r="E1150" t="str">
        <f>_xll.BDP("382900CU Muni","COUNTY_LOCATION_ISSUER")</f>
        <v>#N/A Requesting Data...</v>
      </c>
      <c r="F1150" t="str">
        <f>_xll.BDP("382900CU Muni","DUR_ADJ_MID")</f>
        <v>#N/A Requesting Data...</v>
      </c>
      <c r="G1150" t="str">
        <f>_xll.BDP("382900CU Muni","SPREAD_AT_ISSUANCE_TO_WORST")</f>
        <v>#N/A Requesting Data...</v>
      </c>
      <c r="H1150" t="str">
        <f>_xll.BDP("382900CU Muni","ISSUE_DT")</f>
        <v>#N/A Requesting Data...</v>
      </c>
      <c r="I1150" t="str">
        <f>_xll.BDS("382900CU Muni","MUNI_PURPOSE_SCHED", "aggregate=y")</f>
        <v>#N/A Review</v>
      </c>
      <c r="J1150" t="str">
        <f>_xll.BDP("382900CU Muni","CPN")</f>
        <v>#N/A Requesting Data...</v>
      </c>
      <c r="K1150" t="str">
        <f>_xll.BDP("382900CU Muni","MATURITY")</f>
        <v>#N/A Requesting Data...</v>
      </c>
      <c r="L1150">
        <v>180000</v>
      </c>
      <c r="M1150" t="str">
        <f>_xll.BDP("382900CU Muni","YIELD_ON_ISSUE_DATE")</f>
        <v>#N/A Requesting Data...</v>
      </c>
      <c r="N1150" t="str">
        <f>_xll.BDP("382900CU Muni","YTW_SPREAD_TO_MATURITY_AT_ISSU")</f>
        <v>#N/A Requesting Data...</v>
      </c>
      <c r="O1150" t="str">
        <f>_xll.BDP("382900CU Muni","BVAL_MID_YTM")</f>
        <v>#N/A Requesting Data...</v>
      </c>
      <c r="P1150" t="str">
        <f>_xll.BDP("382900CU Muni","MUNI_TAX_PROV")</f>
        <v>#N/A Requesting Data...</v>
      </c>
      <c r="Q1150" t="str">
        <f>_xll.BDP("382900CU Muni","MUNI_FED_TAX")</f>
        <v>#N/A Requesting Data...</v>
      </c>
      <c r="R1150" t="str">
        <f>_xll.BDP("382900CU Muni","MUNI_MSRB_VOLUME")</f>
        <v>#N/A Requesting Data...</v>
      </c>
      <c r="S1150" t="str">
        <f>_xll.BDP("382900CU Muni","BB_COMPOSITE")</f>
        <v>#N/A Requesting Data...</v>
      </c>
      <c r="T1150" t="str">
        <f>_xll.BDP("382900CU Muni","LQA_LIQUIDITY_SCORE")</f>
        <v>#N/A Requesting Data...</v>
      </c>
    </row>
    <row r="1151" spans="1:20" x14ac:dyDescent="0.25">
      <c r="A1151" t="str">
        <f>_xll.BDP("382900CV Muni","ID_CUSIP")</f>
        <v>#N/A Requesting Data...</v>
      </c>
      <c r="B1151" t="s">
        <v>385</v>
      </c>
      <c r="C1151" t="str">
        <f>_xll.BDP("382900CV Muni","INSURANCE_STATUS")</f>
        <v>#N/A Requesting Data...</v>
      </c>
      <c r="D1151" t="str">
        <f>_xll.BDP("382900CV Muni","STATE_CODE")</f>
        <v>#N/A Requesting Data...</v>
      </c>
      <c r="E1151" t="str">
        <f>_xll.BDP("382900CV Muni","COUNTY_LOCATION_ISSUER")</f>
        <v>#N/A Requesting Data...</v>
      </c>
      <c r="F1151" t="str">
        <f>_xll.BDP("382900CV Muni","DUR_ADJ_MID")</f>
        <v>#N/A Requesting Data...</v>
      </c>
      <c r="G1151" t="str">
        <f>_xll.BDP("382900CV Muni","SPREAD_AT_ISSUANCE_TO_WORST")</f>
        <v>#N/A Requesting Data...</v>
      </c>
      <c r="H1151" t="str">
        <f>_xll.BDP("382900CV Muni","ISSUE_DT")</f>
        <v>#N/A Requesting Data...</v>
      </c>
      <c r="I1151" t="str">
        <f>_xll.BDS("382900CV Muni","MUNI_PURPOSE_SCHED", "aggregate=y")</f>
        <v>#N/A Review</v>
      </c>
      <c r="J1151" t="str">
        <f>_xll.BDP("382900CV Muni","CPN")</f>
        <v>#N/A Requesting Data...</v>
      </c>
      <c r="K1151" t="str">
        <f>_xll.BDP("382900CV Muni","MATURITY")</f>
        <v>#N/A Requesting Data...</v>
      </c>
      <c r="L1151">
        <v>185000</v>
      </c>
      <c r="M1151" t="str">
        <f>_xll.BDP("382900CV Muni","YIELD_ON_ISSUE_DATE")</f>
        <v>#N/A Requesting Data...</v>
      </c>
      <c r="N1151" t="str">
        <f>_xll.BDP("382900CV Muni","YTW_SPREAD_TO_MATURITY_AT_ISSU")</f>
        <v>#N/A Requesting Data...</v>
      </c>
      <c r="O1151" t="str">
        <f>_xll.BDP("382900CV Muni","BVAL_MID_YTM")</f>
        <v>#N/A Requesting Data...</v>
      </c>
      <c r="P1151" t="str">
        <f>_xll.BDP("382900CV Muni","MUNI_TAX_PROV")</f>
        <v>#N/A Requesting Data...</v>
      </c>
      <c r="Q1151" t="str">
        <f>_xll.BDP("382900CV Muni","MUNI_FED_TAX")</f>
        <v>#N/A Requesting Data...</v>
      </c>
      <c r="R1151" t="str">
        <f>_xll.BDP("382900CV Muni","MUNI_MSRB_VOLUME")</f>
        <v>#N/A Requesting Data...</v>
      </c>
      <c r="S1151" t="str">
        <f>_xll.BDP("382900CV Muni","BB_COMPOSITE")</f>
        <v>#N/A Requesting Data...</v>
      </c>
      <c r="T1151" t="str">
        <f>_xll.BDP("382900CV Muni","LQA_LIQUIDITY_SCORE")</f>
        <v>#N/A Requesting Data...</v>
      </c>
    </row>
    <row r="1152" spans="1:20" x14ac:dyDescent="0.25">
      <c r="A1152" t="str">
        <f>_xll.BDP("5217687D Muni","ID_CUSIP")</f>
        <v>#N/A Requesting Data...</v>
      </c>
      <c r="B1152" t="s">
        <v>386</v>
      </c>
      <c r="C1152" t="str">
        <f>_xll.BDP("5217687D Muni","INSURANCE_STATUS")</f>
        <v>#N/A Requesting Data...</v>
      </c>
      <c r="D1152" t="str">
        <f>_xll.BDP("5217687D Muni","STATE_CODE")</f>
        <v>#N/A Requesting Data...</v>
      </c>
      <c r="E1152" t="str">
        <f>_xll.BDP("5217687D Muni","COUNTY_LOCATION_ISSUER")</f>
        <v>#N/A Requesting Data...</v>
      </c>
      <c r="F1152" t="str">
        <f>_xll.BDP("5217687D Muni","DUR_ADJ_MID")</f>
        <v>#N/A Requesting Data...</v>
      </c>
      <c r="G1152" t="str">
        <f>_xll.BDP("5217687D Muni","SPREAD_AT_ISSUANCE_TO_WORST")</f>
        <v>#N/A Requesting Data...</v>
      </c>
      <c r="H1152" t="str">
        <f>_xll.BDP("5217687D Muni","ISSUE_DT")</f>
        <v>#N/A Requesting Data...</v>
      </c>
      <c r="I1152" t="str">
        <f>_xll.BDS("5217687D Muni","MUNI_PURPOSE_SCHED", "aggregate=y")</f>
        <v>#N/A Review</v>
      </c>
      <c r="J1152" t="str">
        <f>_xll.BDP("5217687D Muni","CPN")</f>
        <v>#N/A Requesting Data...</v>
      </c>
      <c r="K1152" t="str">
        <f>_xll.BDP("5217687D Muni","MATURITY")</f>
        <v>#N/A Requesting Data...</v>
      </c>
      <c r="L1152">
        <v>540000</v>
      </c>
      <c r="M1152" t="str">
        <f>_xll.BDP("5217687D Muni","YIELD_ON_ISSUE_DATE")</f>
        <v>#N/A Requesting Data...</v>
      </c>
      <c r="N1152" t="str">
        <f>_xll.BDP("5217687D Muni","YTW_SPREAD_TO_MATURITY_AT_ISSU")</f>
        <v>#N/A Requesting Data...</v>
      </c>
      <c r="O1152" t="str">
        <f>_xll.BDP("5217687D Muni","BVAL_MID_YTM")</f>
        <v>#N/A Requesting Data...</v>
      </c>
      <c r="P1152" t="str">
        <f>_xll.BDP("5217687D Muni","MUNI_TAX_PROV")</f>
        <v>#N/A Requesting Data...</v>
      </c>
      <c r="Q1152" t="str">
        <f>_xll.BDP("5217687D Muni","MUNI_FED_TAX")</f>
        <v>#N/A Requesting Data...</v>
      </c>
      <c r="R1152" t="str">
        <f>_xll.BDP("5217687D Muni","MUNI_MSRB_VOLUME")</f>
        <v>#N/A Requesting Data...</v>
      </c>
      <c r="S1152" t="str">
        <f>_xll.BDP("5217687D Muni","BB_COMPOSITE")</f>
        <v>#N/A Requesting Data...</v>
      </c>
      <c r="T1152" t="str">
        <f>_xll.BDP("5217687D Muni","LQA_LIQUIDITY_SCORE")</f>
        <v>#N/A Requesting Data...</v>
      </c>
    </row>
    <row r="1153" spans="1:20" x14ac:dyDescent="0.25">
      <c r="A1153" t="str">
        <f>_xll.BDP("5217687E Muni","ID_CUSIP")</f>
        <v>#N/A Requesting Data...</v>
      </c>
      <c r="B1153" t="s">
        <v>386</v>
      </c>
      <c r="C1153" t="str">
        <f>_xll.BDP("5217687E Muni","INSURANCE_STATUS")</f>
        <v>#N/A Requesting Data...</v>
      </c>
      <c r="D1153" t="str">
        <f>_xll.BDP("5217687E Muni","STATE_CODE")</f>
        <v>#N/A Requesting Data...</v>
      </c>
      <c r="E1153" t="str">
        <f>_xll.BDP("5217687E Muni","COUNTY_LOCATION_ISSUER")</f>
        <v>#N/A Requesting Data...</v>
      </c>
      <c r="F1153" t="str">
        <f>_xll.BDP("5217687E Muni","DUR_ADJ_MID")</f>
        <v>#N/A Requesting Data...</v>
      </c>
      <c r="G1153" t="str">
        <f>_xll.BDP("5217687E Muni","SPREAD_AT_ISSUANCE_TO_WORST")</f>
        <v>#N/A Requesting Data...</v>
      </c>
      <c r="H1153" t="str">
        <f>_xll.BDP("5217687E Muni","ISSUE_DT")</f>
        <v>#N/A Requesting Data...</v>
      </c>
      <c r="I1153" t="str">
        <f>_xll.BDS("5217687E Muni","MUNI_PURPOSE_SCHED", "aggregate=y")</f>
        <v>#N/A Review</v>
      </c>
      <c r="J1153" t="str">
        <f>_xll.BDP("5217687E Muni","CPN")</f>
        <v>#N/A Requesting Data...</v>
      </c>
      <c r="K1153" t="str">
        <f>_xll.BDP("5217687E Muni","MATURITY")</f>
        <v>#N/A Requesting Data...</v>
      </c>
      <c r="L1153">
        <v>570000</v>
      </c>
      <c r="M1153" t="str">
        <f>_xll.BDP("5217687E Muni","YIELD_ON_ISSUE_DATE")</f>
        <v>#N/A Requesting Data...</v>
      </c>
      <c r="N1153" t="str">
        <f>_xll.BDP("5217687E Muni","YTW_SPREAD_TO_MATURITY_AT_ISSU")</f>
        <v>#N/A Requesting Data...</v>
      </c>
      <c r="O1153" t="str">
        <f>_xll.BDP("5217687E Muni","BVAL_MID_YTM")</f>
        <v>#N/A Requesting Data...</v>
      </c>
      <c r="P1153" t="str">
        <f>_xll.BDP("5217687E Muni","MUNI_TAX_PROV")</f>
        <v>#N/A Requesting Data...</v>
      </c>
      <c r="Q1153" t="str">
        <f>_xll.BDP("5217687E Muni","MUNI_FED_TAX")</f>
        <v>#N/A Requesting Data...</v>
      </c>
      <c r="R1153" t="str">
        <f>_xll.BDP("5217687E Muni","MUNI_MSRB_VOLUME")</f>
        <v>#N/A Requesting Data...</v>
      </c>
      <c r="S1153" t="str">
        <f>_xll.BDP("5217687E Muni","BB_COMPOSITE")</f>
        <v>#N/A Requesting Data...</v>
      </c>
      <c r="T1153" t="str">
        <f>_xll.BDP("5217687E Muni","LQA_LIQUIDITY_SCORE")</f>
        <v>#N/A Requesting Data...</v>
      </c>
    </row>
    <row r="1154" spans="1:20" x14ac:dyDescent="0.25">
      <c r="A1154" t="str">
        <f>_xll.BDP("5217687F Muni","ID_CUSIP")</f>
        <v>#N/A Requesting Data...</v>
      </c>
      <c r="B1154" t="s">
        <v>386</v>
      </c>
      <c r="C1154" t="str">
        <f>_xll.BDP("5217687F Muni","INSURANCE_STATUS")</f>
        <v>#N/A Requesting Data...</v>
      </c>
      <c r="D1154" t="str">
        <f>_xll.BDP("5217687F Muni","STATE_CODE")</f>
        <v>#N/A Requesting Data...</v>
      </c>
      <c r="E1154" t="str">
        <f>_xll.BDP("5217687F Muni","COUNTY_LOCATION_ISSUER")</f>
        <v>#N/A Requesting Data...</v>
      </c>
      <c r="F1154" t="str">
        <f>_xll.BDP("5217687F Muni","DUR_ADJ_MID")</f>
        <v>#N/A Requesting Data...</v>
      </c>
      <c r="G1154" t="str">
        <f>_xll.BDP("5217687F Muni","SPREAD_AT_ISSUANCE_TO_WORST")</f>
        <v>#N/A Requesting Data...</v>
      </c>
      <c r="H1154" t="str">
        <f>_xll.BDP("5217687F Muni","ISSUE_DT")</f>
        <v>#N/A Requesting Data...</v>
      </c>
      <c r="I1154" t="str">
        <f>_xll.BDS("5217687F Muni","MUNI_PURPOSE_SCHED", "aggregate=y")</f>
        <v>#N/A Review</v>
      </c>
      <c r="J1154" t="str">
        <f>_xll.BDP("5217687F Muni","CPN")</f>
        <v>#N/A Requesting Data...</v>
      </c>
      <c r="K1154" t="str">
        <f>_xll.BDP("5217687F Muni","MATURITY")</f>
        <v>#N/A Requesting Data...</v>
      </c>
      <c r="L1154">
        <v>600000</v>
      </c>
      <c r="M1154" t="str">
        <f>_xll.BDP("5217687F Muni","YIELD_ON_ISSUE_DATE")</f>
        <v>#N/A Requesting Data...</v>
      </c>
      <c r="N1154" t="str">
        <f>_xll.BDP("5217687F Muni","YTW_SPREAD_TO_MATURITY_AT_ISSU")</f>
        <v>#N/A Requesting Data...</v>
      </c>
      <c r="O1154" t="str">
        <f>_xll.BDP("5217687F Muni","BVAL_MID_YTM")</f>
        <v>#N/A Requesting Data...</v>
      </c>
      <c r="P1154" t="str">
        <f>_xll.BDP("5217687F Muni","MUNI_TAX_PROV")</f>
        <v>#N/A Requesting Data...</v>
      </c>
      <c r="Q1154" t="str">
        <f>_xll.BDP("5217687F Muni","MUNI_FED_TAX")</f>
        <v>#N/A Requesting Data...</v>
      </c>
      <c r="R1154" t="str">
        <f>_xll.BDP("5217687F Muni","MUNI_MSRB_VOLUME")</f>
        <v>#N/A Requesting Data...</v>
      </c>
      <c r="S1154" t="str">
        <f>_xll.BDP("5217687F Muni","BB_COMPOSITE")</f>
        <v>#N/A Requesting Data...</v>
      </c>
      <c r="T1154" t="str">
        <f>_xll.BDP("5217687F Muni","LQA_LIQUIDITY_SCORE")</f>
        <v>#N/A Requesting Data...</v>
      </c>
    </row>
    <row r="1155" spans="1:20" x14ac:dyDescent="0.25">
      <c r="A1155" t="str">
        <f>_xll.BDP("5217687G Muni","ID_CUSIP")</f>
        <v>#N/A Requesting Data...</v>
      </c>
      <c r="B1155" t="s">
        <v>386</v>
      </c>
      <c r="C1155" t="str">
        <f>_xll.BDP("5217687G Muni","INSURANCE_STATUS")</f>
        <v>#N/A Requesting Data...</v>
      </c>
      <c r="D1155" t="str">
        <f>_xll.BDP("5217687G Muni","STATE_CODE")</f>
        <v>#N/A Requesting Data...</v>
      </c>
      <c r="E1155" t="str">
        <f>_xll.BDP("5217687G Muni","COUNTY_LOCATION_ISSUER")</f>
        <v>#N/A Requesting Data...</v>
      </c>
      <c r="F1155" t="str">
        <f>_xll.BDP("5217687G Muni","DUR_ADJ_MID")</f>
        <v>#N/A Requesting Data...</v>
      </c>
      <c r="G1155" t="str">
        <f>_xll.BDP("5217687G Muni","SPREAD_AT_ISSUANCE_TO_WORST")</f>
        <v>#N/A Requesting Data...</v>
      </c>
      <c r="H1155" t="str">
        <f>_xll.BDP("5217687G Muni","ISSUE_DT")</f>
        <v>#N/A Requesting Data...</v>
      </c>
      <c r="I1155" t="str">
        <f>_xll.BDS("5217687G Muni","MUNI_PURPOSE_SCHED", "aggregate=y")</f>
        <v>#N/A Review</v>
      </c>
      <c r="J1155" t="str">
        <f>_xll.BDP("5217687G Muni","CPN")</f>
        <v>#N/A Requesting Data...</v>
      </c>
      <c r="K1155" t="str">
        <f>_xll.BDP("5217687G Muni","MATURITY")</f>
        <v>#N/A Requesting Data...</v>
      </c>
      <c r="L1155">
        <v>630000</v>
      </c>
      <c r="M1155" t="str">
        <f>_xll.BDP("5217687G Muni","YIELD_ON_ISSUE_DATE")</f>
        <v>#N/A Requesting Data...</v>
      </c>
      <c r="N1155" t="str">
        <f>_xll.BDP("5217687G Muni","YTW_SPREAD_TO_MATURITY_AT_ISSU")</f>
        <v>#N/A Requesting Data...</v>
      </c>
      <c r="O1155" t="str">
        <f>_xll.BDP("5217687G Muni","BVAL_MID_YTM")</f>
        <v>#N/A Requesting Data...</v>
      </c>
      <c r="P1155" t="str">
        <f>_xll.BDP("5217687G Muni","MUNI_TAX_PROV")</f>
        <v>#N/A Requesting Data...</v>
      </c>
      <c r="Q1155" t="str">
        <f>_xll.BDP("5217687G Muni","MUNI_FED_TAX")</f>
        <v>#N/A Requesting Data...</v>
      </c>
      <c r="R1155" t="str">
        <f>_xll.BDP("5217687G Muni","MUNI_MSRB_VOLUME")</f>
        <v>#N/A Requesting Data...</v>
      </c>
      <c r="S1155" t="str">
        <f>_xll.BDP("5217687G Muni","BB_COMPOSITE")</f>
        <v>#N/A Requesting Data...</v>
      </c>
      <c r="T1155" t="str">
        <f>_xll.BDP("5217687G Muni","LQA_LIQUIDITY_SCORE")</f>
        <v>#N/A Requesting Data...</v>
      </c>
    </row>
    <row r="1156" spans="1:20" x14ac:dyDescent="0.25">
      <c r="A1156" t="str">
        <f>_xll.BDP("521838XV Muni","ID_CUSIP")</f>
        <v>#N/A Requesting Data...</v>
      </c>
      <c r="B1156" t="s">
        <v>98</v>
      </c>
      <c r="C1156" t="str">
        <f>_xll.BDP("521838XV Muni","INSURANCE_STATUS")</f>
        <v>#N/A Requesting Data...</v>
      </c>
      <c r="D1156" t="str">
        <f>_xll.BDP("521838XV Muni","STATE_CODE")</f>
        <v>#N/A Requesting Data...</v>
      </c>
      <c r="E1156" t="str">
        <f>_xll.BDP("521838XV Muni","COUNTY_LOCATION_ISSUER")</f>
        <v>#N/A Requesting Data...</v>
      </c>
      <c r="F1156" t="str">
        <f>_xll.BDP("521838XV Muni","DUR_ADJ_MID")</f>
        <v>#N/A Requesting Data...</v>
      </c>
      <c r="G1156" t="str">
        <f>_xll.BDP("521838XV Muni","SPREAD_AT_ISSUANCE_TO_WORST")</f>
        <v>#N/A Requesting Data...</v>
      </c>
      <c r="H1156" t="str">
        <f>_xll.BDP("521838XV Muni","ISSUE_DT")</f>
        <v>#N/A Requesting Data...</v>
      </c>
      <c r="I1156" t="str">
        <f>_xll.BDS("521838XV Muni","MUNI_PURPOSE_SCHED", "aggregate=y")</f>
        <v>#N/A Review</v>
      </c>
      <c r="J1156" t="str">
        <f>_xll.BDP("521838XV Muni","CPN")</f>
        <v>#N/A Requesting Data...</v>
      </c>
      <c r="K1156" t="str">
        <f>_xll.BDP("521838XV Muni","MATURITY")</f>
        <v>#N/A Requesting Data...</v>
      </c>
      <c r="L1156">
        <v>680000</v>
      </c>
      <c r="M1156" t="str">
        <f>_xll.BDP("521838XV Muni","YIELD_ON_ISSUE_DATE")</f>
        <v>#N/A Requesting Data...</v>
      </c>
      <c r="N1156" t="str">
        <f>_xll.BDP("521838XV Muni","YTW_SPREAD_TO_MATURITY_AT_ISSU")</f>
        <v>#N/A Requesting Data...</v>
      </c>
      <c r="O1156" t="str">
        <f>_xll.BDP("521838XV Muni","BVAL_MID_YTM")</f>
        <v>#N/A Requesting Data...</v>
      </c>
      <c r="P1156" t="str">
        <f>_xll.BDP("521838XV Muni","MUNI_TAX_PROV")</f>
        <v>#N/A Requesting Data...</v>
      </c>
      <c r="Q1156" t="str">
        <f>_xll.BDP("521838XV Muni","MUNI_FED_TAX")</f>
        <v>#N/A Requesting Data...</v>
      </c>
      <c r="R1156" t="str">
        <f>_xll.BDP("521838XV Muni","MUNI_MSRB_VOLUME")</f>
        <v>#N/A Requesting Data...</v>
      </c>
      <c r="S1156" t="str">
        <f>_xll.BDP("521838XV Muni","BB_COMPOSITE")</f>
        <v>#N/A Requesting Data...</v>
      </c>
      <c r="T1156" t="str">
        <f>_xll.BDP("521838XV Muni","LQA_LIQUIDITY_SCORE")</f>
        <v>#N/A Requesting Data...</v>
      </c>
    </row>
    <row r="1157" spans="1:20" x14ac:dyDescent="0.25">
      <c r="A1157" t="str">
        <f>_xll.BDP("521838XW Muni","ID_CUSIP")</f>
        <v>#N/A Requesting Data...</v>
      </c>
      <c r="B1157" t="s">
        <v>98</v>
      </c>
      <c r="C1157" t="str">
        <f>_xll.BDP("521838XW Muni","INSURANCE_STATUS")</f>
        <v>#N/A Requesting Data...</v>
      </c>
      <c r="D1157" t="str">
        <f>_xll.BDP("521838XW Muni","STATE_CODE")</f>
        <v>#N/A Requesting Data...</v>
      </c>
      <c r="E1157" t="str">
        <f>_xll.BDP("521838XW Muni","COUNTY_LOCATION_ISSUER")</f>
        <v>#N/A Requesting Data...</v>
      </c>
      <c r="F1157" t="str">
        <f>_xll.BDP("521838XW Muni","DUR_ADJ_MID")</f>
        <v>#N/A Requesting Data...</v>
      </c>
      <c r="G1157" t="str">
        <f>_xll.BDP("521838XW Muni","SPREAD_AT_ISSUANCE_TO_WORST")</f>
        <v>#N/A Requesting Data...</v>
      </c>
      <c r="H1157" t="str">
        <f>_xll.BDP("521838XW Muni","ISSUE_DT")</f>
        <v>#N/A Requesting Data...</v>
      </c>
      <c r="I1157" t="str">
        <f>_xll.BDS("521838XW Muni","MUNI_PURPOSE_SCHED", "aggregate=y")</f>
        <v>#N/A Review</v>
      </c>
      <c r="J1157" t="str">
        <f>_xll.BDP("521838XW Muni","CPN")</f>
        <v>#N/A Requesting Data...</v>
      </c>
      <c r="K1157" t="str">
        <f>_xll.BDP("521838XW Muni","MATURITY")</f>
        <v>#N/A Requesting Data...</v>
      </c>
      <c r="L1157">
        <v>700000</v>
      </c>
      <c r="M1157" t="str">
        <f>_xll.BDP("521838XW Muni","YIELD_ON_ISSUE_DATE")</f>
        <v>#N/A Requesting Data...</v>
      </c>
      <c r="N1157" t="str">
        <f>_xll.BDP("521838XW Muni","YTW_SPREAD_TO_MATURITY_AT_ISSU")</f>
        <v>#N/A Requesting Data...</v>
      </c>
      <c r="O1157" t="str">
        <f>_xll.BDP("521838XW Muni","BVAL_MID_YTM")</f>
        <v>#N/A Requesting Data...</v>
      </c>
      <c r="P1157" t="str">
        <f>_xll.BDP("521838XW Muni","MUNI_TAX_PROV")</f>
        <v>#N/A Requesting Data...</v>
      </c>
      <c r="Q1157" t="str">
        <f>_xll.BDP("521838XW Muni","MUNI_FED_TAX")</f>
        <v>#N/A Requesting Data...</v>
      </c>
      <c r="R1157" t="str">
        <f>_xll.BDP("521838XW Muni","MUNI_MSRB_VOLUME")</f>
        <v>#N/A Requesting Data...</v>
      </c>
      <c r="S1157" t="str">
        <f>_xll.BDP("521838XW Muni","BB_COMPOSITE")</f>
        <v>#N/A Requesting Data...</v>
      </c>
      <c r="T1157" t="str">
        <f>_xll.BDP("521838XW Muni","LQA_LIQUIDITY_SCORE")</f>
        <v>#N/A Requesting Data...</v>
      </c>
    </row>
    <row r="1158" spans="1:20" x14ac:dyDescent="0.25">
      <c r="A1158" t="str">
        <f>_xll.BDP("521838XX Muni","ID_CUSIP")</f>
        <v>#N/A Requesting Data...</v>
      </c>
      <c r="B1158" t="s">
        <v>98</v>
      </c>
      <c r="C1158" t="str">
        <f>_xll.BDP("521838XX Muni","INSURANCE_STATUS")</f>
        <v>#N/A Requesting Data...</v>
      </c>
      <c r="D1158" t="str">
        <f>_xll.BDP("521838XX Muni","STATE_CODE")</f>
        <v>#N/A Requesting Data...</v>
      </c>
      <c r="E1158" t="str">
        <f>_xll.BDP("521838XX Muni","COUNTY_LOCATION_ISSUER")</f>
        <v>#N/A Requesting Data...</v>
      </c>
      <c r="F1158" t="str">
        <f>_xll.BDP("521838XX Muni","DUR_ADJ_MID")</f>
        <v>#N/A Requesting Data...</v>
      </c>
      <c r="G1158" t="str">
        <f>_xll.BDP("521838XX Muni","SPREAD_AT_ISSUANCE_TO_WORST")</f>
        <v>#N/A Requesting Data...</v>
      </c>
      <c r="H1158" t="str">
        <f>_xll.BDP("521838XX Muni","ISSUE_DT")</f>
        <v>#N/A Requesting Data...</v>
      </c>
      <c r="I1158" t="str">
        <f>_xll.BDS("521838XX Muni","MUNI_PURPOSE_SCHED", "aggregate=y")</f>
        <v>#N/A Review</v>
      </c>
      <c r="J1158" t="str">
        <f>_xll.BDP("521838XX Muni","CPN")</f>
        <v>#N/A Requesting Data...</v>
      </c>
      <c r="K1158" t="str">
        <f>_xll.BDP("521838XX Muni","MATURITY")</f>
        <v>#N/A Requesting Data...</v>
      </c>
      <c r="L1158">
        <v>720000</v>
      </c>
      <c r="M1158" t="str">
        <f>_xll.BDP("521838XX Muni","YIELD_ON_ISSUE_DATE")</f>
        <v>#N/A Requesting Data...</v>
      </c>
      <c r="N1158" t="str">
        <f>_xll.BDP("521838XX Muni","YTW_SPREAD_TO_MATURITY_AT_ISSU")</f>
        <v>#N/A Requesting Data...</v>
      </c>
      <c r="O1158" t="str">
        <f>_xll.BDP("521838XX Muni","BVAL_MID_YTM")</f>
        <v>#N/A Requesting Data...</v>
      </c>
      <c r="P1158" t="str">
        <f>_xll.BDP("521838XX Muni","MUNI_TAX_PROV")</f>
        <v>#N/A Requesting Data...</v>
      </c>
      <c r="Q1158" t="str">
        <f>_xll.BDP("521838XX Muni","MUNI_FED_TAX")</f>
        <v>#N/A Requesting Data...</v>
      </c>
      <c r="R1158" t="str">
        <f>_xll.BDP("521838XX Muni","MUNI_MSRB_VOLUME")</f>
        <v>#N/A Requesting Data...</v>
      </c>
      <c r="S1158" t="str">
        <f>_xll.BDP("521838XX Muni","BB_COMPOSITE")</f>
        <v>#N/A Requesting Data...</v>
      </c>
      <c r="T1158" t="str">
        <f>_xll.BDP("521838XX Muni","LQA_LIQUIDITY_SCORE")</f>
        <v>#N/A Requesting Data...</v>
      </c>
    </row>
    <row r="1159" spans="1:20" x14ac:dyDescent="0.25">
      <c r="A1159" t="str">
        <f>_xll.BDP("521838XY Muni","ID_CUSIP")</f>
        <v>#N/A Requesting Data...</v>
      </c>
      <c r="B1159" t="s">
        <v>98</v>
      </c>
      <c r="C1159" t="str">
        <f>_xll.BDP("521838XY Muni","INSURANCE_STATUS")</f>
        <v>#N/A Requesting Data...</v>
      </c>
      <c r="D1159" t="str">
        <f>_xll.BDP("521838XY Muni","STATE_CODE")</f>
        <v>#N/A Requesting Data...</v>
      </c>
      <c r="E1159" t="str">
        <f>_xll.BDP("521838XY Muni","COUNTY_LOCATION_ISSUER")</f>
        <v>#N/A Requesting Data...</v>
      </c>
      <c r="F1159" t="str">
        <f>_xll.BDP("521838XY Muni","DUR_ADJ_MID")</f>
        <v>#N/A Requesting Data...</v>
      </c>
      <c r="G1159" t="str">
        <f>_xll.BDP("521838XY Muni","SPREAD_AT_ISSUANCE_TO_WORST")</f>
        <v>#N/A Requesting Data...</v>
      </c>
      <c r="H1159" t="str">
        <f>_xll.BDP("521838XY Muni","ISSUE_DT")</f>
        <v>#N/A Requesting Data...</v>
      </c>
      <c r="I1159" t="str">
        <f>_xll.BDS("521838XY Muni","MUNI_PURPOSE_SCHED", "aggregate=y")</f>
        <v>#N/A Review</v>
      </c>
      <c r="J1159" t="str">
        <f>_xll.BDP("521838XY Muni","CPN")</f>
        <v>#N/A Requesting Data...</v>
      </c>
      <c r="K1159" t="str">
        <f>_xll.BDP("521838XY Muni","MATURITY")</f>
        <v>#N/A Requesting Data...</v>
      </c>
      <c r="L1159">
        <v>750000</v>
      </c>
      <c r="M1159" t="str">
        <f>_xll.BDP("521838XY Muni","YIELD_ON_ISSUE_DATE")</f>
        <v>#N/A Requesting Data...</v>
      </c>
      <c r="N1159" t="str">
        <f>_xll.BDP("521838XY Muni","YTW_SPREAD_TO_MATURITY_AT_ISSU")</f>
        <v>#N/A Requesting Data...</v>
      </c>
      <c r="O1159" t="str">
        <f>_xll.BDP("521838XY Muni","BVAL_MID_YTM")</f>
        <v>#N/A Requesting Data...</v>
      </c>
      <c r="P1159" t="str">
        <f>_xll.BDP("521838XY Muni","MUNI_TAX_PROV")</f>
        <v>#N/A Requesting Data...</v>
      </c>
      <c r="Q1159" t="str">
        <f>_xll.BDP("521838XY Muni","MUNI_FED_TAX")</f>
        <v>#N/A Requesting Data...</v>
      </c>
      <c r="R1159" t="str">
        <f>_xll.BDP("521838XY Muni","MUNI_MSRB_VOLUME")</f>
        <v>#N/A Requesting Data...</v>
      </c>
      <c r="S1159" t="str">
        <f>_xll.BDP("521838XY Muni","BB_COMPOSITE")</f>
        <v>#N/A Requesting Data...</v>
      </c>
      <c r="T1159" t="str">
        <f>_xll.BDP("521838XY Muni","LQA_LIQUIDITY_SCORE")</f>
        <v>#N/A Requesting Data...</v>
      </c>
    </row>
    <row r="1160" spans="1:20" x14ac:dyDescent="0.25">
      <c r="A1160" t="str">
        <f>_xll.BDP("479370ZS Muni","ID_CUSIP")</f>
        <v>#N/A Requesting Data...</v>
      </c>
      <c r="B1160" t="s">
        <v>387</v>
      </c>
      <c r="C1160" t="str">
        <f>_xll.BDP("479370ZS Muni","INSURANCE_STATUS")</f>
        <v>#N/A Requesting Data...</v>
      </c>
      <c r="D1160" t="str">
        <f>_xll.BDP("479370ZS Muni","STATE_CODE")</f>
        <v>#N/A Requesting Data...</v>
      </c>
      <c r="E1160" t="str">
        <f>_xll.BDP("479370ZS Muni","COUNTY_LOCATION_ISSUER")</f>
        <v>#N/A Requesting Data...</v>
      </c>
      <c r="F1160" t="str">
        <f>_xll.BDP("479370ZS Muni","DUR_ADJ_MID")</f>
        <v>#N/A Requesting Data...</v>
      </c>
      <c r="G1160" t="str">
        <f>_xll.BDP("479370ZS Muni","SPREAD_AT_ISSUANCE_TO_WORST")</f>
        <v>#N/A Requesting Data...</v>
      </c>
      <c r="H1160" t="str">
        <f>_xll.BDP("479370ZS Muni","ISSUE_DT")</f>
        <v>#N/A Requesting Data...</v>
      </c>
      <c r="I1160" t="str">
        <f>_xll.BDS("479370ZS Muni","MUNI_PURPOSE_SCHED", "aggregate=y")</f>
        <v>#N/A Review</v>
      </c>
      <c r="J1160" t="str">
        <f>_xll.BDP("479370ZS Muni","CPN")</f>
        <v>#N/A Requesting Data...</v>
      </c>
      <c r="K1160" t="str">
        <f>_xll.BDP("479370ZS Muni","MATURITY")</f>
        <v>#N/A Requesting Data...</v>
      </c>
      <c r="L1160">
        <v>425000</v>
      </c>
      <c r="M1160" t="str">
        <f>_xll.BDP("479370ZS Muni","YIELD_ON_ISSUE_DATE")</f>
        <v>#N/A Requesting Data...</v>
      </c>
      <c r="N1160" t="str">
        <f>_xll.BDP("479370ZS Muni","YTW_SPREAD_TO_MATURITY_AT_ISSU")</f>
        <v>#N/A Requesting Data...</v>
      </c>
      <c r="O1160" t="str">
        <f>_xll.BDP("479370ZS Muni","BVAL_MID_YTM")</f>
        <v>#N/A Requesting Data...</v>
      </c>
      <c r="P1160" t="str">
        <f>_xll.BDP("479370ZS Muni","MUNI_TAX_PROV")</f>
        <v>#N/A Requesting Data...</v>
      </c>
      <c r="Q1160" t="str">
        <f>_xll.BDP("479370ZS Muni","MUNI_FED_TAX")</f>
        <v>#N/A Requesting Data...</v>
      </c>
      <c r="R1160" t="str">
        <f>_xll.BDP("479370ZS Muni","MUNI_MSRB_VOLUME")</f>
        <v>#N/A Requesting Data...</v>
      </c>
      <c r="S1160" t="str">
        <f>_xll.BDP("479370ZS Muni","BB_COMPOSITE")</f>
        <v>#N/A Requesting Data...</v>
      </c>
      <c r="T1160" t="str">
        <f>_xll.BDP("479370ZS Muni","LQA_LIQUIDITY_SCORE")</f>
        <v>#N/A Requesting Data...</v>
      </c>
    </row>
    <row r="1161" spans="1:20" x14ac:dyDescent="0.25">
      <c r="A1161" t="str">
        <f>_xll.BDP("479370ZT Muni","ID_CUSIP")</f>
        <v>#N/A Requesting Data...</v>
      </c>
      <c r="B1161" t="s">
        <v>387</v>
      </c>
      <c r="C1161" t="str">
        <f>_xll.BDP("479370ZT Muni","INSURANCE_STATUS")</f>
        <v>#N/A Requesting Data...</v>
      </c>
      <c r="D1161" t="str">
        <f>_xll.BDP("479370ZT Muni","STATE_CODE")</f>
        <v>#N/A Requesting Data...</v>
      </c>
      <c r="E1161" t="str">
        <f>_xll.BDP("479370ZT Muni","COUNTY_LOCATION_ISSUER")</f>
        <v>#N/A Requesting Data...</v>
      </c>
      <c r="F1161" t="str">
        <f>_xll.BDP("479370ZT Muni","DUR_ADJ_MID")</f>
        <v>#N/A Requesting Data...</v>
      </c>
      <c r="G1161" t="str">
        <f>_xll.BDP("479370ZT Muni","SPREAD_AT_ISSUANCE_TO_WORST")</f>
        <v>#N/A Requesting Data...</v>
      </c>
      <c r="H1161" t="str">
        <f>_xll.BDP("479370ZT Muni","ISSUE_DT")</f>
        <v>#N/A Requesting Data...</v>
      </c>
      <c r="I1161" t="str">
        <f>_xll.BDS("479370ZT Muni","MUNI_PURPOSE_SCHED", "aggregate=y")</f>
        <v>#N/A Review</v>
      </c>
      <c r="J1161" t="str">
        <f>_xll.BDP("479370ZT Muni","CPN")</f>
        <v>#N/A Requesting Data...</v>
      </c>
      <c r="K1161" t="str">
        <f>_xll.BDP("479370ZT Muni","MATURITY")</f>
        <v>#N/A Requesting Data...</v>
      </c>
      <c r="L1161">
        <v>430000</v>
      </c>
      <c r="M1161" t="str">
        <f>_xll.BDP("479370ZT Muni","YIELD_ON_ISSUE_DATE")</f>
        <v>#N/A Requesting Data...</v>
      </c>
      <c r="N1161" t="str">
        <f>_xll.BDP("479370ZT Muni","YTW_SPREAD_TO_MATURITY_AT_ISSU")</f>
        <v>#N/A Requesting Data...</v>
      </c>
      <c r="O1161" t="str">
        <f>_xll.BDP("479370ZT Muni","BVAL_MID_YTM")</f>
        <v>#N/A Requesting Data...</v>
      </c>
      <c r="P1161" t="str">
        <f>_xll.BDP("479370ZT Muni","MUNI_TAX_PROV")</f>
        <v>#N/A Requesting Data...</v>
      </c>
      <c r="Q1161" t="str">
        <f>_xll.BDP("479370ZT Muni","MUNI_FED_TAX")</f>
        <v>#N/A Requesting Data...</v>
      </c>
      <c r="R1161" t="str">
        <f>_xll.BDP("479370ZT Muni","MUNI_MSRB_VOLUME")</f>
        <v>#N/A Requesting Data...</v>
      </c>
      <c r="S1161" t="str">
        <f>_xll.BDP("479370ZT Muni","BB_COMPOSITE")</f>
        <v>#N/A Requesting Data...</v>
      </c>
      <c r="T1161" t="str">
        <f>_xll.BDP("479370ZT Muni","LQA_LIQUIDITY_SCORE")</f>
        <v>#N/A Requesting Data...</v>
      </c>
    </row>
    <row r="1162" spans="1:20" x14ac:dyDescent="0.25">
      <c r="A1162" t="str">
        <f>_xll.BDP("4820972P Muni","ID_CUSIP")</f>
        <v>#N/A Requesting Data...</v>
      </c>
      <c r="B1162" t="s">
        <v>388</v>
      </c>
      <c r="C1162" t="str">
        <f>_xll.BDP("4820972P Muni","INSURANCE_STATUS")</f>
        <v>#N/A Requesting Data...</v>
      </c>
      <c r="D1162" t="str">
        <f>_xll.BDP("4820972P Muni","STATE_CODE")</f>
        <v>#N/A Requesting Data...</v>
      </c>
      <c r="E1162" t="str">
        <f>_xll.BDP("4820972P Muni","COUNTY_LOCATION_ISSUER")</f>
        <v>#N/A Requesting Data...</v>
      </c>
      <c r="F1162" t="str">
        <f>_xll.BDP("4820972P Muni","DUR_ADJ_MID")</f>
        <v>#N/A Requesting Data...</v>
      </c>
      <c r="G1162" t="str">
        <f>_xll.BDP("4820972P Muni","SPREAD_AT_ISSUANCE_TO_WORST")</f>
        <v>#N/A Requesting Data...</v>
      </c>
      <c r="H1162" t="str">
        <f>_xll.BDP("4820972P Muni","ISSUE_DT")</f>
        <v>#N/A Requesting Data...</v>
      </c>
      <c r="I1162" t="str">
        <f>_xll.BDS("4820972P Muni","MUNI_PURPOSE_SCHED", "aggregate=y")</f>
        <v>#N/A Review</v>
      </c>
      <c r="J1162" t="str">
        <f>_xll.BDP("4820972P Muni","CPN")</f>
        <v>#N/A Requesting Data...</v>
      </c>
      <c r="K1162" t="str">
        <f>_xll.BDP("4820972P Muni","MATURITY")</f>
        <v>#N/A Requesting Data...</v>
      </c>
      <c r="L1162">
        <v>160000</v>
      </c>
      <c r="M1162" t="str">
        <f>_xll.BDP("4820972P Muni","YIELD_ON_ISSUE_DATE")</f>
        <v>#N/A Requesting Data...</v>
      </c>
      <c r="N1162" t="str">
        <f>_xll.BDP("4820972P Muni","YTW_SPREAD_TO_MATURITY_AT_ISSU")</f>
        <v>#N/A Requesting Data...</v>
      </c>
      <c r="O1162" t="str">
        <f>_xll.BDP("4820972P Muni","BVAL_MID_YTM")</f>
        <v>#N/A Requesting Data...</v>
      </c>
      <c r="P1162" t="str">
        <f>_xll.BDP("4820972P Muni","MUNI_TAX_PROV")</f>
        <v>#N/A Requesting Data...</v>
      </c>
      <c r="Q1162" t="str">
        <f>_xll.BDP("4820972P Muni","MUNI_FED_TAX")</f>
        <v>#N/A Requesting Data...</v>
      </c>
      <c r="R1162" t="str">
        <f>_xll.BDP("4820972P Muni","MUNI_MSRB_VOLUME")</f>
        <v>#N/A Requesting Data...</v>
      </c>
      <c r="S1162" t="str">
        <f>_xll.BDP("4820972P Muni","BB_COMPOSITE")</f>
        <v>#N/A Requesting Data...</v>
      </c>
      <c r="T1162" t="str">
        <f>_xll.BDP("4820972P Muni","LQA_LIQUIDITY_SCORE")</f>
        <v>#N/A Requesting Data...</v>
      </c>
    </row>
    <row r="1163" spans="1:20" x14ac:dyDescent="0.25">
      <c r="A1163" t="str">
        <f>_xll.BDP("4820972Q Muni","ID_CUSIP")</f>
        <v>#N/A Requesting Data...</v>
      </c>
      <c r="B1163" t="s">
        <v>388</v>
      </c>
      <c r="C1163" t="str">
        <f>_xll.BDP("4820972Q Muni","INSURANCE_STATUS")</f>
        <v>#N/A Requesting Data...</v>
      </c>
      <c r="D1163" t="str">
        <f>_xll.BDP("4820972Q Muni","STATE_CODE")</f>
        <v>#N/A Requesting Data...</v>
      </c>
      <c r="E1163" t="str">
        <f>_xll.BDP("4820972Q Muni","COUNTY_LOCATION_ISSUER")</f>
        <v>#N/A Requesting Data...</v>
      </c>
      <c r="F1163" t="str">
        <f>_xll.BDP("4820972Q Muni","DUR_ADJ_MID")</f>
        <v>#N/A Requesting Data...</v>
      </c>
      <c r="G1163" t="str">
        <f>_xll.BDP("4820972Q Muni","SPREAD_AT_ISSUANCE_TO_WORST")</f>
        <v>#N/A Requesting Data...</v>
      </c>
      <c r="H1163" t="str">
        <f>_xll.BDP("4820972Q Muni","ISSUE_DT")</f>
        <v>#N/A Requesting Data...</v>
      </c>
      <c r="I1163" t="str">
        <f>_xll.BDS("4820972Q Muni","MUNI_PURPOSE_SCHED", "aggregate=y")</f>
        <v>#N/A Review</v>
      </c>
      <c r="J1163" t="str">
        <f>_xll.BDP("4820972Q Muni","CPN")</f>
        <v>#N/A Requesting Data...</v>
      </c>
      <c r="K1163" t="str">
        <f>_xll.BDP("4820972Q Muni","MATURITY")</f>
        <v>#N/A Requesting Data...</v>
      </c>
      <c r="L1163">
        <v>165000</v>
      </c>
      <c r="M1163" t="str">
        <f>_xll.BDP("4820972Q Muni","YIELD_ON_ISSUE_DATE")</f>
        <v>#N/A Requesting Data...</v>
      </c>
      <c r="N1163" t="str">
        <f>_xll.BDP("4820972Q Muni","YTW_SPREAD_TO_MATURITY_AT_ISSU")</f>
        <v>#N/A Requesting Data...</v>
      </c>
      <c r="O1163" t="str">
        <f>_xll.BDP("4820972Q Muni","BVAL_MID_YTM")</f>
        <v>#N/A Requesting Data...</v>
      </c>
      <c r="P1163" t="str">
        <f>_xll.BDP("4820972Q Muni","MUNI_TAX_PROV")</f>
        <v>#N/A Requesting Data...</v>
      </c>
      <c r="Q1163" t="str">
        <f>_xll.BDP("4820972Q Muni","MUNI_FED_TAX")</f>
        <v>#N/A Requesting Data...</v>
      </c>
      <c r="R1163" t="str">
        <f>_xll.BDP("4820972Q Muni","MUNI_MSRB_VOLUME")</f>
        <v>#N/A Requesting Data...</v>
      </c>
      <c r="S1163" t="str">
        <f>_xll.BDP("4820972Q Muni","BB_COMPOSITE")</f>
        <v>#N/A Requesting Data...</v>
      </c>
      <c r="T1163" t="str">
        <f>_xll.BDP("4820972Q Muni","LQA_LIQUIDITY_SCORE")</f>
        <v>#N/A Requesting Data...</v>
      </c>
    </row>
    <row r="1164" spans="1:20" x14ac:dyDescent="0.25">
      <c r="A1164" t="str">
        <f>_xll.BDP("4820972R Muni","ID_CUSIP")</f>
        <v>#N/A Requesting Data...</v>
      </c>
      <c r="B1164" t="s">
        <v>388</v>
      </c>
      <c r="C1164" t="str">
        <f>_xll.BDP("4820972R Muni","INSURANCE_STATUS")</f>
        <v>#N/A Requesting Data...</v>
      </c>
      <c r="D1164" t="str">
        <f>_xll.BDP("4820972R Muni","STATE_CODE")</f>
        <v>#N/A Requesting Data...</v>
      </c>
      <c r="E1164" t="str">
        <f>_xll.BDP("4820972R Muni","COUNTY_LOCATION_ISSUER")</f>
        <v>#N/A Requesting Data...</v>
      </c>
      <c r="F1164" t="str">
        <f>_xll.BDP("4820972R Muni","DUR_ADJ_MID")</f>
        <v>#N/A Requesting Data...</v>
      </c>
      <c r="G1164" t="str">
        <f>_xll.BDP("4820972R Muni","SPREAD_AT_ISSUANCE_TO_WORST")</f>
        <v>#N/A Requesting Data...</v>
      </c>
      <c r="H1164" t="str">
        <f>_xll.BDP("4820972R Muni","ISSUE_DT")</f>
        <v>#N/A Requesting Data...</v>
      </c>
      <c r="I1164" t="str">
        <f>_xll.BDS("4820972R Muni","MUNI_PURPOSE_SCHED", "aggregate=y")</f>
        <v>#N/A Review</v>
      </c>
      <c r="J1164" t="str">
        <f>_xll.BDP("4820972R Muni","CPN")</f>
        <v>#N/A Requesting Data...</v>
      </c>
      <c r="K1164" t="str">
        <f>_xll.BDP("4820972R Muni","MATURITY")</f>
        <v>#N/A Requesting Data...</v>
      </c>
      <c r="L1164">
        <v>175000</v>
      </c>
      <c r="M1164" t="str">
        <f>_xll.BDP("4820972R Muni","YIELD_ON_ISSUE_DATE")</f>
        <v>#N/A Requesting Data...</v>
      </c>
      <c r="N1164" t="str">
        <f>_xll.BDP("4820972R Muni","YTW_SPREAD_TO_MATURITY_AT_ISSU")</f>
        <v>#N/A Requesting Data...</v>
      </c>
      <c r="O1164" t="str">
        <f>_xll.BDP("4820972R Muni","BVAL_MID_YTM")</f>
        <v>#N/A Requesting Data...</v>
      </c>
      <c r="P1164" t="str">
        <f>_xll.BDP("4820972R Muni","MUNI_TAX_PROV")</f>
        <v>#N/A Requesting Data...</v>
      </c>
      <c r="Q1164" t="str">
        <f>_xll.BDP("4820972R Muni","MUNI_FED_TAX")</f>
        <v>#N/A Requesting Data...</v>
      </c>
      <c r="R1164" t="str">
        <f>_xll.BDP("4820972R Muni","MUNI_MSRB_VOLUME")</f>
        <v>#N/A Requesting Data...</v>
      </c>
      <c r="S1164" t="str">
        <f>_xll.BDP("4820972R Muni","BB_COMPOSITE")</f>
        <v>#N/A Requesting Data...</v>
      </c>
      <c r="T1164" t="str">
        <f>_xll.BDP("4820972R Muni","LQA_LIQUIDITY_SCORE")</f>
        <v>#N/A Requesting Data...</v>
      </c>
    </row>
    <row r="1165" spans="1:20" x14ac:dyDescent="0.25">
      <c r="A1165" t="str">
        <f>_xll.BDP("4820972S Muni","ID_CUSIP")</f>
        <v>#N/A Requesting Data...</v>
      </c>
      <c r="B1165" t="s">
        <v>388</v>
      </c>
      <c r="C1165" t="str">
        <f>_xll.BDP("4820972S Muni","INSURANCE_STATUS")</f>
        <v>#N/A Requesting Data...</v>
      </c>
      <c r="D1165" t="str">
        <f>_xll.BDP("4820972S Muni","STATE_CODE")</f>
        <v>#N/A Requesting Data...</v>
      </c>
      <c r="E1165" t="str">
        <f>_xll.BDP("4820972S Muni","COUNTY_LOCATION_ISSUER")</f>
        <v>#N/A Requesting Data...</v>
      </c>
      <c r="F1165" t="str">
        <f>_xll.BDP("4820972S Muni","DUR_ADJ_MID")</f>
        <v>#N/A Requesting Data...</v>
      </c>
      <c r="G1165" t="str">
        <f>_xll.BDP("4820972S Muni","SPREAD_AT_ISSUANCE_TO_WORST")</f>
        <v>#N/A Requesting Data...</v>
      </c>
      <c r="H1165" t="str">
        <f>_xll.BDP("4820972S Muni","ISSUE_DT")</f>
        <v>#N/A Requesting Data...</v>
      </c>
      <c r="I1165" t="str">
        <f>_xll.BDS("4820972S Muni","MUNI_PURPOSE_SCHED", "aggregate=y")</f>
        <v>#N/A Review</v>
      </c>
      <c r="J1165" t="str">
        <f>_xll.BDP("4820972S Muni","CPN")</f>
        <v>#N/A Requesting Data...</v>
      </c>
      <c r="K1165" t="str">
        <f>_xll.BDP("4820972S Muni","MATURITY")</f>
        <v>#N/A Requesting Data...</v>
      </c>
      <c r="L1165">
        <v>180000</v>
      </c>
      <c r="M1165" t="str">
        <f>_xll.BDP("4820972S Muni","YIELD_ON_ISSUE_DATE")</f>
        <v>#N/A Requesting Data...</v>
      </c>
      <c r="N1165" t="str">
        <f>_xll.BDP("4820972S Muni","YTW_SPREAD_TO_MATURITY_AT_ISSU")</f>
        <v>#N/A Requesting Data...</v>
      </c>
      <c r="O1165" t="str">
        <f>_xll.BDP("4820972S Muni","BVAL_MID_YTM")</f>
        <v>#N/A Requesting Data...</v>
      </c>
      <c r="P1165" t="str">
        <f>_xll.BDP("4820972S Muni","MUNI_TAX_PROV")</f>
        <v>#N/A Requesting Data...</v>
      </c>
      <c r="Q1165" t="str">
        <f>_xll.BDP("4820972S Muni","MUNI_FED_TAX")</f>
        <v>#N/A Requesting Data...</v>
      </c>
      <c r="R1165" t="str">
        <f>_xll.BDP("4820972S Muni","MUNI_MSRB_VOLUME")</f>
        <v>#N/A Requesting Data...</v>
      </c>
      <c r="S1165" t="str">
        <f>_xll.BDP("4820972S Muni","BB_COMPOSITE")</f>
        <v>#N/A Requesting Data...</v>
      </c>
      <c r="T1165" t="str">
        <f>_xll.BDP("4820972S Muni","LQA_LIQUIDITY_SCORE")</f>
        <v>#N/A Requesting Data...</v>
      </c>
    </row>
    <row r="1166" spans="1:20" x14ac:dyDescent="0.25">
      <c r="A1166" t="str">
        <f>_xll.BDP("446457WY Muni","ID_CUSIP")</f>
        <v>#N/A Requesting Data...</v>
      </c>
      <c r="B1166" t="s">
        <v>389</v>
      </c>
      <c r="C1166" t="str">
        <f>_xll.BDP("446457WY Muni","INSURANCE_STATUS")</f>
        <v>#N/A Requesting Data...</v>
      </c>
      <c r="D1166" t="str">
        <f>_xll.BDP("446457WY Muni","STATE_CODE")</f>
        <v>#N/A Requesting Data...</v>
      </c>
      <c r="E1166" t="str">
        <f>_xll.BDP("446457WY Muni","COUNTY_LOCATION_ISSUER")</f>
        <v>#N/A Requesting Data...</v>
      </c>
      <c r="F1166" t="str">
        <f>_xll.BDP("446457WY Muni","DUR_ADJ_MID")</f>
        <v>#N/A Requesting Data...</v>
      </c>
      <c r="G1166" t="str">
        <f>_xll.BDP("446457WY Muni","SPREAD_AT_ISSUANCE_TO_WORST")</f>
        <v>#N/A Requesting Data...</v>
      </c>
      <c r="H1166" t="str">
        <f>_xll.BDP("446457WY Muni","ISSUE_DT")</f>
        <v>#N/A Requesting Data...</v>
      </c>
      <c r="I1166" t="str">
        <f>_xll.BDS("446457WY Muni","MUNI_PURPOSE_SCHED", "aggregate=y")</f>
        <v>#N/A Review</v>
      </c>
      <c r="J1166" t="str">
        <f>_xll.BDP("446457WY Muni","CPN")</f>
        <v>#N/A Requesting Data...</v>
      </c>
      <c r="K1166" t="str">
        <f>_xll.BDP("446457WY Muni","MATURITY")</f>
        <v>#N/A Requesting Data...</v>
      </c>
      <c r="L1166">
        <v>910000</v>
      </c>
      <c r="M1166" t="str">
        <f>_xll.BDP("446457WY Muni","YIELD_ON_ISSUE_DATE")</f>
        <v>#N/A Requesting Data...</v>
      </c>
      <c r="N1166" t="str">
        <f>_xll.BDP("446457WY Muni","YTW_SPREAD_TO_MATURITY_AT_ISSU")</f>
        <v>#N/A Requesting Data...</v>
      </c>
      <c r="O1166" t="str">
        <f>_xll.BDP("446457WY Muni","BVAL_MID_YTM")</f>
        <v>#N/A Requesting Data...</v>
      </c>
      <c r="P1166" t="str">
        <f>_xll.BDP("446457WY Muni","MUNI_TAX_PROV")</f>
        <v>#N/A Requesting Data...</v>
      </c>
      <c r="Q1166" t="str">
        <f>_xll.BDP("446457WY Muni","MUNI_FED_TAX")</f>
        <v>#N/A Requesting Data...</v>
      </c>
      <c r="R1166" t="str">
        <f>_xll.BDP("446457WY Muni","MUNI_MSRB_VOLUME")</f>
        <v>#N/A Requesting Data...</v>
      </c>
      <c r="S1166" t="str">
        <f>_xll.BDP("446457WY Muni","BB_COMPOSITE")</f>
        <v>#N/A Requesting Data...</v>
      </c>
      <c r="T1166" t="str">
        <f>_xll.BDP("446457WY Muni","LQA_LIQUIDITY_SCORE")</f>
        <v>#N/A Requesting Data...</v>
      </c>
    </row>
    <row r="1167" spans="1:20" x14ac:dyDescent="0.25">
      <c r="A1167" t="str">
        <f>_xll.BDP("446457WZ Muni","ID_CUSIP")</f>
        <v>#N/A Requesting Data...</v>
      </c>
      <c r="B1167" t="s">
        <v>389</v>
      </c>
      <c r="C1167" t="str">
        <f>_xll.BDP("446457WZ Muni","INSURANCE_STATUS")</f>
        <v>#N/A Requesting Data...</v>
      </c>
      <c r="D1167" t="str">
        <f>_xll.BDP("446457WZ Muni","STATE_CODE")</f>
        <v>#N/A Requesting Data...</v>
      </c>
      <c r="E1167" t="str">
        <f>_xll.BDP("446457WZ Muni","COUNTY_LOCATION_ISSUER")</f>
        <v>#N/A Requesting Data...</v>
      </c>
      <c r="F1167" t="str">
        <f>_xll.BDP("446457WZ Muni","DUR_ADJ_MID")</f>
        <v>#N/A Requesting Data...</v>
      </c>
      <c r="G1167" t="str">
        <f>_xll.BDP("446457WZ Muni","SPREAD_AT_ISSUANCE_TO_WORST")</f>
        <v>#N/A Requesting Data...</v>
      </c>
      <c r="H1167" t="str">
        <f>_xll.BDP("446457WZ Muni","ISSUE_DT")</f>
        <v>#N/A Requesting Data...</v>
      </c>
      <c r="I1167" t="str">
        <f>_xll.BDS("446457WZ Muni","MUNI_PURPOSE_SCHED", "aggregate=y")</f>
        <v>#N/A Review</v>
      </c>
      <c r="J1167" t="str">
        <f>_xll.BDP("446457WZ Muni","CPN")</f>
        <v>#N/A Requesting Data...</v>
      </c>
      <c r="K1167" t="str">
        <f>_xll.BDP("446457WZ Muni","MATURITY")</f>
        <v>#N/A Requesting Data...</v>
      </c>
      <c r="L1167">
        <v>925000</v>
      </c>
      <c r="M1167" t="str">
        <f>_xll.BDP("446457WZ Muni","YIELD_ON_ISSUE_DATE")</f>
        <v>#N/A Requesting Data...</v>
      </c>
      <c r="N1167" t="str">
        <f>_xll.BDP("446457WZ Muni","YTW_SPREAD_TO_MATURITY_AT_ISSU")</f>
        <v>#N/A Requesting Data...</v>
      </c>
      <c r="O1167" t="str">
        <f>_xll.BDP("446457WZ Muni","BVAL_MID_YTM")</f>
        <v>#N/A Requesting Data...</v>
      </c>
      <c r="P1167" t="str">
        <f>_xll.BDP("446457WZ Muni","MUNI_TAX_PROV")</f>
        <v>#N/A Requesting Data...</v>
      </c>
      <c r="Q1167" t="str">
        <f>_xll.BDP("446457WZ Muni","MUNI_FED_TAX")</f>
        <v>#N/A Requesting Data...</v>
      </c>
      <c r="R1167" t="str">
        <f>_xll.BDP("446457WZ Muni","MUNI_MSRB_VOLUME")</f>
        <v>#N/A Requesting Data...</v>
      </c>
      <c r="S1167" t="str">
        <f>_xll.BDP("446457WZ Muni","BB_COMPOSITE")</f>
        <v>#N/A Requesting Data...</v>
      </c>
      <c r="T1167" t="str">
        <f>_xll.BDP("446457WZ Muni","LQA_LIQUIDITY_SCORE")</f>
        <v>#N/A Requesting Data...</v>
      </c>
    </row>
    <row r="1168" spans="1:20" x14ac:dyDescent="0.25">
      <c r="A1168" t="str">
        <f>_xll.BDP("489134MY Muni","ID_CUSIP")</f>
        <v>#N/A Requesting Data...</v>
      </c>
      <c r="B1168" t="s">
        <v>390</v>
      </c>
      <c r="C1168" t="str">
        <f>_xll.BDP("489134MY Muni","INSURANCE_STATUS")</f>
        <v>#N/A Requesting Data...</v>
      </c>
      <c r="D1168" t="str">
        <f>_xll.BDP("489134MY Muni","STATE_CODE")</f>
        <v>#N/A Requesting Data...</v>
      </c>
      <c r="E1168" t="str">
        <f>_xll.BDP("489134MY Muni","COUNTY_LOCATION_ISSUER")</f>
        <v>#N/A Requesting Data...</v>
      </c>
      <c r="F1168" t="str">
        <f>_xll.BDP("489134MY Muni","DUR_ADJ_MID")</f>
        <v>#N/A Requesting Data...</v>
      </c>
      <c r="G1168" t="str">
        <f>_xll.BDP("489134MY Muni","SPREAD_AT_ISSUANCE_TO_WORST")</f>
        <v>#N/A Requesting Data...</v>
      </c>
      <c r="H1168" t="str">
        <f>_xll.BDP("489134MY Muni","ISSUE_DT")</f>
        <v>#N/A Requesting Data...</v>
      </c>
      <c r="I1168" t="str">
        <f>_xll.BDS("489134MY Muni","MUNI_PURPOSE_SCHED", "aggregate=y")</f>
        <v>#N/A Review</v>
      </c>
      <c r="J1168" t="str">
        <f>_xll.BDP("489134MY Muni","CPN")</f>
        <v>#N/A Requesting Data...</v>
      </c>
      <c r="K1168" t="str">
        <f>_xll.BDP("489134MY Muni","MATURITY")</f>
        <v>#N/A Requesting Data...</v>
      </c>
      <c r="L1168">
        <v>430000</v>
      </c>
      <c r="M1168" t="str">
        <f>_xll.BDP("489134MY Muni","YIELD_ON_ISSUE_DATE")</f>
        <v>#N/A Requesting Data...</v>
      </c>
      <c r="N1168" t="str">
        <f>_xll.BDP("489134MY Muni","YTW_SPREAD_TO_MATURITY_AT_ISSU")</f>
        <v>#N/A Requesting Data...</v>
      </c>
      <c r="O1168" t="str">
        <f>_xll.BDP("489134MY Muni","BVAL_MID_YTM")</f>
        <v>#N/A Requesting Data...</v>
      </c>
      <c r="P1168" t="str">
        <f>_xll.BDP("489134MY Muni","MUNI_TAX_PROV")</f>
        <v>#N/A Requesting Data...</v>
      </c>
      <c r="Q1168" t="str">
        <f>_xll.BDP("489134MY Muni","MUNI_FED_TAX")</f>
        <v>#N/A Requesting Data...</v>
      </c>
      <c r="R1168" t="str">
        <f>_xll.BDP("489134MY Muni","MUNI_MSRB_VOLUME")</f>
        <v>#N/A Requesting Data...</v>
      </c>
      <c r="S1168" t="str">
        <f>_xll.BDP("489134MY Muni","BB_COMPOSITE")</f>
        <v>#N/A Requesting Data...</v>
      </c>
      <c r="T1168" t="str">
        <f>_xll.BDP("489134MY Muni","LQA_LIQUIDITY_SCORE")</f>
        <v>#N/A Requesting Data...</v>
      </c>
    </row>
    <row r="1169" spans="1:20" x14ac:dyDescent="0.25">
      <c r="A1169" t="str">
        <f>_xll.BDP("489134MZ Muni","ID_CUSIP")</f>
        <v>#N/A Requesting Data...</v>
      </c>
      <c r="B1169" t="s">
        <v>390</v>
      </c>
      <c r="C1169" t="str">
        <f>_xll.BDP("489134MZ Muni","INSURANCE_STATUS")</f>
        <v>#N/A Requesting Data...</v>
      </c>
      <c r="D1169" t="str">
        <f>_xll.BDP("489134MZ Muni","STATE_CODE")</f>
        <v>#N/A Requesting Data...</v>
      </c>
      <c r="E1169" t="str">
        <f>_xll.BDP("489134MZ Muni","COUNTY_LOCATION_ISSUER")</f>
        <v>#N/A Requesting Data...</v>
      </c>
      <c r="F1169" t="str">
        <f>_xll.BDP("489134MZ Muni","DUR_ADJ_MID")</f>
        <v>#N/A Requesting Data...</v>
      </c>
      <c r="G1169" t="str">
        <f>_xll.BDP("489134MZ Muni","SPREAD_AT_ISSUANCE_TO_WORST")</f>
        <v>#N/A Requesting Data...</v>
      </c>
      <c r="H1169" t="str">
        <f>_xll.BDP("489134MZ Muni","ISSUE_DT")</f>
        <v>#N/A Requesting Data...</v>
      </c>
      <c r="I1169" t="str">
        <f>_xll.BDS("489134MZ Muni","MUNI_PURPOSE_SCHED", "aggregate=y")</f>
        <v>#N/A Review</v>
      </c>
      <c r="J1169" t="str">
        <f>_xll.BDP("489134MZ Muni","CPN")</f>
        <v>#N/A Requesting Data...</v>
      </c>
      <c r="K1169" t="str">
        <f>_xll.BDP("489134MZ Muni","MATURITY")</f>
        <v>#N/A Requesting Data...</v>
      </c>
      <c r="L1169">
        <v>440000</v>
      </c>
      <c r="M1169" t="str">
        <f>_xll.BDP("489134MZ Muni","YIELD_ON_ISSUE_DATE")</f>
        <v>#N/A Requesting Data...</v>
      </c>
      <c r="N1169" t="str">
        <f>_xll.BDP("489134MZ Muni","YTW_SPREAD_TO_MATURITY_AT_ISSU")</f>
        <v>#N/A Requesting Data...</v>
      </c>
      <c r="O1169" t="str">
        <f>_xll.BDP("489134MZ Muni","BVAL_MID_YTM")</f>
        <v>#N/A Requesting Data...</v>
      </c>
      <c r="P1169" t="str">
        <f>_xll.BDP("489134MZ Muni","MUNI_TAX_PROV")</f>
        <v>#N/A Requesting Data...</v>
      </c>
      <c r="Q1169" t="str">
        <f>_xll.BDP("489134MZ Muni","MUNI_FED_TAX")</f>
        <v>#N/A Requesting Data...</v>
      </c>
      <c r="R1169" t="str">
        <f>_xll.BDP("489134MZ Muni","MUNI_MSRB_VOLUME")</f>
        <v>#N/A Requesting Data...</v>
      </c>
      <c r="S1169" t="str">
        <f>_xll.BDP("489134MZ Muni","BB_COMPOSITE")</f>
        <v>#N/A Requesting Data...</v>
      </c>
      <c r="T1169" t="str">
        <f>_xll.BDP("489134MZ Muni","LQA_LIQUIDITY_SCORE")</f>
        <v>#N/A Requesting Data...</v>
      </c>
    </row>
    <row r="1170" spans="1:20" x14ac:dyDescent="0.25">
      <c r="A1170" t="str">
        <f>_xll.BDP("489134NA Muni","ID_CUSIP")</f>
        <v>#N/A Requesting Data...</v>
      </c>
      <c r="B1170" t="s">
        <v>390</v>
      </c>
      <c r="C1170" t="str">
        <f>_xll.BDP("489134NA Muni","INSURANCE_STATUS")</f>
        <v>#N/A Requesting Data...</v>
      </c>
      <c r="D1170" t="str">
        <f>_xll.BDP("489134NA Muni","STATE_CODE")</f>
        <v>#N/A Requesting Data...</v>
      </c>
      <c r="E1170" t="str">
        <f>_xll.BDP("489134NA Muni","COUNTY_LOCATION_ISSUER")</f>
        <v>#N/A Requesting Data...</v>
      </c>
      <c r="F1170" t="str">
        <f>_xll.BDP("489134NA Muni","DUR_ADJ_MID")</f>
        <v>#N/A Requesting Data...</v>
      </c>
      <c r="G1170" t="str">
        <f>_xll.BDP("489134NA Muni","SPREAD_AT_ISSUANCE_TO_WORST")</f>
        <v>#N/A Requesting Data...</v>
      </c>
      <c r="H1170" t="str">
        <f>_xll.BDP("489134NA Muni","ISSUE_DT")</f>
        <v>#N/A Requesting Data...</v>
      </c>
      <c r="I1170" t="str">
        <f>_xll.BDS("489134NA Muni","MUNI_PURPOSE_SCHED", "aggregate=y")</f>
        <v>#N/A Review</v>
      </c>
      <c r="J1170" t="str">
        <f>_xll.BDP("489134NA Muni","CPN")</f>
        <v>#N/A Requesting Data...</v>
      </c>
      <c r="K1170" t="str">
        <f>_xll.BDP("489134NA Muni","MATURITY")</f>
        <v>#N/A Requesting Data...</v>
      </c>
      <c r="L1170">
        <v>450000</v>
      </c>
      <c r="M1170" t="str">
        <f>_xll.BDP("489134NA Muni","YIELD_ON_ISSUE_DATE")</f>
        <v>#N/A Requesting Data...</v>
      </c>
      <c r="N1170" t="str">
        <f>_xll.BDP("489134NA Muni","YTW_SPREAD_TO_MATURITY_AT_ISSU")</f>
        <v>#N/A Requesting Data...</v>
      </c>
      <c r="O1170" t="str">
        <f>_xll.BDP("489134NA Muni","BVAL_MID_YTM")</f>
        <v>#N/A Requesting Data...</v>
      </c>
      <c r="P1170" t="str">
        <f>_xll.BDP("489134NA Muni","MUNI_TAX_PROV")</f>
        <v>#N/A Requesting Data...</v>
      </c>
      <c r="Q1170" t="str">
        <f>_xll.BDP("489134NA Muni","MUNI_FED_TAX")</f>
        <v>#N/A Requesting Data...</v>
      </c>
      <c r="R1170" t="str">
        <f>_xll.BDP("489134NA Muni","MUNI_MSRB_VOLUME")</f>
        <v>#N/A Requesting Data...</v>
      </c>
      <c r="S1170" t="str">
        <f>_xll.BDP("489134NA Muni","BB_COMPOSITE")</f>
        <v>#N/A Requesting Data...</v>
      </c>
      <c r="T1170" t="str">
        <f>_xll.BDP("489134NA Muni","LQA_LIQUIDITY_SCORE")</f>
        <v>#N/A Requesting Data...</v>
      </c>
    </row>
    <row r="1171" spans="1:20" x14ac:dyDescent="0.25">
      <c r="A1171" t="str">
        <f>_xll.BDP("398568JR Muni","ID_CUSIP")</f>
        <v>#N/A Requesting Data...</v>
      </c>
      <c r="B1171" t="s">
        <v>391</v>
      </c>
      <c r="C1171" t="str">
        <f>_xll.BDP("398568JR Muni","INSURANCE_STATUS")</f>
        <v>#N/A Requesting Data...</v>
      </c>
      <c r="D1171" t="str">
        <f>_xll.BDP("398568JR Muni","STATE_CODE")</f>
        <v>#N/A Requesting Data...</v>
      </c>
      <c r="E1171" t="str">
        <f>_xll.BDP("398568JR Muni","COUNTY_LOCATION_ISSUER")</f>
        <v>#N/A Requesting Data...</v>
      </c>
      <c r="F1171" t="str">
        <f>_xll.BDP("398568JR Muni","DUR_ADJ_MID")</f>
        <v>#N/A Requesting Data...</v>
      </c>
      <c r="G1171" t="str">
        <f>_xll.BDP("398568JR Muni","SPREAD_AT_ISSUANCE_TO_WORST")</f>
        <v>#N/A Requesting Data...</v>
      </c>
      <c r="H1171" t="str">
        <f>_xll.BDP("398568JR Muni","ISSUE_DT")</f>
        <v>#N/A Requesting Data...</v>
      </c>
      <c r="I1171" t="str">
        <f>_xll.BDS("398568JR Muni","MUNI_PURPOSE_SCHED", "aggregate=y")</f>
        <v>#N/A Review</v>
      </c>
      <c r="J1171" t="str">
        <f>_xll.BDP("398568JR Muni","CPN")</f>
        <v>#N/A Requesting Data...</v>
      </c>
      <c r="K1171" t="str">
        <f>_xll.BDP("398568JR Muni","MATURITY")</f>
        <v>#N/A Requesting Data...</v>
      </c>
      <c r="L1171">
        <v>690000</v>
      </c>
      <c r="M1171" t="str">
        <f>_xll.BDP("398568JR Muni","YIELD_ON_ISSUE_DATE")</f>
        <v>#N/A Requesting Data...</v>
      </c>
      <c r="N1171" t="str">
        <f>_xll.BDP("398568JR Muni","YTW_SPREAD_TO_MATURITY_AT_ISSU")</f>
        <v>#N/A Requesting Data...</v>
      </c>
      <c r="O1171" t="str">
        <f>_xll.BDP("398568JR Muni","BVAL_MID_YTM")</f>
        <v>#N/A Requesting Data...</v>
      </c>
      <c r="P1171" t="str">
        <f>_xll.BDP("398568JR Muni","MUNI_TAX_PROV")</f>
        <v>#N/A Requesting Data...</v>
      </c>
      <c r="Q1171" t="str">
        <f>_xll.BDP("398568JR Muni","MUNI_FED_TAX")</f>
        <v>#N/A Requesting Data...</v>
      </c>
      <c r="R1171" t="str">
        <f>_xll.BDP("398568JR Muni","MUNI_MSRB_VOLUME")</f>
        <v>#N/A Requesting Data...</v>
      </c>
      <c r="S1171" t="str">
        <f>_xll.BDP("398568JR Muni","BB_COMPOSITE")</f>
        <v>#N/A Requesting Data...</v>
      </c>
      <c r="T1171" t="str">
        <f>_xll.BDP("398568JR Muni","LQA_LIQUIDITY_SCORE")</f>
        <v>#N/A Requesting Data...</v>
      </c>
    </row>
    <row r="1172" spans="1:20" x14ac:dyDescent="0.25">
      <c r="A1172" t="str">
        <f>_xll.BDP("398568JS Muni","ID_CUSIP")</f>
        <v>#N/A Requesting Data...</v>
      </c>
      <c r="B1172" t="s">
        <v>391</v>
      </c>
      <c r="C1172" t="str">
        <f>_xll.BDP("398568JS Muni","INSURANCE_STATUS")</f>
        <v>#N/A Requesting Data...</v>
      </c>
      <c r="D1172" t="str">
        <f>_xll.BDP("398568JS Muni","STATE_CODE")</f>
        <v>#N/A Requesting Data...</v>
      </c>
      <c r="E1172" t="str">
        <f>_xll.BDP("398568JS Muni","COUNTY_LOCATION_ISSUER")</f>
        <v>#N/A Requesting Data...</v>
      </c>
      <c r="F1172" t="str">
        <f>_xll.BDP("398568JS Muni","DUR_ADJ_MID")</f>
        <v>#N/A Requesting Data...</v>
      </c>
      <c r="G1172" t="str">
        <f>_xll.BDP("398568JS Muni","SPREAD_AT_ISSUANCE_TO_WORST")</f>
        <v>#N/A Requesting Data...</v>
      </c>
      <c r="H1172" t="str">
        <f>_xll.BDP("398568JS Muni","ISSUE_DT")</f>
        <v>#N/A Requesting Data...</v>
      </c>
      <c r="I1172" t="str">
        <f>_xll.BDS("398568JS Muni","MUNI_PURPOSE_SCHED", "aggregate=y")</f>
        <v>#N/A Review</v>
      </c>
      <c r="J1172" t="str">
        <f>_xll.BDP("398568JS Muni","CPN")</f>
        <v>#N/A Requesting Data...</v>
      </c>
      <c r="K1172" t="str">
        <f>_xll.BDP("398568JS Muni","MATURITY")</f>
        <v>#N/A Requesting Data...</v>
      </c>
      <c r="L1172">
        <v>715000</v>
      </c>
      <c r="M1172" t="str">
        <f>_xll.BDP("398568JS Muni","YIELD_ON_ISSUE_DATE")</f>
        <v>#N/A Requesting Data...</v>
      </c>
      <c r="N1172" t="str">
        <f>_xll.BDP("398568JS Muni","YTW_SPREAD_TO_MATURITY_AT_ISSU")</f>
        <v>#N/A Requesting Data...</v>
      </c>
      <c r="O1172" t="str">
        <f>_xll.BDP("398568JS Muni","BVAL_MID_YTM")</f>
        <v>#N/A Requesting Data...</v>
      </c>
      <c r="P1172" t="str">
        <f>_xll.BDP("398568JS Muni","MUNI_TAX_PROV")</f>
        <v>#N/A Requesting Data...</v>
      </c>
      <c r="Q1172" t="str">
        <f>_xll.BDP("398568JS Muni","MUNI_FED_TAX")</f>
        <v>#N/A Requesting Data...</v>
      </c>
      <c r="R1172" t="str">
        <f>_xll.BDP("398568JS Muni","MUNI_MSRB_VOLUME")</f>
        <v>#N/A Requesting Data...</v>
      </c>
      <c r="S1172" t="str">
        <f>_xll.BDP("398568JS Muni","BB_COMPOSITE")</f>
        <v>#N/A Requesting Data...</v>
      </c>
      <c r="T1172" t="str">
        <f>_xll.BDP("398568JS Muni","LQA_LIQUIDITY_SCORE")</f>
        <v>#N/A Requesting Data...</v>
      </c>
    </row>
    <row r="1173" spans="1:20" x14ac:dyDescent="0.25">
      <c r="A1173" t="str">
        <f>_xll.BDP("398874QM Muni","ID_CUSIP")</f>
        <v>#N/A Requesting Data...</v>
      </c>
      <c r="B1173" t="s">
        <v>392</v>
      </c>
      <c r="C1173" t="str">
        <f>_xll.BDP("398874QM Muni","INSURANCE_STATUS")</f>
        <v>#N/A Requesting Data...</v>
      </c>
      <c r="D1173" t="str">
        <f>_xll.BDP("398874QM Muni","STATE_CODE")</f>
        <v>#N/A Requesting Data...</v>
      </c>
      <c r="E1173" t="str">
        <f>_xll.BDP("398874QM Muni","COUNTY_LOCATION_ISSUER")</f>
        <v>#N/A Requesting Data...</v>
      </c>
      <c r="F1173" t="str">
        <f>_xll.BDP("398874QM Muni","DUR_ADJ_MID")</f>
        <v>#N/A Requesting Data...</v>
      </c>
      <c r="G1173" t="str">
        <f>_xll.BDP("398874QM Muni","SPREAD_AT_ISSUANCE_TO_WORST")</f>
        <v>#N/A Requesting Data...</v>
      </c>
      <c r="H1173" t="str">
        <f>_xll.BDP("398874QM Muni","ISSUE_DT")</f>
        <v>#N/A Requesting Data...</v>
      </c>
      <c r="I1173" t="str">
        <f>_xll.BDS("398874QM Muni","MUNI_PURPOSE_SCHED", "aggregate=y")</f>
        <v>#N/A Review</v>
      </c>
      <c r="J1173" t="str">
        <f>_xll.BDP("398874QM Muni","CPN")</f>
        <v>#N/A Requesting Data...</v>
      </c>
      <c r="K1173" t="str">
        <f>_xll.BDP("398874QM Muni","MATURITY")</f>
        <v>#N/A Requesting Data...</v>
      </c>
      <c r="L1173">
        <v>125000</v>
      </c>
      <c r="M1173" t="str">
        <f>_xll.BDP("398874QM Muni","YIELD_ON_ISSUE_DATE")</f>
        <v>#N/A Requesting Data...</v>
      </c>
      <c r="N1173" t="str">
        <f>_xll.BDP("398874QM Muni","YTW_SPREAD_TO_MATURITY_AT_ISSU")</f>
        <v>#N/A Requesting Data...</v>
      </c>
      <c r="O1173" t="str">
        <f>_xll.BDP("398874QM Muni","BVAL_MID_YTM")</f>
        <v>#N/A Requesting Data...</v>
      </c>
      <c r="P1173" t="str">
        <f>_xll.BDP("398874QM Muni","MUNI_TAX_PROV")</f>
        <v>#N/A Requesting Data...</v>
      </c>
      <c r="Q1173" t="str">
        <f>_xll.BDP("398874QM Muni","MUNI_FED_TAX")</f>
        <v>#N/A Requesting Data...</v>
      </c>
      <c r="R1173" t="str">
        <f>_xll.BDP("398874QM Muni","MUNI_MSRB_VOLUME")</f>
        <v>#N/A Requesting Data...</v>
      </c>
      <c r="S1173" t="str">
        <f>_xll.BDP("398874QM Muni","BB_COMPOSITE")</f>
        <v>#N/A Requesting Data...</v>
      </c>
      <c r="T1173" t="str">
        <f>_xll.BDP("398874QM Muni","LQA_LIQUIDITY_SCORE")</f>
        <v>#N/A Requesting Data...</v>
      </c>
    </row>
    <row r="1174" spans="1:20" x14ac:dyDescent="0.25">
      <c r="A1174" t="str">
        <f>_xll.BDP("398874QN Muni","ID_CUSIP")</f>
        <v>#N/A Requesting Data...</v>
      </c>
      <c r="B1174" t="s">
        <v>392</v>
      </c>
      <c r="C1174" t="str">
        <f>_xll.BDP("398874QN Muni","INSURANCE_STATUS")</f>
        <v>#N/A Requesting Data...</v>
      </c>
      <c r="D1174" t="str">
        <f>_xll.BDP("398874QN Muni","STATE_CODE")</f>
        <v>#N/A Requesting Data...</v>
      </c>
      <c r="E1174" t="str">
        <f>_xll.BDP("398874QN Muni","COUNTY_LOCATION_ISSUER")</f>
        <v>#N/A Requesting Data...</v>
      </c>
      <c r="F1174" t="str">
        <f>_xll.BDP("398874QN Muni","DUR_ADJ_MID")</f>
        <v>#N/A Requesting Data...</v>
      </c>
      <c r="G1174" t="str">
        <f>_xll.BDP("398874QN Muni","SPREAD_AT_ISSUANCE_TO_WORST")</f>
        <v>#N/A Requesting Data...</v>
      </c>
      <c r="H1174" t="str">
        <f>_xll.BDP("398874QN Muni","ISSUE_DT")</f>
        <v>#N/A Requesting Data...</v>
      </c>
      <c r="I1174" t="str">
        <f>_xll.BDS("398874QN Muni","MUNI_PURPOSE_SCHED", "aggregate=y")</f>
        <v>#N/A Review</v>
      </c>
      <c r="J1174" t="str">
        <f>_xll.BDP("398874QN Muni","CPN")</f>
        <v>#N/A Requesting Data...</v>
      </c>
      <c r="K1174" t="str">
        <f>_xll.BDP("398874QN Muni","MATURITY")</f>
        <v>#N/A Requesting Data...</v>
      </c>
      <c r="L1174">
        <v>125000</v>
      </c>
      <c r="M1174" t="str">
        <f>_xll.BDP("398874QN Muni","YIELD_ON_ISSUE_DATE")</f>
        <v>#N/A Requesting Data...</v>
      </c>
      <c r="N1174" t="str">
        <f>_xll.BDP("398874QN Muni","YTW_SPREAD_TO_MATURITY_AT_ISSU")</f>
        <v>#N/A Requesting Data...</v>
      </c>
      <c r="O1174" t="str">
        <f>_xll.BDP("398874QN Muni","BVAL_MID_YTM")</f>
        <v>#N/A Requesting Data...</v>
      </c>
      <c r="P1174" t="str">
        <f>_xll.BDP("398874QN Muni","MUNI_TAX_PROV")</f>
        <v>#N/A Requesting Data...</v>
      </c>
      <c r="Q1174" t="str">
        <f>_xll.BDP("398874QN Muni","MUNI_FED_TAX")</f>
        <v>#N/A Requesting Data...</v>
      </c>
      <c r="R1174" t="str">
        <f>_xll.BDP("398874QN Muni","MUNI_MSRB_VOLUME")</f>
        <v>#N/A Requesting Data...</v>
      </c>
      <c r="S1174" t="str">
        <f>_xll.BDP("398874QN Muni","BB_COMPOSITE")</f>
        <v>#N/A Requesting Data...</v>
      </c>
      <c r="T1174" t="str">
        <f>_xll.BDP("398874QN Muni","LQA_LIQUIDITY_SCORE")</f>
        <v>#N/A Requesting Data...</v>
      </c>
    </row>
    <row r="1175" spans="1:20" x14ac:dyDescent="0.25">
      <c r="A1175" t="str">
        <f>_xll.BDP("398874QP Muni","ID_CUSIP")</f>
        <v>#N/A Requesting Data...</v>
      </c>
      <c r="B1175" t="s">
        <v>392</v>
      </c>
      <c r="C1175" t="str">
        <f>_xll.BDP("398874QP Muni","INSURANCE_STATUS")</f>
        <v>#N/A Requesting Data...</v>
      </c>
      <c r="D1175" t="str">
        <f>_xll.BDP("398874QP Muni","STATE_CODE")</f>
        <v>#N/A Requesting Data...</v>
      </c>
      <c r="E1175" t="str">
        <f>_xll.BDP("398874QP Muni","COUNTY_LOCATION_ISSUER")</f>
        <v>#N/A Requesting Data...</v>
      </c>
      <c r="F1175" t="str">
        <f>_xll.BDP("398874QP Muni","DUR_ADJ_MID")</f>
        <v>#N/A Requesting Data...</v>
      </c>
      <c r="G1175" t="str">
        <f>_xll.BDP("398874QP Muni","SPREAD_AT_ISSUANCE_TO_WORST")</f>
        <v>#N/A Requesting Data...</v>
      </c>
      <c r="H1175" t="str">
        <f>_xll.BDP("398874QP Muni","ISSUE_DT")</f>
        <v>#N/A Requesting Data...</v>
      </c>
      <c r="I1175" t="str">
        <f>_xll.BDS("398874QP Muni","MUNI_PURPOSE_SCHED", "aggregate=y")</f>
        <v>#N/A Review</v>
      </c>
      <c r="J1175" t="str">
        <f>_xll.BDP("398874QP Muni","CPN")</f>
        <v>#N/A Requesting Data...</v>
      </c>
      <c r="K1175" t="str">
        <f>_xll.BDP("398874QP Muni","MATURITY")</f>
        <v>#N/A Requesting Data...</v>
      </c>
      <c r="L1175">
        <v>225000</v>
      </c>
      <c r="M1175" t="str">
        <f>_xll.BDP("398874QP Muni","YIELD_ON_ISSUE_DATE")</f>
        <v>#N/A Requesting Data...</v>
      </c>
      <c r="N1175" t="str">
        <f>_xll.BDP("398874QP Muni","YTW_SPREAD_TO_MATURITY_AT_ISSU")</f>
        <v>#N/A Requesting Data...</v>
      </c>
      <c r="O1175" t="str">
        <f>_xll.BDP("398874QP Muni","BVAL_MID_YTM")</f>
        <v>#N/A Requesting Data...</v>
      </c>
      <c r="P1175" t="str">
        <f>_xll.BDP("398874QP Muni","MUNI_TAX_PROV")</f>
        <v>#N/A Requesting Data...</v>
      </c>
      <c r="Q1175" t="str">
        <f>_xll.BDP("398874QP Muni","MUNI_FED_TAX")</f>
        <v>#N/A Requesting Data...</v>
      </c>
      <c r="R1175" t="str">
        <f>_xll.BDP("398874QP Muni","MUNI_MSRB_VOLUME")</f>
        <v>#N/A Requesting Data...</v>
      </c>
      <c r="S1175" t="str">
        <f>_xll.BDP("398874QP Muni","BB_COMPOSITE")</f>
        <v>#N/A Requesting Data...</v>
      </c>
      <c r="T1175" t="str">
        <f>_xll.BDP("398874QP Muni","LQA_LIQUIDITY_SCORE")</f>
        <v>#N/A Requesting Data...</v>
      </c>
    </row>
    <row r="1176" spans="1:20" x14ac:dyDescent="0.25">
      <c r="A1176" t="str">
        <f>_xll.BDP("346900QJ Muni","ID_CUSIP")</f>
        <v>#N/A Requesting Data...</v>
      </c>
      <c r="B1176" t="s">
        <v>393</v>
      </c>
      <c r="C1176" t="str">
        <f>_xll.BDP("346900QJ Muni","INSURANCE_STATUS")</f>
        <v>#N/A Requesting Data...</v>
      </c>
      <c r="D1176" t="str">
        <f>_xll.BDP("346900QJ Muni","STATE_CODE")</f>
        <v>#N/A Requesting Data...</v>
      </c>
      <c r="E1176" t="str">
        <f>_xll.BDP("346900QJ Muni","COUNTY_LOCATION_ISSUER")</f>
        <v>#N/A Requesting Data...</v>
      </c>
      <c r="F1176" t="str">
        <f>_xll.BDP("346900QJ Muni","DUR_ADJ_MID")</f>
        <v>#N/A Requesting Data...</v>
      </c>
      <c r="G1176" t="str">
        <f>_xll.BDP("346900QJ Muni","SPREAD_AT_ISSUANCE_TO_WORST")</f>
        <v>#N/A Requesting Data...</v>
      </c>
      <c r="H1176" t="str">
        <f>_xll.BDP("346900QJ Muni","ISSUE_DT")</f>
        <v>#N/A Requesting Data...</v>
      </c>
      <c r="I1176" t="str">
        <f>_xll.BDS("346900QJ Muni","MUNI_PURPOSE_SCHED", "aggregate=y")</f>
        <v>#N/A Review</v>
      </c>
      <c r="J1176" t="str">
        <f>_xll.BDP("346900QJ Muni","CPN")</f>
        <v>#N/A Requesting Data...</v>
      </c>
      <c r="K1176" t="str">
        <f>_xll.BDP("346900QJ Muni","MATURITY")</f>
        <v>#N/A Requesting Data...</v>
      </c>
      <c r="L1176">
        <v>25000</v>
      </c>
      <c r="M1176" t="str">
        <f>_xll.BDP("346900QJ Muni","YIELD_ON_ISSUE_DATE")</f>
        <v>#N/A Requesting Data...</v>
      </c>
      <c r="N1176" t="str">
        <f>_xll.BDP("346900QJ Muni","YTW_SPREAD_TO_MATURITY_AT_ISSU")</f>
        <v>#N/A Requesting Data...</v>
      </c>
      <c r="O1176" t="str">
        <f>_xll.BDP("346900QJ Muni","BVAL_MID_YTM")</f>
        <v>#N/A Requesting Data...</v>
      </c>
      <c r="P1176" t="str">
        <f>_xll.BDP("346900QJ Muni","MUNI_TAX_PROV")</f>
        <v>#N/A Requesting Data...</v>
      </c>
      <c r="Q1176" t="str">
        <f>_xll.BDP("346900QJ Muni","MUNI_FED_TAX")</f>
        <v>#N/A Requesting Data...</v>
      </c>
      <c r="R1176" t="str">
        <f>_xll.BDP("346900QJ Muni","MUNI_MSRB_VOLUME")</f>
        <v>#N/A Requesting Data...</v>
      </c>
      <c r="S1176" t="str">
        <f>_xll.BDP("346900QJ Muni","BB_COMPOSITE")</f>
        <v>#N/A Requesting Data...</v>
      </c>
      <c r="T1176" t="str">
        <f>_xll.BDP("346900QJ Muni","LQA_LIQUIDITY_SCORE")</f>
        <v>#N/A Requesting Data...</v>
      </c>
    </row>
    <row r="1177" spans="1:20" x14ac:dyDescent="0.25">
      <c r="A1177" t="str">
        <f>_xll.BDP("346900QK Muni","ID_CUSIP")</f>
        <v>#N/A Requesting Data...</v>
      </c>
      <c r="B1177" t="s">
        <v>393</v>
      </c>
      <c r="C1177" t="str">
        <f>_xll.BDP("346900QK Muni","INSURANCE_STATUS")</f>
        <v>#N/A Requesting Data...</v>
      </c>
      <c r="D1177" t="str">
        <f>_xll.BDP("346900QK Muni","STATE_CODE")</f>
        <v>#N/A Requesting Data...</v>
      </c>
      <c r="E1177" t="str">
        <f>_xll.BDP("346900QK Muni","COUNTY_LOCATION_ISSUER")</f>
        <v>#N/A Requesting Data...</v>
      </c>
      <c r="F1177" t="str">
        <f>_xll.BDP("346900QK Muni","DUR_ADJ_MID")</f>
        <v>#N/A Requesting Data...</v>
      </c>
      <c r="G1177" t="str">
        <f>_xll.BDP("346900QK Muni","SPREAD_AT_ISSUANCE_TO_WORST")</f>
        <v>#N/A Requesting Data...</v>
      </c>
      <c r="H1177" t="str">
        <f>_xll.BDP("346900QK Muni","ISSUE_DT")</f>
        <v>#N/A Requesting Data...</v>
      </c>
      <c r="I1177" t="str">
        <f>_xll.BDS("346900QK Muni","MUNI_PURPOSE_SCHED", "aggregate=y")</f>
        <v>#N/A Review</v>
      </c>
      <c r="J1177" t="str">
        <f>_xll.BDP("346900QK Muni","CPN")</f>
        <v>#N/A Requesting Data...</v>
      </c>
      <c r="K1177" t="str">
        <f>_xll.BDP("346900QK Muni","MATURITY")</f>
        <v>#N/A Requesting Data...</v>
      </c>
      <c r="L1177">
        <v>25000</v>
      </c>
      <c r="M1177" t="str">
        <f>_xll.BDP("346900QK Muni","YIELD_ON_ISSUE_DATE")</f>
        <v>#N/A Requesting Data...</v>
      </c>
      <c r="N1177" t="str">
        <f>_xll.BDP("346900QK Muni","YTW_SPREAD_TO_MATURITY_AT_ISSU")</f>
        <v>#N/A Requesting Data...</v>
      </c>
      <c r="O1177" t="str">
        <f>_xll.BDP("346900QK Muni","BVAL_MID_YTM")</f>
        <v>#N/A Requesting Data...</v>
      </c>
      <c r="P1177" t="str">
        <f>_xll.BDP("346900QK Muni","MUNI_TAX_PROV")</f>
        <v>#N/A Requesting Data...</v>
      </c>
      <c r="Q1177" t="str">
        <f>_xll.BDP("346900QK Muni","MUNI_FED_TAX")</f>
        <v>#N/A Requesting Data...</v>
      </c>
      <c r="R1177" t="str">
        <f>_xll.BDP("346900QK Muni","MUNI_MSRB_VOLUME")</f>
        <v>#N/A Requesting Data...</v>
      </c>
      <c r="S1177" t="str">
        <f>_xll.BDP("346900QK Muni","BB_COMPOSITE")</f>
        <v>#N/A Requesting Data...</v>
      </c>
      <c r="T1177" t="str">
        <f>_xll.BDP("346900QK Muni","LQA_LIQUIDITY_SCORE")</f>
        <v>#N/A Requesting Data...</v>
      </c>
    </row>
    <row r="1178" spans="1:20" x14ac:dyDescent="0.25">
      <c r="A1178" t="str">
        <f>_xll.BDP("346905GS Muni","ID_CUSIP")</f>
        <v>#N/A Requesting Data...</v>
      </c>
      <c r="B1178" t="s">
        <v>394</v>
      </c>
      <c r="C1178" t="str">
        <f>_xll.BDP("346905GS Muni","INSURANCE_STATUS")</f>
        <v>#N/A Requesting Data...</v>
      </c>
      <c r="D1178" t="str">
        <f>_xll.BDP("346905GS Muni","STATE_CODE")</f>
        <v>#N/A Requesting Data...</v>
      </c>
      <c r="E1178" t="str">
        <f>_xll.BDP("346905GS Muni","COUNTY_LOCATION_ISSUER")</f>
        <v>#N/A Requesting Data...</v>
      </c>
      <c r="F1178" t="str">
        <f>_xll.BDP("346905GS Muni","DUR_ADJ_MID")</f>
        <v>#N/A Requesting Data...</v>
      </c>
      <c r="G1178" t="str">
        <f>_xll.BDP("346905GS Muni","SPREAD_AT_ISSUANCE_TO_WORST")</f>
        <v>#N/A Requesting Data...</v>
      </c>
      <c r="H1178" t="str">
        <f>_xll.BDP("346905GS Muni","ISSUE_DT")</f>
        <v>#N/A Requesting Data...</v>
      </c>
      <c r="I1178" t="str">
        <f>_xll.BDS("346905GS Muni","MUNI_PURPOSE_SCHED", "aggregate=y")</f>
        <v>#N/A Review</v>
      </c>
      <c r="J1178" t="str">
        <f>_xll.BDP("346905GS Muni","CPN")</f>
        <v>#N/A Requesting Data...</v>
      </c>
      <c r="K1178" t="str">
        <f>_xll.BDP("346905GS Muni","MATURITY")</f>
        <v>#N/A Requesting Data...</v>
      </c>
      <c r="L1178">
        <v>125000</v>
      </c>
      <c r="M1178" t="str">
        <f>_xll.BDP("346905GS Muni","YIELD_ON_ISSUE_DATE")</f>
        <v>#N/A Requesting Data...</v>
      </c>
      <c r="N1178" t="str">
        <f>_xll.BDP("346905GS Muni","YTW_SPREAD_TO_MATURITY_AT_ISSU")</f>
        <v>#N/A Requesting Data...</v>
      </c>
      <c r="O1178" t="str">
        <f>_xll.BDP("346905GS Muni","BVAL_MID_YTM")</f>
        <v>#N/A Requesting Data...</v>
      </c>
      <c r="P1178" t="str">
        <f>_xll.BDP("346905GS Muni","MUNI_TAX_PROV")</f>
        <v>#N/A Requesting Data...</v>
      </c>
      <c r="Q1178" t="str">
        <f>_xll.BDP("346905GS Muni","MUNI_FED_TAX")</f>
        <v>#N/A Requesting Data...</v>
      </c>
      <c r="R1178" t="str">
        <f>_xll.BDP("346905GS Muni","MUNI_MSRB_VOLUME")</f>
        <v>#N/A Requesting Data...</v>
      </c>
      <c r="S1178" t="str">
        <f>_xll.BDP("346905GS Muni","BB_COMPOSITE")</f>
        <v>#N/A Requesting Data...</v>
      </c>
      <c r="T1178" t="str">
        <f>_xll.BDP("346905GS Muni","LQA_LIQUIDITY_SCORE")</f>
        <v>#N/A Requesting Data...</v>
      </c>
    </row>
    <row r="1179" spans="1:20" x14ac:dyDescent="0.25">
      <c r="A1179" t="str">
        <f>_xll.BDP("346905GT Muni","ID_CUSIP")</f>
        <v>#N/A Requesting Data...</v>
      </c>
      <c r="B1179" t="s">
        <v>394</v>
      </c>
      <c r="C1179" t="str">
        <f>_xll.BDP("346905GT Muni","INSURANCE_STATUS")</f>
        <v>#N/A Requesting Data...</v>
      </c>
      <c r="D1179" t="str">
        <f>_xll.BDP("346905GT Muni","STATE_CODE")</f>
        <v>#N/A Requesting Data...</v>
      </c>
      <c r="E1179" t="str">
        <f>_xll.BDP("346905GT Muni","COUNTY_LOCATION_ISSUER")</f>
        <v>#N/A Requesting Data...</v>
      </c>
      <c r="F1179" t="str">
        <f>_xll.BDP("346905GT Muni","DUR_ADJ_MID")</f>
        <v>#N/A Requesting Data...</v>
      </c>
      <c r="G1179" t="str">
        <f>_xll.BDP("346905GT Muni","SPREAD_AT_ISSUANCE_TO_WORST")</f>
        <v>#N/A Requesting Data...</v>
      </c>
      <c r="H1179" t="str">
        <f>_xll.BDP("346905GT Muni","ISSUE_DT")</f>
        <v>#N/A Requesting Data...</v>
      </c>
      <c r="I1179" t="str">
        <f>_xll.BDS("346905GT Muni","MUNI_PURPOSE_SCHED", "aggregate=y")</f>
        <v>#N/A Review</v>
      </c>
      <c r="J1179" t="str">
        <f>_xll.BDP("346905GT Muni","CPN")</f>
        <v>#N/A Requesting Data...</v>
      </c>
      <c r="K1179" t="str">
        <f>_xll.BDP("346905GT Muni","MATURITY")</f>
        <v>#N/A Requesting Data...</v>
      </c>
      <c r="L1179">
        <v>125000</v>
      </c>
      <c r="M1179" t="str">
        <f>_xll.BDP("346905GT Muni","YIELD_ON_ISSUE_DATE")</f>
        <v>#N/A Requesting Data...</v>
      </c>
      <c r="N1179" t="str">
        <f>_xll.BDP("346905GT Muni","YTW_SPREAD_TO_MATURITY_AT_ISSU")</f>
        <v>#N/A Requesting Data...</v>
      </c>
      <c r="O1179" t="str">
        <f>_xll.BDP("346905GT Muni","BVAL_MID_YTM")</f>
        <v>#N/A Requesting Data...</v>
      </c>
      <c r="P1179" t="str">
        <f>_xll.BDP("346905GT Muni","MUNI_TAX_PROV")</f>
        <v>#N/A Requesting Data...</v>
      </c>
      <c r="Q1179" t="str">
        <f>_xll.BDP("346905GT Muni","MUNI_FED_TAX")</f>
        <v>#N/A Requesting Data...</v>
      </c>
      <c r="R1179" t="str">
        <f>_xll.BDP("346905GT Muni","MUNI_MSRB_VOLUME")</f>
        <v>#N/A Requesting Data...</v>
      </c>
      <c r="S1179" t="str">
        <f>_xll.BDP("346905GT Muni","BB_COMPOSITE")</f>
        <v>#N/A Requesting Data...</v>
      </c>
      <c r="T1179" t="str">
        <f>_xll.BDP("346905GT Muni","LQA_LIQUIDITY_SCORE")</f>
        <v>#N/A Requesting Data...</v>
      </c>
    </row>
    <row r="1180" spans="1:20" x14ac:dyDescent="0.25">
      <c r="A1180" t="str">
        <f>_xll.BDP("523336NN Muni","ID_CUSIP")</f>
        <v>#N/A Requesting Data...</v>
      </c>
      <c r="B1180" t="s">
        <v>395</v>
      </c>
      <c r="C1180" t="str">
        <f>_xll.BDP("523336NN Muni","INSURANCE_STATUS")</f>
        <v>#N/A Requesting Data...</v>
      </c>
      <c r="D1180" t="str">
        <f>_xll.BDP("523336NN Muni","STATE_CODE")</f>
        <v>#N/A Requesting Data...</v>
      </c>
      <c r="E1180" t="str">
        <f>_xll.BDP("523336NN Muni","COUNTY_LOCATION_ISSUER")</f>
        <v>#N/A Requesting Data...</v>
      </c>
      <c r="F1180" t="str">
        <f>_xll.BDP("523336NN Muni","DUR_ADJ_MID")</f>
        <v>#N/A Requesting Data...</v>
      </c>
      <c r="G1180" t="str">
        <f>_xll.BDP("523336NN Muni","SPREAD_AT_ISSUANCE_TO_WORST")</f>
        <v>#N/A Requesting Data...</v>
      </c>
      <c r="H1180" t="str">
        <f>_xll.BDP("523336NN Muni","ISSUE_DT")</f>
        <v>#N/A Requesting Data...</v>
      </c>
      <c r="I1180" t="str">
        <f>_xll.BDS("523336NN Muni","MUNI_PURPOSE_SCHED", "aggregate=y")</f>
        <v>#N/A Review</v>
      </c>
      <c r="J1180" t="str">
        <f>_xll.BDP("523336NN Muni","CPN")</f>
        <v>#N/A Requesting Data...</v>
      </c>
      <c r="K1180" t="str">
        <f>_xll.BDP("523336NN Muni","MATURITY")</f>
        <v>#N/A Requesting Data...</v>
      </c>
      <c r="L1180">
        <v>350000</v>
      </c>
      <c r="M1180" t="str">
        <f>_xll.BDP("523336NN Muni","YIELD_ON_ISSUE_DATE")</f>
        <v>#N/A Requesting Data...</v>
      </c>
      <c r="N1180" t="str">
        <f>_xll.BDP("523336NN Muni","YTW_SPREAD_TO_MATURITY_AT_ISSU")</f>
        <v>#N/A Requesting Data...</v>
      </c>
      <c r="O1180" t="str">
        <f>_xll.BDP("523336NN Muni","BVAL_MID_YTM")</f>
        <v>#N/A Requesting Data...</v>
      </c>
      <c r="P1180" t="str">
        <f>_xll.BDP("523336NN Muni","MUNI_TAX_PROV")</f>
        <v>#N/A Requesting Data...</v>
      </c>
      <c r="Q1180" t="str">
        <f>_xll.BDP("523336NN Muni","MUNI_FED_TAX")</f>
        <v>#N/A Requesting Data...</v>
      </c>
      <c r="R1180" t="str">
        <f>_xll.BDP("523336NN Muni","MUNI_MSRB_VOLUME")</f>
        <v>#N/A Requesting Data...</v>
      </c>
      <c r="S1180" t="str">
        <f>_xll.BDP("523336NN Muni","BB_COMPOSITE")</f>
        <v>#N/A Requesting Data...</v>
      </c>
      <c r="T1180" t="str">
        <f>_xll.BDP("523336NN Muni","LQA_LIQUIDITY_SCORE")</f>
        <v>#N/A Requesting Data...</v>
      </c>
    </row>
    <row r="1181" spans="1:20" x14ac:dyDescent="0.25">
      <c r="A1181" t="str">
        <f>_xll.BDP("523336NP Muni","ID_CUSIP")</f>
        <v>#N/A Requesting Data...</v>
      </c>
      <c r="B1181" t="s">
        <v>395</v>
      </c>
      <c r="C1181" t="str">
        <f>_xll.BDP("523336NP Muni","INSURANCE_STATUS")</f>
        <v>#N/A Requesting Data...</v>
      </c>
      <c r="D1181" t="str">
        <f>_xll.BDP("523336NP Muni","STATE_CODE")</f>
        <v>#N/A Requesting Data...</v>
      </c>
      <c r="E1181" t="str">
        <f>_xll.BDP("523336NP Muni","COUNTY_LOCATION_ISSUER")</f>
        <v>#N/A Requesting Data...</v>
      </c>
      <c r="F1181" t="str">
        <f>_xll.BDP("523336NP Muni","DUR_ADJ_MID")</f>
        <v>#N/A Requesting Data...</v>
      </c>
      <c r="G1181" t="str">
        <f>_xll.BDP("523336NP Muni","SPREAD_AT_ISSUANCE_TO_WORST")</f>
        <v>#N/A Requesting Data...</v>
      </c>
      <c r="H1181" t="str">
        <f>_xll.BDP("523336NP Muni","ISSUE_DT")</f>
        <v>#N/A Requesting Data...</v>
      </c>
      <c r="I1181" t="str">
        <f>_xll.BDS("523336NP Muni","MUNI_PURPOSE_SCHED", "aggregate=y")</f>
        <v>#N/A Review</v>
      </c>
      <c r="J1181" t="str">
        <f>_xll.BDP("523336NP Muni","CPN")</f>
        <v>#N/A Requesting Data...</v>
      </c>
      <c r="K1181" t="str">
        <f>_xll.BDP("523336NP Muni","MATURITY")</f>
        <v>#N/A Requesting Data...</v>
      </c>
      <c r="L1181">
        <v>350000</v>
      </c>
      <c r="M1181" t="str">
        <f>_xll.BDP("523336NP Muni","YIELD_ON_ISSUE_DATE")</f>
        <v>#N/A Requesting Data...</v>
      </c>
      <c r="N1181" t="str">
        <f>_xll.BDP("523336NP Muni","YTW_SPREAD_TO_MATURITY_AT_ISSU")</f>
        <v>#N/A Requesting Data...</v>
      </c>
      <c r="O1181" t="str">
        <f>_xll.BDP("523336NP Muni","BVAL_MID_YTM")</f>
        <v>#N/A Requesting Data...</v>
      </c>
      <c r="P1181" t="str">
        <f>_xll.BDP("523336NP Muni","MUNI_TAX_PROV")</f>
        <v>#N/A Requesting Data...</v>
      </c>
      <c r="Q1181" t="str">
        <f>_xll.BDP("523336NP Muni","MUNI_FED_TAX")</f>
        <v>#N/A Requesting Data...</v>
      </c>
      <c r="R1181" t="str">
        <f>_xll.BDP("523336NP Muni","MUNI_MSRB_VOLUME")</f>
        <v>#N/A Requesting Data...</v>
      </c>
      <c r="S1181" t="str">
        <f>_xll.BDP("523336NP Muni","BB_COMPOSITE")</f>
        <v>#N/A Requesting Data...</v>
      </c>
      <c r="T1181" t="str">
        <f>_xll.BDP("523336NP Muni","LQA_LIQUIDITY_SCORE")</f>
        <v>#N/A Requesting Data...</v>
      </c>
    </row>
    <row r="1182" spans="1:20" x14ac:dyDescent="0.25">
      <c r="A1182" t="str">
        <f>_xll.BDP("526318QA Muni","ID_CUSIP")</f>
        <v>#N/A Requesting Data...</v>
      </c>
      <c r="B1182" t="s">
        <v>59</v>
      </c>
      <c r="C1182" t="str">
        <f>_xll.BDP("526318QA Muni","INSURANCE_STATUS")</f>
        <v>#N/A Requesting Data...</v>
      </c>
      <c r="D1182" t="str">
        <f>_xll.BDP("526318QA Muni","STATE_CODE")</f>
        <v>#N/A Requesting Data...</v>
      </c>
      <c r="E1182" t="str">
        <f>_xll.BDP("526318QA Muni","COUNTY_LOCATION_ISSUER")</f>
        <v>#N/A Requesting Data...</v>
      </c>
      <c r="F1182" t="str">
        <f>_xll.BDP("526318QA Muni","DUR_ADJ_MID")</f>
        <v>#N/A Requesting Data...</v>
      </c>
      <c r="G1182" t="str">
        <f>_xll.BDP("526318QA Muni","SPREAD_AT_ISSUANCE_TO_WORST")</f>
        <v>#N/A Requesting Data...</v>
      </c>
      <c r="H1182" t="str">
        <f>_xll.BDP("526318QA Muni","ISSUE_DT")</f>
        <v>#N/A Requesting Data...</v>
      </c>
      <c r="I1182" t="str">
        <f>_xll.BDS("526318QA Muni","MUNI_PURPOSE_SCHED", "aggregate=y")</f>
        <v>#N/A Review</v>
      </c>
      <c r="J1182" t="str">
        <f>_xll.BDP("526318QA Muni","CPN")</f>
        <v>#N/A Requesting Data...</v>
      </c>
      <c r="K1182" t="str">
        <f>_xll.BDP("526318QA Muni","MATURITY")</f>
        <v>#N/A Requesting Data...</v>
      </c>
      <c r="L1182">
        <v>705000</v>
      </c>
      <c r="M1182" t="str">
        <f>_xll.BDP("526318QA Muni","YIELD_ON_ISSUE_DATE")</f>
        <v>#N/A Requesting Data...</v>
      </c>
      <c r="N1182" t="str">
        <f>_xll.BDP("526318QA Muni","YTW_SPREAD_TO_MATURITY_AT_ISSU")</f>
        <v>#N/A Requesting Data...</v>
      </c>
      <c r="O1182" t="str">
        <f>_xll.BDP("526318QA Muni","BVAL_MID_YTM")</f>
        <v>#N/A Requesting Data...</v>
      </c>
      <c r="P1182" t="str">
        <f>_xll.BDP("526318QA Muni","MUNI_TAX_PROV")</f>
        <v>#N/A Requesting Data...</v>
      </c>
      <c r="Q1182" t="str">
        <f>_xll.BDP("526318QA Muni","MUNI_FED_TAX")</f>
        <v>#N/A Requesting Data...</v>
      </c>
      <c r="R1182" t="str">
        <f>_xll.BDP("526318QA Muni","MUNI_MSRB_VOLUME")</f>
        <v>#N/A Requesting Data...</v>
      </c>
      <c r="S1182" t="str">
        <f>_xll.BDP("526318QA Muni","BB_COMPOSITE")</f>
        <v>#N/A Requesting Data...</v>
      </c>
      <c r="T1182" t="str">
        <f>_xll.BDP("526318QA Muni","LQA_LIQUIDITY_SCORE")</f>
        <v>#N/A Requesting Data...</v>
      </c>
    </row>
    <row r="1183" spans="1:20" x14ac:dyDescent="0.25">
      <c r="A1183" t="str">
        <f>_xll.BDP("526536HM Muni","ID_CUSIP")</f>
        <v>#N/A Requesting Data...</v>
      </c>
      <c r="B1183" t="s">
        <v>396</v>
      </c>
      <c r="C1183" t="str">
        <f>_xll.BDP("526536HM Muni","INSURANCE_STATUS")</f>
        <v>#N/A Requesting Data...</v>
      </c>
      <c r="D1183" t="str">
        <f>_xll.BDP("526536HM Muni","STATE_CODE")</f>
        <v>#N/A Requesting Data...</v>
      </c>
      <c r="E1183" t="str">
        <f>_xll.BDP("526536HM Muni","COUNTY_LOCATION_ISSUER")</f>
        <v>#N/A Requesting Data...</v>
      </c>
      <c r="F1183" t="str">
        <f>_xll.BDP("526536HM Muni","DUR_ADJ_MID")</f>
        <v>#N/A Requesting Data...</v>
      </c>
      <c r="G1183" t="str">
        <f>_xll.BDP("526536HM Muni","SPREAD_AT_ISSUANCE_TO_WORST")</f>
        <v>#N/A Requesting Data...</v>
      </c>
      <c r="H1183" t="str">
        <f>_xll.BDP("526536HM Muni","ISSUE_DT")</f>
        <v>#N/A Requesting Data...</v>
      </c>
      <c r="I1183" t="str">
        <f>_xll.BDS("526536HM Muni","MUNI_PURPOSE_SCHED", "aggregate=y")</f>
        <v>#N/A Review</v>
      </c>
      <c r="J1183" t="str">
        <f>_xll.BDP("526536HM Muni","CPN")</f>
        <v>#N/A Requesting Data...</v>
      </c>
      <c r="K1183" t="str">
        <f>_xll.BDP("526536HM Muni","MATURITY")</f>
        <v>#N/A Requesting Data...</v>
      </c>
      <c r="L1183">
        <v>45000</v>
      </c>
      <c r="M1183" t="str">
        <f>_xll.BDP("526536HM Muni","YIELD_ON_ISSUE_DATE")</f>
        <v>#N/A Requesting Data...</v>
      </c>
      <c r="N1183" t="str">
        <f>_xll.BDP("526536HM Muni","YTW_SPREAD_TO_MATURITY_AT_ISSU")</f>
        <v>#N/A Requesting Data...</v>
      </c>
      <c r="O1183" t="str">
        <f>_xll.BDP("526536HM Muni","BVAL_MID_YTM")</f>
        <v>#N/A Requesting Data...</v>
      </c>
      <c r="P1183" t="str">
        <f>_xll.BDP("526536HM Muni","MUNI_TAX_PROV")</f>
        <v>#N/A Requesting Data...</v>
      </c>
      <c r="Q1183" t="str">
        <f>_xll.BDP("526536HM Muni","MUNI_FED_TAX")</f>
        <v>#N/A Requesting Data...</v>
      </c>
      <c r="R1183" t="str">
        <f>_xll.BDP("526536HM Muni","MUNI_MSRB_VOLUME")</f>
        <v>#N/A Requesting Data...</v>
      </c>
      <c r="S1183" t="str">
        <f>_xll.BDP("526536HM Muni","BB_COMPOSITE")</f>
        <v>#N/A Requesting Data...</v>
      </c>
      <c r="T1183" t="str">
        <f>_xll.BDP("526536HM Muni","LQA_LIQUIDITY_SCORE")</f>
        <v>#N/A Requesting Data...</v>
      </c>
    </row>
    <row r="1184" spans="1:20" x14ac:dyDescent="0.25">
      <c r="A1184" t="str">
        <f>_xll.BDP("526536HN Muni","ID_CUSIP")</f>
        <v>#N/A Requesting Data...</v>
      </c>
      <c r="B1184" t="s">
        <v>396</v>
      </c>
      <c r="C1184" t="str">
        <f>_xll.BDP("526536HN Muni","INSURANCE_STATUS")</f>
        <v>#N/A Requesting Data...</v>
      </c>
      <c r="D1184" t="str">
        <f>_xll.BDP("526536HN Muni","STATE_CODE")</f>
        <v>#N/A Requesting Data...</v>
      </c>
      <c r="E1184" t="str">
        <f>_xll.BDP("526536HN Muni","COUNTY_LOCATION_ISSUER")</f>
        <v>#N/A Requesting Data...</v>
      </c>
      <c r="F1184" t="str">
        <f>_xll.BDP("526536HN Muni","DUR_ADJ_MID")</f>
        <v>#N/A Requesting Data...</v>
      </c>
      <c r="G1184" t="str">
        <f>_xll.BDP("526536HN Muni","SPREAD_AT_ISSUANCE_TO_WORST")</f>
        <v>#N/A Requesting Data...</v>
      </c>
      <c r="H1184" t="str">
        <f>_xll.BDP("526536HN Muni","ISSUE_DT")</f>
        <v>#N/A Requesting Data...</v>
      </c>
      <c r="I1184" t="str">
        <f>_xll.BDS("526536HN Muni","MUNI_PURPOSE_SCHED", "aggregate=y")</f>
        <v>#N/A Review</v>
      </c>
      <c r="J1184" t="str">
        <f>_xll.BDP("526536HN Muni","CPN")</f>
        <v>#N/A Requesting Data...</v>
      </c>
      <c r="K1184" t="str">
        <f>_xll.BDP("526536HN Muni","MATURITY")</f>
        <v>#N/A Requesting Data...</v>
      </c>
      <c r="L1184">
        <v>50000</v>
      </c>
      <c r="M1184" t="str">
        <f>_xll.BDP("526536HN Muni","YIELD_ON_ISSUE_DATE")</f>
        <v>#N/A Requesting Data...</v>
      </c>
      <c r="N1184" t="str">
        <f>_xll.BDP("526536HN Muni","YTW_SPREAD_TO_MATURITY_AT_ISSU")</f>
        <v>#N/A Requesting Data...</v>
      </c>
      <c r="O1184" t="str">
        <f>_xll.BDP("526536HN Muni","BVAL_MID_YTM")</f>
        <v>#N/A Requesting Data...</v>
      </c>
      <c r="P1184" t="str">
        <f>_xll.BDP("526536HN Muni","MUNI_TAX_PROV")</f>
        <v>#N/A Requesting Data...</v>
      </c>
      <c r="Q1184" t="str">
        <f>_xll.BDP("526536HN Muni","MUNI_FED_TAX")</f>
        <v>#N/A Requesting Data...</v>
      </c>
      <c r="R1184" t="str">
        <f>_xll.BDP("526536HN Muni","MUNI_MSRB_VOLUME")</f>
        <v>#N/A Requesting Data...</v>
      </c>
      <c r="S1184" t="str">
        <f>_xll.BDP("526536HN Muni","BB_COMPOSITE")</f>
        <v>#N/A Requesting Data...</v>
      </c>
      <c r="T1184" t="str">
        <f>_xll.BDP("526536HN Muni","LQA_LIQUIDITY_SCORE")</f>
        <v>#N/A Requesting Data...</v>
      </c>
    </row>
    <row r="1185" spans="1:20" x14ac:dyDescent="0.25">
      <c r="A1185" t="str">
        <f>_xll.BDP("526536HP Muni","ID_CUSIP")</f>
        <v>#N/A Requesting Data...</v>
      </c>
      <c r="B1185" t="s">
        <v>396</v>
      </c>
      <c r="C1185" t="str">
        <f>_xll.BDP("526536HP Muni","INSURANCE_STATUS")</f>
        <v>#N/A Requesting Data...</v>
      </c>
      <c r="D1185" t="str">
        <f>_xll.BDP("526536HP Muni","STATE_CODE")</f>
        <v>#N/A Requesting Data...</v>
      </c>
      <c r="E1185" t="str">
        <f>_xll.BDP("526536HP Muni","COUNTY_LOCATION_ISSUER")</f>
        <v>#N/A Requesting Data...</v>
      </c>
      <c r="F1185" t="str">
        <f>_xll.BDP("526536HP Muni","DUR_ADJ_MID")</f>
        <v>#N/A Requesting Data...</v>
      </c>
      <c r="G1185" t="str">
        <f>_xll.BDP("526536HP Muni","SPREAD_AT_ISSUANCE_TO_WORST")</f>
        <v>#N/A Requesting Data...</v>
      </c>
      <c r="H1185" t="str">
        <f>_xll.BDP("526536HP Muni","ISSUE_DT")</f>
        <v>#N/A Requesting Data...</v>
      </c>
      <c r="I1185" t="str">
        <f>_xll.BDS("526536HP Muni","MUNI_PURPOSE_SCHED", "aggregate=y")</f>
        <v>#N/A Review</v>
      </c>
      <c r="J1185" t="str">
        <f>_xll.BDP("526536HP Muni","CPN")</f>
        <v>#N/A Requesting Data...</v>
      </c>
      <c r="K1185" t="str">
        <f>_xll.BDP("526536HP Muni","MATURITY")</f>
        <v>#N/A Requesting Data...</v>
      </c>
      <c r="L1185">
        <v>50000</v>
      </c>
      <c r="M1185" t="str">
        <f>_xll.BDP("526536HP Muni","YIELD_ON_ISSUE_DATE")</f>
        <v>#N/A Requesting Data...</v>
      </c>
      <c r="N1185" t="str">
        <f>_xll.BDP("526536HP Muni","YTW_SPREAD_TO_MATURITY_AT_ISSU")</f>
        <v>#N/A Requesting Data...</v>
      </c>
      <c r="O1185" t="str">
        <f>_xll.BDP("526536HP Muni","BVAL_MID_YTM")</f>
        <v>#N/A Requesting Data...</v>
      </c>
      <c r="P1185" t="str">
        <f>_xll.BDP("526536HP Muni","MUNI_TAX_PROV")</f>
        <v>#N/A Requesting Data...</v>
      </c>
      <c r="Q1185" t="str">
        <f>_xll.BDP("526536HP Muni","MUNI_FED_TAX")</f>
        <v>#N/A Requesting Data...</v>
      </c>
      <c r="R1185" t="str">
        <f>_xll.BDP("526536HP Muni","MUNI_MSRB_VOLUME")</f>
        <v>#N/A Requesting Data...</v>
      </c>
      <c r="S1185" t="str">
        <f>_xll.BDP("526536HP Muni","BB_COMPOSITE")</f>
        <v>#N/A Requesting Data...</v>
      </c>
      <c r="T1185" t="str">
        <f>_xll.BDP("526536HP Muni","LQA_LIQUIDITY_SCORE")</f>
        <v>#N/A Requesting Data...</v>
      </c>
    </row>
    <row r="1186" spans="1:20" x14ac:dyDescent="0.25">
      <c r="A1186" t="str">
        <f>_xll.BDP("528835Y5 Muni","ID_CUSIP")</f>
        <v>#N/A Requesting Data...</v>
      </c>
      <c r="B1186" t="s">
        <v>397</v>
      </c>
      <c r="C1186" t="str">
        <f>_xll.BDP("528835Y5 Muni","INSURANCE_STATUS")</f>
        <v>#N/A Requesting Data...</v>
      </c>
      <c r="D1186" t="str">
        <f>_xll.BDP("528835Y5 Muni","STATE_CODE")</f>
        <v>#N/A Requesting Data...</v>
      </c>
      <c r="E1186" t="str">
        <f>_xll.BDP("528835Y5 Muni","COUNTY_LOCATION_ISSUER")</f>
        <v>#N/A Requesting Data...</v>
      </c>
      <c r="F1186" t="str">
        <f>_xll.BDP("528835Y5 Muni","DUR_ADJ_MID")</f>
        <v>#N/A Requesting Data...</v>
      </c>
      <c r="G1186" t="str">
        <f>_xll.BDP("528835Y5 Muni","SPREAD_AT_ISSUANCE_TO_WORST")</f>
        <v>#N/A Requesting Data...</v>
      </c>
      <c r="H1186" t="str">
        <f>_xll.BDP("528835Y5 Muni","ISSUE_DT")</f>
        <v>#N/A Requesting Data...</v>
      </c>
      <c r="I1186" t="str">
        <f>_xll.BDS("528835Y5 Muni","MUNI_PURPOSE_SCHED", "aggregate=y")</f>
        <v>#N/A Review</v>
      </c>
      <c r="J1186" t="str">
        <f>_xll.BDP("528835Y5 Muni","CPN")</f>
        <v>#N/A Requesting Data...</v>
      </c>
      <c r="K1186" t="str">
        <f>_xll.BDP("528835Y5 Muni","MATURITY")</f>
        <v>#N/A Requesting Data...</v>
      </c>
      <c r="L1186">
        <v>1090000</v>
      </c>
      <c r="M1186" t="str">
        <f>_xll.BDP("528835Y5 Muni","YIELD_ON_ISSUE_DATE")</f>
        <v>#N/A Requesting Data...</v>
      </c>
      <c r="N1186" t="str">
        <f>_xll.BDP("528835Y5 Muni","YTW_SPREAD_TO_MATURITY_AT_ISSU")</f>
        <v>#N/A Requesting Data...</v>
      </c>
      <c r="O1186" t="str">
        <f>_xll.BDP("528835Y5 Muni","BVAL_MID_YTM")</f>
        <v>#N/A Requesting Data...</v>
      </c>
      <c r="P1186" t="str">
        <f>_xll.BDP("528835Y5 Muni","MUNI_TAX_PROV")</f>
        <v>#N/A Requesting Data...</v>
      </c>
      <c r="Q1186" t="str">
        <f>_xll.BDP("528835Y5 Muni","MUNI_FED_TAX")</f>
        <v>#N/A Requesting Data...</v>
      </c>
      <c r="R1186" t="str">
        <f>_xll.BDP("528835Y5 Muni","MUNI_MSRB_VOLUME")</f>
        <v>#N/A Requesting Data...</v>
      </c>
      <c r="S1186" t="str">
        <f>_xll.BDP("528835Y5 Muni","BB_COMPOSITE")</f>
        <v>#N/A Requesting Data...</v>
      </c>
      <c r="T1186" t="str">
        <f>_xll.BDP("528835Y5 Muni","LQA_LIQUIDITY_SCORE")</f>
        <v>#N/A Requesting Data...</v>
      </c>
    </row>
    <row r="1187" spans="1:20" x14ac:dyDescent="0.25">
      <c r="A1187" t="str">
        <f>_xll.BDP("528835Y6 Muni","ID_CUSIP")</f>
        <v>#N/A Requesting Data...</v>
      </c>
      <c r="B1187" t="s">
        <v>397</v>
      </c>
      <c r="C1187" t="str">
        <f>_xll.BDP("528835Y6 Muni","INSURANCE_STATUS")</f>
        <v>#N/A Requesting Data...</v>
      </c>
      <c r="D1187" t="str">
        <f>_xll.BDP("528835Y6 Muni","STATE_CODE")</f>
        <v>#N/A Requesting Data...</v>
      </c>
      <c r="E1187" t="str">
        <f>_xll.BDP("528835Y6 Muni","COUNTY_LOCATION_ISSUER")</f>
        <v>#N/A Requesting Data...</v>
      </c>
      <c r="F1187" t="str">
        <f>_xll.BDP("528835Y6 Muni","DUR_ADJ_MID")</f>
        <v>#N/A Requesting Data...</v>
      </c>
      <c r="G1187" t="str">
        <f>_xll.BDP("528835Y6 Muni","SPREAD_AT_ISSUANCE_TO_WORST")</f>
        <v>#N/A Requesting Data...</v>
      </c>
      <c r="H1187" t="str">
        <f>_xll.BDP("528835Y6 Muni","ISSUE_DT")</f>
        <v>#N/A Requesting Data...</v>
      </c>
      <c r="I1187" t="str">
        <f>_xll.BDS("528835Y6 Muni","MUNI_PURPOSE_SCHED", "aggregate=y")</f>
        <v>#N/A Review</v>
      </c>
      <c r="J1187" t="str">
        <f>_xll.BDP("528835Y6 Muni","CPN")</f>
        <v>#N/A Requesting Data...</v>
      </c>
      <c r="K1187" t="str">
        <f>_xll.BDP("528835Y6 Muni","MATURITY")</f>
        <v>#N/A Requesting Data...</v>
      </c>
      <c r="L1187">
        <v>1150000</v>
      </c>
      <c r="M1187" t="str">
        <f>_xll.BDP("528835Y6 Muni","YIELD_ON_ISSUE_DATE")</f>
        <v>#N/A Requesting Data...</v>
      </c>
      <c r="N1187" t="str">
        <f>_xll.BDP("528835Y6 Muni","YTW_SPREAD_TO_MATURITY_AT_ISSU")</f>
        <v>#N/A Requesting Data...</v>
      </c>
      <c r="O1187" t="str">
        <f>_xll.BDP("528835Y6 Muni","BVAL_MID_YTM")</f>
        <v>#N/A Requesting Data...</v>
      </c>
      <c r="P1187" t="str">
        <f>_xll.BDP("528835Y6 Muni","MUNI_TAX_PROV")</f>
        <v>#N/A Requesting Data...</v>
      </c>
      <c r="Q1187" t="str">
        <f>_xll.BDP("528835Y6 Muni","MUNI_FED_TAX")</f>
        <v>#N/A Requesting Data...</v>
      </c>
      <c r="R1187" t="str">
        <f>_xll.BDP("528835Y6 Muni","MUNI_MSRB_VOLUME")</f>
        <v>#N/A Requesting Data...</v>
      </c>
      <c r="S1187" t="str">
        <f>_xll.BDP("528835Y6 Muni","BB_COMPOSITE")</f>
        <v>#N/A Requesting Data...</v>
      </c>
      <c r="T1187" t="str">
        <f>_xll.BDP("528835Y6 Muni","LQA_LIQUIDITY_SCORE")</f>
        <v>#N/A Requesting Data...</v>
      </c>
    </row>
    <row r="1188" spans="1:20" x14ac:dyDescent="0.25">
      <c r="A1188" t="str">
        <f>_xll.BDP("528835Y7 Muni","ID_CUSIP")</f>
        <v>#N/A Requesting Data...</v>
      </c>
      <c r="B1188" t="s">
        <v>397</v>
      </c>
      <c r="C1188" t="str">
        <f>_xll.BDP("528835Y7 Muni","INSURANCE_STATUS")</f>
        <v>#N/A Requesting Data...</v>
      </c>
      <c r="D1188" t="str">
        <f>_xll.BDP("528835Y7 Muni","STATE_CODE")</f>
        <v>#N/A Requesting Data...</v>
      </c>
      <c r="E1188" t="str">
        <f>_xll.BDP("528835Y7 Muni","COUNTY_LOCATION_ISSUER")</f>
        <v>#N/A Requesting Data...</v>
      </c>
      <c r="F1188" t="str">
        <f>_xll.BDP("528835Y7 Muni","DUR_ADJ_MID")</f>
        <v>#N/A Requesting Data...</v>
      </c>
      <c r="G1188" t="str">
        <f>_xll.BDP("528835Y7 Muni","SPREAD_AT_ISSUANCE_TO_WORST")</f>
        <v>#N/A Requesting Data...</v>
      </c>
      <c r="H1188" t="str">
        <f>_xll.BDP("528835Y7 Muni","ISSUE_DT")</f>
        <v>#N/A Requesting Data...</v>
      </c>
      <c r="I1188" t="str">
        <f>_xll.BDS("528835Y7 Muni","MUNI_PURPOSE_SCHED", "aggregate=y")</f>
        <v>#N/A Review</v>
      </c>
      <c r="J1188" t="str">
        <f>_xll.BDP("528835Y7 Muni","CPN")</f>
        <v>#N/A Requesting Data...</v>
      </c>
      <c r="K1188" t="str">
        <f>_xll.BDP("528835Y7 Muni","MATURITY")</f>
        <v>#N/A Requesting Data...</v>
      </c>
      <c r="L1188">
        <v>440000</v>
      </c>
      <c r="M1188" t="str">
        <f>_xll.BDP("528835Y7 Muni","YIELD_ON_ISSUE_DATE")</f>
        <v>#N/A Requesting Data...</v>
      </c>
      <c r="N1188" t="str">
        <f>_xll.BDP("528835Y7 Muni","YTW_SPREAD_TO_MATURITY_AT_ISSU")</f>
        <v>#N/A Requesting Data...</v>
      </c>
      <c r="O1188" t="str">
        <f>_xll.BDP("528835Y7 Muni","BVAL_MID_YTM")</f>
        <v>#N/A Requesting Data...</v>
      </c>
      <c r="P1188" t="str">
        <f>_xll.BDP("528835Y7 Muni","MUNI_TAX_PROV")</f>
        <v>#N/A Requesting Data...</v>
      </c>
      <c r="Q1188" t="str">
        <f>_xll.BDP("528835Y7 Muni","MUNI_FED_TAX")</f>
        <v>#N/A Requesting Data...</v>
      </c>
      <c r="R1188" t="str">
        <f>_xll.BDP("528835Y7 Muni","MUNI_MSRB_VOLUME")</f>
        <v>#N/A Requesting Data...</v>
      </c>
      <c r="S1188" t="str">
        <f>_xll.BDP("528835Y7 Muni","BB_COMPOSITE")</f>
        <v>#N/A Requesting Data...</v>
      </c>
      <c r="T1188" t="str">
        <f>_xll.BDP("528835Y7 Muni","LQA_LIQUIDITY_SCORE")</f>
        <v>#N/A Requesting Data...</v>
      </c>
    </row>
    <row r="1189" spans="1:20" x14ac:dyDescent="0.25">
      <c r="A1189" t="str">
        <f>_xll.BDP("259687KW Muni","ID_CUSIP")</f>
        <v>#N/A Requesting Data...</v>
      </c>
      <c r="B1189" t="s">
        <v>333</v>
      </c>
      <c r="C1189" t="str">
        <f>_xll.BDP("259687KW Muni","INSURANCE_STATUS")</f>
        <v>#N/A Requesting Data...</v>
      </c>
      <c r="D1189" t="str">
        <f>_xll.BDP("259687KW Muni","STATE_CODE")</f>
        <v>#N/A Requesting Data...</v>
      </c>
      <c r="E1189" t="str">
        <f>_xll.BDP("259687KW Muni","COUNTY_LOCATION_ISSUER")</f>
        <v>#N/A Requesting Data...</v>
      </c>
      <c r="F1189" t="str">
        <f>_xll.BDP("259687KW Muni","DUR_ADJ_MID")</f>
        <v>#N/A Requesting Data...</v>
      </c>
      <c r="G1189" t="str">
        <f>_xll.BDP("259687KW Muni","SPREAD_AT_ISSUANCE_TO_WORST")</f>
        <v>#N/A Requesting Data...</v>
      </c>
      <c r="H1189" t="str">
        <f>_xll.BDP("259687KW Muni","ISSUE_DT")</f>
        <v>#N/A Requesting Data...</v>
      </c>
      <c r="I1189" t="str">
        <f>_xll.BDS("259687KW Muni","MUNI_PURPOSE_SCHED", "aggregate=y")</f>
        <v>#N/A Review</v>
      </c>
      <c r="J1189" t="str">
        <f>_xll.BDP("259687KW Muni","CPN")</f>
        <v>#N/A Requesting Data...</v>
      </c>
      <c r="K1189" t="str">
        <f>_xll.BDP("259687KW Muni","MATURITY")</f>
        <v>#N/A Requesting Data...</v>
      </c>
      <c r="L1189">
        <v>350000</v>
      </c>
      <c r="M1189" t="str">
        <f>_xll.BDP("259687KW Muni","YIELD_ON_ISSUE_DATE")</f>
        <v>#N/A Requesting Data...</v>
      </c>
      <c r="N1189" t="str">
        <f>_xll.BDP("259687KW Muni","YTW_SPREAD_TO_MATURITY_AT_ISSU")</f>
        <v>#N/A Requesting Data...</v>
      </c>
      <c r="O1189" t="str">
        <f>_xll.BDP("259687KW Muni","BVAL_MID_YTM")</f>
        <v>#N/A Requesting Data...</v>
      </c>
      <c r="P1189" t="str">
        <f>_xll.BDP("259687KW Muni","MUNI_TAX_PROV")</f>
        <v>#N/A Requesting Data...</v>
      </c>
      <c r="Q1189" t="str">
        <f>_xll.BDP("259687KW Muni","MUNI_FED_TAX")</f>
        <v>#N/A Requesting Data...</v>
      </c>
      <c r="R1189" t="str">
        <f>_xll.BDP("259687KW Muni","MUNI_MSRB_VOLUME")</f>
        <v>#N/A Requesting Data...</v>
      </c>
      <c r="S1189" t="str">
        <f>_xll.BDP("259687KW Muni","BB_COMPOSITE")</f>
        <v>#N/A Requesting Data...</v>
      </c>
      <c r="T1189" t="str">
        <f>_xll.BDP("259687KW Muni","LQA_LIQUIDITY_SCORE")</f>
        <v>#N/A Requesting Data...</v>
      </c>
    </row>
    <row r="1190" spans="1:20" x14ac:dyDescent="0.25">
      <c r="A1190" t="str">
        <f>_xll.BDP("263713B3 Muni","ID_CUSIP")</f>
        <v>#N/A Requesting Data...</v>
      </c>
      <c r="B1190" t="s">
        <v>334</v>
      </c>
      <c r="C1190" t="str">
        <f>_xll.BDP("263713B3 Muni","INSURANCE_STATUS")</f>
        <v>#N/A Requesting Data...</v>
      </c>
      <c r="D1190" t="str">
        <f>_xll.BDP("263713B3 Muni","STATE_CODE")</f>
        <v>#N/A Requesting Data...</v>
      </c>
      <c r="E1190" t="str">
        <f>_xll.BDP("263713B3 Muni","COUNTY_LOCATION_ISSUER")</f>
        <v>#N/A Requesting Data...</v>
      </c>
      <c r="F1190" t="str">
        <f>_xll.BDP("263713B3 Muni","DUR_ADJ_MID")</f>
        <v>#N/A Requesting Data...</v>
      </c>
      <c r="G1190" t="str">
        <f>_xll.BDP("263713B3 Muni","SPREAD_AT_ISSUANCE_TO_WORST")</f>
        <v>#N/A Requesting Data...</v>
      </c>
      <c r="H1190" t="str">
        <f>_xll.BDP("263713B3 Muni","ISSUE_DT")</f>
        <v>#N/A Requesting Data...</v>
      </c>
      <c r="I1190" t="str">
        <f>_xll.BDS("263713B3 Muni","MUNI_PURPOSE_SCHED", "aggregate=y")</f>
        <v>#N/A Review</v>
      </c>
      <c r="J1190" t="str">
        <f>_xll.BDP("263713B3 Muni","CPN")</f>
        <v>#N/A Requesting Data...</v>
      </c>
      <c r="K1190" t="str">
        <f>_xll.BDP("263713B3 Muni","MATURITY")</f>
        <v>#N/A Requesting Data...</v>
      </c>
      <c r="L1190">
        <v>395000</v>
      </c>
      <c r="M1190" t="str">
        <f>_xll.BDP("263713B3 Muni","YIELD_ON_ISSUE_DATE")</f>
        <v>#N/A Requesting Data...</v>
      </c>
      <c r="N1190" t="str">
        <f>_xll.BDP("263713B3 Muni","YTW_SPREAD_TO_MATURITY_AT_ISSU")</f>
        <v>#N/A Requesting Data...</v>
      </c>
      <c r="O1190" t="str">
        <f>_xll.BDP("263713B3 Muni","BVAL_MID_YTM")</f>
        <v>#N/A Requesting Data...</v>
      </c>
      <c r="P1190" t="str">
        <f>_xll.BDP("263713B3 Muni","MUNI_TAX_PROV")</f>
        <v>#N/A Requesting Data...</v>
      </c>
      <c r="Q1190" t="str">
        <f>_xll.BDP("263713B3 Muni","MUNI_FED_TAX")</f>
        <v>#N/A Requesting Data...</v>
      </c>
      <c r="R1190" t="str">
        <f>_xll.BDP("263713B3 Muni","MUNI_MSRB_VOLUME")</f>
        <v>#N/A Requesting Data...</v>
      </c>
      <c r="S1190" t="str">
        <f>_xll.BDP("263713B3 Muni","BB_COMPOSITE")</f>
        <v>#N/A Requesting Data...</v>
      </c>
      <c r="T1190" t="str">
        <f>_xll.BDP("263713B3 Muni","LQA_LIQUIDITY_SCORE")</f>
        <v>#N/A Requesting Data...</v>
      </c>
    </row>
    <row r="1191" spans="1:20" x14ac:dyDescent="0.25">
      <c r="A1191" t="str">
        <f>_xll.BDP("263713B5 Muni","ID_CUSIP")</f>
        <v>#N/A Requesting Data...</v>
      </c>
      <c r="B1191" t="s">
        <v>334</v>
      </c>
      <c r="C1191" t="str">
        <f>_xll.BDP("263713B5 Muni","INSURANCE_STATUS")</f>
        <v>#N/A Requesting Data...</v>
      </c>
      <c r="D1191" t="str">
        <f>_xll.BDP("263713B5 Muni","STATE_CODE")</f>
        <v>#N/A Requesting Data...</v>
      </c>
      <c r="E1191" t="str">
        <f>_xll.BDP("263713B5 Muni","COUNTY_LOCATION_ISSUER")</f>
        <v>#N/A Requesting Data...</v>
      </c>
      <c r="F1191" t="str">
        <f>_xll.BDP("263713B5 Muni","DUR_ADJ_MID")</f>
        <v>#N/A Requesting Data...</v>
      </c>
      <c r="G1191" t="str">
        <f>_xll.BDP("263713B5 Muni","SPREAD_AT_ISSUANCE_TO_WORST")</f>
        <v>#N/A Requesting Data...</v>
      </c>
      <c r="H1191" t="str">
        <f>_xll.BDP("263713B5 Muni","ISSUE_DT")</f>
        <v>#N/A Requesting Data...</v>
      </c>
      <c r="I1191" t="str">
        <f>_xll.BDS("263713B5 Muni","MUNI_PURPOSE_SCHED", "aggregate=y")</f>
        <v>#N/A Review</v>
      </c>
      <c r="J1191" t="str">
        <f>_xll.BDP("263713B5 Muni","CPN")</f>
        <v>#N/A Requesting Data...</v>
      </c>
      <c r="K1191" t="str">
        <f>_xll.BDP("263713B5 Muni","MATURITY")</f>
        <v>#N/A Requesting Data...</v>
      </c>
      <c r="L1191">
        <v>420000</v>
      </c>
      <c r="M1191" t="str">
        <f>_xll.BDP("263713B5 Muni","YIELD_ON_ISSUE_DATE")</f>
        <v>#N/A Requesting Data...</v>
      </c>
      <c r="N1191" t="str">
        <f>_xll.BDP("263713B5 Muni","YTW_SPREAD_TO_MATURITY_AT_ISSU")</f>
        <v>#N/A Requesting Data...</v>
      </c>
      <c r="O1191" t="str">
        <f>_xll.BDP("263713B5 Muni","BVAL_MID_YTM")</f>
        <v>#N/A Requesting Data...</v>
      </c>
      <c r="P1191" t="str">
        <f>_xll.BDP("263713B5 Muni","MUNI_TAX_PROV")</f>
        <v>#N/A Requesting Data...</v>
      </c>
      <c r="Q1191" t="str">
        <f>_xll.BDP("263713B5 Muni","MUNI_FED_TAX")</f>
        <v>#N/A Requesting Data...</v>
      </c>
      <c r="R1191" t="str">
        <f>_xll.BDP("263713B5 Muni","MUNI_MSRB_VOLUME")</f>
        <v>#N/A Requesting Data...</v>
      </c>
      <c r="S1191" t="str">
        <f>_xll.BDP("263713B5 Muni","BB_COMPOSITE")</f>
        <v>#N/A Requesting Data...</v>
      </c>
      <c r="T1191" t="str">
        <f>_xll.BDP("263713B5 Muni","LQA_LIQUIDITY_SCORE")</f>
        <v>#N/A Requesting Data...</v>
      </c>
    </row>
    <row r="1192" spans="1:20" x14ac:dyDescent="0.25">
      <c r="A1192" t="str">
        <f>_xll.BDP("58320LKR Muni","ID_CUSIP")</f>
        <v>#N/A Requesting Data...</v>
      </c>
      <c r="B1192" t="s">
        <v>398</v>
      </c>
      <c r="C1192" t="str">
        <f>_xll.BDP("58320LKR Muni","INSURANCE_STATUS")</f>
        <v>#N/A Requesting Data...</v>
      </c>
      <c r="D1192" t="str">
        <f>_xll.BDP("58320LKR Muni","STATE_CODE")</f>
        <v>#N/A Requesting Data...</v>
      </c>
      <c r="E1192" t="str">
        <f>_xll.BDP("58320LKR Muni","COUNTY_LOCATION_ISSUER")</f>
        <v>#N/A Requesting Data...</v>
      </c>
      <c r="F1192" t="str">
        <f>_xll.BDP("58320LKR Muni","DUR_ADJ_MID")</f>
        <v>#N/A Requesting Data...</v>
      </c>
      <c r="G1192" t="str">
        <f>_xll.BDP("58320LKR Muni","SPREAD_AT_ISSUANCE_TO_WORST")</f>
        <v>#N/A Requesting Data...</v>
      </c>
      <c r="H1192" t="str">
        <f>_xll.BDP("58320LKR Muni","ISSUE_DT")</f>
        <v>#N/A Requesting Data...</v>
      </c>
      <c r="I1192" t="str">
        <f>_xll.BDS("58320LKR Muni","MUNI_PURPOSE_SCHED", "aggregate=y")</f>
        <v>#N/A Review</v>
      </c>
      <c r="J1192" t="str">
        <f>_xll.BDP("58320LKR Muni","CPN")</f>
        <v>#N/A Requesting Data...</v>
      </c>
      <c r="K1192" t="str">
        <f>_xll.BDP("58320LKR Muni","MATURITY")</f>
        <v>#N/A Requesting Data...</v>
      </c>
      <c r="L1192">
        <v>130000</v>
      </c>
      <c r="M1192" t="str">
        <f>_xll.BDP("58320LKR Muni","YIELD_ON_ISSUE_DATE")</f>
        <v>#N/A Requesting Data...</v>
      </c>
      <c r="N1192" t="str">
        <f>_xll.BDP("58320LKR Muni","YTW_SPREAD_TO_MATURITY_AT_ISSU")</f>
        <v>#N/A Requesting Data...</v>
      </c>
      <c r="O1192" t="str">
        <f>_xll.BDP("58320LKR Muni","BVAL_MID_YTM")</f>
        <v>#N/A Requesting Data...</v>
      </c>
      <c r="P1192" t="str">
        <f>_xll.BDP("58320LKR Muni","MUNI_TAX_PROV")</f>
        <v>#N/A Requesting Data...</v>
      </c>
      <c r="Q1192" t="str">
        <f>_xll.BDP("58320LKR Muni","MUNI_FED_TAX")</f>
        <v>#N/A Requesting Data...</v>
      </c>
      <c r="R1192" t="str">
        <f>_xll.BDP("58320LKR Muni","MUNI_MSRB_VOLUME")</f>
        <v>#N/A Requesting Data...</v>
      </c>
      <c r="S1192" t="str">
        <f>_xll.BDP("58320LKR Muni","BB_COMPOSITE")</f>
        <v>#N/A Requesting Data...</v>
      </c>
      <c r="T1192" t="str">
        <f>_xll.BDP("58320LKR Muni","LQA_LIQUIDITY_SCORE")</f>
        <v>#N/A Requesting Data...</v>
      </c>
    </row>
    <row r="1193" spans="1:20" x14ac:dyDescent="0.25">
      <c r="A1193" t="str">
        <f>_xll.BDP("58320LKS Muni","ID_CUSIP")</f>
        <v>#N/A Requesting Data...</v>
      </c>
      <c r="B1193" t="s">
        <v>398</v>
      </c>
      <c r="C1193" t="str">
        <f>_xll.BDP("58320LKS Muni","INSURANCE_STATUS")</f>
        <v>#N/A Requesting Data...</v>
      </c>
      <c r="D1193" t="str">
        <f>_xll.BDP("58320LKS Muni","STATE_CODE")</f>
        <v>#N/A Requesting Data...</v>
      </c>
      <c r="E1193" t="str">
        <f>_xll.BDP("58320LKS Muni","COUNTY_LOCATION_ISSUER")</f>
        <v>#N/A Requesting Data...</v>
      </c>
      <c r="F1193" t="str">
        <f>_xll.BDP("58320LKS Muni","DUR_ADJ_MID")</f>
        <v>#N/A Requesting Data...</v>
      </c>
      <c r="G1193" t="str">
        <f>_xll.BDP("58320LKS Muni","SPREAD_AT_ISSUANCE_TO_WORST")</f>
        <v>#N/A Requesting Data...</v>
      </c>
      <c r="H1193" t="str">
        <f>_xll.BDP("58320LKS Muni","ISSUE_DT")</f>
        <v>#N/A Requesting Data...</v>
      </c>
      <c r="I1193" t="str">
        <f>_xll.BDS("58320LKS Muni","MUNI_PURPOSE_SCHED", "aggregate=y")</f>
        <v>#N/A Review</v>
      </c>
      <c r="J1193" t="str">
        <f>_xll.BDP("58320LKS Muni","CPN")</f>
        <v>#N/A Requesting Data...</v>
      </c>
      <c r="K1193" t="str">
        <f>_xll.BDP("58320LKS Muni","MATURITY")</f>
        <v>#N/A Requesting Data...</v>
      </c>
      <c r="L1193">
        <v>125000</v>
      </c>
      <c r="M1193" t="str">
        <f>_xll.BDP("58320LKS Muni","YIELD_ON_ISSUE_DATE")</f>
        <v>#N/A Requesting Data...</v>
      </c>
      <c r="N1193" t="str">
        <f>_xll.BDP("58320LKS Muni","YTW_SPREAD_TO_MATURITY_AT_ISSU")</f>
        <v>#N/A Requesting Data...</v>
      </c>
      <c r="O1193" t="str">
        <f>_xll.BDP("58320LKS Muni","BVAL_MID_YTM")</f>
        <v>#N/A Requesting Data...</v>
      </c>
      <c r="P1193" t="str">
        <f>_xll.BDP("58320LKS Muni","MUNI_TAX_PROV")</f>
        <v>#N/A Requesting Data...</v>
      </c>
      <c r="Q1193" t="str">
        <f>_xll.BDP("58320LKS Muni","MUNI_FED_TAX")</f>
        <v>#N/A Requesting Data...</v>
      </c>
      <c r="R1193" t="str">
        <f>_xll.BDP("58320LKS Muni","MUNI_MSRB_VOLUME")</f>
        <v>#N/A Requesting Data...</v>
      </c>
      <c r="S1193" t="str">
        <f>_xll.BDP("58320LKS Muni","BB_COMPOSITE")</f>
        <v>#N/A Requesting Data...</v>
      </c>
      <c r="T1193" t="str">
        <f>_xll.BDP("58320LKS Muni","LQA_LIQUIDITY_SCORE")</f>
        <v>#N/A Requesting Data...</v>
      </c>
    </row>
    <row r="1194" spans="1:20" x14ac:dyDescent="0.25">
      <c r="A1194" t="str">
        <f>_xll.BDP("45204EJF Muni","ID_CUSIP")</f>
        <v>#N/A Requesting Data...</v>
      </c>
      <c r="B1194" t="s">
        <v>36</v>
      </c>
      <c r="C1194" t="str">
        <f>_xll.BDP("45204EJF Muni","INSURANCE_STATUS")</f>
        <v>#N/A Requesting Data...</v>
      </c>
      <c r="D1194" t="str">
        <f>_xll.BDP("45204EJF Muni","STATE_CODE")</f>
        <v>#N/A Requesting Data...</v>
      </c>
      <c r="E1194" t="str">
        <f>_xll.BDP("45204EJF Muni","COUNTY_LOCATION_ISSUER")</f>
        <v>#N/A Requesting Data...</v>
      </c>
      <c r="F1194" t="str">
        <f>_xll.BDP("45204EJF Muni","DUR_ADJ_MID")</f>
        <v>#N/A Requesting Data...</v>
      </c>
      <c r="G1194" t="str">
        <f>_xll.BDP("45204EJF Muni","SPREAD_AT_ISSUANCE_TO_WORST")</f>
        <v>#N/A Requesting Data...</v>
      </c>
      <c r="H1194" t="str">
        <f>_xll.BDP("45204EJF Muni","ISSUE_DT")</f>
        <v>#N/A Requesting Data...</v>
      </c>
      <c r="I1194" t="str">
        <f>_xll.BDS("45204EJF Muni","MUNI_PURPOSE_SCHED", "aggregate=y")</f>
        <v>#N/A Review</v>
      </c>
      <c r="J1194" t="str">
        <f>_xll.BDP("45204EJF Muni","CPN")</f>
        <v>#N/A Requesting Data...</v>
      </c>
      <c r="K1194" t="str">
        <f>_xll.BDP("45204EJF Muni","MATURITY")</f>
        <v>#N/A Requesting Data...</v>
      </c>
      <c r="L1194">
        <v>16840000</v>
      </c>
      <c r="M1194" t="str">
        <f>_xll.BDP("45204EJF Muni","YIELD_ON_ISSUE_DATE")</f>
        <v>#N/A Requesting Data...</v>
      </c>
      <c r="N1194" t="str">
        <f>_xll.BDP("45204EJF Muni","YTW_SPREAD_TO_MATURITY_AT_ISSU")</f>
        <v>#N/A Requesting Data...</v>
      </c>
      <c r="O1194" t="str">
        <f>_xll.BDP("45204EJF Muni","BVAL_MID_YTM")</f>
        <v>#N/A Requesting Data...</v>
      </c>
      <c r="P1194" t="str">
        <f>_xll.BDP("45204EJF Muni","MUNI_TAX_PROV")</f>
        <v>#N/A Requesting Data...</v>
      </c>
      <c r="Q1194" t="str">
        <f>_xll.BDP("45204EJF Muni","MUNI_FED_TAX")</f>
        <v>#N/A Requesting Data...</v>
      </c>
      <c r="R1194" t="str">
        <f>_xll.BDP("45204EJF Muni","MUNI_MSRB_VOLUME")</f>
        <v>#N/A Requesting Data...</v>
      </c>
      <c r="S1194" t="str">
        <f>_xll.BDP("45204EJF Muni","BB_COMPOSITE")</f>
        <v>#N/A Requesting Data...</v>
      </c>
      <c r="T1194" t="str">
        <f>_xll.BDP("45204EJF Muni","LQA_LIQUIDITY_SCORE")</f>
        <v>#N/A Requesting Data...</v>
      </c>
    </row>
    <row r="1195" spans="1:20" x14ac:dyDescent="0.25">
      <c r="A1195" t="str">
        <f>_xll.BDP("45505KBA Muni","ID_CUSIP")</f>
        <v>#N/A Requesting Data...</v>
      </c>
      <c r="B1195" t="s">
        <v>42</v>
      </c>
      <c r="C1195" t="str">
        <f>_xll.BDP("45505KBA Muni","INSURANCE_STATUS")</f>
        <v>#N/A Requesting Data...</v>
      </c>
      <c r="D1195" t="str">
        <f>_xll.BDP("45505KBA Muni","STATE_CODE")</f>
        <v>#N/A Requesting Data...</v>
      </c>
      <c r="E1195" t="str">
        <f>_xll.BDP("45505KBA Muni","COUNTY_LOCATION_ISSUER")</f>
        <v>#N/A Requesting Data...</v>
      </c>
      <c r="F1195" t="str">
        <f>_xll.BDP("45505KBA Muni","DUR_ADJ_MID")</f>
        <v>#N/A Requesting Data...</v>
      </c>
      <c r="G1195" t="str">
        <f>_xll.BDP("45505KBA Muni","SPREAD_AT_ISSUANCE_TO_WORST")</f>
        <v>#N/A Requesting Data...</v>
      </c>
      <c r="H1195" t="str">
        <f>_xll.BDP("45505KBA Muni","ISSUE_DT")</f>
        <v>#N/A Requesting Data...</v>
      </c>
      <c r="I1195" t="str">
        <f>_xll.BDS("45505KBA Muni","MUNI_PURPOSE_SCHED", "aggregate=y")</f>
        <v>#N/A Review</v>
      </c>
      <c r="J1195" t="str">
        <f>_xll.BDP("45505KBA Muni","CPN")</f>
        <v>#N/A Requesting Data...</v>
      </c>
      <c r="K1195" t="str">
        <f>_xll.BDP("45505KBA Muni","MATURITY")</f>
        <v>#N/A Requesting Data...</v>
      </c>
      <c r="L1195">
        <v>1320000</v>
      </c>
      <c r="M1195" t="str">
        <f>_xll.BDP("45505KBA Muni","YIELD_ON_ISSUE_DATE")</f>
        <v>#N/A Requesting Data...</v>
      </c>
      <c r="N1195" t="str">
        <f>_xll.BDP("45505KBA Muni","YTW_SPREAD_TO_MATURITY_AT_ISSU")</f>
        <v>#N/A Requesting Data...</v>
      </c>
      <c r="O1195" t="str">
        <f>_xll.BDP("45505KBA Muni","BVAL_MID_YTM")</f>
        <v>#N/A Requesting Data...</v>
      </c>
      <c r="P1195" t="str">
        <f>_xll.BDP("45505KBA Muni","MUNI_TAX_PROV")</f>
        <v>#N/A Requesting Data...</v>
      </c>
      <c r="Q1195" t="str">
        <f>_xll.BDP("45505KBA Muni","MUNI_FED_TAX")</f>
        <v>#N/A Requesting Data...</v>
      </c>
      <c r="R1195" t="str">
        <f>_xll.BDP("45505KBA Muni","MUNI_MSRB_VOLUME")</f>
        <v>#N/A Requesting Data...</v>
      </c>
      <c r="S1195" t="str">
        <f>_xll.BDP("45505KBA Muni","BB_COMPOSITE")</f>
        <v>#N/A Requesting Data...</v>
      </c>
      <c r="T1195" t="str">
        <f>_xll.BDP("45505KBA Muni","LQA_LIQUIDITY_SCORE")</f>
        <v>#N/A Requesting Data...</v>
      </c>
    </row>
    <row r="1196" spans="1:20" x14ac:dyDescent="0.25">
      <c r="A1196" t="str">
        <f>_xll.BDP("45505KBB Muni","ID_CUSIP")</f>
        <v>#N/A Requesting Data...</v>
      </c>
      <c r="B1196" t="s">
        <v>42</v>
      </c>
      <c r="C1196" t="str">
        <f>_xll.BDP("45505KBB Muni","INSURANCE_STATUS")</f>
        <v>#N/A Requesting Data...</v>
      </c>
      <c r="D1196" t="str">
        <f>_xll.BDP("45505KBB Muni","STATE_CODE")</f>
        <v>#N/A Requesting Data...</v>
      </c>
      <c r="E1196" t="str">
        <f>_xll.BDP("45505KBB Muni","COUNTY_LOCATION_ISSUER")</f>
        <v>#N/A Requesting Data...</v>
      </c>
      <c r="F1196" t="str">
        <f>_xll.BDP("45505KBB Muni","DUR_ADJ_MID")</f>
        <v>#N/A Requesting Data...</v>
      </c>
      <c r="G1196" t="str">
        <f>_xll.BDP("45505KBB Muni","SPREAD_AT_ISSUANCE_TO_WORST")</f>
        <v>#N/A Requesting Data...</v>
      </c>
      <c r="H1196" t="str">
        <f>_xll.BDP("45505KBB Muni","ISSUE_DT")</f>
        <v>#N/A Requesting Data...</v>
      </c>
      <c r="I1196" t="str">
        <f>_xll.BDS("45505KBB Muni","MUNI_PURPOSE_SCHED", "aggregate=y")</f>
        <v>#N/A Review</v>
      </c>
      <c r="J1196" t="str">
        <f>_xll.BDP("45505KBB Muni","CPN")</f>
        <v>#N/A Requesting Data...</v>
      </c>
      <c r="K1196" t="str">
        <f>_xll.BDP("45505KBB Muni","MATURITY")</f>
        <v>#N/A Requesting Data...</v>
      </c>
      <c r="L1196">
        <v>1390000</v>
      </c>
      <c r="M1196" t="str">
        <f>_xll.BDP("45505KBB Muni","YIELD_ON_ISSUE_DATE")</f>
        <v>#N/A Requesting Data...</v>
      </c>
      <c r="N1196" t="str">
        <f>_xll.BDP("45505KBB Muni","YTW_SPREAD_TO_MATURITY_AT_ISSU")</f>
        <v>#N/A Requesting Data...</v>
      </c>
      <c r="O1196" t="str">
        <f>_xll.BDP("45505KBB Muni","BVAL_MID_YTM")</f>
        <v>#N/A Requesting Data...</v>
      </c>
      <c r="P1196" t="str">
        <f>_xll.BDP("45505KBB Muni","MUNI_TAX_PROV")</f>
        <v>#N/A Requesting Data...</v>
      </c>
      <c r="Q1196" t="str">
        <f>_xll.BDP("45505KBB Muni","MUNI_FED_TAX")</f>
        <v>#N/A Requesting Data...</v>
      </c>
      <c r="R1196" t="str">
        <f>_xll.BDP("45505KBB Muni","MUNI_MSRB_VOLUME")</f>
        <v>#N/A Requesting Data...</v>
      </c>
      <c r="S1196" t="str">
        <f>_xll.BDP("45505KBB Muni","BB_COMPOSITE")</f>
        <v>#N/A Requesting Data...</v>
      </c>
      <c r="T1196" t="str">
        <f>_xll.BDP("45505KBB Muni","LQA_LIQUIDITY_SCORE")</f>
        <v>#N/A Requesting Data...</v>
      </c>
    </row>
    <row r="1197" spans="1:20" x14ac:dyDescent="0.25">
      <c r="A1197" t="str">
        <f>_xll.BDP("45505KBC Muni","ID_CUSIP")</f>
        <v>#N/A Requesting Data...</v>
      </c>
      <c r="B1197" t="s">
        <v>42</v>
      </c>
      <c r="C1197" t="str">
        <f>_xll.BDP("45505KBC Muni","INSURANCE_STATUS")</f>
        <v>#N/A Requesting Data...</v>
      </c>
      <c r="D1197" t="str">
        <f>_xll.BDP("45505KBC Muni","STATE_CODE")</f>
        <v>#N/A Requesting Data...</v>
      </c>
      <c r="E1197" t="str">
        <f>_xll.BDP("45505KBC Muni","COUNTY_LOCATION_ISSUER")</f>
        <v>#N/A Requesting Data...</v>
      </c>
      <c r="F1197" t="str">
        <f>_xll.BDP("45505KBC Muni","DUR_ADJ_MID")</f>
        <v>#N/A Requesting Data...</v>
      </c>
      <c r="G1197" t="str">
        <f>_xll.BDP("45505KBC Muni","SPREAD_AT_ISSUANCE_TO_WORST")</f>
        <v>#N/A Requesting Data...</v>
      </c>
      <c r="H1197" t="str">
        <f>_xll.BDP("45505KBC Muni","ISSUE_DT")</f>
        <v>#N/A Requesting Data...</v>
      </c>
      <c r="I1197" t="str">
        <f>_xll.BDS("45505KBC Muni","MUNI_PURPOSE_SCHED", "aggregate=y")</f>
        <v>#N/A Review</v>
      </c>
      <c r="J1197" t="str">
        <f>_xll.BDP("45505KBC Muni","CPN")</f>
        <v>#N/A Requesting Data...</v>
      </c>
      <c r="K1197" t="str">
        <f>_xll.BDP("45505KBC Muni","MATURITY")</f>
        <v>#N/A Requesting Data...</v>
      </c>
      <c r="L1197">
        <v>1460000</v>
      </c>
      <c r="M1197" t="str">
        <f>_xll.BDP("45505KBC Muni","YIELD_ON_ISSUE_DATE")</f>
        <v>#N/A Requesting Data...</v>
      </c>
      <c r="N1197" t="str">
        <f>_xll.BDP("45505KBC Muni","YTW_SPREAD_TO_MATURITY_AT_ISSU")</f>
        <v>#N/A Requesting Data...</v>
      </c>
      <c r="O1197" t="str">
        <f>_xll.BDP("45505KBC Muni","BVAL_MID_YTM")</f>
        <v>#N/A Requesting Data...</v>
      </c>
      <c r="P1197" t="str">
        <f>_xll.BDP("45505KBC Muni","MUNI_TAX_PROV")</f>
        <v>#N/A Requesting Data...</v>
      </c>
      <c r="Q1197" t="str">
        <f>_xll.BDP("45505KBC Muni","MUNI_FED_TAX")</f>
        <v>#N/A Requesting Data...</v>
      </c>
      <c r="R1197" t="str">
        <f>_xll.BDP("45505KBC Muni","MUNI_MSRB_VOLUME")</f>
        <v>#N/A Requesting Data...</v>
      </c>
      <c r="S1197" t="str">
        <f>_xll.BDP("45505KBC Muni","BB_COMPOSITE")</f>
        <v>#N/A Requesting Data...</v>
      </c>
      <c r="T1197" t="str">
        <f>_xll.BDP("45505KBC Muni","LQA_LIQUIDITY_SCORE")</f>
        <v>#N/A Requesting Data...</v>
      </c>
    </row>
    <row r="1198" spans="1:20" x14ac:dyDescent="0.25">
      <c r="A1198" t="str">
        <f>_xll.BDP("45505KBD Muni","ID_CUSIP")</f>
        <v>#N/A Requesting Data...</v>
      </c>
      <c r="B1198" t="s">
        <v>42</v>
      </c>
      <c r="C1198" t="str">
        <f>_xll.BDP("45505KBD Muni","INSURANCE_STATUS")</f>
        <v>#N/A Requesting Data...</v>
      </c>
      <c r="D1198" t="str">
        <f>_xll.BDP("45505KBD Muni","STATE_CODE")</f>
        <v>#N/A Requesting Data...</v>
      </c>
      <c r="E1198" t="str">
        <f>_xll.BDP("45505KBD Muni","COUNTY_LOCATION_ISSUER")</f>
        <v>#N/A Requesting Data...</v>
      </c>
      <c r="F1198" t="str">
        <f>_xll.BDP("45505KBD Muni","DUR_ADJ_MID")</f>
        <v>#N/A Requesting Data...</v>
      </c>
      <c r="G1198" t="str">
        <f>_xll.BDP("45505KBD Muni","SPREAD_AT_ISSUANCE_TO_WORST")</f>
        <v>#N/A Requesting Data...</v>
      </c>
      <c r="H1198" t="str">
        <f>_xll.BDP("45505KBD Muni","ISSUE_DT")</f>
        <v>#N/A Requesting Data...</v>
      </c>
      <c r="I1198" t="str">
        <f>_xll.BDS("45505KBD Muni","MUNI_PURPOSE_SCHED", "aggregate=y")</f>
        <v>#N/A Review</v>
      </c>
      <c r="J1198" t="str">
        <f>_xll.BDP("45505KBD Muni","CPN")</f>
        <v>#N/A Requesting Data...</v>
      </c>
      <c r="K1198" t="str">
        <f>_xll.BDP("45505KBD Muni","MATURITY")</f>
        <v>#N/A Requesting Data...</v>
      </c>
      <c r="L1198">
        <v>1530000</v>
      </c>
      <c r="M1198" t="str">
        <f>_xll.BDP("45505KBD Muni","YIELD_ON_ISSUE_DATE")</f>
        <v>#N/A Requesting Data...</v>
      </c>
      <c r="N1198" t="str">
        <f>_xll.BDP("45505KBD Muni","YTW_SPREAD_TO_MATURITY_AT_ISSU")</f>
        <v>#N/A Requesting Data...</v>
      </c>
      <c r="O1198" t="str">
        <f>_xll.BDP("45505KBD Muni","BVAL_MID_YTM")</f>
        <v>#N/A Requesting Data...</v>
      </c>
      <c r="P1198" t="str">
        <f>_xll.BDP("45505KBD Muni","MUNI_TAX_PROV")</f>
        <v>#N/A Requesting Data...</v>
      </c>
      <c r="Q1198" t="str">
        <f>_xll.BDP("45505KBD Muni","MUNI_FED_TAX")</f>
        <v>#N/A Requesting Data...</v>
      </c>
      <c r="R1198" t="str">
        <f>_xll.BDP("45505KBD Muni","MUNI_MSRB_VOLUME")</f>
        <v>#N/A Requesting Data...</v>
      </c>
      <c r="S1198" t="str">
        <f>_xll.BDP("45505KBD Muni","BB_COMPOSITE")</f>
        <v>#N/A Requesting Data...</v>
      </c>
      <c r="T1198" t="str">
        <f>_xll.BDP("45505KBD Muni","LQA_LIQUIDITY_SCORE")</f>
        <v>#N/A Requesting Data...</v>
      </c>
    </row>
    <row r="1199" spans="1:20" x14ac:dyDescent="0.25">
      <c r="A1199" t="str">
        <f>_xll.BDP("45505KBE Muni","ID_CUSIP")</f>
        <v>#N/A Requesting Data...</v>
      </c>
      <c r="B1199" t="s">
        <v>42</v>
      </c>
      <c r="C1199" t="str">
        <f>_xll.BDP("45505KBE Muni","INSURANCE_STATUS")</f>
        <v>#N/A Requesting Data...</v>
      </c>
      <c r="D1199" t="str">
        <f>_xll.BDP("45505KBE Muni","STATE_CODE")</f>
        <v>#N/A Requesting Data...</v>
      </c>
      <c r="E1199" t="str">
        <f>_xll.BDP("45505KBE Muni","COUNTY_LOCATION_ISSUER")</f>
        <v>#N/A Requesting Data...</v>
      </c>
      <c r="F1199" t="str">
        <f>_xll.BDP("45505KBE Muni","DUR_ADJ_MID")</f>
        <v>#N/A Requesting Data...</v>
      </c>
      <c r="G1199" t="str">
        <f>_xll.BDP("45505KBE Muni","SPREAD_AT_ISSUANCE_TO_WORST")</f>
        <v>#N/A Requesting Data...</v>
      </c>
      <c r="H1199" t="str">
        <f>_xll.BDP("45505KBE Muni","ISSUE_DT")</f>
        <v>#N/A Requesting Data...</v>
      </c>
      <c r="I1199" t="str">
        <f>_xll.BDS("45505KBE Muni","MUNI_PURPOSE_SCHED", "aggregate=y")</f>
        <v>#N/A Review</v>
      </c>
      <c r="J1199" t="str">
        <f>_xll.BDP("45505KBE Muni","CPN")</f>
        <v>#N/A Requesting Data...</v>
      </c>
      <c r="K1199" t="str">
        <f>_xll.BDP("45505KBE Muni","MATURITY")</f>
        <v>#N/A Requesting Data...</v>
      </c>
      <c r="L1199">
        <v>1605000</v>
      </c>
      <c r="M1199" t="str">
        <f>_xll.BDP("45505KBE Muni","YIELD_ON_ISSUE_DATE")</f>
        <v>#N/A Requesting Data...</v>
      </c>
      <c r="N1199" t="str">
        <f>_xll.BDP("45505KBE Muni","YTW_SPREAD_TO_MATURITY_AT_ISSU")</f>
        <v>#N/A Requesting Data...</v>
      </c>
      <c r="O1199" t="str">
        <f>_xll.BDP("45505KBE Muni","BVAL_MID_YTM")</f>
        <v>#N/A Requesting Data...</v>
      </c>
      <c r="P1199" t="str">
        <f>_xll.BDP("45505KBE Muni","MUNI_TAX_PROV")</f>
        <v>#N/A Requesting Data...</v>
      </c>
      <c r="Q1199" t="str">
        <f>_xll.BDP("45505KBE Muni","MUNI_FED_TAX")</f>
        <v>#N/A Requesting Data...</v>
      </c>
      <c r="R1199" t="str">
        <f>_xll.BDP("45505KBE Muni","MUNI_MSRB_VOLUME")</f>
        <v>#N/A Requesting Data...</v>
      </c>
      <c r="S1199" t="str">
        <f>_xll.BDP("45505KBE Muni","BB_COMPOSITE")</f>
        <v>#N/A Requesting Data...</v>
      </c>
      <c r="T1199" t="str">
        <f>_xll.BDP("45505KBE Muni","LQA_LIQUIDITY_SCORE")</f>
        <v>#N/A Requesting Data...</v>
      </c>
    </row>
    <row r="1200" spans="1:20" x14ac:dyDescent="0.25">
      <c r="A1200" t="str">
        <f>_xll.BDP("45506DVR Muni","ID_CUSIP")</f>
        <v>#N/A Requesting Data...</v>
      </c>
      <c r="B1200" t="s">
        <v>42</v>
      </c>
      <c r="C1200" t="str">
        <f>_xll.BDP("45506DVR Muni","INSURANCE_STATUS")</f>
        <v>#N/A Requesting Data...</v>
      </c>
      <c r="D1200" t="str">
        <f>_xll.BDP("45506DVR Muni","STATE_CODE")</f>
        <v>#N/A Requesting Data...</v>
      </c>
      <c r="E1200" t="str">
        <f>_xll.BDP("45506DVR Muni","COUNTY_LOCATION_ISSUER")</f>
        <v>#N/A Requesting Data...</v>
      </c>
      <c r="F1200" t="str">
        <f>_xll.BDP("45506DVR Muni","DUR_ADJ_MID")</f>
        <v>#N/A Requesting Data...</v>
      </c>
      <c r="G1200" t="str">
        <f>_xll.BDP("45506DVR Muni","SPREAD_AT_ISSUANCE_TO_WORST")</f>
        <v>#N/A Requesting Data...</v>
      </c>
      <c r="H1200" t="str">
        <f>_xll.BDP("45506DVR Muni","ISSUE_DT")</f>
        <v>#N/A Requesting Data...</v>
      </c>
      <c r="I1200" t="str">
        <f>_xll.BDS("45506DVR Muni","MUNI_PURPOSE_SCHED", "aggregate=y")</f>
        <v>#N/A Review</v>
      </c>
      <c r="J1200" t="str">
        <f>_xll.BDP("45506DVR Muni","CPN")</f>
        <v>#N/A Requesting Data...</v>
      </c>
      <c r="K1200" t="str">
        <f>_xll.BDP("45506DVR Muni","MATURITY")</f>
        <v>#N/A Requesting Data...</v>
      </c>
      <c r="L1200">
        <v>2155000</v>
      </c>
      <c r="M1200" t="str">
        <f>_xll.BDP("45506DVR Muni","YIELD_ON_ISSUE_DATE")</f>
        <v>#N/A Requesting Data...</v>
      </c>
      <c r="N1200" t="str">
        <f>_xll.BDP("45506DVR Muni","YTW_SPREAD_TO_MATURITY_AT_ISSU")</f>
        <v>#N/A Requesting Data...</v>
      </c>
      <c r="O1200" t="str">
        <f>_xll.BDP("45506DVR Muni","BVAL_MID_YTM")</f>
        <v>#N/A Requesting Data...</v>
      </c>
      <c r="P1200" t="str">
        <f>_xll.BDP("45506DVR Muni","MUNI_TAX_PROV")</f>
        <v>#N/A Requesting Data...</v>
      </c>
      <c r="Q1200" t="str">
        <f>_xll.BDP("45506DVR Muni","MUNI_FED_TAX")</f>
        <v>#N/A Requesting Data...</v>
      </c>
      <c r="R1200" t="str">
        <f>_xll.BDP("45506DVR Muni","MUNI_MSRB_VOLUME")</f>
        <v>#N/A Requesting Data...</v>
      </c>
      <c r="S1200" t="str">
        <f>_xll.BDP("45506DVR Muni","BB_COMPOSITE")</f>
        <v>#N/A Requesting Data...</v>
      </c>
      <c r="T1200" t="str">
        <f>_xll.BDP("45506DVR Muni","LQA_LIQUIDITY_SCORE")</f>
        <v>#N/A Requesting Data...</v>
      </c>
    </row>
    <row r="1201" spans="1:20" x14ac:dyDescent="0.25">
      <c r="A1201" t="str">
        <f>_xll.BDP("45506DVS Muni","ID_CUSIP")</f>
        <v>#N/A Requesting Data...</v>
      </c>
      <c r="B1201" t="s">
        <v>42</v>
      </c>
      <c r="C1201" t="str">
        <f>_xll.BDP("45506DVS Muni","INSURANCE_STATUS")</f>
        <v>#N/A Requesting Data...</v>
      </c>
      <c r="D1201" t="str">
        <f>_xll.BDP("45506DVS Muni","STATE_CODE")</f>
        <v>#N/A Requesting Data...</v>
      </c>
      <c r="E1201" t="str">
        <f>_xll.BDP("45506DVS Muni","COUNTY_LOCATION_ISSUER")</f>
        <v>#N/A Requesting Data...</v>
      </c>
      <c r="F1201" t="str">
        <f>_xll.BDP("45506DVS Muni","DUR_ADJ_MID")</f>
        <v>#N/A Requesting Data...</v>
      </c>
      <c r="G1201" t="str">
        <f>_xll.BDP("45506DVS Muni","SPREAD_AT_ISSUANCE_TO_WORST")</f>
        <v>#N/A Requesting Data...</v>
      </c>
      <c r="H1201" t="str">
        <f>_xll.BDP("45506DVS Muni","ISSUE_DT")</f>
        <v>#N/A Requesting Data...</v>
      </c>
      <c r="I1201" t="str">
        <f>_xll.BDS("45506DVS Muni","MUNI_PURPOSE_SCHED", "aggregate=y")</f>
        <v>#N/A Review</v>
      </c>
      <c r="J1201" t="str">
        <f>_xll.BDP("45506DVS Muni","CPN")</f>
        <v>#N/A Requesting Data...</v>
      </c>
      <c r="K1201" t="str">
        <f>_xll.BDP("45506DVS Muni","MATURITY")</f>
        <v>#N/A Requesting Data...</v>
      </c>
      <c r="L1201">
        <v>3515000</v>
      </c>
      <c r="M1201" t="str">
        <f>_xll.BDP("45506DVS Muni","YIELD_ON_ISSUE_DATE")</f>
        <v>#N/A Requesting Data...</v>
      </c>
      <c r="N1201" t="str">
        <f>_xll.BDP("45506DVS Muni","YTW_SPREAD_TO_MATURITY_AT_ISSU")</f>
        <v>#N/A Requesting Data...</v>
      </c>
      <c r="O1201" t="str">
        <f>_xll.BDP("45506DVS Muni","BVAL_MID_YTM")</f>
        <v>#N/A Requesting Data...</v>
      </c>
      <c r="P1201" t="str">
        <f>_xll.BDP("45506DVS Muni","MUNI_TAX_PROV")</f>
        <v>#N/A Requesting Data...</v>
      </c>
      <c r="Q1201" t="str">
        <f>_xll.BDP("45506DVS Muni","MUNI_FED_TAX")</f>
        <v>#N/A Requesting Data...</v>
      </c>
      <c r="R1201" t="str">
        <f>_xll.BDP("45506DVS Muni","MUNI_MSRB_VOLUME")</f>
        <v>#N/A Requesting Data...</v>
      </c>
      <c r="S1201" t="str">
        <f>_xll.BDP("45506DVS Muni","BB_COMPOSITE")</f>
        <v>#N/A Requesting Data...</v>
      </c>
      <c r="T1201" t="str">
        <f>_xll.BDP("45506DVS Muni","LQA_LIQUIDITY_SCORE")</f>
        <v>#N/A Requesting Data...</v>
      </c>
    </row>
    <row r="1202" spans="1:20" x14ac:dyDescent="0.25">
      <c r="A1202" t="str">
        <f>_xll.BDP("45506DVU Muni","ID_CUSIP")</f>
        <v>#N/A Requesting Data...</v>
      </c>
      <c r="B1202" t="s">
        <v>42</v>
      </c>
      <c r="C1202" t="str">
        <f>_xll.BDP("45506DVU Muni","INSURANCE_STATUS")</f>
        <v>#N/A Requesting Data...</v>
      </c>
      <c r="D1202" t="str">
        <f>_xll.BDP("45506DVU Muni","STATE_CODE")</f>
        <v>#N/A Requesting Data...</v>
      </c>
      <c r="E1202" t="str">
        <f>_xll.BDP("45506DVU Muni","COUNTY_LOCATION_ISSUER")</f>
        <v>#N/A Requesting Data...</v>
      </c>
      <c r="F1202" t="str">
        <f>_xll.BDP("45506DVU Muni","DUR_ADJ_MID")</f>
        <v>#N/A Requesting Data...</v>
      </c>
      <c r="G1202" t="str">
        <f>_xll.BDP("45506DVU Muni","SPREAD_AT_ISSUANCE_TO_WORST")</f>
        <v>#N/A Requesting Data...</v>
      </c>
      <c r="H1202" t="str">
        <f>_xll.BDP("45506DVU Muni","ISSUE_DT")</f>
        <v>#N/A Requesting Data...</v>
      </c>
      <c r="I1202" t="str">
        <f>_xll.BDS("45506DVU Muni","MUNI_PURPOSE_SCHED", "aggregate=y")</f>
        <v>#N/A Review</v>
      </c>
      <c r="J1202" t="str">
        <f>_xll.BDP("45506DVU Muni","CPN")</f>
        <v>#N/A Requesting Data...</v>
      </c>
      <c r="K1202" t="str">
        <f>_xll.BDP("45506DVU Muni","MATURITY")</f>
        <v>#N/A Requesting Data...</v>
      </c>
      <c r="L1202">
        <v>3850000</v>
      </c>
      <c r="M1202" t="str">
        <f>_xll.BDP("45506DVU Muni","YIELD_ON_ISSUE_DATE")</f>
        <v>#N/A Requesting Data...</v>
      </c>
      <c r="N1202" t="str">
        <f>_xll.BDP("45506DVU Muni","YTW_SPREAD_TO_MATURITY_AT_ISSU")</f>
        <v>#N/A Requesting Data...</v>
      </c>
      <c r="O1202" t="str">
        <f>_xll.BDP("45506DVU Muni","BVAL_MID_YTM")</f>
        <v>#N/A Requesting Data...</v>
      </c>
      <c r="P1202" t="str">
        <f>_xll.BDP("45506DVU Muni","MUNI_TAX_PROV")</f>
        <v>#N/A Requesting Data...</v>
      </c>
      <c r="Q1202" t="str">
        <f>_xll.BDP("45506DVU Muni","MUNI_FED_TAX")</f>
        <v>#N/A Requesting Data...</v>
      </c>
      <c r="R1202" t="str">
        <f>_xll.BDP("45506DVU Muni","MUNI_MSRB_VOLUME")</f>
        <v>#N/A Requesting Data...</v>
      </c>
      <c r="S1202" t="str">
        <f>_xll.BDP("45506DVU Muni","BB_COMPOSITE")</f>
        <v>#N/A Requesting Data...</v>
      </c>
      <c r="T1202" t="str">
        <f>_xll.BDP("45506DVU Muni","LQA_LIQUIDITY_SCORE")</f>
        <v>#N/A Requesting Data...</v>
      </c>
    </row>
    <row r="1203" spans="1:20" x14ac:dyDescent="0.25">
      <c r="A1203" t="str">
        <f>_xll.BDP("45506DYC Muni","ID_CUSIP")</f>
        <v>#N/A Requesting Data...</v>
      </c>
      <c r="B1203" t="s">
        <v>42</v>
      </c>
      <c r="C1203" t="str">
        <f>_xll.BDP("45506DYC Muni","INSURANCE_STATUS")</f>
        <v>#N/A Requesting Data...</v>
      </c>
      <c r="D1203" t="str">
        <f>_xll.BDP("45506DYC Muni","STATE_CODE")</f>
        <v>#N/A Requesting Data...</v>
      </c>
      <c r="E1203" t="str">
        <f>_xll.BDP("45506DYC Muni","COUNTY_LOCATION_ISSUER")</f>
        <v>#N/A Requesting Data...</v>
      </c>
      <c r="F1203" t="str">
        <f>_xll.BDP("45506DYC Muni","DUR_ADJ_MID")</f>
        <v>#N/A Requesting Data...</v>
      </c>
      <c r="G1203" t="str">
        <f>_xll.BDP("45506DYC Muni","SPREAD_AT_ISSUANCE_TO_WORST")</f>
        <v>#N/A Requesting Data...</v>
      </c>
      <c r="H1203" t="str">
        <f>_xll.BDP("45506DYC Muni","ISSUE_DT")</f>
        <v>#N/A Requesting Data...</v>
      </c>
      <c r="I1203" t="str">
        <f>_xll.BDS("45506DYC Muni","MUNI_PURPOSE_SCHED", "aggregate=y")</f>
        <v>#N/A Review</v>
      </c>
      <c r="J1203" t="str">
        <f>_xll.BDP("45506DYC Muni","CPN")</f>
        <v>#N/A Requesting Data...</v>
      </c>
      <c r="K1203" t="str">
        <f>_xll.BDP("45506DYC Muni","MATURITY")</f>
        <v>#N/A Requesting Data...</v>
      </c>
      <c r="L1203">
        <v>75000</v>
      </c>
      <c r="M1203" t="str">
        <f>_xll.BDP("45506DYC Muni","YIELD_ON_ISSUE_DATE")</f>
        <v>#N/A Requesting Data...</v>
      </c>
      <c r="N1203" t="str">
        <f>_xll.BDP("45506DYC Muni","YTW_SPREAD_TO_MATURITY_AT_ISSU")</f>
        <v>#N/A Requesting Data...</v>
      </c>
      <c r="O1203" t="str">
        <f>_xll.BDP("45506DYC Muni","BVAL_MID_YTM")</f>
        <v>#N/A Requesting Data...</v>
      </c>
      <c r="P1203" t="str">
        <f>_xll.BDP("45506DYC Muni","MUNI_TAX_PROV")</f>
        <v>#N/A Requesting Data...</v>
      </c>
      <c r="Q1203" t="str">
        <f>_xll.BDP("45506DYC Muni","MUNI_FED_TAX")</f>
        <v>#N/A Requesting Data...</v>
      </c>
      <c r="R1203" t="str">
        <f>_xll.BDP("45506DYC Muni","MUNI_MSRB_VOLUME")</f>
        <v>#N/A Requesting Data...</v>
      </c>
      <c r="S1203" t="str">
        <f>_xll.BDP("45506DYC Muni","BB_COMPOSITE")</f>
        <v>#N/A Requesting Data...</v>
      </c>
      <c r="T1203" t="str">
        <f>_xll.BDP("45506DYC Muni","LQA_LIQUIDITY_SCORE")</f>
        <v>#N/A Requesting Data...</v>
      </c>
    </row>
    <row r="1204" spans="1:20" x14ac:dyDescent="0.25">
      <c r="A1204" t="str">
        <f>_xll.BDP("45506DYD Muni","ID_CUSIP")</f>
        <v>#N/A Requesting Data...</v>
      </c>
      <c r="B1204" t="s">
        <v>42</v>
      </c>
      <c r="C1204" t="str">
        <f>_xll.BDP("45506DYD Muni","INSURANCE_STATUS")</f>
        <v>#N/A Requesting Data...</v>
      </c>
      <c r="D1204" t="str">
        <f>_xll.BDP("45506DYD Muni","STATE_CODE")</f>
        <v>#N/A Requesting Data...</v>
      </c>
      <c r="E1204" t="str">
        <f>_xll.BDP("45506DYD Muni","COUNTY_LOCATION_ISSUER")</f>
        <v>#N/A Requesting Data...</v>
      </c>
      <c r="F1204" t="str">
        <f>_xll.BDP("45506DYD Muni","DUR_ADJ_MID")</f>
        <v>#N/A Requesting Data...</v>
      </c>
      <c r="G1204" t="str">
        <f>_xll.BDP("45506DYD Muni","SPREAD_AT_ISSUANCE_TO_WORST")</f>
        <v>#N/A Requesting Data...</v>
      </c>
      <c r="H1204" t="str">
        <f>_xll.BDP("45506DYD Muni","ISSUE_DT")</f>
        <v>#N/A Requesting Data...</v>
      </c>
      <c r="I1204" t="str">
        <f>_xll.BDS("45506DYD Muni","MUNI_PURPOSE_SCHED", "aggregate=y")</f>
        <v>#N/A Review</v>
      </c>
      <c r="J1204" t="str">
        <f>_xll.BDP("45506DYD Muni","CPN")</f>
        <v>#N/A Requesting Data...</v>
      </c>
      <c r="K1204" t="str">
        <f>_xll.BDP("45506DYD Muni","MATURITY")</f>
        <v>#N/A Requesting Data...</v>
      </c>
      <c r="L1204">
        <v>3620000</v>
      </c>
      <c r="M1204" t="str">
        <f>_xll.BDP("45506DYD Muni","YIELD_ON_ISSUE_DATE")</f>
        <v>#N/A Requesting Data...</v>
      </c>
      <c r="N1204" t="str">
        <f>_xll.BDP("45506DYD Muni","YTW_SPREAD_TO_MATURITY_AT_ISSU")</f>
        <v>#N/A Requesting Data...</v>
      </c>
      <c r="O1204" t="str">
        <f>_xll.BDP("45506DYD Muni","BVAL_MID_YTM")</f>
        <v>#N/A Requesting Data...</v>
      </c>
      <c r="P1204" t="str">
        <f>_xll.BDP("45506DYD Muni","MUNI_TAX_PROV")</f>
        <v>#N/A Requesting Data...</v>
      </c>
      <c r="Q1204" t="str">
        <f>_xll.BDP("45506DYD Muni","MUNI_FED_TAX")</f>
        <v>#N/A Requesting Data...</v>
      </c>
      <c r="R1204" t="str">
        <f>_xll.BDP("45506DYD Muni","MUNI_MSRB_VOLUME")</f>
        <v>#N/A Requesting Data...</v>
      </c>
      <c r="S1204" t="str">
        <f>_xll.BDP("45506DYD Muni","BB_COMPOSITE")</f>
        <v>#N/A Requesting Data...</v>
      </c>
      <c r="T1204" t="str">
        <f>_xll.BDP("45506DYD Muni","LQA_LIQUIDITY_SCORE")</f>
        <v>#N/A Requesting Data...</v>
      </c>
    </row>
    <row r="1205" spans="1:20" x14ac:dyDescent="0.25">
      <c r="A1205" t="str">
        <f>_xll.BDP("45506DYE Muni","ID_CUSIP")</f>
        <v>#N/A Requesting Data...</v>
      </c>
      <c r="B1205" t="s">
        <v>42</v>
      </c>
      <c r="C1205" t="str">
        <f>_xll.BDP("45506DYE Muni","INSURANCE_STATUS")</f>
        <v>#N/A Requesting Data...</v>
      </c>
      <c r="D1205" t="str">
        <f>_xll.BDP("45506DYE Muni","STATE_CODE")</f>
        <v>#N/A Requesting Data...</v>
      </c>
      <c r="E1205" t="str">
        <f>_xll.BDP("45506DYE Muni","COUNTY_LOCATION_ISSUER")</f>
        <v>#N/A Requesting Data...</v>
      </c>
      <c r="F1205" t="str">
        <f>_xll.BDP("45506DYE Muni","DUR_ADJ_MID")</f>
        <v>#N/A Requesting Data...</v>
      </c>
      <c r="G1205" t="str">
        <f>_xll.BDP("45506DYE Muni","SPREAD_AT_ISSUANCE_TO_WORST")</f>
        <v>#N/A Requesting Data...</v>
      </c>
      <c r="H1205" t="str">
        <f>_xll.BDP("45506DYE Muni","ISSUE_DT")</f>
        <v>#N/A Requesting Data...</v>
      </c>
      <c r="I1205" t="str">
        <f>_xll.BDS("45506DYE Muni","MUNI_PURPOSE_SCHED", "aggregate=y")</f>
        <v>#N/A Review</v>
      </c>
      <c r="J1205" t="str">
        <f>_xll.BDP("45506DYE Muni","CPN")</f>
        <v>#N/A Requesting Data...</v>
      </c>
      <c r="K1205" t="str">
        <f>_xll.BDP("45506DYE Muni","MATURITY")</f>
        <v>#N/A Requesting Data...</v>
      </c>
      <c r="L1205">
        <v>700000</v>
      </c>
      <c r="M1205" t="str">
        <f>_xll.BDP("45506DYE Muni","YIELD_ON_ISSUE_DATE")</f>
        <v>#N/A Requesting Data...</v>
      </c>
      <c r="N1205" t="str">
        <f>_xll.BDP("45506DYE Muni","YTW_SPREAD_TO_MATURITY_AT_ISSU")</f>
        <v>#N/A Requesting Data...</v>
      </c>
      <c r="O1205" t="str">
        <f>_xll.BDP("45506DYE Muni","BVAL_MID_YTM")</f>
        <v>#N/A Requesting Data...</v>
      </c>
      <c r="P1205" t="str">
        <f>_xll.BDP("45506DYE Muni","MUNI_TAX_PROV")</f>
        <v>#N/A Requesting Data...</v>
      </c>
      <c r="Q1205" t="str">
        <f>_xll.BDP("45506DYE Muni","MUNI_FED_TAX")</f>
        <v>#N/A Requesting Data...</v>
      </c>
      <c r="R1205" t="str">
        <f>_xll.BDP("45506DYE Muni","MUNI_MSRB_VOLUME")</f>
        <v>#N/A Requesting Data...</v>
      </c>
      <c r="S1205" t="str">
        <f>_xll.BDP("45506DYE Muni","BB_COMPOSITE")</f>
        <v>#N/A Requesting Data...</v>
      </c>
      <c r="T1205" t="str">
        <f>_xll.BDP("45506DYE Muni","LQA_LIQUIDITY_SCORE")</f>
        <v>#N/A Requesting Data...</v>
      </c>
    </row>
    <row r="1206" spans="1:20" x14ac:dyDescent="0.25">
      <c r="A1206" t="str">
        <f>_xll.BDP("45506DYG Muni","ID_CUSIP")</f>
        <v>#N/A Requesting Data...</v>
      </c>
      <c r="B1206" t="s">
        <v>42</v>
      </c>
      <c r="C1206" t="str">
        <f>_xll.BDP("45506DYG Muni","INSURANCE_STATUS")</f>
        <v>#N/A Requesting Data...</v>
      </c>
      <c r="D1206" t="str">
        <f>_xll.BDP("45506DYG Muni","STATE_CODE")</f>
        <v>#N/A Requesting Data...</v>
      </c>
      <c r="E1206" t="str">
        <f>_xll.BDP("45506DYG Muni","COUNTY_LOCATION_ISSUER")</f>
        <v>#N/A Requesting Data...</v>
      </c>
      <c r="F1206" t="str">
        <f>_xll.BDP("45506DYG Muni","DUR_ADJ_MID")</f>
        <v>#N/A Requesting Data...</v>
      </c>
      <c r="G1206" t="str">
        <f>_xll.BDP("45506DYG Muni","SPREAD_AT_ISSUANCE_TO_WORST")</f>
        <v>#N/A Requesting Data...</v>
      </c>
      <c r="H1206" t="str">
        <f>_xll.BDP("45506DYG Muni","ISSUE_DT")</f>
        <v>#N/A Requesting Data...</v>
      </c>
      <c r="I1206" t="str">
        <f>_xll.BDS("45506DYG Muni","MUNI_PURPOSE_SCHED", "aggregate=y")</f>
        <v>#N/A Review</v>
      </c>
      <c r="J1206" t="str">
        <f>_xll.BDP("45506DYG Muni","CPN")</f>
        <v>#N/A Requesting Data...</v>
      </c>
      <c r="K1206" t="str">
        <f>_xll.BDP("45506DYG Muni","MATURITY")</f>
        <v>#N/A Requesting Data...</v>
      </c>
      <c r="L1206">
        <v>50000</v>
      </c>
      <c r="M1206" t="str">
        <f>_xll.BDP("45506DYG Muni","YIELD_ON_ISSUE_DATE")</f>
        <v>#N/A Requesting Data...</v>
      </c>
      <c r="N1206" t="str">
        <f>_xll.BDP("45506DYG Muni","YTW_SPREAD_TO_MATURITY_AT_ISSU")</f>
        <v>#N/A Requesting Data...</v>
      </c>
      <c r="O1206" t="str">
        <f>_xll.BDP("45506DYG Muni","BVAL_MID_YTM")</f>
        <v>#N/A Requesting Data...</v>
      </c>
      <c r="P1206" t="str">
        <f>_xll.BDP("45506DYG Muni","MUNI_TAX_PROV")</f>
        <v>#N/A Requesting Data...</v>
      </c>
      <c r="Q1206" t="str">
        <f>_xll.BDP("45506DYG Muni","MUNI_FED_TAX")</f>
        <v>#N/A Requesting Data...</v>
      </c>
      <c r="R1206" t="str">
        <f>_xll.BDP("45506DYG Muni","MUNI_MSRB_VOLUME")</f>
        <v>#N/A Requesting Data...</v>
      </c>
      <c r="S1206" t="str">
        <f>_xll.BDP("45506DYG Muni","BB_COMPOSITE")</f>
        <v>#N/A Requesting Data...</v>
      </c>
      <c r="T1206" t="str">
        <f>_xll.BDP("45506DYG Muni","LQA_LIQUIDITY_SCORE")</f>
        <v>#N/A Requesting Data...</v>
      </c>
    </row>
    <row r="1207" spans="1:20" x14ac:dyDescent="0.25">
      <c r="A1207" t="str">
        <f>_xll.BDP("45506DYH Muni","ID_CUSIP")</f>
        <v>#N/A Requesting Data...</v>
      </c>
      <c r="B1207" t="s">
        <v>42</v>
      </c>
      <c r="C1207" t="str">
        <f>_xll.BDP("45506DYH Muni","INSURANCE_STATUS")</f>
        <v>#N/A Requesting Data...</v>
      </c>
      <c r="D1207" t="str">
        <f>_xll.BDP("45506DYH Muni","STATE_CODE")</f>
        <v>#N/A Requesting Data...</v>
      </c>
      <c r="E1207" t="str">
        <f>_xll.BDP("45506DYH Muni","COUNTY_LOCATION_ISSUER")</f>
        <v>#N/A Requesting Data...</v>
      </c>
      <c r="F1207" t="str">
        <f>_xll.BDP("45506DYH Muni","DUR_ADJ_MID")</f>
        <v>#N/A Requesting Data...</v>
      </c>
      <c r="G1207" t="str">
        <f>_xll.BDP("45506DYH Muni","SPREAD_AT_ISSUANCE_TO_WORST")</f>
        <v>#N/A Requesting Data...</v>
      </c>
      <c r="H1207" t="str">
        <f>_xll.BDP("45506DYH Muni","ISSUE_DT")</f>
        <v>#N/A Requesting Data...</v>
      </c>
      <c r="I1207" t="str">
        <f>_xll.BDS("45506DYH Muni","MUNI_PURPOSE_SCHED", "aggregate=y")</f>
        <v>#N/A Review</v>
      </c>
      <c r="J1207" t="str">
        <f>_xll.BDP("45506DYH Muni","CPN")</f>
        <v>#N/A Requesting Data...</v>
      </c>
      <c r="K1207" t="str">
        <f>_xll.BDP("45506DYH Muni","MATURITY")</f>
        <v>#N/A Requesting Data...</v>
      </c>
      <c r="L1207">
        <v>3990000</v>
      </c>
      <c r="M1207" t="str">
        <f>_xll.BDP("45506DYH Muni","YIELD_ON_ISSUE_DATE")</f>
        <v>#N/A Requesting Data...</v>
      </c>
      <c r="N1207" t="str">
        <f>_xll.BDP("45506DYH Muni","YTW_SPREAD_TO_MATURITY_AT_ISSU")</f>
        <v>#N/A Requesting Data...</v>
      </c>
      <c r="O1207" t="str">
        <f>_xll.BDP("45506DYH Muni","BVAL_MID_YTM")</f>
        <v>#N/A Requesting Data...</v>
      </c>
      <c r="P1207" t="str">
        <f>_xll.BDP("45506DYH Muni","MUNI_TAX_PROV")</f>
        <v>#N/A Requesting Data...</v>
      </c>
      <c r="Q1207" t="str">
        <f>_xll.BDP("45506DYH Muni","MUNI_FED_TAX")</f>
        <v>#N/A Requesting Data...</v>
      </c>
      <c r="R1207" t="str">
        <f>_xll.BDP("45506DYH Muni","MUNI_MSRB_VOLUME")</f>
        <v>#N/A Requesting Data...</v>
      </c>
      <c r="S1207" t="str">
        <f>_xll.BDP("45506DYH Muni","BB_COMPOSITE")</f>
        <v>#N/A Requesting Data...</v>
      </c>
      <c r="T1207" t="str">
        <f>_xll.BDP("45506DYH Muni","LQA_LIQUIDITY_SCORE")</f>
        <v>#N/A Requesting Data...</v>
      </c>
    </row>
    <row r="1208" spans="1:20" x14ac:dyDescent="0.25">
      <c r="A1208" t="str">
        <f>_xll.BDP("45506DZK Muni","ID_CUSIP")</f>
        <v>#N/A Requesting Data...</v>
      </c>
      <c r="B1208" t="s">
        <v>42</v>
      </c>
      <c r="C1208" t="str">
        <f>_xll.BDP("45506DZK Muni","INSURANCE_STATUS")</f>
        <v>#N/A Requesting Data...</v>
      </c>
      <c r="D1208" t="str">
        <f>_xll.BDP("45506DZK Muni","STATE_CODE")</f>
        <v>#N/A Requesting Data...</v>
      </c>
      <c r="E1208" t="str">
        <f>_xll.BDP("45506DZK Muni","COUNTY_LOCATION_ISSUER")</f>
        <v>#N/A Requesting Data...</v>
      </c>
      <c r="F1208" t="str">
        <f>_xll.BDP("45506DZK Muni","DUR_ADJ_MID")</f>
        <v>#N/A Requesting Data...</v>
      </c>
      <c r="G1208" t="str">
        <f>_xll.BDP("45506DZK Muni","SPREAD_AT_ISSUANCE_TO_WORST")</f>
        <v>#N/A Requesting Data...</v>
      </c>
      <c r="H1208" t="str">
        <f>_xll.BDP("45506DZK Muni","ISSUE_DT")</f>
        <v>#N/A Requesting Data...</v>
      </c>
      <c r="I1208" t="str">
        <f>_xll.BDS("45506DZK Muni","MUNI_PURPOSE_SCHED", "aggregate=y")</f>
        <v>#N/A Review</v>
      </c>
      <c r="J1208" t="str">
        <f>_xll.BDP("45506DZK Muni","CPN")</f>
        <v>#N/A Requesting Data...</v>
      </c>
      <c r="K1208" t="str">
        <f>_xll.BDP("45506DZK Muni","MATURITY")</f>
        <v>#N/A Requesting Data...</v>
      </c>
      <c r="L1208">
        <v>1680000</v>
      </c>
      <c r="M1208" t="str">
        <f>_xll.BDP("45506DZK Muni","YIELD_ON_ISSUE_DATE")</f>
        <v>#N/A Requesting Data...</v>
      </c>
      <c r="N1208" t="str">
        <f>_xll.BDP("45506DZK Muni","YTW_SPREAD_TO_MATURITY_AT_ISSU")</f>
        <v>#N/A Requesting Data...</v>
      </c>
      <c r="O1208" t="str">
        <f>_xll.BDP("45506DZK Muni","BVAL_MID_YTM")</f>
        <v>#N/A Requesting Data...</v>
      </c>
      <c r="P1208" t="str">
        <f>_xll.BDP("45506DZK Muni","MUNI_TAX_PROV")</f>
        <v>#N/A Requesting Data...</v>
      </c>
      <c r="Q1208" t="str">
        <f>_xll.BDP("45506DZK Muni","MUNI_FED_TAX")</f>
        <v>#N/A Requesting Data...</v>
      </c>
      <c r="R1208" t="str">
        <f>_xll.BDP("45506DZK Muni","MUNI_MSRB_VOLUME")</f>
        <v>#N/A Requesting Data...</v>
      </c>
      <c r="S1208" t="str">
        <f>_xll.BDP("45506DZK Muni","BB_COMPOSITE")</f>
        <v>#N/A Requesting Data...</v>
      </c>
      <c r="T1208" t="str">
        <f>_xll.BDP("45506DZK Muni","LQA_LIQUIDITY_SCORE")</f>
        <v>#N/A Requesting Data...</v>
      </c>
    </row>
    <row r="1209" spans="1:20" x14ac:dyDescent="0.25">
      <c r="A1209" t="str">
        <f>_xll.BDP("45506DZL Muni","ID_CUSIP")</f>
        <v>#N/A Requesting Data...</v>
      </c>
      <c r="B1209" t="s">
        <v>42</v>
      </c>
      <c r="C1209" t="str">
        <f>_xll.BDP("45506DZL Muni","INSURANCE_STATUS")</f>
        <v>#N/A Requesting Data...</v>
      </c>
      <c r="D1209" t="str">
        <f>_xll.BDP("45506DZL Muni","STATE_CODE")</f>
        <v>#N/A Requesting Data...</v>
      </c>
      <c r="E1209" t="str">
        <f>_xll.BDP("45506DZL Muni","COUNTY_LOCATION_ISSUER")</f>
        <v>#N/A Requesting Data...</v>
      </c>
      <c r="F1209" t="str">
        <f>_xll.BDP("45506DZL Muni","DUR_ADJ_MID")</f>
        <v>#N/A Requesting Data...</v>
      </c>
      <c r="G1209" t="str">
        <f>_xll.BDP("45506DZL Muni","SPREAD_AT_ISSUANCE_TO_WORST")</f>
        <v>#N/A Requesting Data...</v>
      </c>
      <c r="H1209" t="str">
        <f>_xll.BDP("45506DZL Muni","ISSUE_DT")</f>
        <v>#N/A Requesting Data...</v>
      </c>
      <c r="I1209" t="str">
        <f>_xll.BDS("45506DZL Muni","MUNI_PURPOSE_SCHED", "aggregate=y")</f>
        <v>#N/A Review</v>
      </c>
      <c r="J1209" t="str">
        <f>_xll.BDP("45506DZL Muni","CPN")</f>
        <v>#N/A Requesting Data...</v>
      </c>
      <c r="K1209" t="str">
        <f>_xll.BDP("45506DZL Muni","MATURITY")</f>
        <v>#N/A Requesting Data...</v>
      </c>
      <c r="L1209">
        <v>1740000</v>
      </c>
      <c r="M1209" t="str">
        <f>_xll.BDP("45506DZL Muni","YIELD_ON_ISSUE_DATE")</f>
        <v>#N/A Requesting Data...</v>
      </c>
      <c r="N1209" t="str">
        <f>_xll.BDP("45506DZL Muni","YTW_SPREAD_TO_MATURITY_AT_ISSU")</f>
        <v>#N/A Requesting Data...</v>
      </c>
      <c r="O1209" t="str">
        <f>_xll.BDP("45506DZL Muni","BVAL_MID_YTM")</f>
        <v>#N/A Requesting Data...</v>
      </c>
      <c r="P1209" t="str">
        <f>_xll.BDP("45506DZL Muni","MUNI_TAX_PROV")</f>
        <v>#N/A Requesting Data...</v>
      </c>
      <c r="Q1209" t="str">
        <f>_xll.BDP("45506DZL Muni","MUNI_FED_TAX")</f>
        <v>#N/A Requesting Data...</v>
      </c>
      <c r="R1209" t="str">
        <f>_xll.BDP("45506DZL Muni","MUNI_MSRB_VOLUME")</f>
        <v>#N/A Requesting Data...</v>
      </c>
      <c r="S1209" t="str">
        <f>_xll.BDP("45506DZL Muni","BB_COMPOSITE")</f>
        <v>#N/A Requesting Data...</v>
      </c>
      <c r="T1209" t="str">
        <f>_xll.BDP("45506DZL Muni","LQA_LIQUIDITY_SCORE")</f>
        <v>#N/A Requesting Data...</v>
      </c>
    </row>
    <row r="1210" spans="1:20" x14ac:dyDescent="0.25">
      <c r="A1210" t="str">
        <f>_xll.BDP("45506DZN Muni","ID_CUSIP")</f>
        <v>#N/A Requesting Data...</v>
      </c>
      <c r="B1210" t="s">
        <v>42</v>
      </c>
      <c r="C1210" t="str">
        <f>_xll.BDP("45506DZN Muni","INSURANCE_STATUS")</f>
        <v>#N/A Requesting Data...</v>
      </c>
      <c r="D1210" t="str">
        <f>_xll.BDP("45506DZN Muni","STATE_CODE")</f>
        <v>#N/A Requesting Data...</v>
      </c>
      <c r="E1210" t="str">
        <f>_xll.BDP("45506DZN Muni","COUNTY_LOCATION_ISSUER")</f>
        <v>#N/A Requesting Data...</v>
      </c>
      <c r="F1210" t="str">
        <f>_xll.BDP("45506DZN Muni","DUR_ADJ_MID")</f>
        <v>#N/A Requesting Data...</v>
      </c>
      <c r="G1210" t="str">
        <f>_xll.BDP("45506DZN Muni","SPREAD_AT_ISSUANCE_TO_WORST")</f>
        <v>#N/A Requesting Data...</v>
      </c>
      <c r="H1210" t="str">
        <f>_xll.BDP("45506DZN Muni","ISSUE_DT")</f>
        <v>#N/A Requesting Data...</v>
      </c>
      <c r="I1210" t="str">
        <f>_xll.BDS("45506DZN Muni","MUNI_PURPOSE_SCHED", "aggregate=y")</f>
        <v>#N/A Review</v>
      </c>
      <c r="J1210" t="str">
        <f>_xll.BDP("45506DZN Muni","CPN")</f>
        <v>#N/A Requesting Data...</v>
      </c>
      <c r="K1210" t="str">
        <f>_xll.BDP("45506DZN Muni","MATURITY")</f>
        <v>#N/A Requesting Data...</v>
      </c>
      <c r="L1210">
        <v>1955000</v>
      </c>
      <c r="M1210" t="str">
        <f>_xll.BDP("45506DZN Muni","YIELD_ON_ISSUE_DATE")</f>
        <v>#N/A Requesting Data...</v>
      </c>
      <c r="N1210" t="str">
        <f>_xll.BDP("45506DZN Muni","YTW_SPREAD_TO_MATURITY_AT_ISSU")</f>
        <v>#N/A Requesting Data...</v>
      </c>
      <c r="O1210" t="str">
        <f>_xll.BDP("45506DZN Muni","BVAL_MID_YTM")</f>
        <v>#N/A Requesting Data...</v>
      </c>
      <c r="P1210" t="str">
        <f>_xll.BDP("45506DZN Muni","MUNI_TAX_PROV")</f>
        <v>#N/A Requesting Data...</v>
      </c>
      <c r="Q1210" t="str">
        <f>_xll.BDP("45506DZN Muni","MUNI_FED_TAX")</f>
        <v>#N/A Requesting Data...</v>
      </c>
      <c r="R1210" t="str">
        <f>_xll.BDP("45506DZN Muni","MUNI_MSRB_VOLUME")</f>
        <v>#N/A Requesting Data...</v>
      </c>
      <c r="S1210" t="str">
        <f>_xll.BDP("45506DZN Muni","BB_COMPOSITE")</f>
        <v>#N/A Requesting Data...</v>
      </c>
      <c r="T1210" t="str">
        <f>_xll.BDP("45506DZN Muni","LQA_LIQUIDITY_SCORE")</f>
        <v>#N/A Requesting Data...</v>
      </c>
    </row>
    <row r="1211" spans="1:20" x14ac:dyDescent="0.25">
      <c r="A1211" t="str">
        <f>_xll.BDP("61370LCE Muni","ID_CUSIP")</f>
        <v>#N/A Requesting Data...</v>
      </c>
      <c r="B1211" t="s">
        <v>399</v>
      </c>
      <c r="C1211" t="str">
        <f>_xll.BDP("61370LCE Muni","INSURANCE_STATUS")</f>
        <v>#N/A Requesting Data...</v>
      </c>
      <c r="D1211" t="str">
        <f>_xll.BDP("61370LCE Muni","STATE_CODE")</f>
        <v>#N/A Requesting Data...</v>
      </c>
      <c r="E1211" t="str">
        <f>_xll.BDP("61370LCE Muni","COUNTY_LOCATION_ISSUER")</f>
        <v>#N/A Requesting Data...</v>
      </c>
      <c r="F1211" t="str">
        <f>_xll.BDP("61370LCE Muni","DUR_ADJ_MID")</f>
        <v>#N/A Requesting Data...</v>
      </c>
      <c r="G1211" t="str">
        <f>_xll.BDP("61370LCE Muni","SPREAD_AT_ISSUANCE_TO_WORST")</f>
        <v>#N/A Requesting Data...</v>
      </c>
      <c r="H1211" t="str">
        <f>_xll.BDP("61370LCE Muni","ISSUE_DT")</f>
        <v>#N/A Requesting Data...</v>
      </c>
      <c r="I1211" t="str">
        <f>_xll.BDS("61370LCE Muni","MUNI_PURPOSE_SCHED", "aggregate=y")</f>
        <v>#N/A Review</v>
      </c>
      <c r="J1211" t="str">
        <f>_xll.BDP("61370LCE Muni","CPN")</f>
        <v>#N/A Requesting Data...</v>
      </c>
      <c r="K1211" t="str">
        <f>_xll.BDP("61370LCE Muni","MATURITY")</f>
        <v>#N/A Requesting Data...</v>
      </c>
      <c r="L1211">
        <v>175000</v>
      </c>
      <c r="M1211" t="str">
        <f>_xll.BDP("61370LCE Muni","YIELD_ON_ISSUE_DATE")</f>
        <v>#N/A Requesting Data...</v>
      </c>
      <c r="N1211" t="str">
        <f>_xll.BDP("61370LCE Muni","YTW_SPREAD_TO_MATURITY_AT_ISSU")</f>
        <v>#N/A Requesting Data...</v>
      </c>
      <c r="O1211" t="str">
        <f>_xll.BDP("61370LCE Muni","BVAL_MID_YTM")</f>
        <v>#N/A Requesting Data...</v>
      </c>
      <c r="P1211" t="str">
        <f>_xll.BDP("61370LCE Muni","MUNI_TAX_PROV")</f>
        <v>#N/A Requesting Data...</v>
      </c>
      <c r="Q1211" t="str">
        <f>_xll.BDP("61370LCE Muni","MUNI_FED_TAX")</f>
        <v>#N/A Requesting Data...</v>
      </c>
      <c r="R1211" t="str">
        <f>_xll.BDP("61370LCE Muni","MUNI_MSRB_VOLUME")</f>
        <v>#N/A Requesting Data...</v>
      </c>
      <c r="S1211" t="str">
        <f>_xll.BDP("61370LCE Muni","BB_COMPOSITE")</f>
        <v>#N/A Requesting Data...</v>
      </c>
      <c r="T1211" t="str">
        <f>_xll.BDP("61370LCE Muni","LQA_LIQUIDITY_SCORE")</f>
        <v>#N/A Requesting Data...</v>
      </c>
    </row>
    <row r="1212" spans="1:20" x14ac:dyDescent="0.25">
      <c r="A1212" t="str">
        <f>_xll.BDP("61370RFJ Muni","ID_CUSIP")</f>
        <v>#N/A Requesting Data...</v>
      </c>
      <c r="B1212" t="s">
        <v>400</v>
      </c>
      <c r="C1212" t="str">
        <f>_xll.BDP("61370RFJ Muni","INSURANCE_STATUS")</f>
        <v>#N/A Requesting Data...</v>
      </c>
      <c r="D1212" t="str">
        <f>_xll.BDP("61370RFJ Muni","STATE_CODE")</f>
        <v>#N/A Requesting Data...</v>
      </c>
      <c r="E1212" t="str">
        <f>_xll.BDP("61370RFJ Muni","COUNTY_LOCATION_ISSUER")</f>
        <v>#N/A Requesting Data...</v>
      </c>
      <c r="F1212" t="str">
        <f>_xll.BDP("61370RFJ Muni","DUR_ADJ_MID")</f>
        <v>#N/A Requesting Data...</v>
      </c>
      <c r="G1212" t="str">
        <f>_xll.BDP("61370RFJ Muni","SPREAD_AT_ISSUANCE_TO_WORST")</f>
        <v>#N/A Requesting Data...</v>
      </c>
      <c r="H1212" t="str">
        <f>_xll.BDP("61370RFJ Muni","ISSUE_DT")</f>
        <v>#N/A Requesting Data...</v>
      </c>
      <c r="I1212" t="str">
        <f>_xll.BDS("61370RFJ Muni","MUNI_PURPOSE_SCHED", "aggregate=y")</f>
        <v>#N/A Review</v>
      </c>
      <c r="J1212" t="str">
        <f>_xll.BDP("61370RFJ Muni","CPN")</f>
        <v>#N/A Requesting Data...</v>
      </c>
      <c r="K1212" t="str">
        <f>_xll.BDP("61370RFJ Muni","MATURITY")</f>
        <v>#N/A Requesting Data...</v>
      </c>
      <c r="L1212">
        <v>100000</v>
      </c>
      <c r="M1212" t="str">
        <f>_xll.BDP("61370RFJ Muni","YIELD_ON_ISSUE_DATE")</f>
        <v>#N/A Requesting Data...</v>
      </c>
      <c r="N1212" t="str">
        <f>_xll.BDP("61370RFJ Muni","YTW_SPREAD_TO_MATURITY_AT_ISSU")</f>
        <v>#N/A Requesting Data...</v>
      </c>
      <c r="O1212" t="str">
        <f>_xll.BDP("61370RFJ Muni","BVAL_MID_YTM")</f>
        <v>#N/A Requesting Data...</v>
      </c>
      <c r="P1212" t="str">
        <f>_xll.BDP("61370RFJ Muni","MUNI_TAX_PROV")</f>
        <v>#N/A Requesting Data...</v>
      </c>
      <c r="Q1212" t="str">
        <f>_xll.BDP("61370RFJ Muni","MUNI_FED_TAX")</f>
        <v>#N/A Requesting Data...</v>
      </c>
      <c r="R1212" t="str">
        <f>_xll.BDP("61370RFJ Muni","MUNI_MSRB_VOLUME")</f>
        <v>#N/A Requesting Data...</v>
      </c>
      <c r="S1212" t="str">
        <f>_xll.BDP("61370RFJ Muni","BB_COMPOSITE")</f>
        <v>#N/A Requesting Data...</v>
      </c>
      <c r="T1212" t="str">
        <f>_xll.BDP("61370RFJ Muni","LQA_LIQUIDITY_SCORE")</f>
        <v>#N/A Requesting Data...</v>
      </c>
    </row>
    <row r="1213" spans="1:20" x14ac:dyDescent="0.25">
      <c r="A1213" t="str">
        <f>_xll.BDP("61370UEF Muni","ID_CUSIP")</f>
        <v>#N/A Requesting Data...</v>
      </c>
      <c r="B1213" t="s">
        <v>401</v>
      </c>
      <c r="C1213" t="str">
        <f>_xll.BDP("61370UEF Muni","INSURANCE_STATUS")</f>
        <v>#N/A Requesting Data...</v>
      </c>
      <c r="D1213" t="str">
        <f>_xll.BDP("61370UEF Muni","STATE_CODE")</f>
        <v>#N/A Requesting Data...</v>
      </c>
      <c r="E1213" t="str">
        <f>_xll.BDP("61370UEF Muni","COUNTY_LOCATION_ISSUER")</f>
        <v>#N/A Requesting Data...</v>
      </c>
      <c r="F1213" t="str">
        <f>_xll.BDP("61370UEF Muni","DUR_ADJ_MID")</f>
        <v>#N/A Requesting Data...</v>
      </c>
      <c r="G1213" t="str">
        <f>_xll.BDP("61370UEF Muni","SPREAD_AT_ISSUANCE_TO_WORST")</f>
        <v>#N/A Requesting Data...</v>
      </c>
      <c r="H1213" t="str">
        <f>_xll.BDP("61370UEF Muni","ISSUE_DT")</f>
        <v>#N/A Requesting Data...</v>
      </c>
      <c r="I1213" t="str">
        <f>_xll.BDS("61370UEF Muni","MUNI_PURPOSE_SCHED", "aggregate=y")</f>
        <v>#N/A Review</v>
      </c>
      <c r="J1213" t="str">
        <f>_xll.BDP("61370UEF Muni","CPN")</f>
        <v>#N/A Requesting Data...</v>
      </c>
      <c r="K1213" t="str">
        <f>_xll.BDP("61370UEF Muni","MATURITY")</f>
        <v>#N/A Requesting Data...</v>
      </c>
      <c r="L1213">
        <v>80000</v>
      </c>
      <c r="M1213" t="str">
        <f>_xll.BDP("61370UEF Muni","YIELD_ON_ISSUE_DATE")</f>
        <v>#N/A Requesting Data...</v>
      </c>
      <c r="N1213" t="str">
        <f>_xll.BDP("61370UEF Muni","YTW_SPREAD_TO_MATURITY_AT_ISSU")</f>
        <v>#N/A Requesting Data...</v>
      </c>
      <c r="O1213" t="str">
        <f>_xll.BDP("61370UEF Muni","BVAL_MID_YTM")</f>
        <v>#N/A Requesting Data...</v>
      </c>
      <c r="P1213" t="str">
        <f>_xll.BDP("61370UEF Muni","MUNI_TAX_PROV")</f>
        <v>#N/A Requesting Data...</v>
      </c>
      <c r="Q1213" t="str">
        <f>_xll.BDP("61370UEF Muni","MUNI_FED_TAX")</f>
        <v>#N/A Requesting Data...</v>
      </c>
      <c r="R1213" t="str">
        <f>_xll.BDP("61370UEF Muni","MUNI_MSRB_VOLUME")</f>
        <v>#N/A Requesting Data...</v>
      </c>
      <c r="S1213" t="str">
        <f>_xll.BDP("61370UEF Muni","BB_COMPOSITE")</f>
        <v>#N/A Requesting Data...</v>
      </c>
      <c r="T1213" t="str">
        <f>_xll.BDP("61370UEF Muni","LQA_LIQUIDITY_SCORE")</f>
        <v>#N/A Requesting Data...</v>
      </c>
    </row>
    <row r="1214" spans="1:20" x14ac:dyDescent="0.25">
      <c r="A1214" t="str">
        <f>_xll.BDP("61370WCL Muni","ID_CUSIP")</f>
        <v>#N/A Requesting Data...</v>
      </c>
      <c r="B1214" t="s">
        <v>402</v>
      </c>
      <c r="C1214" t="str">
        <f>_xll.BDP("61370WCL Muni","INSURANCE_STATUS")</f>
        <v>#N/A Requesting Data...</v>
      </c>
      <c r="D1214" t="str">
        <f>_xll.BDP("61370WCL Muni","STATE_CODE")</f>
        <v>#N/A Requesting Data...</v>
      </c>
      <c r="E1214" t="str">
        <f>_xll.BDP("61370WCL Muni","COUNTY_LOCATION_ISSUER")</f>
        <v>#N/A Requesting Data...</v>
      </c>
      <c r="F1214" t="str">
        <f>_xll.BDP("61370WCL Muni","DUR_ADJ_MID")</f>
        <v>#N/A Requesting Data...</v>
      </c>
      <c r="G1214" t="str">
        <f>_xll.BDP("61370WCL Muni","SPREAD_AT_ISSUANCE_TO_WORST")</f>
        <v>#N/A Requesting Data...</v>
      </c>
      <c r="H1214" t="str">
        <f>_xll.BDP("61370WCL Muni","ISSUE_DT")</f>
        <v>#N/A Requesting Data...</v>
      </c>
      <c r="I1214" t="str">
        <f>_xll.BDS("61370WCL Muni","MUNI_PURPOSE_SCHED", "aggregate=y")</f>
        <v>#N/A Review</v>
      </c>
      <c r="J1214" t="str">
        <f>_xll.BDP("61370WCL Muni","CPN")</f>
        <v>#N/A Requesting Data...</v>
      </c>
      <c r="K1214" t="str">
        <f>_xll.BDP("61370WCL Muni","MATURITY")</f>
        <v>#N/A Requesting Data...</v>
      </c>
      <c r="L1214">
        <v>100000</v>
      </c>
      <c r="M1214" t="str">
        <f>_xll.BDP("61370WCL Muni","YIELD_ON_ISSUE_DATE")</f>
        <v>#N/A Requesting Data...</v>
      </c>
      <c r="N1214" t="str">
        <f>_xll.BDP("61370WCL Muni","YTW_SPREAD_TO_MATURITY_AT_ISSU")</f>
        <v>#N/A Requesting Data...</v>
      </c>
      <c r="O1214" t="str">
        <f>_xll.BDP("61370WCL Muni","BVAL_MID_YTM")</f>
        <v>#N/A Requesting Data...</v>
      </c>
      <c r="P1214" t="str">
        <f>_xll.BDP("61370WCL Muni","MUNI_TAX_PROV")</f>
        <v>#N/A Requesting Data...</v>
      </c>
      <c r="Q1214" t="str">
        <f>_xll.BDP("61370WCL Muni","MUNI_FED_TAX")</f>
        <v>#N/A Requesting Data...</v>
      </c>
      <c r="R1214" t="str">
        <f>_xll.BDP("61370WCL Muni","MUNI_MSRB_VOLUME")</f>
        <v>#N/A Requesting Data...</v>
      </c>
      <c r="S1214" t="str">
        <f>_xll.BDP("61370WCL Muni","BB_COMPOSITE")</f>
        <v>#N/A Requesting Data...</v>
      </c>
      <c r="T1214" t="str">
        <f>_xll.BDP("61370WCL Muni","LQA_LIQUIDITY_SCORE")</f>
        <v>#N/A Requesting Data...</v>
      </c>
    </row>
    <row r="1215" spans="1:20" x14ac:dyDescent="0.25">
      <c r="A1215" t="str">
        <f>_xll.BDP("61371FGP Muni","ID_CUSIP")</f>
        <v>#N/A Requesting Data...</v>
      </c>
      <c r="B1215" t="s">
        <v>403</v>
      </c>
      <c r="C1215" t="str">
        <f>_xll.BDP("61371FGP Muni","INSURANCE_STATUS")</f>
        <v>#N/A Requesting Data...</v>
      </c>
      <c r="D1215" t="str">
        <f>_xll.BDP("61371FGP Muni","STATE_CODE")</f>
        <v>#N/A Requesting Data...</v>
      </c>
      <c r="E1215" t="str">
        <f>_xll.BDP("61371FGP Muni","COUNTY_LOCATION_ISSUER")</f>
        <v>#N/A Requesting Data...</v>
      </c>
      <c r="F1215" t="str">
        <f>_xll.BDP("61371FGP Muni","DUR_ADJ_MID")</f>
        <v>#N/A Requesting Data...</v>
      </c>
      <c r="G1215" t="str">
        <f>_xll.BDP("61371FGP Muni","SPREAD_AT_ISSUANCE_TO_WORST")</f>
        <v>#N/A Requesting Data...</v>
      </c>
      <c r="H1215" t="str">
        <f>_xll.BDP("61371FGP Muni","ISSUE_DT")</f>
        <v>#N/A Requesting Data...</v>
      </c>
      <c r="I1215" t="str">
        <f>_xll.BDS("61371FGP Muni","MUNI_PURPOSE_SCHED", "aggregate=y")</f>
        <v>#N/A Review</v>
      </c>
      <c r="J1215" t="str">
        <f>_xll.BDP("61371FGP Muni","CPN")</f>
        <v>#N/A Requesting Data...</v>
      </c>
      <c r="K1215" t="str">
        <f>_xll.BDP("61371FGP Muni","MATURITY")</f>
        <v>#N/A Requesting Data...</v>
      </c>
      <c r="L1215">
        <v>450000</v>
      </c>
      <c r="M1215" t="str">
        <f>_xll.BDP("61371FGP Muni","YIELD_ON_ISSUE_DATE")</f>
        <v>#N/A Requesting Data...</v>
      </c>
      <c r="N1215" t="str">
        <f>_xll.BDP("61371FGP Muni","YTW_SPREAD_TO_MATURITY_AT_ISSU")</f>
        <v>#N/A Requesting Data...</v>
      </c>
      <c r="O1215" t="str">
        <f>_xll.BDP("61371FGP Muni","BVAL_MID_YTM")</f>
        <v>#N/A Requesting Data...</v>
      </c>
      <c r="P1215" t="str">
        <f>_xll.BDP("61371FGP Muni","MUNI_TAX_PROV")</f>
        <v>#N/A Requesting Data...</v>
      </c>
      <c r="Q1215" t="str">
        <f>_xll.BDP("61371FGP Muni","MUNI_FED_TAX")</f>
        <v>#N/A Requesting Data...</v>
      </c>
      <c r="R1215" t="str">
        <f>_xll.BDP("61371FGP Muni","MUNI_MSRB_VOLUME")</f>
        <v>#N/A Requesting Data...</v>
      </c>
      <c r="S1215" t="str">
        <f>_xll.BDP("61371FGP Muni","BB_COMPOSITE")</f>
        <v>#N/A Requesting Data...</v>
      </c>
      <c r="T1215" t="str">
        <f>_xll.BDP("61371FGP Muni","LQA_LIQUIDITY_SCORE")</f>
        <v>#N/A Requesting Data...</v>
      </c>
    </row>
    <row r="1216" spans="1:20" x14ac:dyDescent="0.25">
      <c r="A1216" t="str">
        <f>_xll.BDP("628577LN Muni","ID_CUSIP")</f>
        <v>#N/A Requesting Data...</v>
      </c>
      <c r="B1216" t="s">
        <v>118</v>
      </c>
      <c r="C1216" t="str">
        <f>_xll.BDP("628577LN Muni","INSURANCE_STATUS")</f>
        <v>#N/A Requesting Data...</v>
      </c>
      <c r="D1216" t="str">
        <f>_xll.BDP("628577LN Muni","STATE_CODE")</f>
        <v>#N/A Requesting Data...</v>
      </c>
      <c r="E1216" t="str">
        <f>_xll.BDP("628577LN Muni","COUNTY_LOCATION_ISSUER")</f>
        <v>#N/A Requesting Data...</v>
      </c>
      <c r="F1216" t="str">
        <f>_xll.BDP("628577LN Muni","DUR_ADJ_MID")</f>
        <v>#N/A Requesting Data...</v>
      </c>
      <c r="G1216" t="str">
        <f>_xll.BDP("628577LN Muni","SPREAD_AT_ISSUANCE_TO_WORST")</f>
        <v>#N/A Requesting Data...</v>
      </c>
      <c r="H1216" t="str">
        <f>_xll.BDP("628577LN Muni","ISSUE_DT")</f>
        <v>#N/A Requesting Data...</v>
      </c>
      <c r="I1216" t="str">
        <f>_xll.BDS("628577LN Muni","MUNI_PURPOSE_SCHED", "aggregate=y")</f>
        <v>#N/A Review</v>
      </c>
      <c r="J1216" t="str">
        <f>_xll.BDP("628577LN Muni","CPN")</f>
        <v>#N/A Requesting Data...</v>
      </c>
      <c r="K1216" t="str">
        <f>_xll.BDP("628577LN Muni","MATURITY")</f>
        <v>#N/A Requesting Data...</v>
      </c>
      <c r="L1216">
        <v>1305000</v>
      </c>
      <c r="M1216" t="str">
        <f>_xll.BDP("628577LN Muni","YIELD_ON_ISSUE_DATE")</f>
        <v>#N/A Requesting Data...</v>
      </c>
      <c r="N1216" t="str">
        <f>_xll.BDP("628577LN Muni","YTW_SPREAD_TO_MATURITY_AT_ISSU")</f>
        <v>#N/A Requesting Data...</v>
      </c>
      <c r="O1216" t="str">
        <f>_xll.BDP("628577LN Muni","BVAL_MID_YTM")</f>
        <v>#N/A Requesting Data...</v>
      </c>
      <c r="P1216" t="str">
        <f>_xll.BDP("628577LN Muni","MUNI_TAX_PROV")</f>
        <v>#N/A Requesting Data...</v>
      </c>
      <c r="Q1216" t="str">
        <f>_xll.BDP("628577LN Muni","MUNI_FED_TAX")</f>
        <v>#N/A Requesting Data...</v>
      </c>
      <c r="R1216" t="str">
        <f>_xll.BDP("628577LN Muni","MUNI_MSRB_VOLUME")</f>
        <v>#N/A Requesting Data...</v>
      </c>
      <c r="S1216" t="str">
        <f>_xll.BDP("628577LN Muni","BB_COMPOSITE")</f>
        <v>#N/A Requesting Data...</v>
      </c>
      <c r="T1216" t="str">
        <f>_xll.BDP("628577LN Muni","LQA_LIQUIDITY_SCORE")</f>
        <v>#N/A Requesting Data...</v>
      </c>
    </row>
    <row r="1217" spans="1:20" x14ac:dyDescent="0.25">
      <c r="A1217" t="str">
        <f>_xll.BDP("48619TEZ Muni","ID_CUSIP")</f>
        <v>#N/A Requesting Data...</v>
      </c>
      <c r="B1217" t="s">
        <v>404</v>
      </c>
      <c r="C1217" t="str">
        <f>_xll.BDP("48619TEZ Muni","INSURANCE_STATUS")</f>
        <v>#N/A Requesting Data...</v>
      </c>
      <c r="D1217" t="str">
        <f>_xll.BDP("48619TEZ Muni","STATE_CODE")</f>
        <v>#N/A Requesting Data...</v>
      </c>
      <c r="E1217" t="str">
        <f>_xll.BDP("48619TEZ Muni","COUNTY_LOCATION_ISSUER")</f>
        <v>#N/A Requesting Data...</v>
      </c>
      <c r="F1217" t="str">
        <f>_xll.BDP("48619TEZ Muni","DUR_ADJ_MID")</f>
        <v>#N/A Requesting Data...</v>
      </c>
      <c r="G1217" t="str">
        <f>_xll.BDP("48619TEZ Muni","SPREAD_AT_ISSUANCE_TO_WORST")</f>
        <v>#N/A Requesting Data...</v>
      </c>
      <c r="H1217" t="str">
        <f>_xll.BDP("48619TEZ Muni","ISSUE_DT")</f>
        <v>#N/A Requesting Data...</v>
      </c>
      <c r="I1217" t="str">
        <f>_xll.BDS("48619TEZ Muni","MUNI_PURPOSE_SCHED", "aggregate=y")</f>
        <v>#N/A Review</v>
      </c>
      <c r="J1217" t="str">
        <f>_xll.BDP("48619TEZ Muni","CPN")</f>
        <v>#N/A Requesting Data...</v>
      </c>
      <c r="K1217" t="str">
        <f>_xll.BDP("48619TEZ Muni","MATURITY")</f>
        <v>#N/A Requesting Data...</v>
      </c>
      <c r="L1217">
        <v>135000</v>
      </c>
      <c r="M1217" t="str">
        <f>_xll.BDP("48619TEZ Muni","YIELD_ON_ISSUE_DATE")</f>
        <v>#N/A Requesting Data...</v>
      </c>
      <c r="N1217" t="str">
        <f>_xll.BDP("48619TEZ Muni","YTW_SPREAD_TO_MATURITY_AT_ISSU")</f>
        <v>#N/A Requesting Data...</v>
      </c>
      <c r="O1217" t="str">
        <f>_xll.BDP("48619TEZ Muni","BVAL_MID_YTM")</f>
        <v>#N/A Requesting Data...</v>
      </c>
      <c r="P1217" t="str">
        <f>_xll.BDP("48619TEZ Muni","MUNI_TAX_PROV")</f>
        <v>#N/A Requesting Data...</v>
      </c>
      <c r="Q1217" t="str">
        <f>_xll.BDP("48619TEZ Muni","MUNI_FED_TAX")</f>
        <v>#N/A Requesting Data...</v>
      </c>
      <c r="R1217" t="str">
        <f>_xll.BDP("48619TEZ Muni","MUNI_MSRB_VOLUME")</f>
        <v>#N/A Requesting Data...</v>
      </c>
      <c r="S1217" t="str">
        <f>_xll.BDP("48619TEZ Muni","BB_COMPOSITE")</f>
        <v>#N/A Requesting Data...</v>
      </c>
      <c r="T1217" t="str">
        <f>_xll.BDP("48619TEZ Muni","LQA_LIQUIDITY_SCORE")</f>
        <v>#N/A Requesting Data...</v>
      </c>
    </row>
    <row r="1218" spans="1:20" x14ac:dyDescent="0.25">
      <c r="A1218" t="str">
        <f>_xll.BDP("48619TFA Muni","ID_CUSIP")</f>
        <v>#N/A Requesting Data...</v>
      </c>
      <c r="B1218" t="s">
        <v>404</v>
      </c>
      <c r="C1218" t="str">
        <f>_xll.BDP("48619TFA Muni","INSURANCE_STATUS")</f>
        <v>#N/A Requesting Data...</v>
      </c>
      <c r="D1218" t="str">
        <f>_xll.BDP("48619TFA Muni","STATE_CODE")</f>
        <v>#N/A Requesting Data...</v>
      </c>
      <c r="E1218" t="str">
        <f>_xll.BDP("48619TFA Muni","COUNTY_LOCATION_ISSUER")</f>
        <v>#N/A Requesting Data...</v>
      </c>
      <c r="F1218" t="str">
        <f>_xll.BDP("48619TFA Muni","DUR_ADJ_MID")</f>
        <v>#N/A Requesting Data...</v>
      </c>
      <c r="G1218" t="str">
        <f>_xll.BDP("48619TFA Muni","SPREAD_AT_ISSUANCE_TO_WORST")</f>
        <v>#N/A Requesting Data...</v>
      </c>
      <c r="H1218" t="str">
        <f>_xll.BDP("48619TFA Muni","ISSUE_DT")</f>
        <v>#N/A Requesting Data...</v>
      </c>
      <c r="I1218" t="str">
        <f>_xll.BDS("48619TFA Muni","MUNI_PURPOSE_SCHED", "aggregate=y")</f>
        <v>#N/A Review</v>
      </c>
      <c r="J1218" t="str">
        <f>_xll.BDP("48619TFA Muni","CPN")</f>
        <v>#N/A Requesting Data...</v>
      </c>
      <c r="K1218" t="str">
        <f>_xll.BDP("48619TFA Muni","MATURITY")</f>
        <v>#N/A Requesting Data...</v>
      </c>
      <c r="L1218">
        <v>140000</v>
      </c>
      <c r="M1218" t="str">
        <f>_xll.BDP("48619TFA Muni","YIELD_ON_ISSUE_DATE")</f>
        <v>#N/A Requesting Data...</v>
      </c>
      <c r="N1218" t="str">
        <f>_xll.BDP("48619TFA Muni","YTW_SPREAD_TO_MATURITY_AT_ISSU")</f>
        <v>#N/A Requesting Data...</v>
      </c>
      <c r="O1218" t="str">
        <f>_xll.BDP("48619TFA Muni","BVAL_MID_YTM")</f>
        <v>#N/A Requesting Data...</v>
      </c>
      <c r="P1218" t="str">
        <f>_xll.BDP("48619TFA Muni","MUNI_TAX_PROV")</f>
        <v>#N/A Requesting Data...</v>
      </c>
      <c r="Q1218" t="str">
        <f>_xll.BDP("48619TFA Muni","MUNI_FED_TAX")</f>
        <v>#N/A Requesting Data...</v>
      </c>
      <c r="R1218" t="str">
        <f>_xll.BDP("48619TFA Muni","MUNI_MSRB_VOLUME")</f>
        <v>#N/A Requesting Data...</v>
      </c>
      <c r="S1218" t="str">
        <f>_xll.BDP("48619TFA Muni","BB_COMPOSITE")</f>
        <v>#N/A Requesting Data...</v>
      </c>
      <c r="T1218" t="str">
        <f>_xll.BDP("48619TFA Muni","LQA_LIQUIDITY_SCORE")</f>
        <v>#N/A Requesting Data...</v>
      </c>
    </row>
    <row r="1219" spans="1:20" x14ac:dyDescent="0.25">
      <c r="A1219" t="str">
        <f>_xll.BDP("486206JV Muni","ID_CUSIP")</f>
        <v>#N/A Requesting Data...</v>
      </c>
      <c r="B1219" t="s">
        <v>405</v>
      </c>
      <c r="C1219" t="str">
        <f>_xll.BDP("486206JV Muni","INSURANCE_STATUS")</f>
        <v>#N/A Requesting Data...</v>
      </c>
      <c r="D1219" t="str">
        <f>_xll.BDP("486206JV Muni","STATE_CODE")</f>
        <v>#N/A Requesting Data...</v>
      </c>
      <c r="E1219" t="str">
        <f>_xll.BDP("486206JV Muni","COUNTY_LOCATION_ISSUER")</f>
        <v>#N/A Requesting Data...</v>
      </c>
      <c r="F1219" t="str">
        <f>_xll.BDP("486206JV Muni","DUR_ADJ_MID")</f>
        <v>#N/A Requesting Data...</v>
      </c>
      <c r="G1219" t="str">
        <f>_xll.BDP("486206JV Muni","SPREAD_AT_ISSUANCE_TO_WORST")</f>
        <v>#N/A Requesting Data...</v>
      </c>
      <c r="H1219" t="str">
        <f>_xll.BDP("486206JV Muni","ISSUE_DT")</f>
        <v>#N/A Requesting Data...</v>
      </c>
      <c r="I1219" t="str">
        <f>_xll.BDS("486206JV Muni","MUNI_PURPOSE_SCHED", "aggregate=y")</f>
        <v>#N/A Review</v>
      </c>
      <c r="J1219" t="str">
        <f>_xll.BDP("486206JV Muni","CPN")</f>
        <v>#N/A Requesting Data...</v>
      </c>
      <c r="K1219" t="str">
        <f>_xll.BDP("486206JV Muni","MATURITY")</f>
        <v>#N/A Requesting Data...</v>
      </c>
      <c r="L1219">
        <v>175000</v>
      </c>
      <c r="M1219" t="str">
        <f>_xll.BDP("486206JV Muni","YIELD_ON_ISSUE_DATE")</f>
        <v>#N/A Requesting Data...</v>
      </c>
      <c r="N1219" t="str">
        <f>_xll.BDP("486206JV Muni","YTW_SPREAD_TO_MATURITY_AT_ISSU")</f>
        <v>#N/A Requesting Data...</v>
      </c>
      <c r="O1219" t="str">
        <f>_xll.BDP("486206JV Muni","BVAL_MID_YTM")</f>
        <v>#N/A Requesting Data...</v>
      </c>
      <c r="P1219" t="str">
        <f>_xll.BDP("486206JV Muni","MUNI_TAX_PROV")</f>
        <v>#N/A Requesting Data...</v>
      </c>
      <c r="Q1219" t="str">
        <f>_xll.BDP("486206JV Muni","MUNI_FED_TAX")</f>
        <v>#N/A Requesting Data...</v>
      </c>
      <c r="R1219" t="str">
        <f>_xll.BDP("486206JV Muni","MUNI_MSRB_VOLUME")</f>
        <v>#N/A Requesting Data...</v>
      </c>
      <c r="S1219" t="str">
        <f>_xll.BDP("486206JV Muni","BB_COMPOSITE")</f>
        <v>#N/A Requesting Data...</v>
      </c>
      <c r="T1219" t="str">
        <f>_xll.BDP("486206JV Muni","LQA_LIQUIDITY_SCORE")</f>
        <v>#N/A Requesting Data...</v>
      </c>
    </row>
    <row r="1220" spans="1:20" x14ac:dyDescent="0.25">
      <c r="A1220" t="str">
        <f>_xll.BDP("486206JW Muni","ID_CUSIP")</f>
        <v>#N/A Requesting Data...</v>
      </c>
      <c r="B1220" t="s">
        <v>405</v>
      </c>
      <c r="C1220" t="str">
        <f>_xll.BDP("486206JW Muni","INSURANCE_STATUS")</f>
        <v>#N/A Requesting Data...</v>
      </c>
      <c r="D1220" t="str">
        <f>_xll.BDP("486206JW Muni","STATE_CODE")</f>
        <v>#N/A Requesting Data...</v>
      </c>
      <c r="E1220" t="str">
        <f>_xll.BDP("486206JW Muni","COUNTY_LOCATION_ISSUER")</f>
        <v>#N/A Requesting Data...</v>
      </c>
      <c r="F1220" t="str">
        <f>_xll.BDP("486206JW Muni","DUR_ADJ_MID")</f>
        <v>#N/A Requesting Data...</v>
      </c>
      <c r="G1220" t="str">
        <f>_xll.BDP("486206JW Muni","SPREAD_AT_ISSUANCE_TO_WORST")</f>
        <v>#N/A Requesting Data...</v>
      </c>
      <c r="H1220" t="str">
        <f>_xll.BDP("486206JW Muni","ISSUE_DT")</f>
        <v>#N/A Requesting Data...</v>
      </c>
      <c r="I1220" t="str">
        <f>_xll.BDS("486206JW Muni","MUNI_PURPOSE_SCHED", "aggregate=y")</f>
        <v>#N/A Review</v>
      </c>
      <c r="J1220" t="str">
        <f>_xll.BDP("486206JW Muni","CPN")</f>
        <v>#N/A Requesting Data...</v>
      </c>
      <c r="K1220" t="str">
        <f>_xll.BDP("486206JW Muni","MATURITY")</f>
        <v>#N/A Requesting Data...</v>
      </c>
      <c r="L1220">
        <v>180000</v>
      </c>
      <c r="M1220" t="str">
        <f>_xll.BDP("486206JW Muni","YIELD_ON_ISSUE_DATE")</f>
        <v>#N/A Requesting Data...</v>
      </c>
      <c r="N1220" t="str">
        <f>_xll.BDP("486206JW Muni","YTW_SPREAD_TO_MATURITY_AT_ISSU")</f>
        <v>#N/A Requesting Data...</v>
      </c>
      <c r="O1220" t="str">
        <f>_xll.BDP("486206JW Muni","BVAL_MID_YTM")</f>
        <v>#N/A Requesting Data...</v>
      </c>
      <c r="P1220" t="str">
        <f>_xll.BDP("486206JW Muni","MUNI_TAX_PROV")</f>
        <v>#N/A Requesting Data...</v>
      </c>
      <c r="Q1220" t="str">
        <f>_xll.BDP("486206JW Muni","MUNI_FED_TAX")</f>
        <v>#N/A Requesting Data...</v>
      </c>
      <c r="R1220" t="str">
        <f>_xll.BDP("486206JW Muni","MUNI_MSRB_VOLUME")</f>
        <v>#N/A Requesting Data...</v>
      </c>
      <c r="S1220" t="str">
        <f>_xll.BDP("486206JW Muni","BB_COMPOSITE")</f>
        <v>#N/A Requesting Data...</v>
      </c>
      <c r="T1220" t="str">
        <f>_xll.BDP("486206JW Muni","LQA_LIQUIDITY_SCORE")</f>
        <v>#N/A Requesting Data...</v>
      </c>
    </row>
    <row r="1221" spans="1:20" x14ac:dyDescent="0.25">
      <c r="A1221" t="str">
        <f>_xll.BDP("486206JX Muni","ID_CUSIP")</f>
        <v>#N/A Requesting Data...</v>
      </c>
      <c r="B1221" t="s">
        <v>405</v>
      </c>
      <c r="C1221" t="str">
        <f>_xll.BDP("486206JX Muni","INSURANCE_STATUS")</f>
        <v>#N/A Requesting Data...</v>
      </c>
      <c r="D1221" t="str">
        <f>_xll.BDP("486206JX Muni","STATE_CODE")</f>
        <v>#N/A Requesting Data...</v>
      </c>
      <c r="E1221" t="str">
        <f>_xll.BDP("486206JX Muni","COUNTY_LOCATION_ISSUER")</f>
        <v>#N/A Requesting Data...</v>
      </c>
      <c r="F1221" t="str">
        <f>_xll.BDP("486206JX Muni","DUR_ADJ_MID")</f>
        <v>#N/A Requesting Data...</v>
      </c>
      <c r="G1221" t="str">
        <f>_xll.BDP("486206JX Muni","SPREAD_AT_ISSUANCE_TO_WORST")</f>
        <v>#N/A Requesting Data...</v>
      </c>
      <c r="H1221" t="str">
        <f>_xll.BDP("486206JX Muni","ISSUE_DT")</f>
        <v>#N/A Requesting Data...</v>
      </c>
      <c r="I1221" t="str">
        <f>_xll.BDS("486206JX Muni","MUNI_PURPOSE_SCHED", "aggregate=y")</f>
        <v>#N/A Review</v>
      </c>
      <c r="J1221" t="str">
        <f>_xll.BDP("486206JX Muni","CPN")</f>
        <v>#N/A Requesting Data...</v>
      </c>
      <c r="K1221" t="str">
        <f>_xll.BDP("486206JX Muni","MATURITY")</f>
        <v>#N/A Requesting Data...</v>
      </c>
      <c r="L1221">
        <v>185000</v>
      </c>
      <c r="M1221" t="str">
        <f>_xll.BDP("486206JX Muni","YIELD_ON_ISSUE_DATE")</f>
        <v>#N/A Requesting Data...</v>
      </c>
      <c r="N1221" t="str">
        <f>_xll.BDP("486206JX Muni","YTW_SPREAD_TO_MATURITY_AT_ISSU")</f>
        <v>#N/A Requesting Data...</v>
      </c>
      <c r="O1221" t="str">
        <f>_xll.BDP("486206JX Muni","BVAL_MID_YTM")</f>
        <v>#N/A Requesting Data...</v>
      </c>
      <c r="P1221" t="str">
        <f>_xll.BDP("486206JX Muni","MUNI_TAX_PROV")</f>
        <v>#N/A Requesting Data...</v>
      </c>
      <c r="Q1221" t="str">
        <f>_xll.BDP("486206JX Muni","MUNI_FED_TAX")</f>
        <v>#N/A Requesting Data...</v>
      </c>
      <c r="R1221" t="str">
        <f>_xll.BDP("486206JX Muni","MUNI_MSRB_VOLUME")</f>
        <v>#N/A Requesting Data...</v>
      </c>
      <c r="S1221" t="str">
        <f>_xll.BDP("486206JX Muni","BB_COMPOSITE")</f>
        <v>#N/A Requesting Data...</v>
      </c>
      <c r="T1221" t="str">
        <f>_xll.BDP("486206JX Muni","LQA_LIQUIDITY_SCORE")</f>
        <v>#N/A Requesting Data...</v>
      </c>
    </row>
    <row r="1222" spans="1:20" x14ac:dyDescent="0.25">
      <c r="A1222" t="str">
        <f>_xll.BDP("486206JY Muni","ID_CUSIP")</f>
        <v>#N/A Requesting Data...</v>
      </c>
      <c r="B1222" t="s">
        <v>405</v>
      </c>
      <c r="C1222" t="str">
        <f>_xll.BDP("486206JY Muni","INSURANCE_STATUS")</f>
        <v>#N/A Requesting Data...</v>
      </c>
      <c r="D1222" t="str">
        <f>_xll.BDP("486206JY Muni","STATE_CODE")</f>
        <v>#N/A Requesting Data...</v>
      </c>
      <c r="E1222" t="str">
        <f>_xll.BDP("486206JY Muni","COUNTY_LOCATION_ISSUER")</f>
        <v>#N/A Requesting Data...</v>
      </c>
      <c r="F1222" t="str">
        <f>_xll.BDP("486206JY Muni","DUR_ADJ_MID")</f>
        <v>#N/A Requesting Data...</v>
      </c>
      <c r="G1222" t="str">
        <f>_xll.BDP("486206JY Muni","SPREAD_AT_ISSUANCE_TO_WORST")</f>
        <v>#N/A Requesting Data...</v>
      </c>
      <c r="H1222" t="str">
        <f>_xll.BDP("486206JY Muni","ISSUE_DT")</f>
        <v>#N/A Requesting Data...</v>
      </c>
      <c r="I1222" t="str">
        <f>_xll.BDS("486206JY Muni","MUNI_PURPOSE_SCHED", "aggregate=y")</f>
        <v>#N/A Review</v>
      </c>
      <c r="J1222" t="str">
        <f>_xll.BDP("486206JY Muni","CPN")</f>
        <v>#N/A Requesting Data...</v>
      </c>
      <c r="K1222" t="str">
        <f>_xll.BDP("486206JY Muni","MATURITY")</f>
        <v>#N/A Requesting Data...</v>
      </c>
      <c r="L1222">
        <v>190000</v>
      </c>
      <c r="M1222" t="str">
        <f>_xll.BDP("486206JY Muni","YIELD_ON_ISSUE_DATE")</f>
        <v>#N/A Requesting Data...</v>
      </c>
      <c r="N1222" t="str">
        <f>_xll.BDP("486206JY Muni","YTW_SPREAD_TO_MATURITY_AT_ISSU")</f>
        <v>#N/A Requesting Data...</v>
      </c>
      <c r="O1222" t="str">
        <f>_xll.BDP("486206JY Muni","BVAL_MID_YTM")</f>
        <v>#N/A Requesting Data...</v>
      </c>
      <c r="P1222" t="str">
        <f>_xll.BDP("486206JY Muni","MUNI_TAX_PROV")</f>
        <v>#N/A Requesting Data...</v>
      </c>
      <c r="Q1222" t="str">
        <f>_xll.BDP("486206JY Muni","MUNI_FED_TAX")</f>
        <v>#N/A Requesting Data...</v>
      </c>
      <c r="R1222" t="str">
        <f>_xll.BDP("486206JY Muni","MUNI_MSRB_VOLUME")</f>
        <v>#N/A Requesting Data...</v>
      </c>
      <c r="S1222" t="str">
        <f>_xll.BDP("486206JY Muni","BB_COMPOSITE")</f>
        <v>#N/A Requesting Data...</v>
      </c>
      <c r="T1222" t="str">
        <f>_xll.BDP("486206JY Muni","LQA_LIQUIDITY_SCORE")</f>
        <v>#N/A Requesting Data...</v>
      </c>
    </row>
    <row r="1223" spans="1:20" x14ac:dyDescent="0.25">
      <c r="A1223" t="str">
        <f>_xll.BDP("486206KR Muni","ID_CUSIP")</f>
        <v>#N/A Requesting Data...</v>
      </c>
      <c r="B1223" t="s">
        <v>405</v>
      </c>
      <c r="C1223" t="str">
        <f>_xll.BDP("486206KR Muni","INSURANCE_STATUS")</f>
        <v>#N/A Requesting Data...</v>
      </c>
      <c r="D1223" t="str">
        <f>_xll.BDP("486206KR Muni","STATE_CODE")</f>
        <v>#N/A Requesting Data...</v>
      </c>
      <c r="E1223" t="str">
        <f>_xll.BDP("486206KR Muni","COUNTY_LOCATION_ISSUER")</f>
        <v>#N/A Requesting Data...</v>
      </c>
      <c r="F1223" t="str">
        <f>_xll.BDP("486206KR Muni","DUR_ADJ_MID")</f>
        <v>#N/A Requesting Data...</v>
      </c>
      <c r="G1223" t="str">
        <f>_xll.BDP("486206KR Muni","SPREAD_AT_ISSUANCE_TO_WORST")</f>
        <v>#N/A Requesting Data...</v>
      </c>
      <c r="H1223" t="str">
        <f>_xll.BDP("486206KR Muni","ISSUE_DT")</f>
        <v>#N/A Requesting Data...</v>
      </c>
      <c r="I1223" t="str">
        <f>_xll.BDS("486206KR Muni","MUNI_PURPOSE_SCHED", "aggregate=y")</f>
        <v>#N/A Review</v>
      </c>
      <c r="J1223" t="str">
        <f>_xll.BDP("486206KR Muni","CPN")</f>
        <v>#N/A Requesting Data...</v>
      </c>
      <c r="K1223" t="str">
        <f>_xll.BDP("486206KR Muni","MATURITY")</f>
        <v>#N/A Requesting Data...</v>
      </c>
      <c r="L1223">
        <v>85000</v>
      </c>
      <c r="M1223" t="str">
        <f>_xll.BDP("486206KR Muni","YIELD_ON_ISSUE_DATE")</f>
        <v>#N/A Requesting Data...</v>
      </c>
      <c r="N1223" t="str">
        <f>_xll.BDP("486206KR Muni","YTW_SPREAD_TO_MATURITY_AT_ISSU")</f>
        <v>#N/A Requesting Data...</v>
      </c>
      <c r="O1223" t="str">
        <f>_xll.BDP("486206KR Muni","BVAL_MID_YTM")</f>
        <v>#N/A Requesting Data...</v>
      </c>
      <c r="P1223" t="str">
        <f>_xll.BDP("486206KR Muni","MUNI_TAX_PROV")</f>
        <v>#N/A Requesting Data...</v>
      </c>
      <c r="Q1223" t="str">
        <f>_xll.BDP("486206KR Muni","MUNI_FED_TAX")</f>
        <v>#N/A Requesting Data...</v>
      </c>
      <c r="R1223" t="str">
        <f>_xll.BDP("486206KR Muni","MUNI_MSRB_VOLUME")</f>
        <v>#N/A Requesting Data...</v>
      </c>
      <c r="S1223" t="str">
        <f>_xll.BDP("486206KR Muni","BB_COMPOSITE")</f>
        <v>#N/A Requesting Data...</v>
      </c>
      <c r="T1223" t="str">
        <f>_xll.BDP("486206KR Muni","LQA_LIQUIDITY_SCORE")</f>
        <v>#N/A Requesting Data...</v>
      </c>
    </row>
    <row r="1224" spans="1:20" x14ac:dyDescent="0.25">
      <c r="A1224" t="str">
        <f>_xll.BDP("593325LM Muni","ID_CUSIP")</f>
        <v>#N/A Requesting Data...</v>
      </c>
      <c r="B1224" t="s">
        <v>406</v>
      </c>
      <c r="C1224" t="str">
        <f>_xll.BDP("593325LM Muni","INSURANCE_STATUS")</f>
        <v>#N/A Requesting Data...</v>
      </c>
      <c r="D1224" t="str">
        <f>_xll.BDP("593325LM Muni","STATE_CODE")</f>
        <v>#N/A Requesting Data...</v>
      </c>
      <c r="E1224" t="str">
        <f>_xll.BDP("593325LM Muni","COUNTY_LOCATION_ISSUER")</f>
        <v>#N/A Requesting Data...</v>
      </c>
      <c r="F1224" t="str">
        <f>_xll.BDP("593325LM Muni","DUR_ADJ_MID")</f>
        <v>#N/A Requesting Data...</v>
      </c>
      <c r="G1224" t="str">
        <f>_xll.BDP("593325LM Muni","SPREAD_AT_ISSUANCE_TO_WORST")</f>
        <v>#N/A Requesting Data...</v>
      </c>
      <c r="H1224" t="str">
        <f>_xll.BDP("593325LM Muni","ISSUE_DT")</f>
        <v>#N/A Requesting Data...</v>
      </c>
      <c r="I1224" t="str">
        <f>_xll.BDS("593325LM Muni","MUNI_PURPOSE_SCHED", "aggregate=y")</f>
        <v>#N/A Review</v>
      </c>
      <c r="J1224" t="str">
        <f>_xll.BDP("593325LM Muni","CPN")</f>
        <v>#N/A Requesting Data...</v>
      </c>
      <c r="K1224" t="str">
        <f>_xll.BDP("593325LM Muni","MATURITY")</f>
        <v>#N/A Requesting Data...</v>
      </c>
      <c r="L1224">
        <v>300000</v>
      </c>
      <c r="M1224" t="str">
        <f>_xll.BDP("593325LM Muni","YIELD_ON_ISSUE_DATE")</f>
        <v>#N/A Requesting Data...</v>
      </c>
      <c r="N1224" t="str">
        <f>_xll.BDP("593325LM Muni","YTW_SPREAD_TO_MATURITY_AT_ISSU")</f>
        <v>#N/A Requesting Data...</v>
      </c>
      <c r="O1224" t="str">
        <f>_xll.BDP("593325LM Muni","BVAL_MID_YTM")</f>
        <v>#N/A Requesting Data...</v>
      </c>
      <c r="P1224" t="str">
        <f>_xll.BDP("593325LM Muni","MUNI_TAX_PROV")</f>
        <v>#N/A Requesting Data...</v>
      </c>
      <c r="Q1224" t="str">
        <f>_xll.BDP("593325LM Muni","MUNI_FED_TAX")</f>
        <v>#N/A Requesting Data...</v>
      </c>
      <c r="R1224" t="str">
        <f>_xll.BDP("593325LM Muni","MUNI_MSRB_VOLUME")</f>
        <v>#N/A Requesting Data...</v>
      </c>
      <c r="S1224" t="str">
        <f>_xll.BDP("593325LM Muni","BB_COMPOSITE")</f>
        <v>#N/A Requesting Data...</v>
      </c>
      <c r="T1224" t="str">
        <f>_xll.BDP("593325LM Muni","LQA_LIQUIDITY_SCORE")</f>
        <v>#N/A Requesting Data...</v>
      </c>
    </row>
    <row r="1225" spans="1:20" x14ac:dyDescent="0.25">
      <c r="A1225" t="str">
        <f>_xll.BDP("593325LN Muni","ID_CUSIP")</f>
        <v>#N/A Requesting Data...</v>
      </c>
      <c r="B1225" t="s">
        <v>406</v>
      </c>
      <c r="C1225" t="str">
        <f>_xll.BDP("593325LN Muni","INSURANCE_STATUS")</f>
        <v>#N/A Requesting Data...</v>
      </c>
      <c r="D1225" t="str">
        <f>_xll.BDP("593325LN Muni","STATE_CODE")</f>
        <v>#N/A Requesting Data...</v>
      </c>
      <c r="E1225" t="str">
        <f>_xll.BDP("593325LN Muni","COUNTY_LOCATION_ISSUER")</f>
        <v>#N/A Requesting Data...</v>
      </c>
      <c r="F1225" t="str">
        <f>_xll.BDP("593325LN Muni","DUR_ADJ_MID")</f>
        <v>#N/A Requesting Data...</v>
      </c>
      <c r="G1225" t="str">
        <f>_xll.BDP("593325LN Muni","SPREAD_AT_ISSUANCE_TO_WORST")</f>
        <v>#N/A Requesting Data...</v>
      </c>
      <c r="H1225" t="str">
        <f>_xll.BDP("593325LN Muni","ISSUE_DT")</f>
        <v>#N/A Requesting Data...</v>
      </c>
      <c r="I1225" t="str">
        <f>_xll.BDS("593325LN Muni","MUNI_PURPOSE_SCHED", "aggregate=y")</f>
        <v>#N/A Review</v>
      </c>
      <c r="J1225" t="str">
        <f>_xll.BDP("593325LN Muni","CPN")</f>
        <v>#N/A Requesting Data...</v>
      </c>
      <c r="K1225" t="str">
        <f>_xll.BDP("593325LN Muni","MATURITY")</f>
        <v>#N/A Requesting Data...</v>
      </c>
      <c r="L1225">
        <v>300000</v>
      </c>
      <c r="M1225" t="str">
        <f>_xll.BDP("593325LN Muni","YIELD_ON_ISSUE_DATE")</f>
        <v>#N/A Requesting Data...</v>
      </c>
      <c r="N1225" t="str">
        <f>_xll.BDP("593325LN Muni","YTW_SPREAD_TO_MATURITY_AT_ISSU")</f>
        <v>#N/A Requesting Data...</v>
      </c>
      <c r="O1225" t="str">
        <f>_xll.BDP("593325LN Muni","BVAL_MID_YTM")</f>
        <v>#N/A Requesting Data...</v>
      </c>
      <c r="P1225" t="str">
        <f>_xll.BDP("593325LN Muni","MUNI_TAX_PROV")</f>
        <v>#N/A Requesting Data...</v>
      </c>
      <c r="Q1225" t="str">
        <f>_xll.BDP("593325LN Muni","MUNI_FED_TAX")</f>
        <v>#N/A Requesting Data...</v>
      </c>
      <c r="R1225" t="str">
        <f>_xll.BDP("593325LN Muni","MUNI_MSRB_VOLUME")</f>
        <v>#N/A Requesting Data...</v>
      </c>
      <c r="S1225" t="str">
        <f>_xll.BDP("593325LN Muni","BB_COMPOSITE")</f>
        <v>#N/A Requesting Data...</v>
      </c>
      <c r="T1225" t="str">
        <f>_xll.BDP("593325LN Muni","LQA_LIQUIDITY_SCORE")</f>
        <v>#N/A Requesting Data...</v>
      </c>
    </row>
    <row r="1226" spans="1:20" x14ac:dyDescent="0.25">
      <c r="A1226" t="str">
        <f>_xll.BDP("593325LP Muni","ID_CUSIP")</f>
        <v>#N/A Requesting Data...</v>
      </c>
      <c r="B1226" t="s">
        <v>406</v>
      </c>
      <c r="C1226" t="str">
        <f>_xll.BDP("593325LP Muni","INSURANCE_STATUS")</f>
        <v>#N/A Requesting Data...</v>
      </c>
      <c r="D1226" t="str">
        <f>_xll.BDP("593325LP Muni","STATE_CODE")</f>
        <v>#N/A Requesting Data...</v>
      </c>
      <c r="E1226" t="str">
        <f>_xll.BDP("593325LP Muni","COUNTY_LOCATION_ISSUER")</f>
        <v>#N/A Requesting Data...</v>
      </c>
      <c r="F1226" t="str">
        <f>_xll.BDP("593325LP Muni","DUR_ADJ_MID")</f>
        <v>#N/A Requesting Data...</v>
      </c>
      <c r="G1226" t="str">
        <f>_xll.BDP("593325LP Muni","SPREAD_AT_ISSUANCE_TO_WORST")</f>
        <v>#N/A Requesting Data...</v>
      </c>
      <c r="H1226" t="str">
        <f>_xll.BDP("593325LP Muni","ISSUE_DT")</f>
        <v>#N/A Requesting Data...</v>
      </c>
      <c r="I1226" t="str">
        <f>_xll.BDS("593325LP Muni","MUNI_PURPOSE_SCHED", "aggregate=y")</f>
        <v>#N/A Review</v>
      </c>
      <c r="J1226" t="str">
        <f>_xll.BDP("593325LP Muni","CPN")</f>
        <v>#N/A Requesting Data...</v>
      </c>
      <c r="K1226" t="str">
        <f>_xll.BDP("593325LP Muni","MATURITY")</f>
        <v>#N/A Requesting Data...</v>
      </c>
      <c r="L1226">
        <v>310000</v>
      </c>
      <c r="M1226" t="str">
        <f>_xll.BDP("593325LP Muni","YIELD_ON_ISSUE_DATE")</f>
        <v>#N/A Requesting Data...</v>
      </c>
      <c r="N1226" t="str">
        <f>_xll.BDP("593325LP Muni","YTW_SPREAD_TO_MATURITY_AT_ISSU")</f>
        <v>#N/A Requesting Data...</v>
      </c>
      <c r="O1226" t="str">
        <f>_xll.BDP("593325LP Muni","BVAL_MID_YTM")</f>
        <v>#N/A Requesting Data...</v>
      </c>
      <c r="P1226" t="str">
        <f>_xll.BDP("593325LP Muni","MUNI_TAX_PROV")</f>
        <v>#N/A Requesting Data...</v>
      </c>
      <c r="Q1226" t="str">
        <f>_xll.BDP("593325LP Muni","MUNI_FED_TAX")</f>
        <v>#N/A Requesting Data...</v>
      </c>
      <c r="R1226" t="str">
        <f>_xll.BDP("593325LP Muni","MUNI_MSRB_VOLUME")</f>
        <v>#N/A Requesting Data...</v>
      </c>
      <c r="S1226" t="str">
        <f>_xll.BDP("593325LP Muni","BB_COMPOSITE")</f>
        <v>#N/A Requesting Data...</v>
      </c>
      <c r="T1226" t="str">
        <f>_xll.BDP("593325LP Muni","LQA_LIQUIDITY_SCORE")</f>
        <v>#N/A Requesting Data...</v>
      </c>
    </row>
    <row r="1227" spans="1:20" x14ac:dyDescent="0.25">
      <c r="A1227" t="str">
        <f>_xll.BDP("593325LQ Muni","ID_CUSIP")</f>
        <v>#N/A Requesting Data...</v>
      </c>
      <c r="B1227" t="s">
        <v>406</v>
      </c>
      <c r="C1227" t="str">
        <f>_xll.BDP("593325LQ Muni","INSURANCE_STATUS")</f>
        <v>#N/A Requesting Data...</v>
      </c>
      <c r="D1227" t="str">
        <f>_xll.BDP("593325LQ Muni","STATE_CODE")</f>
        <v>#N/A Requesting Data...</v>
      </c>
      <c r="E1227" t="str">
        <f>_xll.BDP("593325LQ Muni","COUNTY_LOCATION_ISSUER")</f>
        <v>#N/A Requesting Data...</v>
      </c>
      <c r="F1227" t="str">
        <f>_xll.BDP("593325LQ Muni","DUR_ADJ_MID")</f>
        <v>#N/A Requesting Data...</v>
      </c>
      <c r="G1227" t="str">
        <f>_xll.BDP("593325LQ Muni","SPREAD_AT_ISSUANCE_TO_WORST")</f>
        <v>#N/A Requesting Data...</v>
      </c>
      <c r="H1227" t="str">
        <f>_xll.BDP("593325LQ Muni","ISSUE_DT")</f>
        <v>#N/A Requesting Data...</v>
      </c>
      <c r="I1227" t="str">
        <f>_xll.BDS("593325LQ Muni","MUNI_PURPOSE_SCHED", "aggregate=y")</f>
        <v>#N/A Review</v>
      </c>
      <c r="J1227" t="str">
        <f>_xll.BDP("593325LQ Muni","CPN")</f>
        <v>#N/A Requesting Data...</v>
      </c>
      <c r="K1227" t="str">
        <f>_xll.BDP("593325LQ Muni","MATURITY")</f>
        <v>#N/A Requesting Data...</v>
      </c>
      <c r="L1227">
        <v>315000</v>
      </c>
      <c r="M1227" t="str">
        <f>_xll.BDP("593325LQ Muni","YIELD_ON_ISSUE_DATE")</f>
        <v>#N/A Requesting Data...</v>
      </c>
      <c r="N1227" t="str">
        <f>_xll.BDP("593325LQ Muni","YTW_SPREAD_TO_MATURITY_AT_ISSU")</f>
        <v>#N/A Requesting Data...</v>
      </c>
      <c r="O1227" t="str">
        <f>_xll.BDP("593325LQ Muni","BVAL_MID_YTM")</f>
        <v>#N/A Requesting Data...</v>
      </c>
      <c r="P1227" t="str">
        <f>_xll.BDP("593325LQ Muni","MUNI_TAX_PROV")</f>
        <v>#N/A Requesting Data...</v>
      </c>
      <c r="Q1227" t="str">
        <f>_xll.BDP("593325LQ Muni","MUNI_FED_TAX")</f>
        <v>#N/A Requesting Data...</v>
      </c>
      <c r="R1227" t="str">
        <f>_xll.BDP("593325LQ Muni","MUNI_MSRB_VOLUME")</f>
        <v>#N/A Requesting Data...</v>
      </c>
      <c r="S1227" t="str">
        <f>_xll.BDP("593325LQ Muni","BB_COMPOSITE")</f>
        <v>#N/A Requesting Data...</v>
      </c>
      <c r="T1227" t="str">
        <f>_xll.BDP("593325LQ Muni","LQA_LIQUIDITY_SCORE")</f>
        <v>#N/A Requesting Data...</v>
      </c>
    </row>
    <row r="1228" spans="1:20" x14ac:dyDescent="0.25">
      <c r="A1228" t="str">
        <f>_xll.BDP("488133BC Muni","ID_CUSIP")</f>
        <v>#N/A Requesting Data...</v>
      </c>
      <c r="B1228" t="s">
        <v>407</v>
      </c>
      <c r="C1228" t="str">
        <f>_xll.BDP("488133BC Muni","INSURANCE_STATUS")</f>
        <v>#N/A Requesting Data...</v>
      </c>
      <c r="D1228" t="str">
        <f>_xll.BDP("488133BC Muni","STATE_CODE")</f>
        <v>#N/A Requesting Data...</v>
      </c>
      <c r="E1228" t="str">
        <f>_xll.BDP("488133BC Muni","COUNTY_LOCATION_ISSUER")</f>
        <v>#N/A Requesting Data...</v>
      </c>
      <c r="F1228" t="str">
        <f>_xll.BDP("488133BC Muni","DUR_ADJ_MID")</f>
        <v>#N/A Requesting Data...</v>
      </c>
      <c r="G1228" t="str">
        <f>_xll.BDP("488133BC Muni","SPREAD_AT_ISSUANCE_TO_WORST")</f>
        <v>#N/A Requesting Data...</v>
      </c>
      <c r="H1228" t="str">
        <f>_xll.BDP("488133BC Muni","ISSUE_DT")</f>
        <v>#N/A Requesting Data...</v>
      </c>
      <c r="I1228" t="str">
        <f>_xll.BDS("488133BC Muni","MUNI_PURPOSE_SCHED", "aggregate=y")</f>
        <v>#N/A Review</v>
      </c>
      <c r="J1228" t="str">
        <f>_xll.BDP("488133BC Muni","CPN")</f>
        <v>#N/A Requesting Data...</v>
      </c>
      <c r="K1228" t="str">
        <f>_xll.BDP("488133BC Muni","MATURITY")</f>
        <v>#N/A Requesting Data...</v>
      </c>
      <c r="L1228">
        <v>75000</v>
      </c>
      <c r="M1228" t="str">
        <f>_xll.BDP("488133BC Muni","YIELD_ON_ISSUE_DATE")</f>
        <v>#N/A Requesting Data...</v>
      </c>
      <c r="N1228" t="str">
        <f>_xll.BDP("488133BC Muni","YTW_SPREAD_TO_MATURITY_AT_ISSU")</f>
        <v>#N/A Requesting Data...</v>
      </c>
      <c r="O1228" t="str">
        <f>_xll.BDP("488133BC Muni","BVAL_MID_YTM")</f>
        <v>#N/A Requesting Data...</v>
      </c>
      <c r="P1228" t="str">
        <f>_xll.BDP("488133BC Muni","MUNI_TAX_PROV")</f>
        <v>#N/A Requesting Data...</v>
      </c>
      <c r="Q1228" t="str">
        <f>_xll.BDP("488133BC Muni","MUNI_FED_TAX")</f>
        <v>#N/A Requesting Data...</v>
      </c>
      <c r="R1228" t="str">
        <f>_xll.BDP("488133BC Muni","MUNI_MSRB_VOLUME")</f>
        <v>#N/A Requesting Data...</v>
      </c>
      <c r="S1228" t="str">
        <f>_xll.BDP("488133BC Muni","BB_COMPOSITE")</f>
        <v>#N/A Requesting Data...</v>
      </c>
      <c r="T1228" t="str">
        <f>_xll.BDP("488133BC Muni","LQA_LIQUIDITY_SCORE")</f>
        <v>#N/A Requesting Data...</v>
      </c>
    </row>
    <row r="1229" spans="1:20" x14ac:dyDescent="0.25">
      <c r="A1229" t="str">
        <f>_xll.BDP("488133BD Muni","ID_CUSIP")</f>
        <v>#N/A Requesting Data...</v>
      </c>
      <c r="B1229" t="s">
        <v>407</v>
      </c>
      <c r="C1229" t="str">
        <f>_xll.BDP("488133BD Muni","INSURANCE_STATUS")</f>
        <v>#N/A Requesting Data...</v>
      </c>
      <c r="D1229" t="str">
        <f>_xll.BDP("488133BD Muni","STATE_CODE")</f>
        <v>#N/A Requesting Data...</v>
      </c>
      <c r="E1229" t="str">
        <f>_xll.BDP("488133BD Muni","COUNTY_LOCATION_ISSUER")</f>
        <v>#N/A Requesting Data...</v>
      </c>
      <c r="F1229" t="str">
        <f>_xll.BDP("488133BD Muni","DUR_ADJ_MID")</f>
        <v>#N/A Requesting Data...</v>
      </c>
      <c r="G1229" t="str">
        <f>_xll.BDP("488133BD Muni","SPREAD_AT_ISSUANCE_TO_WORST")</f>
        <v>#N/A Requesting Data...</v>
      </c>
      <c r="H1229" t="str">
        <f>_xll.BDP("488133BD Muni","ISSUE_DT")</f>
        <v>#N/A Requesting Data...</v>
      </c>
      <c r="I1229" t="str">
        <f>_xll.BDS("488133BD Muni","MUNI_PURPOSE_SCHED", "aggregate=y")</f>
        <v>#N/A Review</v>
      </c>
      <c r="J1229" t="str">
        <f>_xll.BDP("488133BD Muni","CPN")</f>
        <v>#N/A Requesting Data...</v>
      </c>
      <c r="K1229" t="str">
        <f>_xll.BDP("488133BD Muni","MATURITY")</f>
        <v>#N/A Requesting Data...</v>
      </c>
      <c r="L1229">
        <v>80000</v>
      </c>
      <c r="M1229" t="str">
        <f>_xll.BDP("488133BD Muni","YIELD_ON_ISSUE_DATE")</f>
        <v>#N/A Requesting Data...</v>
      </c>
      <c r="N1229" t="str">
        <f>_xll.BDP("488133BD Muni","YTW_SPREAD_TO_MATURITY_AT_ISSU")</f>
        <v>#N/A Requesting Data...</v>
      </c>
      <c r="O1229" t="str">
        <f>_xll.BDP("488133BD Muni","BVAL_MID_YTM")</f>
        <v>#N/A Requesting Data...</v>
      </c>
      <c r="P1229" t="str">
        <f>_xll.BDP("488133BD Muni","MUNI_TAX_PROV")</f>
        <v>#N/A Requesting Data...</v>
      </c>
      <c r="Q1229" t="str">
        <f>_xll.BDP("488133BD Muni","MUNI_FED_TAX")</f>
        <v>#N/A Requesting Data...</v>
      </c>
      <c r="R1229" t="str">
        <f>_xll.BDP("488133BD Muni","MUNI_MSRB_VOLUME")</f>
        <v>#N/A Requesting Data...</v>
      </c>
      <c r="S1229" t="str">
        <f>_xll.BDP("488133BD Muni","BB_COMPOSITE")</f>
        <v>#N/A Requesting Data...</v>
      </c>
      <c r="T1229" t="str">
        <f>_xll.BDP("488133BD Muni","LQA_LIQUIDITY_SCORE")</f>
        <v>#N/A Requesting Data...</v>
      </c>
    </row>
    <row r="1230" spans="1:20" x14ac:dyDescent="0.25">
      <c r="A1230" t="str">
        <f>_xll.BDP("488260DK Muni","ID_CUSIP")</f>
        <v>#N/A Requesting Data...</v>
      </c>
      <c r="B1230" t="s">
        <v>408</v>
      </c>
      <c r="C1230" t="str">
        <f>_xll.BDP("488260DK Muni","INSURANCE_STATUS")</f>
        <v>#N/A Requesting Data...</v>
      </c>
      <c r="D1230" t="str">
        <f>_xll.BDP("488260DK Muni","STATE_CODE")</f>
        <v>#N/A Requesting Data...</v>
      </c>
      <c r="E1230" t="str">
        <f>_xll.BDP("488260DK Muni","COUNTY_LOCATION_ISSUER")</f>
        <v>#N/A Requesting Data...</v>
      </c>
      <c r="F1230" t="str">
        <f>_xll.BDP("488260DK Muni","DUR_ADJ_MID")</f>
        <v>#N/A Requesting Data...</v>
      </c>
      <c r="G1230" t="str">
        <f>_xll.BDP("488260DK Muni","SPREAD_AT_ISSUANCE_TO_WORST")</f>
        <v>#N/A Requesting Data...</v>
      </c>
      <c r="H1230" t="str">
        <f>_xll.BDP("488260DK Muni","ISSUE_DT")</f>
        <v>#N/A Requesting Data...</v>
      </c>
      <c r="I1230" t="str">
        <f>_xll.BDS("488260DK Muni","MUNI_PURPOSE_SCHED", "aggregate=y")</f>
        <v>#N/A Review</v>
      </c>
      <c r="J1230" t="str">
        <f>_xll.BDP("488260DK Muni","CPN")</f>
        <v>#N/A Requesting Data...</v>
      </c>
      <c r="K1230" t="str">
        <f>_xll.BDP("488260DK Muni","MATURITY")</f>
        <v>#N/A Requesting Data...</v>
      </c>
      <c r="L1230">
        <v>140000</v>
      </c>
      <c r="M1230" t="str">
        <f>_xll.BDP("488260DK Muni","YIELD_ON_ISSUE_DATE")</f>
        <v>#N/A Requesting Data...</v>
      </c>
      <c r="N1230" t="str">
        <f>_xll.BDP("488260DK Muni","YTW_SPREAD_TO_MATURITY_AT_ISSU")</f>
        <v>#N/A Requesting Data...</v>
      </c>
      <c r="O1230" t="str">
        <f>_xll.BDP("488260DK Muni","BVAL_MID_YTM")</f>
        <v>#N/A Requesting Data...</v>
      </c>
      <c r="P1230" t="str">
        <f>_xll.BDP("488260DK Muni","MUNI_TAX_PROV")</f>
        <v>#N/A Requesting Data...</v>
      </c>
      <c r="Q1230" t="str">
        <f>_xll.BDP("488260DK Muni","MUNI_FED_TAX")</f>
        <v>#N/A Requesting Data...</v>
      </c>
      <c r="R1230" t="str">
        <f>_xll.BDP("488260DK Muni","MUNI_MSRB_VOLUME")</f>
        <v>#N/A Requesting Data...</v>
      </c>
      <c r="S1230" t="str">
        <f>_xll.BDP("488260DK Muni","BB_COMPOSITE")</f>
        <v>#N/A Requesting Data...</v>
      </c>
      <c r="T1230" t="str">
        <f>_xll.BDP("488260DK Muni","LQA_LIQUIDITY_SCORE")</f>
        <v>#N/A Requesting Data...</v>
      </c>
    </row>
    <row r="1231" spans="1:20" x14ac:dyDescent="0.25">
      <c r="A1231" t="str">
        <f>_xll.BDP("488260DL Muni","ID_CUSIP")</f>
        <v>#N/A Requesting Data...</v>
      </c>
      <c r="B1231" t="s">
        <v>408</v>
      </c>
      <c r="C1231" t="str">
        <f>_xll.BDP("488260DL Muni","INSURANCE_STATUS")</f>
        <v>#N/A Requesting Data...</v>
      </c>
      <c r="D1231" t="str">
        <f>_xll.BDP("488260DL Muni","STATE_CODE")</f>
        <v>#N/A Requesting Data...</v>
      </c>
      <c r="E1231" t="str">
        <f>_xll.BDP("488260DL Muni","COUNTY_LOCATION_ISSUER")</f>
        <v>#N/A Requesting Data...</v>
      </c>
      <c r="F1231" t="str">
        <f>_xll.BDP("488260DL Muni","DUR_ADJ_MID")</f>
        <v>#N/A Requesting Data...</v>
      </c>
      <c r="G1231" t="str">
        <f>_xll.BDP("488260DL Muni","SPREAD_AT_ISSUANCE_TO_WORST")</f>
        <v>#N/A Requesting Data...</v>
      </c>
      <c r="H1231" t="str">
        <f>_xll.BDP("488260DL Muni","ISSUE_DT")</f>
        <v>#N/A Requesting Data...</v>
      </c>
      <c r="I1231" t="str">
        <f>_xll.BDS("488260DL Muni","MUNI_PURPOSE_SCHED", "aggregate=y")</f>
        <v>#N/A Review</v>
      </c>
      <c r="J1231" t="str">
        <f>_xll.BDP("488260DL Muni","CPN")</f>
        <v>#N/A Requesting Data...</v>
      </c>
      <c r="K1231" t="str">
        <f>_xll.BDP("488260DL Muni","MATURITY")</f>
        <v>#N/A Requesting Data...</v>
      </c>
      <c r="L1231">
        <v>140000</v>
      </c>
      <c r="M1231" t="str">
        <f>_xll.BDP("488260DL Muni","YIELD_ON_ISSUE_DATE")</f>
        <v>#N/A Requesting Data...</v>
      </c>
      <c r="N1231" t="str">
        <f>_xll.BDP("488260DL Muni","YTW_SPREAD_TO_MATURITY_AT_ISSU")</f>
        <v>#N/A Requesting Data...</v>
      </c>
      <c r="O1231" t="str">
        <f>_xll.BDP("488260DL Muni","BVAL_MID_YTM")</f>
        <v>#N/A Requesting Data...</v>
      </c>
      <c r="P1231" t="str">
        <f>_xll.BDP("488260DL Muni","MUNI_TAX_PROV")</f>
        <v>#N/A Requesting Data...</v>
      </c>
      <c r="Q1231" t="str">
        <f>_xll.BDP("488260DL Muni","MUNI_FED_TAX")</f>
        <v>#N/A Requesting Data...</v>
      </c>
      <c r="R1231" t="str">
        <f>_xll.BDP("488260DL Muni","MUNI_MSRB_VOLUME")</f>
        <v>#N/A Requesting Data...</v>
      </c>
      <c r="S1231" t="str">
        <f>_xll.BDP("488260DL Muni","BB_COMPOSITE")</f>
        <v>#N/A Requesting Data...</v>
      </c>
      <c r="T1231" t="str">
        <f>_xll.BDP("488260DL Muni","LQA_LIQUIDITY_SCORE")</f>
        <v>#N/A Requesting Data...</v>
      </c>
    </row>
    <row r="1232" spans="1:20" x14ac:dyDescent="0.25">
      <c r="A1232" t="str">
        <f>_xll.BDP("613917SP Muni","ID_CUSIP")</f>
        <v>#N/A Requesting Data...</v>
      </c>
      <c r="B1232" t="s">
        <v>409</v>
      </c>
      <c r="C1232" t="str">
        <f>_xll.BDP("613917SP Muni","INSURANCE_STATUS")</f>
        <v>#N/A Requesting Data...</v>
      </c>
      <c r="D1232" t="str">
        <f>_xll.BDP("613917SP Muni","STATE_CODE")</f>
        <v>#N/A Requesting Data...</v>
      </c>
      <c r="E1232" t="str">
        <f>_xll.BDP("613917SP Muni","COUNTY_LOCATION_ISSUER")</f>
        <v>#N/A Requesting Data...</v>
      </c>
      <c r="F1232" t="str">
        <f>_xll.BDP("613917SP Muni","DUR_ADJ_MID")</f>
        <v>#N/A Requesting Data...</v>
      </c>
      <c r="G1232" t="str">
        <f>_xll.BDP("613917SP Muni","SPREAD_AT_ISSUANCE_TO_WORST")</f>
        <v>#N/A Requesting Data...</v>
      </c>
      <c r="H1232" t="str">
        <f>_xll.BDP("613917SP Muni","ISSUE_DT")</f>
        <v>#N/A Requesting Data...</v>
      </c>
      <c r="I1232" t="str">
        <f>_xll.BDS("613917SP Muni","MUNI_PURPOSE_SCHED", "aggregate=y")</f>
        <v>#N/A Review</v>
      </c>
      <c r="J1232" t="str">
        <f>_xll.BDP("613917SP Muni","CPN")</f>
        <v>#N/A Requesting Data...</v>
      </c>
      <c r="K1232" t="str">
        <f>_xll.BDP("613917SP Muni","MATURITY")</f>
        <v>#N/A Requesting Data...</v>
      </c>
      <c r="L1232">
        <v>85000</v>
      </c>
      <c r="M1232" t="str">
        <f>_xll.BDP("613917SP Muni","YIELD_ON_ISSUE_DATE")</f>
        <v>#N/A Requesting Data...</v>
      </c>
      <c r="N1232" t="str">
        <f>_xll.BDP("613917SP Muni","YTW_SPREAD_TO_MATURITY_AT_ISSU")</f>
        <v>#N/A Requesting Data...</v>
      </c>
      <c r="O1232" t="str">
        <f>_xll.BDP("613917SP Muni","BVAL_MID_YTM")</f>
        <v>#N/A Requesting Data...</v>
      </c>
      <c r="P1232" t="str">
        <f>_xll.BDP("613917SP Muni","MUNI_TAX_PROV")</f>
        <v>#N/A Requesting Data...</v>
      </c>
      <c r="Q1232" t="str">
        <f>_xll.BDP("613917SP Muni","MUNI_FED_TAX")</f>
        <v>#N/A Requesting Data...</v>
      </c>
      <c r="R1232" t="str">
        <f>_xll.BDP("613917SP Muni","MUNI_MSRB_VOLUME")</f>
        <v>#N/A Requesting Data...</v>
      </c>
      <c r="S1232" t="str">
        <f>_xll.BDP("613917SP Muni","BB_COMPOSITE")</f>
        <v>#N/A Requesting Data...</v>
      </c>
      <c r="T1232" t="str">
        <f>_xll.BDP("613917SP Muni","LQA_LIQUIDITY_SCORE")</f>
        <v>#N/A Requesting Data...</v>
      </c>
    </row>
    <row r="1233" spans="1:20" x14ac:dyDescent="0.25">
      <c r="A1233" t="str">
        <f>_xll.BDP("613917SQ Muni","ID_CUSIP")</f>
        <v>#N/A Requesting Data...</v>
      </c>
      <c r="B1233" t="s">
        <v>409</v>
      </c>
      <c r="C1233" t="str">
        <f>_xll.BDP("613917SQ Muni","INSURANCE_STATUS")</f>
        <v>#N/A Requesting Data...</v>
      </c>
      <c r="D1233" t="str">
        <f>_xll.BDP("613917SQ Muni","STATE_CODE")</f>
        <v>#N/A Requesting Data...</v>
      </c>
      <c r="E1233" t="str">
        <f>_xll.BDP("613917SQ Muni","COUNTY_LOCATION_ISSUER")</f>
        <v>#N/A Requesting Data...</v>
      </c>
      <c r="F1233" t="str">
        <f>_xll.BDP("613917SQ Muni","DUR_ADJ_MID")</f>
        <v>#N/A Requesting Data...</v>
      </c>
      <c r="G1233" t="str">
        <f>_xll.BDP("613917SQ Muni","SPREAD_AT_ISSUANCE_TO_WORST")</f>
        <v>#N/A Requesting Data...</v>
      </c>
      <c r="H1233" t="str">
        <f>_xll.BDP("613917SQ Muni","ISSUE_DT")</f>
        <v>#N/A Requesting Data...</v>
      </c>
      <c r="I1233" t="str">
        <f>_xll.BDS("613917SQ Muni","MUNI_PURPOSE_SCHED", "aggregate=y")</f>
        <v>#N/A Review</v>
      </c>
      <c r="J1233" t="str">
        <f>_xll.BDP("613917SQ Muni","CPN")</f>
        <v>#N/A Requesting Data...</v>
      </c>
      <c r="K1233" t="str">
        <f>_xll.BDP("613917SQ Muni","MATURITY")</f>
        <v>#N/A Requesting Data...</v>
      </c>
      <c r="L1233">
        <v>90000</v>
      </c>
      <c r="M1233" t="str">
        <f>_xll.BDP("613917SQ Muni","YIELD_ON_ISSUE_DATE")</f>
        <v>#N/A Requesting Data...</v>
      </c>
      <c r="N1233" t="str">
        <f>_xll.BDP("613917SQ Muni","YTW_SPREAD_TO_MATURITY_AT_ISSU")</f>
        <v>#N/A Requesting Data...</v>
      </c>
      <c r="O1233" t="str">
        <f>_xll.BDP("613917SQ Muni","BVAL_MID_YTM")</f>
        <v>#N/A Requesting Data...</v>
      </c>
      <c r="P1233" t="str">
        <f>_xll.BDP("613917SQ Muni","MUNI_TAX_PROV")</f>
        <v>#N/A Requesting Data...</v>
      </c>
      <c r="Q1233" t="str">
        <f>_xll.BDP("613917SQ Muni","MUNI_FED_TAX")</f>
        <v>#N/A Requesting Data...</v>
      </c>
      <c r="R1233" t="str">
        <f>_xll.BDP("613917SQ Muni","MUNI_MSRB_VOLUME")</f>
        <v>#N/A Requesting Data...</v>
      </c>
      <c r="S1233" t="str">
        <f>_xll.BDP("613917SQ Muni","BB_COMPOSITE")</f>
        <v>#N/A Requesting Data...</v>
      </c>
      <c r="T1233" t="str">
        <f>_xll.BDP("613917SQ Muni","LQA_LIQUIDITY_SCORE")</f>
        <v>#N/A Requesting Data...</v>
      </c>
    </row>
    <row r="1234" spans="1:20" x14ac:dyDescent="0.25">
      <c r="A1234" t="str">
        <f>_xll.BDP("613917SR Muni","ID_CUSIP")</f>
        <v>#N/A Requesting Data...</v>
      </c>
      <c r="B1234" t="s">
        <v>409</v>
      </c>
      <c r="C1234" t="str">
        <f>_xll.BDP("613917SR Muni","INSURANCE_STATUS")</f>
        <v>#N/A Requesting Data...</v>
      </c>
      <c r="D1234" t="str">
        <f>_xll.BDP("613917SR Muni","STATE_CODE")</f>
        <v>#N/A Requesting Data...</v>
      </c>
      <c r="E1234" t="str">
        <f>_xll.BDP("613917SR Muni","COUNTY_LOCATION_ISSUER")</f>
        <v>#N/A Requesting Data...</v>
      </c>
      <c r="F1234" t="str">
        <f>_xll.BDP("613917SR Muni","DUR_ADJ_MID")</f>
        <v>#N/A Requesting Data...</v>
      </c>
      <c r="G1234" t="str">
        <f>_xll.BDP("613917SR Muni","SPREAD_AT_ISSUANCE_TO_WORST")</f>
        <v>#N/A Requesting Data...</v>
      </c>
      <c r="H1234" t="str">
        <f>_xll.BDP("613917SR Muni","ISSUE_DT")</f>
        <v>#N/A Requesting Data...</v>
      </c>
      <c r="I1234" t="str">
        <f>_xll.BDS("613917SR Muni","MUNI_PURPOSE_SCHED", "aggregate=y")</f>
        <v>#N/A Review</v>
      </c>
      <c r="J1234" t="str">
        <f>_xll.BDP("613917SR Muni","CPN")</f>
        <v>#N/A Requesting Data...</v>
      </c>
      <c r="K1234" t="str">
        <f>_xll.BDP("613917SR Muni","MATURITY")</f>
        <v>#N/A Requesting Data...</v>
      </c>
      <c r="L1234">
        <v>90000</v>
      </c>
      <c r="M1234" t="str">
        <f>_xll.BDP("613917SR Muni","YIELD_ON_ISSUE_DATE")</f>
        <v>#N/A Requesting Data...</v>
      </c>
      <c r="N1234" t="str">
        <f>_xll.BDP("613917SR Muni","YTW_SPREAD_TO_MATURITY_AT_ISSU")</f>
        <v>#N/A Requesting Data...</v>
      </c>
      <c r="O1234" t="str">
        <f>_xll.BDP("613917SR Muni","BVAL_MID_YTM")</f>
        <v>#N/A Requesting Data...</v>
      </c>
      <c r="P1234" t="str">
        <f>_xll.BDP("613917SR Muni","MUNI_TAX_PROV")</f>
        <v>#N/A Requesting Data...</v>
      </c>
      <c r="Q1234" t="str">
        <f>_xll.BDP("613917SR Muni","MUNI_FED_TAX")</f>
        <v>#N/A Requesting Data...</v>
      </c>
      <c r="R1234" t="str">
        <f>_xll.BDP("613917SR Muni","MUNI_MSRB_VOLUME")</f>
        <v>#N/A Requesting Data...</v>
      </c>
      <c r="S1234" t="str">
        <f>_xll.BDP("613917SR Muni","BB_COMPOSITE")</f>
        <v>#N/A Requesting Data...</v>
      </c>
      <c r="T1234" t="str">
        <f>_xll.BDP("613917SR Muni","LQA_LIQUIDITY_SCORE")</f>
        <v>#N/A Requesting Data...</v>
      </c>
    </row>
    <row r="1235" spans="1:20" x14ac:dyDescent="0.25">
      <c r="A1235" t="str">
        <f>_xll.BDP("615875EZ Muni","ID_CUSIP")</f>
        <v>#N/A Requesting Data...</v>
      </c>
      <c r="B1235" t="s">
        <v>410</v>
      </c>
      <c r="C1235" t="str">
        <f>_xll.BDP("615875EZ Muni","INSURANCE_STATUS")</f>
        <v>#N/A Requesting Data...</v>
      </c>
      <c r="D1235" t="str">
        <f>_xll.BDP("615875EZ Muni","STATE_CODE")</f>
        <v>#N/A Requesting Data...</v>
      </c>
      <c r="E1235" t="str">
        <f>_xll.BDP("615875EZ Muni","COUNTY_LOCATION_ISSUER")</f>
        <v>#N/A Requesting Data...</v>
      </c>
      <c r="F1235" t="str">
        <f>_xll.BDP("615875EZ Muni","DUR_ADJ_MID")</f>
        <v>#N/A Requesting Data...</v>
      </c>
      <c r="G1235" t="str">
        <f>_xll.BDP("615875EZ Muni","SPREAD_AT_ISSUANCE_TO_WORST")</f>
        <v>#N/A Requesting Data...</v>
      </c>
      <c r="H1235" t="str">
        <f>_xll.BDP("615875EZ Muni","ISSUE_DT")</f>
        <v>#N/A Requesting Data...</v>
      </c>
      <c r="I1235" t="str">
        <f>_xll.BDS("615875EZ Muni","MUNI_PURPOSE_SCHED", "aggregate=y")</f>
        <v>#N/A Review</v>
      </c>
      <c r="J1235" t="str">
        <f>_xll.BDP("615875EZ Muni","CPN")</f>
        <v>#N/A Requesting Data...</v>
      </c>
      <c r="K1235" t="str">
        <f>_xll.BDP("615875EZ Muni","MATURITY")</f>
        <v>#N/A Requesting Data...</v>
      </c>
      <c r="L1235">
        <v>5000</v>
      </c>
      <c r="M1235" t="str">
        <f>_xll.BDP("615875EZ Muni","YIELD_ON_ISSUE_DATE")</f>
        <v>#N/A Requesting Data...</v>
      </c>
      <c r="N1235" t="str">
        <f>_xll.BDP("615875EZ Muni","YTW_SPREAD_TO_MATURITY_AT_ISSU")</f>
        <v>#N/A Requesting Data...</v>
      </c>
      <c r="O1235" t="str">
        <f>_xll.BDP("615875EZ Muni","BVAL_MID_YTM")</f>
        <v>#N/A Requesting Data...</v>
      </c>
      <c r="P1235" t="str">
        <f>_xll.BDP("615875EZ Muni","MUNI_TAX_PROV")</f>
        <v>#N/A Requesting Data...</v>
      </c>
      <c r="Q1235" t="str">
        <f>_xll.BDP("615875EZ Muni","MUNI_FED_TAX")</f>
        <v>#N/A Requesting Data...</v>
      </c>
      <c r="R1235" t="str">
        <f>_xll.BDP("615875EZ Muni","MUNI_MSRB_VOLUME")</f>
        <v>#N/A Requesting Data...</v>
      </c>
      <c r="S1235" t="str">
        <f>_xll.BDP("615875EZ Muni","BB_COMPOSITE")</f>
        <v>#N/A Requesting Data...</v>
      </c>
      <c r="T1235" t="str">
        <f>_xll.BDP("615875EZ Muni","LQA_LIQUIDITY_SCORE")</f>
        <v>#N/A Requesting Data...</v>
      </c>
    </row>
    <row r="1236" spans="1:20" x14ac:dyDescent="0.25">
      <c r="A1236" t="str">
        <f>_xll.BDP("616183JF Muni","ID_CUSIP")</f>
        <v>#N/A Requesting Data...</v>
      </c>
      <c r="B1236" t="s">
        <v>411</v>
      </c>
      <c r="C1236" t="str">
        <f>_xll.BDP("616183JF Muni","INSURANCE_STATUS")</f>
        <v>#N/A Requesting Data...</v>
      </c>
      <c r="D1236" t="str">
        <f>_xll.BDP("616183JF Muni","STATE_CODE")</f>
        <v>#N/A Requesting Data...</v>
      </c>
      <c r="E1236" t="str">
        <f>_xll.BDP("616183JF Muni","COUNTY_LOCATION_ISSUER")</f>
        <v>#N/A Requesting Data...</v>
      </c>
      <c r="F1236" t="str">
        <f>_xll.BDP("616183JF Muni","DUR_ADJ_MID")</f>
        <v>#N/A Requesting Data...</v>
      </c>
      <c r="G1236" t="str">
        <f>_xll.BDP("616183JF Muni","SPREAD_AT_ISSUANCE_TO_WORST")</f>
        <v>#N/A Requesting Data...</v>
      </c>
      <c r="H1236" t="str">
        <f>_xll.BDP("616183JF Muni","ISSUE_DT")</f>
        <v>#N/A Requesting Data...</v>
      </c>
      <c r="I1236" t="str">
        <f>_xll.BDS("616183JF Muni","MUNI_PURPOSE_SCHED", "aggregate=y")</f>
        <v>#N/A Review</v>
      </c>
      <c r="J1236" t="str">
        <f>_xll.BDP("616183JF Muni","CPN")</f>
        <v>#N/A Requesting Data...</v>
      </c>
      <c r="K1236" t="str">
        <f>_xll.BDP("616183JF Muni","MATURITY")</f>
        <v>#N/A Requesting Data...</v>
      </c>
      <c r="L1236">
        <v>550000</v>
      </c>
      <c r="M1236" t="str">
        <f>_xll.BDP("616183JF Muni","YIELD_ON_ISSUE_DATE")</f>
        <v>#N/A Requesting Data...</v>
      </c>
      <c r="N1236" t="str">
        <f>_xll.BDP("616183JF Muni","YTW_SPREAD_TO_MATURITY_AT_ISSU")</f>
        <v>#N/A Requesting Data...</v>
      </c>
      <c r="O1236" t="str">
        <f>_xll.BDP("616183JF Muni","BVAL_MID_YTM")</f>
        <v>#N/A Requesting Data...</v>
      </c>
      <c r="P1236" t="str">
        <f>_xll.BDP("616183JF Muni","MUNI_TAX_PROV")</f>
        <v>#N/A Requesting Data...</v>
      </c>
      <c r="Q1236" t="str">
        <f>_xll.BDP("616183JF Muni","MUNI_FED_TAX")</f>
        <v>#N/A Requesting Data...</v>
      </c>
      <c r="R1236" t="str">
        <f>_xll.BDP("616183JF Muni","MUNI_MSRB_VOLUME")</f>
        <v>#N/A Requesting Data...</v>
      </c>
      <c r="S1236" t="str">
        <f>_xll.BDP("616183JF Muni","BB_COMPOSITE")</f>
        <v>#N/A Requesting Data...</v>
      </c>
      <c r="T1236" t="str">
        <f>_xll.BDP("616183JF Muni","LQA_LIQUIDITY_SCORE")</f>
        <v>#N/A Requesting Data...</v>
      </c>
    </row>
    <row r="1237" spans="1:20" x14ac:dyDescent="0.25">
      <c r="A1237" t="str">
        <f>_xll.BDP("616183JG Muni","ID_CUSIP")</f>
        <v>#N/A Requesting Data...</v>
      </c>
      <c r="B1237" t="s">
        <v>411</v>
      </c>
      <c r="C1237" t="str">
        <f>_xll.BDP("616183JG Muni","INSURANCE_STATUS")</f>
        <v>#N/A Requesting Data...</v>
      </c>
      <c r="D1237" t="str">
        <f>_xll.BDP("616183JG Muni","STATE_CODE")</f>
        <v>#N/A Requesting Data...</v>
      </c>
      <c r="E1237" t="str">
        <f>_xll.BDP("616183JG Muni","COUNTY_LOCATION_ISSUER")</f>
        <v>#N/A Requesting Data...</v>
      </c>
      <c r="F1237" t="str">
        <f>_xll.BDP("616183JG Muni","DUR_ADJ_MID")</f>
        <v>#N/A Requesting Data...</v>
      </c>
      <c r="G1237" t="str">
        <f>_xll.BDP("616183JG Muni","SPREAD_AT_ISSUANCE_TO_WORST")</f>
        <v>#N/A Requesting Data...</v>
      </c>
      <c r="H1237" t="str">
        <f>_xll.BDP("616183JG Muni","ISSUE_DT")</f>
        <v>#N/A Requesting Data...</v>
      </c>
      <c r="I1237" t="str">
        <f>_xll.BDS("616183JG Muni","MUNI_PURPOSE_SCHED", "aggregate=y")</f>
        <v>#N/A Review</v>
      </c>
      <c r="J1237" t="str">
        <f>_xll.BDP("616183JG Muni","CPN")</f>
        <v>#N/A Requesting Data...</v>
      </c>
      <c r="K1237" t="str">
        <f>_xll.BDP("616183JG Muni","MATURITY")</f>
        <v>#N/A Requesting Data...</v>
      </c>
      <c r="L1237">
        <v>575000</v>
      </c>
      <c r="M1237" t="str">
        <f>_xll.BDP("616183JG Muni","YIELD_ON_ISSUE_DATE")</f>
        <v>#N/A Requesting Data...</v>
      </c>
      <c r="N1237" t="str">
        <f>_xll.BDP("616183JG Muni","YTW_SPREAD_TO_MATURITY_AT_ISSU")</f>
        <v>#N/A Requesting Data...</v>
      </c>
      <c r="O1237" t="str">
        <f>_xll.BDP("616183JG Muni","BVAL_MID_YTM")</f>
        <v>#N/A Requesting Data...</v>
      </c>
      <c r="P1237" t="str">
        <f>_xll.BDP("616183JG Muni","MUNI_TAX_PROV")</f>
        <v>#N/A Requesting Data...</v>
      </c>
      <c r="Q1237" t="str">
        <f>_xll.BDP("616183JG Muni","MUNI_FED_TAX")</f>
        <v>#N/A Requesting Data...</v>
      </c>
      <c r="R1237" t="str">
        <f>_xll.BDP("616183JG Muni","MUNI_MSRB_VOLUME")</f>
        <v>#N/A Requesting Data...</v>
      </c>
      <c r="S1237" t="str">
        <f>_xll.BDP("616183JG Muni","BB_COMPOSITE")</f>
        <v>#N/A Requesting Data...</v>
      </c>
      <c r="T1237" t="str">
        <f>_xll.BDP("616183JG Muni","LQA_LIQUIDITY_SCORE")</f>
        <v>#N/A Requesting Data...</v>
      </c>
    </row>
    <row r="1238" spans="1:20" x14ac:dyDescent="0.25">
      <c r="A1238" t="str">
        <f>_xll.BDP("616183JH Muni","ID_CUSIP")</f>
        <v>#N/A Requesting Data...</v>
      </c>
      <c r="B1238" t="s">
        <v>411</v>
      </c>
      <c r="C1238" t="str">
        <f>_xll.BDP("616183JH Muni","INSURANCE_STATUS")</f>
        <v>#N/A Requesting Data...</v>
      </c>
      <c r="D1238" t="str">
        <f>_xll.BDP("616183JH Muni","STATE_CODE")</f>
        <v>#N/A Requesting Data...</v>
      </c>
      <c r="E1238" t="str">
        <f>_xll.BDP("616183JH Muni","COUNTY_LOCATION_ISSUER")</f>
        <v>#N/A Requesting Data...</v>
      </c>
      <c r="F1238" t="str">
        <f>_xll.BDP("616183JH Muni","DUR_ADJ_MID")</f>
        <v>#N/A Requesting Data...</v>
      </c>
      <c r="G1238" t="str">
        <f>_xll.BDP("616183JH Muni","SPREAD_AT_ISSUANCE_TO_WORST")</f>
        <v>#N/A Requesting Data...</v>
      </c>
      <c r="H1238" t="str">
        <f>_xll.BDP("616183JH Muni","ISSUE_DT")</f>
        <v>#N/A Requesting Data...</v>
      </c>
      <c r="I1238" t="str">
        <f>_xll.BDS("616183JH Muni","MUNI_PURPOSE_SCHED", "aggregate=y")</f>
        <v>#N/A Review</v>
      </c>
      <c r="J1238" t="str">
        <f>_xll.BDP("616183JH Muni","CPN")</f>
        <v>#N/A Requesting Data...</v>
      </c>
      <c r="K1238" t="str">
        <f>_xll.BDP("616183JH Muni","MATURITY")</f>
        <v>#N/A Requesting Data...</v>
      </c>
      <c r="L1238">
        <v>595000</v>
      </c>
      <c r="M1238" t="str">
        <f>_xll.BDP("616183JH Muni","YIELD_ON_ISSUE_DATE")</f>
        <v>#N/A Requesting Data...</v>
      </c>
      <c r="N1238" t="str">
        <f>_xll.BDP("616183JH Muni","YTW_SPREAD_TO_MATURITY_AT_ISSU")</f>
        <v>#N/A Requesting Data...</v>
      </c>
      <c r="O1238" t="str">
        <f>_xll.BDP("616183JH Muni","BVAL_MID_YTM")</f>
        <v>#N/A Requesting Data...</v>
      </c>
      <c r="P1238" t="str">
        <f>_xll.BDP("616183JH Muni","MUNI_TAX_PROV")</f>
        <v>#N/A Requesting Data...</v>
      </c>
      <c r="Q1238" t="str">
        <f>_xll.BDP("616183JH Muni","MUNI_FED_TAX")</f>
        <v>#N/A Requesting Data...</v>
      </c>
      <c r="R1238" t="str">
        <f>_xll.BDP("616183JH Muni","MUNI_MSRB_VOLUME")</f>
        <v>#N/A Requesting Data...</v>
      </c>
      <c r="S1238" t="str">
        <f>_xll.BDP("616183JH Muni","BB_COMPOSITE")</f>
        <v>#N/A Requesting Data...</v>
      </c>
      <c r="T1238" t="str">
        <f>_xll.BDP("616183JH Muni","LQA_LIQUIDITY_SCORE")</f>
        <v>#N/A Requesting Data...</v>
      </c>
    </row>
    <row r="1239" spans="1:20" x14ac:dyDescent="0.25">
      <c r="A1239" t="str">
        <f>_xll.BDP("616183JJ Muni","ID_CUSIP")</f>
        <v>#N/A Requesting Data...</v>
      </c>
      <c r="B1239" t="s">
        <v>411</v>
      </c>
      <c r="C1239" t="str">
        <f>_xll.BDP("616183JJ Muni","INSURANCE_STATUS")</f>
        <v>#N/A Requesting Data...</v>
      </c>
      <c r="D1239" t="str">
        <f>_xll.BDP("616183JJ Muni","STATE_CODE")</f>
        <v>#N/A Requesting Data...</v>
      </c>
      <c r="E1239" t="str">
        <f>_xll.BDP("616183JJ Muni","COUNTY_LOCATION_ISSUER")</f>
        <v>#N/A Requesting Data...</v>
      </c>
      <c r="F1239" t="str">
        <f>_xll.BDP("616183JJ Muni","DUR_ADJ_MID")</f>
        <v>#N/A Requesting Data...</v>
      </c>
      <c r="G1239" t="str">
        <f>_xll.BDP("616183JJ Muni","SPREAD_AT_ISSUANCE_TO_WORST")</f>
        <v>#N/A Requesting Data...</v>
      </c>
      <c r="H1239" t="str">
        <f>_xll.BDP("616183JJ Muni","ISSUE_DT")</f>
        <v>#N/A Requesting Data...</v>
      </c>
      <c r="I1239" t="str">
        <f>_xll.BDS("616183JJ Muni","MUNI_PURPOSE_SCHED", "aggregate=y")</f>
        <v>#N/A Review</v>
      </c>
      <c r="J1239" t="str">
        <f>_xll.BDP("616183JJ Muni","CPN")</f>
        <v>#N/A Requesting Data...</v>
      </c>
      <c r="K1239" t="str">
        <f>_xll.BDP("616183JJ Muni","MATURITY")</f>
        <v>#N/A Requesting Data...</v>
      </c>
      <c r="L1239">
        <v>620000</v>
      </c>
      <c r="M1239" t="str">
        <f>_xll.BDP("616183JJ Muni","YIELD_ON_ISSUE_DATE")</f>
        <v>#N/A Requesting Data...</v>
      </c>
      <c r="N1239" t="str">
        <f>_xll.BDP("616183JJ Muni","YTW_SPREAD_TO_MATURITY_AT_ISSU")</f>
        <v>#N/A Requesting Data...</v>
      </c>
      <c r="O1239" t="str">
        <f>_xll.BDP("616183JJ Muni","BVAL_MID_YTM")</f>
        <v>#N/A Requesting Data...</v>
      </c>
      <c r="P1239" t="str">
        <f>_xll.BDP("616183JJ Muni","MUNI_TAX_PROV")</f>
        <v>#N/A Requesting Data...</v>
      </c>
      <c r="Q1239" t="str">
        <f>_xll.BDP("616183JJ Muni","MUNI_FED_TAX")</f>
        <v>#N/A Requesting Data...</v>
      </c>
      <c r="R1239" t="str">
        <f>_xll.BDP("616183JJ Muni","MUNI_MSRB_VOLUME")</f>
        <v>#N/A Requesting Data...</v>
      </c>
      <c r="S1239" t="str">
        <f>_xll.BDP("616183JJ Muni","BB_COMPOSITE")</f>
        <v>#N/A Requesting Data...</v>
      </c>
      <c r="T1239" t="str">
        <f>_xll.BDP("616183JJ Muni","LQA_LIQUIDITY_SCORE")</f>
        <v>#N/A Requesting Data...</v>
      </c>
    </row>
    <row r="1240" spans="1:20" x14ac:dyDescent="0.25">
      <c r="A1240" t="str">
        <f>_xll.BDP("61759CBJ Muni","ID_CUSIP")</f>
        <v>#N/A Requesting Data...</v>
      </c>
      <c r="B1240" t="s">
        <v>412</v>
      </c>
      <c r="C1240" t="str">
        <f>_xll.BDP("61759CBJ Muni","INSURANCE_STATUS")</f>
        <v>#N/A Requesting Data...</v>
      </c>
      <c r="D1240" t="str">
        <f>_xll.BDP("61759CBJ Muni","STATE_CODE")</f>
        <v>#N/A Requesting Data...</v>
      </c>
      <c r="E1240" t="str">
        <f>_xll.BDP("61759CBJ Muni","COUNTY_LOCATION_ISSUER")</f>
        <v>#N/A Requesting Data...</v>
      </c>
      <c r="F1240" t="str">
        <f>_xll.BDP("61759CBJ Muni","DUR_ADJ_MID")</f>
        <v>#N/A Requesting Data...</v>
      </c>
      <c r="G1240" t="str">
        <f>_xll.BDP("61759CBJ Muni","SPREAD_AT_ISSUANCE_TO_WORST")</f>
        <v>#N/A Requesting Data...</v>
      </c>
      <c r="H1240" t="str">
        <f>_xll.BDP("61759CBJ Muni","ISSUE_DT")</f>
        <v>#N/A Requesting Data...</v>
      </c>
      <c r="I1240" t="str">
        <f>_xll.BDS("61759CBJ Muni","MUNI_PURPOSE_SCHED", "aggregate=y")</f>
        <v>#N/A Review</v>
      </c>
      <c r="J1240" t="str">
        <f>_xll.BDP("61759CBJ Muni","CPN")</f>
        <v>#N/A Requesting Data...</v>
      </c>
      <c r="K1240" t="str">
        <f>_xll.BDP("61759CBJ Muni","MATURITY")</f>
        <v>#N/A Requesting Data...</v>
      </c>
      <c r="L1240">
        <v>1420000</v>
      </c>
      <c r="M1240" t="str">
        <f>_xll.BDP("61759CBJ Muni","YIELD_ON_ISSUE_DATE")</f>
        <v>#N/A Requesting Data...</v>
      </c>
      <c r="N1240" t="str">
        <f>_xll.BDP("61759CBJ Muni","YTW_SPREAD_TO_MATURITY_AT_ISSU")</f>
        <v>#N/A Requesting Data...</v>
      </c>
      <c r="O1240" t="str">
        <f>_xll.BDP("61759CBJ Muni","BVAL_MID_YTM")</f>
        <v>#N/A Requesting Data...</v>
      </c>
      <c r="P1240" t="str">
        <f>_xll.BDP("61759CBJ Muni","MUNI_TAX_PROV")</f>
        <v>#N/A Requesting Data...</v>
      </c>
      <c r="Q1240" t="str">
        <f>_xll.BDP("61759CBJ Muni","MUNI_FED_TAX")</f>
        <v>#N/A Requesting Data...</v>
      </c>
      <c r="R1240" t="str">
        <f>_xll.BDP("61759CBJ Muni","MUNI_MSRB_VOLUME")</f>
        <v>#N/A Requesting Data...</v>
      </c>
      <c r="S1240" t="str">
        <f>_xll.BDP("61759CBJ Muni","BB_COMPOSITE")</f>
        <v>#N/A Requesting Data...</v>
      </c>
      <c r="T1240" t="str">
        <f>_xll.BDP("61759CBJ Muni","LQA_LIQUIDITY_SCORE")</f>
        <v>#N/A Requesting Data...</v>
      </c>
    </row>
    <row r="1241" spans="1:20" x14ac:dyDescent="0.25">
      <c r="A1241" t="str">
        <f>_xll.BDP("61759CBK Muni","ID_CUSIP")</f>
        <v>#N/A Requesting Data...</v>
      </c>
      <c r="B1241" t="s">
        <v>412</v>
      </c>
      <c r="C1241" t="str">
        <f>_xll.BDP("61759CBK Muni","INSURANCE_STATUS")</f>
        <v>#N/A Requesting Data...</v>
      </c>
      <c r="D1241" t="str">
        <f>_xll.BDP("61759CBK Muni","STATE_CODE")</f>
        <v>#N/A Requesting Data...</v>
      </c>
      <c r="E1241" t="str">
        <f>_xll.BDP("61759CBK Muni","COUNTY_LOCATION_ISSUER")</f>
        <v>#N/A Requesting Data...</v>
      </c>
      <c r="F1241" t="str">
        <f>_xll.BDP("61759CBK Muni","DUR_ADJ_MID")</f>
        <v>#N/A Requesting Data...</v>
      </c>
      <c r="G1241" t="str">
        <f>_xll.BDP("61759CBK Muni","SPREAD_AT_ISSUANCE_TO_WORST")</f>
        <v>#N/A Requesting Data...</v>
      </c>
      <c r="H1241" t="str">
        <f>_xll.BDP("61759CBK Muni","ISSUE_DT")</f>
        <v>#N/A Requesting Data...</v>
      </c>
      <c r="I1241" t="str">
        <f>_xll.BDS("61759CBK Muni","MUNI_PURPOSE_SCHED", "aggregate=y")</f>
        <v>#N/A Review</v>
      </c>
      <c r="J1241" t="str">
        <f>_xll.BDP("61759CBK Muni","CPN")</f>
        <v>#N/A Requesting Data...</v>
      </c>
      <c r="K1241" t="str">
        <f>_xll.BDP("61759CBK Muni","MATURITY")</f>
        <v>#N/A Requesting Data...</v>
      </c>
      <c r="L1241">
        <v>1490000</v>
      </c>
      <c r="M1241" t="str">
        <f>_xll.BDP("61759CBK Muni","YIELD_ON_ISSUE_DATE")</f>
        <v>#N/A Requesting Data...</v>
      </c>
      <c r="N1241" t="str">
        <f>_xll.BDP("61759CBK Muni","YTW_SPREAD_TO_MATURITY_AT_ISSU")</f>
        <v>#N/A Requesting Data...</v>
      </c>
      <c r="O1241" t="str">
        <f>_xll.BDP("61759CBK Muni","BVAL_MID_YTM")</f>
        <v>#N/A Requesting Data...</v>
      </c>
      <c r="P1241" t="str">
        <f>_xll.BDP("61759CBK Muni","MUNI_TAX_PROV")</f>
        <v>#N/A Requesting Data...</v>
      </c>
      <c r="Q1241" t="str">
        <f>_xll.BDP("61759CBK Muni","MUNI_FED_TAX")</f>
        <v>#N/A Requesting Data...</v>
      </c>
      <c r="R1241" t="str">
        <f>_xll.BDP("61759CBK Muni","MUNI_MSRB_VOLUME")</f>
        <v>#N/A Requesting Data...</v>
      </c>
      <c r="S1241" t="str">
        <f>_xll.BDP("61759CBK Muni","BB_COMPOSITE")</f>
        <v>#N/A Requesting Data...</v>
      </c>
      <c r="T1241" t="str">
        <f>_xll.BDP("61759CBK Muni","LQA_LIQUIDITY_SCORE")</f>
        <v>#N/A Requesting Data...</v>
      </c>
    </row>
    <row r="1242" spans="1:20" x14ac:dyDescent="0.25">
      <c r="A1242" t="str">
        <f>_xll.BDP("61759CBL Muni","ID_CUSIP")</f>
        <v>#N/A Requesting Data...</v>
      </c>
      <c r="B1242" t="s">
        <v>412</v>
      </c>
      <c r="C1242" t="str">
        <f>_xll.BDP("61759CBL Muni","INSURANCE_STATUS")</f>
        <v>#N/A Requesting Data...</v>
      </c>
      <c r="D1242" t="str">
        <f>_xll.BDP("61759CBL Muni","STATE_CODE")</f>
        <v>#N/A Requesting Data...</v>
      </c>
      <c r="E1242" t="str">
        <f>_xll.BDP("61759CBL Muni","COUNTY_LOCATION_ISSUER")</f>
        <v>#N/A Requesting Data...</v>
      </c>
      <c r="F1242" t="str">
        <f>_xll.BDP("61759CBL Muni","DUR_ADJ_MID")</f>
        <v>#N/A Requesting Data...</v>
      </c>
      <c r="G1242" t="str">
        <f>_xll.BDP("61759CBL Muni","SPREAD_AT_ISSUANCE_TO_WORST")</f>
        <v>#N/A Requesting Data...</v>
      </c>
      <c r="H1242" t="str">
        <f>_xll.BDP("61759CBL Muni","ISSUE_DT")</f>
        <v>#N/A Requesting Data...</v>
      </c>
      <c r="I1242" t="str">
        <f>_xll.BDS("61759CBL Muni","MUNI_PURPOSE_SCHED", "aggregate=y")</f>
        <v>#N/A Review</v>
      </c>
      <c r="J1242" t="str">
        <f>_xll.BDP("61759CBL Muni","CPN")</f>
        <v>#N/A Requesting Data...</v>
      </c>
      <c r="K1242" t="str">
        <f>_xll.BDP("61759CBL Muni","MATURITY")</f>
        <v>#N/A Requesting Data...</v>
      </c>
      <c r="L1242">
        <v>1565000</v>
      </c>
      <c r="M1242" t="str">
        <f>_xll.BDP("61759CBL Muni","YIELD_ON_ISSUE_DATE")</f>
        <v>#N/A Requesting Data...</v>
      </c>
      <c r="N1242" t="str">
        <f>_xll.BDP("61759CBL Muni","YTW_SPREAD_TO_MATURITY_AT_ISSU")</f>
        <v>#N/A Requesting Data...</v>
      </c>
      <c r="O1242" t="str">
        <f>_xll.BDP("61759CBL Muni","BVAL_MID_YTM")</f>
        <v>#N/A Requesting Data...</v>
      </c>
      <c r="P1242" t="str">
        <f>_xll.BDP("61759CBL Muni","MUNI_TAX_PROV")</f>
        <v>#N/A Requesting Data...</v>
      </c>
      <c r="Q1242" t="str">
        <f>_xll.BDP("61759CBL Muni","MUNI_FED_TAX")</f>
        <v>#N/A Requesting Data...</v>
      </c>
      <c r="R1242" t="str">
        <f>_xll.BDP("61759CBL Muni","MUNI_MSRB_VOLUME")</f>
        <v>#N/A Requesting Data...</v>
      </c>
      <c r="S1242" t="str">
        <f>_xll.BDP("61759CBL Muni","BB_COMPOSITE")</f>
        <v>#N/A Requesting Data...</v>
      </c>
      <c r="T1242" t="str">
        <f>_xll.BDP("61759CBL Muni","LQA_LIQUIDITY_SCORE")</f>
        <v>#N/A Requesting Data...</v>
      </c>
    </row>
    <row r="1243" spans="1:20" x14ac:dyDescent="0.25">
      <c r="A1243" t="str">
        <f>_xll.BDP("61759CBM Muni","ID_CUSIP")</f>
        <v>#N/A Requesting Data...</v>
      </c>
      <c r="B1243" t="s">
        <v>412</v>
      </c>
      <c r="C1243" t="str">
        <f>_xll.BDP("61759CBM Muni","INSURANCE_STATUS")</f>
        <v>#N/A Requesting Data...</v>
      </c>
      <c r="D1243" t="str">
        <f>_xll.BDP("61759CBM Muni","STATE_CODE")</f>
        <v>#N/A Requesting Data...</v>
      </c>
      <c r="E1243" t="str">
        <f>_xll.BDP("61759CBM Muni","COUNTY_LOCATION_ISSUER")</f>
        <v>#N/A Requesting Data...</v>
      </c>
      <c r="F1243" t="str">
        <f>_xll.BDP("61759CBM Muni","DUR_ADJ_MID")</f>
        <v>#N/A Requesting Data...</v>
      </c>
      <c r="G1243" t="str">
        <f>_xll.BDP("61759CBM Muni","SPREAD_AT_ISSUANCE_TO_WORST")</f>
        <v>#N/A Requesting Data...</v>
      </c>
      <c r="H1243" t="str">
        <f>_xll.BDP("61759CBM Muni","ISSUE_DT")</f>
        <v>#N/A Requesting Data...</v>
      </c>
      <c r="I1243" t="str">
        <f>_xll.BDS("61759CBM Muni","MUNI_PURPOSE_SCHED", "aggregate=y")</f>
        <v>#N/A Review</v>
      </c>
      <c r="J1243" t="str">
        <f>_xll.BDP("61759CBM Muni","CPN")</f>
        <v>#N/A Requesting Data...</v>
      </c>
      <c r="K1243" t="str">
        <f>_xll.BDP("61759CBM Muni","MATURITY")</f>
        <v>#N/A Requesting Data...</v>
      </c>
      <c r="L1243">
        <v>1650000</v>
      </c>
      <c r="M1243" t="str">
        <f>_xll.BDP("61759CBM Muni","YIELD_ON_ISSUE_DATE")</f>
        <v>#N/A Requesting Data...</v>
      </c>
      <c r="N1243" t="str">
        <f>_xll.BDP("61759CBM Muni","YTW_SPREAD_TO_MATURITY_AT_ISSU")</f>
        <v>#N/A Requesting Data...</v>
      </c>
      <c r="O1243" t="str">
        <f>_xll.BDP("61759CBM Muni","BVAL_MID_YTM")</f>
        <v>#N/A Requesting Data...</v>
      </c>
      <c r="P1243" t="str">
        <f>_xll.BDP("61759CBM Muni","MUNI_TAX_PROV")</f>
        <v>#N/A Requesting Data...</v>
      </c>
      <c r="Q1243" t="str">
        <f>_xll.BDP("61759CBM Muni","MUNI_FED_TAX")</f>
        <v>#N/A Requesting Data...</v>
      </c>
      <c r="R1243" t="str">
        <f>_xll.BDP("61759CBM Muni","MUNI_MSRB_VOLUME")</f>
        <v>#N/A Requesting Data...</v>
      </c>
      <c r="S1243" t="str">
        <f>_xll.BDP("61759CBM Muni","BB_COMPOSITE")</f>
        <v>#N/A Requesting Data...</v>
      </c>
      <c r="T1243" t="str">
        <f>_xll.BDP("61759CBM Muni","LQA_LIQUIDITY_SCORE")</f>
        <v>#N/A Requesting Data...</v>
      </c>
    </row>
    <row r="1244" spans="1:20" x14ac:dyDescent="0.25">
      <c r="A1244" t="str">
        <f>_xll.BDP("61759CBN Muni","ID_CUSIP")</f>
        <v>#N/A Requesting Data...</v>
      </c>
      <c r="B1244" t="s">
        <v>412</v>
      </c>
      <c r="C1244" t="str">
        <f>_xll.BDP("61759CBN Muni","INSURANCE_STATUS")</f>
        <v>#N/A Requesting Data...</v>
      </c>
      <c r="D1244" t="str">
        <f>_xll.BDP("61759CBN Muni","STATE_CODE")</f>
        <v>#N/A Requesting Data...</v>
      </c>
      <c r="E1244" t="str">
        <f>_xll.BDP("61759CBN Muni","COUNTY_LOCATION_ISSUER")</f>
        <v>#N/A Requesting Data...</v>
      </c>
      <c r="F1244" t="str">
        <f>_xll.BDP("61759CBN Muni","DUR_ADJ_MID")</f>
        <v>#N/A Requesting Data...</v>
      </c>
      <c r="G1244" t="str">
        <f>_xll.BDP("61759CBN Muni","SPREAD_AT_ISSUANCE_TO_WORST")</f>
        <v>#N/A Requesting Data...</v>
      </c>
      <c r="H1244" t="str">
        <f>_xll.BDP("61759CBN Muni","ISSUE_DT")</f>
        <v>#N/A Requesting Data...</v>
      </c>
      <c r="I1244" t="str">
        <f>_xll.BDS("61759CBN Muni","MUNI_PURPOSE_SCHED", "aggregate=y")</f>
        <v>#N/A Review</v>
      </c>
      <c r="J1244" t="str">
        <f>_xll.BDP("61759CBN Muni","CPN")</f>
        <v>#N/A Requesting Data...</v>
      </c>
      <c r="K1244" t="str">
        <f>_xll.BDP("61759CBN Muni","MATURITY")</f>
        <v>#N/A Requesting Data...</v>
      </c>
      <c r="L1244">
        <v>1730000</v>
      </c>
      <c r="M1244" t="str">
        <f>_xll.BDP("61759CBN Muni","YIELD_ON_ISSUE_DATE")</f>
        <v>#N/A Requesting Data...</v>
      </c>
      <c r="N1244" t="str">
        <f>_xll.BDP("61759CBN Muni","YTW_SPREAD_TO_MATURITY_AT_ISSU")</f>
        <v>#N/A Requesting Data...</v>
      </c>
      <c r="O1244" t="str">
        <f>_xll.BDP("61759CBN Muni","BVAL_MID_YTM")</f>
        <v>#N/A Requesting Data...</v>
      </c>
      <c r="P1244" t="str">
        <f>_xll.BDP("61759CBN Muni","MUNI_TAX_PROV")</f>
        <v>#N/A Requesting Data...</v>
      </c>
      <c r="Q1244" t="str">
        <f>_xll.BDP("61759CBN Muni","MUNI_FED_TAX")</f>
        <v>#N/A Requesting Data...</v>
      </c>
      <c r="R1244" t="str">
        <f>_xll.BDP("61759CBN Muni","MUNI_MSRB_VOLUME")</f>
        <v>#N/A Requesting Data...</v>
      </c>
      <c r="S1244" t="str">
        <f>_xll.BDP("61759CBN Muni","BB_COMPOSITE")</f>
        <v>#N/A Requesting Data...</v>
      </c>
      <c r="T1244" t="str">
        <f>_xll.BDP("61759CBN Muni","LQA_LIQUIDITY_SCORE")</f>
        <v>#N/A Requesting Data...</v>
      </c>
    </row>
    <row r="1245" spans="1:20" x14ac:dyDescent="0.25">
      <c r="A1245" t="str">
        <f>_xll.BDP("621645HB Muni","ID_CUSIP")</f>
        <v>#N/A Requesting Data...</v>
      </c>
      <c r="B1245" t="s">
        <v>413</v>
      </c>
      <c r="C1245" t="str">
        <f>_xll.BDP("621645HB Muni","INSURANCE_STATUS")</f>
        <v>#N/A Requesting Data...</v>
      </c>
      <c r="D1245" t="str">
        <f>_xll.BDP("621645HB Muni","STATE_CODE")</f>
        <v>#N/A Requesting Data...</v>
      </c>
      <c r="E1245" t="str">
        <f>_xll.BDP("621645HB Muni","COUNTY_LOCATION_ISSUER")</f>
        <v>#N/A Requesting Data...</v>
      </c>
      <c r="F1245" t="str">
        <f>_xll.BDP("621645HB Muni","DUR_ADJ_MID")</f>
        <v>#N/A Requesting Data...</v>
      </c>
      <c r="G1245" t="str">
        <f>_xll.BDP("621645HB Muni","SPREAD_AT_ISSUANCE_TO_WORST")</f>
        <v>#N/A Requesting Data...</v>
      </c>
      <c r="H1245" t="str">
        <f>_xll.BDP("621645HB Muni","ISSUE_DT")</f>
        <v>#N/A Requesting Data...</v>
      </c>
      <c r="I1245" t="str">
        <f>_xll.BDS("621645HB Muni","MUNI_PURPOSE_SCHED", "aggregate=y")</f>
        <v>#N/A Review</v>
      </c>
      <c r="J1245" t="str">
        <f>_xll.BDP("621645HB Muni","CPN")</f>
        <v>#N/A Requesting Data...</v>
      </c>
      <c r="K1245" t="str">
        <f>_xll.BDP("621645HB Muni","MATURITY")</f>
        <v>#N/A Requesting Data...</v>
      </c>
      <c r="L1245">
        <v>145000</v>
      </c>
      <c r="M1245" t="str">
        <f>_xll.BDP("621645HB Muni","YIELD_ON_ISSUE_DATE")</f>
        <v>#N/A Requesting Data...</v>
      </c>
      <c r="N1245" t="str">
        <f>_xll.BDP("621645HB Muni","YTW_SPREAD_TO_MATURITY_AT_ISSU")</f>
        <v>#N/A Requesting Data...</v>
      </c>
      <c r="O1245" t="str">
        <f>_xll.BDP("621645HB Muni","BVAL_MID_YTM")</f>
        <v>#N/A Requesting Data...</v>
      </c>
      <c r="P1245" t="str">
        <f>_xll.BDP("621645HB Muni","MUNI_TAX_PROV")</f>
        <v>#N/A Requesting Data...</v>
      </c>
      <c r="Q1245" t="str">
        <f>_xll.BDP("621645HB Muni","MUNI_FED_TAX")</f>
        <v>#N/A Requesting Data...</v>
      </c>
      <c r="R1245" t="str">
        <f>_xll.BDP("621645HB Muni","MUNI_MSRB_VOLUME")</f>
        <v>#N/A Requesting Data...</v>
      </c>
      <c r="S1245" t="str">
        <f>_xll.BDP("621645HB Muni","BB_COMPOSITE")</f>
        <v>#N/A Requesting Data...</v>
      </c>
      <c r="T1245" t="str">
        <f>_xll.BDP("621645HB Muni","LQA_LIQUIDITY_SCORE")</f>
        <v>#N/A Requesting Data...</v>
      </c>
    </row>
    <row r="1246" spans="1:20" x14ac:dyDescent="0.25">
      <c r="A1246" t="str">
        <f>_xll.BDP("621645HC Muni","ID_CUSIP")</f>
        <v>#N/A Requesting Data...</v>
      </c>
      <c r="B1246" t="s">
        <v>413</v>
      </c>
      <c r="C1246" t="str">
        <f>_xll.BDP("621645HC Muni","INSURANCE_STATUS")</f>
        <v>#N/A Requesting Data...</v>
      </c>
      <c r="D1246" t="str">
        <f>_xll.BDP("621645HC Muni","STATE_CODE")</f>
        <v>#N/A Requesting Data...</v>
      </c>
      <c r="E1246" t="str">
        <f>_xll.BDP("621645HC Muni","COUNTY_LOCATION_ISSUER")</f>
        <v>#N/A Requesting Data...</v>
      </c>
      <c r="F1246" t="str">
        <f>_xll.BDP("621645HC Muni","DUR_ADJ_MID")</f>
        <v>#N/A Requesting Data...</v>
      </c>
      <c r="G1246" t="str">
        <f>_xll.BDP("621645HC Muni","SPREAD_AT_ISSUANCE_TO_WORST")</f>
        <v>#N/A Requesting Data...</v>
      </c>
      <c r="H1246" t="str">
        <f>_xll.BDP("621645HC Muni","ISSUE_DT")</f>
        <v>#N/A Requesting Data...</v>
      </c>
      <c r="I1246" t="str">
        <f>_xll.BDS("621645HC Muni","MUNI_PURPOSE_SCHED", "aggregate=y")</f>
        <v>#N/A Review</v>
      </c>
      <c r="J1246" t="str">
        <f>_xll.BDP("621645HC Muni","CPN")</f>
        <v>#N/A Requesting Data...</v>
      </c>
      <c r="K1246" t="str">
        <f>_xll.BDP("621645HC Muni","MATURITY")</f>
        <v>#N/A Requesting Data...</v>
      </c>
      <c r="L1246">
        <v>150000</v>
      </c>
      <c r="M1246" t="str">
        <f>_xll.BDP("621645HC Muni","YIELD_ON_ISSUE_DATE")</f>
        <v>#N/A Requesting Data...</v>
      </c>
      <c r="N1246" t="str">
        <f>_xll.BDP("621645HC Muni","YTW_SPREAD_TO_MATURITY_AT_ISSU")</f>
        <v>#N/A Requesting Data...</v>
      </c>
      <c r="O1246" t="str">
        <f>_xll.BDP("621645HC Muni","BVAL_MID_YTM")</f>
        <v>#N/A Requesting Data...</v>
      </c>
      <c r="P1246" t="str">
        <f>_xll.BDP("621645HC Muni","MUNI_TAX_PROV")</f>
        <v>#N/A Requesting Data...</v>
      </c>
      <c r="Q1246" t="str">
        <f>_xll.BDP("621645HC Muni","MUNI_FED_TAX")</f>
        <v>#N/A Requesting Data...</v>
      </c>
      <c r="R1246" t="str">
        <f>_xll.BDP("621645HC Muni","MUNI_MSRB_VOLUME")</f>
        <v>#N/A Requesting Data...</v>
      </c>
      <c r="S1246" t="str">
        <f>_xll.BDP("621645HC Muni","BB_COMPOSITE")</f>
        <v>#N/A Requesting Data...</v>
      </c>
      <c r="T1246" t="str">
        <f>_xll.BDP("621645HC Muni","LQA_LIQUIDITY_SCORE")</f>
        <v>#N/A Requesting Data...</v>
      </c>
    </row>
    <row r="1247" spans="1:20" x14ac:dyDescent="0.25">
      <c r="A1247" t="str">
        <f>_xll.BDP("499674LC Muni","ID_CUSIP")</f>
        <v>#N/A Requesting Data...</v>
      </c>
      <c r="B1247" t="s">
        <v>414</v>
      </c>
      <c r="C1247" t="str">
        <f>_xll.BDP("499674LC Muni","INSURANCE_STATUS")</f>
        <v>#N/A Requesting Data...</v>
      </c>
      <c r="D1247" t="str">
        <f>_xll.BDP("499674LC Muni","STATE_CODE")</f>
        <v>#N/A Requesting Data...</v>
      </c>
      <c r="E1247" t="str">
        <f>_xll.BDP("499674LC Muni","COUNTY_LOCATION_ISSUER")</f>
        <v>#N/A Requesting Data...</v>
      </c>
      <c r="F1247" t="str">
        <f>_xll.BDP("499674LC Muni","DUR_ADJ_MID")</f>
        <v>#N/A Requesting Data...</v>
      </c>
      <c r="G1247" t="str">
        <f>_xll.BDP("499674LC Muni","SPREAD_AT_ISSUANCE_TO_WORST")</f>
        <v>#N/A Requesting Data...</v>
      </c>
      <c r="H1247" t="str">
        <f>_xll.BDP("499674LC Muni","ISSUE_DT")</f>
        <v>#N/A Requesting Data...</v>
      </c>
      <c r="I1247" t="str">
        <f>_xll.BDS("499674LC Muni","MUNI_PURPOSE_SCHED", "aggregate=y")</f>
        <v>#N/A Review</v>
      </c>
      <c r="J1247" t="str">
        <f>_xll.BDP("499674LC Muni","CPN")</f>
        <v>#N/A Requesting Data...</v>
      </c>
      <c r="K1247" t="str">
        <f>_xll.BDP("499674LC Muni","MATURITY")</f>
        <v>#N/A Requesting Data...</v>
      </c>
      <c r="L1247">
        <v>230000</v>
      </c>
      <c r="M1247" t="str">
        <f>_xll.BDP("499674LC Muni","YIELD_ON_ISSUE_DATE")</f>
        <v>#N/A Requesting Data...</v>
      </c>
      <c r="N1247" t="str">
        <f>_xll.BDP("499674LC Muni","YTW_SPREAD_TO_MATURITY_AT_ISSU")</f>
        <v>#N/A Requesting Data...</v>
      </c>
      <c r="O1247" t="str">
        <f>_xll.BDP("499674LC Muni","BVAL_MID_YTM")</f>
        <v>#N/A Requesting Data...</v>
      </c>
      <c r="P1247" t="str">
        <f>_xll.BDP("499674LC Muni","MUNI_TAX_PROV")</f>
        <v>#N/A Requesting Data...</v>
      </c>
      <c r="Q1247" t="str">
        <f>_xll.BDP("499674LC Muni","MUNI_FED_TAX")</f>
        <v>#N/A Requesting Data...</v>
      </c>
      <c r="R1247" t="str">
        <f>_xll.BDP("499674LC Muni","MUNI_MSRB_VOLUME")</f>
        <v>#N/A Requesting Data...</v>
      </c>
      <c r="S1247" t="str">
        <f>_xll.BDP("499674LC Muni","BB_COMPOSITE")</f>
        <v>#N/A Requesting Data...</v>
      </c>
      <c r="T1247" t="str">
        <f>_xll.BDP("499674LC Muni","LQA_LIQUIDITY_SCORE")</f>
        <v>#N/A Requesting Data...</v>
      </c>
    </row>
    <row r="1248" spans="1:20" x14ac:dyDescent="0.25">
      <c r="A1248" t="str">
        <f>_xll.BDP("499674LD Muni","ID_CUSIP")</f>
        <v>#N/A Requesting Data...</v>
      </c>
      <c r="B1248" t="s">
        <v>414</v>
      </c>
      <c r="C1248" t="str">
        <f>_xll.BDP("499674LD Muni","INSURANCE_STATUS")</f>
        <v>#N/A Requesting Data...</v>
      </c>
      <c r="D1248" t="str">
        <f>_xll.BDP("499674LD Muni","STATE_CODE")</f>
        <v>#N/A Requesting Data...</v>
      </c>
      <c r="E1248" t="str">
        <f>_xll.BDP("499674LD Muni","COUNTY_LOCATION_ISSUER")</f>
        <v>#N/A Requesting Data...</v>
      </c>
      <c r="F1248" t="str">
        <f>_xll.BDP("499674LD Muni","DUR_ADJ_MID")</f>
        <v>#N/A Requesting Data...</v>
      </c>
      <c r="G1248" t="str">
        <f>_xll.BDP("499674LD Muni","SPREAD_AT_ISSUANCE_TO_WORST")</f>
        <v>#N/A Requesting Data...</v>
      </c>
      <c r="H1248" t="str">
        <f>_xll.BDP("499674LD Muni","ISSUE_DT")</f>
        <v>#N/A Requesting Data...</v>
      </c>
      <c r="I1248" t="str">
        <f>_xll.BDS("499674LD Muni","MUNI_PURPOSE_SCHED", "aggregate=y")</f>
        <v>#N/A Review</v>
      </c>
      <c r="J1248" t="str">
        <f>_xll.BDP("499674LD Muni","CPN")</f>
        <v>#N/A Requesting Data...</v>
      </c>
      <c r="K1248" t="str">
        <f>_xll.BDP("499674LD Muni","MATURITY")</f>
        <v>#N/A Requesting Data...</v>
      </c>
      <c r="L1248">
        <v>235000</v>
      </c>
      <c r="M1248" t="str">
        <f>_xll.BDP("499674LD Muni","YIELD_ON_ISSUE_DATE")</f>
        <v>#N/A Requesting Data...</v>
      </c>
      <c r="N1248" t="str">
        <f>_xll.BDP("499674LD Muni","YTW_SPREAD_TO_MATURITY_AT_ISSU")</f>
        <v>#N/A Requesting Data...</v>
      </c>
      <c r="O1248" t="str">
        <f>_xll.BDP("499674LD Muni","BVAL_MID_YTM")</f>
        <v>#N/A Requesting Data...</v>
      </c>
      <c r="P1248" t="str">
        <f>_xll.BDP("499674LD Muni","MUNI_TAX_PROV")</f>
        <v>#N/A Requesting Data...</v>
      </c>
      <c r="Q1248" t="str">
        <f>_xll.BDP("499674LD Muni","MUNI_FED_TAX")</f>
        <v>#N/A Requesting Data...</v>
      </c>
      <c r="R1248" t="str">
        <f>_xll.BDP("499674LD Muni","MUNI_MSRB_VOLUME")</f>
        <v>#N/A Requesting Data...</v>
      </c>
      <c r="S1248" t="str">
        <f>_xll.BDP("499674LD Muni","BB_COMPOSITE")</f>
        <v>#N/A Requesting Data...</v>
      </c>
      <c r="T1248" t="str">
        <f>_xll.BDP("499674LD Muni","LQA_LIQUIDITY_SCORE")</f>
        <v>#N/A Requesting Data...</v>
      </c>
    </row>
    <row r="1249" spans="1:20" x14ac:dyDescent="0.25">
      <c r="A1249" t="str">
        <f>_xll.BDP("499818D3 Muni","ID_CUSIP")</f>
        <v>#N/A Requesting Data...</v>
      </c>
      <c r="B1249" t="s">
        <v>415</v>
      </c>
      <c r="C1249" t="str">
        <f>_xll.BDP("499818D3 Muni","INSURANCE_STATUS")</f>
        <v>#N/A Requesting Data...</v>
      </c>
      <c r="D1249" t="str">
        <f>_xll.BDP("499818D3 Muni","STATE_CODE")</f>
        <v>#N/A Requesting Data...</v>
      </c>
      <c r="E1249" t="str">
        <f>_xll.BDP("499818D3 Muni","COUNTY_LOCATION_ISSUER")</f>
        <v>#N/A Requesting Data...</v>
      </c>
      <c r="F1249" t="str">
        <f>_xll.BDP("499818D3 Muni","DUR_ADJ_MID")</f>
        <v>#N/A Requesting Data...</v>
      </c>
      <c r="G1249" t="str">
        <f>_xll.BDP("499818D3 Muni","SPREAD_AT_ISSUANCE_TO_WORST")</f>
        <v>#N/A Requesting Data...</v>
      </c>
      <c r="H1249" t="str">
        <f>_xll.BDP("499818D3 Muni","ISSUE_DT")</f>
        <v>#N/A Requesting Data...</v>
      </c>
      <c r="I1249" t="str">
        <f>_xll.BDS("499818D3 Muni","MUNI_PURPOSE_SCHED", "aggregate=y")</f>
        <v>#N/A Review</v>
      </c>
      <c r="J1249" t="str">
        <f>_xll.BDP("499818D3 Muni","CPN")</f>
        <v>#N/A Requesting Data...</v>
      </c>
      <c r="K1249" t="str">
        <f>_xll.BDP("499818D3 Muni","MATURITY")</f>
        <v>#N/A Requesting Data...</v>
      </c>
      <c r="L1249">
        <v>625000</v>
      </c>
      <c r="M1249" t="str">
        <f>_xll.BDP("499818D3 Muni","YIELD_ON_ISSUE_DATE")</f>
        <v>#N/A Requesting Data...</v>
      </c>
      <c r="N1249" t="str">
        <f>_xll.BDP("499818D3 Muni","YTW_SPREAD_TO_MATURITY_AT_ISSU")</f>
        <v>#N/A Requesting Data...</v>
      </c>
      <c r="O1249" t="str">
        <f>_xll.BDP("499818D3 Muni","BVAL_MID_YTM")</f>
        <v>#N/A Requesting Data...</v>
      </c>
      <c r="P1249" t="str">
        <f>_xll.BDP("499818D3 Muni","MUNI_TAX_PROV")</f>
        <v>#N/A Requesting Data...</v>
      </c>
      <c r="Q1249" t="str">
        <f>_xll.BDP("499818D3 Muni","MUNI_FED_TAX")</f>
        <v>#N/A Requesting Data...</v>
      </c>
      <c r="R1249" t="str">
        <f>_xll.BDP("499818D3 Muni","MUNI_MSRB_VOLUME")</f>
        <v>#N/A Requesting Data...</v>
      </c>
      <c r="S1249" t="str">
        <f>_xll.BDP("499818D3 Muni","BB_COMPOSITE")</f>
        <v>#N/A Requesting Data...</v>
      </c>
      <c r="T1249" t="str">
        <f>_xll.BDP("499818D3 Muni","LQA_LIQUIDITY_SCORE")</f>
        <v>#N/A Requesting Data...</v>
      </c>
    </row>
    <row r="1250" spans="1:20" x14ac:dyDescent="0.25">
      <c r="A1250" t="str">
        <f>_xll.BDP("531286NC Muni","ID_CUSIP")</f>
        <v>#N/A Requesting Data...</v>
      </c>
      <c r="B1250" t="s">
        <v>141</v>
      </c>
      <c r="C1250" t="str">
        <f>_xll.BDP("531286NC Muni","INSURANCE_STATUS")</f>
        <v>#N/A Requesting Data...</v>
      </c>
      <c r="D1250" t="str">
        <f>_xll.BDP("531286NC Muni","STATE_CODE")</f>
        <v>#N/A Requesting Data...</v>
      </c>
      <c r="E1250" t="str">
        <f>_xll.BDP("531286NC Muni","COUNTY_LOCATION_ISSUER")</f>
        <v>#N/A Requesting Data...</v>
      </c>
      <c r="F1250" t="str">
        <f>_xll.BDP("531286NC Muni","DUR_ADJ_MID")</f>
        <v>#N/A Requesting Data...</v>
      </c>
      <c r="G1250" t="str">
        <f>_xll.BDP("531286NC Muni","SPREAD_AT_ISSUANCE_TO_WORST")</f>
        <v>#N/A Requesting Data...</v>
      </c>
      <c r="H1250" t="str">
        <f>_xll.BDP("531286NC Muni","ISSUE_DT")</f>
        <v>#N/A Requesting Data...</v>
      </c>
      <c r="I1250" t="str">
        <f>_xll.BDS("531286NC Muni","MUNI_PURPOSE_SCHED", "aggregate=y")</f>
        <v>#N/A Review</v>
      </c>
      <c r="J1250" t="str">
        <f>_xll.BDP("531286NC Muni","CPN")</f>
        <v>#N/A Requesting Data...</v>
      </c>
      <c r="K1250" t="str">
        <f>_xll.BDP("531286NC Muni","MATURITY")</f>
        <v>#N/A Requesting Data...</v>
      </c>
      <c r="L1250">
        <v>370000</v>
      </c>
      <c r="M1250" t="str">
        <f>_xll.BDP("531286NC Muni","YIELD_ON_ISSUE_DATE")</f>
        <v>#N/A Requesting Data...</v>
      </c>
      <c r="N1250" t="str">
        <f>_xll.BDP("531286NC Muni","YTW_SPREAD_TO_MATURITY_AT_ISSU")</f>
        <v>#N/A Requesting Data...</v>
      </c>
      <c r="O1250" t="str">
        <f>_xll.BDP("531286NC Muni","BVAL_MID_YTM")</f>
        <v>#N/A Requesting Data...</v>
      </c>
      <c r="P1250" t="str">
        <f>_xll.BDP("531286NC Muni","MUNI_TAX_PROV")</f>
        <v>#N/A Requesting Data...</v>
      </c>
      <c r="Q1250" t="str">
        <f>_xll.BDP("531286NC Muni","MUNI_FED_TAX")</f>
        <v>#N/A Requesting Data...</v>
      </c>
      <c r="R1250" t="str">
        <f>_xll.BDP("531286NC Muni","MUNI_MSRB_VOLUME")</f>
        <v>#N/A Requesting Data...</v>
      </c>
      <c r="S1250" t="str">
        <f>_xll.BDP("531286NC Muni","BB_COMPOSITE")</f>
        <v>#N/A Requesting Data...</v>
      </c>
      <c r="T1250" t="str">
        <f>_xll.BDP("531286NC Muni","LQA_LIQUIDITY_SCORE")</f>
        <v>#N/A Requesting Data...</v>
      </c>
    </row>
    <row r="1251" spans="1:20" x14ac:dyDescent="0.25">
      <c r="A1251" t="str">
        <f>_xll.BDP("531338AK Muni","ID_CUSIP")</f>
        <v>#N/A Requesting Data...</v>
      </c>
      <c r="B1251" t="s">
        <v>416</v>
      </c>
      <c r="C1251" t="str">
        <f>_xll.BDP("531338AK Muni","INSURANCE_STATUS")</f>
        <v>#N/A Requesting Data...</v>
      </c>
      <c r="D1251" t="str">
        <f>_xll.BDP("531338AK Muni","STATE_CODE")</f>
        <v>#N/A Requesting Data...</v>
      </c>
      <c r="E1251" t="str">
        <f>_xll.BDP("531338AK Muni","COUNTY_LOCATION_ISSUER")</f>
        <v>#N/A Requesting Data...</v>
      </c>
      <c r="F1251" t="str">
        <f>_xll.BDP("531338AK Muni","DUR_ADJ_MID")</f>
        <v>#N/A Requesting Data...</v>
      </c>
      <c r="G1251" t="str">
        <f>_xll.BDP("531338AK Muni","SPREAD_AT_ISSUANCE_TO_WORST")</f>
        <v>#N/A Requesting Data...</v>
      </c>
      <c r="H1251" t="str">
        <f>_xll.BDP("531338AK Muni","ISSUE_DT")</f>
        <v>#N/A Requesting Data...</v>
      </c>
      <c r="I1251" t="str">
        <f>_xll.BDS("531338AK Muni","MUNI_PURPOSE_SCHED", "aggregate=y")</f>
        <v>#N/A Review</v>
      </c>
      <c r="J1251" t="str">
        <f>_xll.BDP("531338AK Muni","CPN")</f>
        <v>#N/A Requesting Data...</v>
      </c>
      <c r="K1251" t="str">
        <f>_xll.BDP("531338AK Muni","MATURITY")</f>
        <v>#N/A Requesting Data...</v>
      </c>
      <c r="L1251">
        <v>90000</v>
      </c>
      <c r="M1251" t="str">
        <f>_xll.BDP("531338AK Muni","YIELD_ON_ISSUE_DATE")</f>
        <v>#N/A Requesting Data...</v>
      </c>
      <c r="N1251" t="str">
        <f>_xll.BDP("531338AK Muni","YTW_SPREAD_TO_MATURITY_AT_ISSU")</f>
        <v>#N/A Requesting Data...</v>
      </c>
      <c r="O1251" t="str">
        <f>_xll.BDP("531338AK Muni","BVAL_MID_YTM")</f>
        <v>#N/A Requesting Data...</v>
      </c>
      <c r="P1251" t="str">
        <f>_xll.BDP("531338AK Muni","MUNI_TAX_PROV")</f>
        <v>#N/A Requesting Data...</v>
      </c>
      <c r="Q1251" t="str">
        <f>_xll.BDP("531338AK Muni","MUNI_FED_TAX")</f>
        <v>#N/A Requesting Data...</v>
      </c>
      <c r="R1251" t="str">
        <f>_xll.BDP("531338AK Muni","MUNI_MSRB_VOLUME")</f>
        <v>#N/A Requesting Data...</v>
      </c>
      <c r="S1251" t="str">
        <f>_xll.BDP("531338AK Muni","BB_COMPOSITE")</f>
        <v>#N/A Requesting Data...</v>
      </c>
      <c r="T1251" t="str">
        <f>_xll.BDP("531338AK Muni","LQA_LIQUIDITY_SCORE")</f>
        <v>#N/A Requesting Data...</v>
      </c>
    </row>
    <row r="1252" spans="1:20" x14ac:dyDescent="0.25">
      <c r="A1252" t="str">
        <f>_xll.BDP("536060PU Muni","ID_CUSIP")</f>
        <v>#N/A Requesting Data...</v>
      </c>
      <c r="B1252" t="s">
        <v>417</v>
      </c>
      <c r="C1252" t="str">
        <f>_xll.BDP("536060PU Muni","INSURANCE_STATUS")</f>
        <v>#N/A Requesting Data...</v>
      </c>
      <c r="D1252" t="str">
        <f>_xll.BDP("536060PU Muni","STATE_CODE")</f>
        <v>#N/A Requesting Data...</v>
      </c>
      <c r="E1252" t="str">
        <f>_xll.BDP("536060PU Muni","COUNTY_LOCATION_ISSUER")</f>
        <v>#N/A Requesting Data...</v>
      </c>
      <c r="F1252" t="str">
        <f>_xll.BDP("536060PU Muni","DUR_ADJ_MID")</f>
        <v>#N/A Requesting Data...</v>
      </c>
      <c r="G1252" t="str">
        <f>_xll.BDP("536060PU Muni","SPREAD_AT_ISSUANCE_TO_WORST")</f>
        <v>#N/A Requesting Data...</v>
      </c>
      <c r="H1252" t="str">
        <f>_xll.BDP("536060PU Muni","ISSUE_DT")</f>
        <v>#N/A Requesting Data...</v>
      </c>
      <c r="I1252" t="str">
        <f>_xll.BDS("536060PU Muni","MUNI_PURPOSE_SCHED", "aggregate=y")</f>
        <v>#N/A Review</v>
      </c>
      <c r="J1252" t="str">
        <f>_xll.BDP("536060PU Muni","CPN")</f>
        <v>#N/A Requesting Data...</v>
      </c>
      <c r="K1252" t="str">
        <f>_xll.BDP("536060PU Muni","MATURITY")</f>
        <v>#N/A Requesting Data...</v>
      </c>
      <c r="L1252">
        <v>145000</v>
      </c>
      <c r="M1252" t="str">
        <f>_xll.BDP("536060PU Muni","YIELD_ON_ISSUE_DATE")</f>
        <v>#N/A Requesting Data...</v>
      </c>
      <c r="N1252" t="str">
        <f>_xll.BDP("536060PU Muni","YTW_SPREAD_TO_MATURITY_AT_ISSU")</f>
        <v>#N/A Requesting Data...</v>
      </c>
      <c r="O1252" t="str">
        <f>_xll.BDP("536060PU Muni","BVAL_MID_YTM")</f>
        <v>#N/A Requesting Data...</v>
      </c>
      <c r="P1252" t="str">
        <f>_xll.BDP("536060PU Muni","MUNI_TAX_PROV")</f>
        <v>#N/A Requesting Data...</v>
      </c>
      <c r="Q1252" t="str">
        <f>_xll.BDP("536060PU Muni","MUNI_FED_TAX")</f>
        <v>#N/A Requesting Data...</v>
      </c>
      <c r="R1252" t="str">
        <f>_xll.BDP("536060PU Muni","MUNI_MSRB_VOLUME")</f>
        <v>#N/A Requesting Data...</v>
      </c>
      <c r="S1252" t="str">
        <f>_xll.BDP("536060PU Muni","BB_COMPOSITE")</f>
        <v>#N/A Requesting Data...</v>
      </c>
      <c r="T1252" t="str">
        <f>_xll.BDP("536060PU Muni","LQA_LIQUIDITY_SCORE")</f>
        <v>#N/A Requesting Data...</v>
      </c>
    </row>
    <row r="1253" spans="1:20" x14ac:dyDescent="0.25">
      <c r="A1253" t="str">
        <f>_xll.BDP("61336SBF Muni","ID_CUSIP")</f>
        <v>#N/A Requesting Data...</v>
      </c>
      <c r="B1253" t="s">
        <v>104</v>
      </c>
      <c r="C1253" t="str">
        <f>_xll.BDP("61336SBF Muni","INSURANCE_STATUS")</f>
        <v>#N/A Requesting Data...</v>
      </c>
      <c r="D1253" t="str">
        <f>_xll.BDP("61336SBF Muni","STATE_CODE")</f>
        <v>#N/A Requesting Data...</v>
      </c>
      <c r="E1253" t="str">
        <f>_xll.BDP("61336SBF Muni","COUNTY_LOCATION_ISSUER")</f>
        <v>#N/A Requesting Data...</v>
      </c>
      <c r="F1253" t="str">
        <f>_xll.BDP("61336SBF Muni","DUR_ADJ_MID")</f>
        <v>#N/A Requesting Data...</v>
      </c>
      <c r="G1253" t="str">
        <f>_xll.BDP("61336SBF Muni","SPREAD_AT_ISSUANCE_TO_WORST")</f>
        <v>#N/A Requesting Data...</v>
      </c>
      <c r="H1253" t="str">
        <f>_xll.BDP("61336SBF Muni","ISSUE_DT")</f>
        <v>#N/A Requesting Data...</v>
      </c>
      <c r="I1253" t="str">
        <f>_xll.BDS("61336SBF Muni","MUNI_PURPOSE_SCHED", "aggregate=y")</f>
        <v>#N/A Review</v>
      </c>
      <c r="J1253" t="str">
        <f>_xll.BDP("61336SBF Muni","CPN")</f>
        <v>#N/A Requesting Data...</v>
      </c>
      <c r="K1253" t="str">
        <f>_xll.BDP("61336SBF Muni","MATURITY")</f>
        <v>#N/A Requesting Data...</v>
      </c>
      <c r="L1253">
        <v>2055000</v>
      </c>
      <c r="M1253" t="str">
        <f>_xll.BDP("61336SBF Muni","YIELD_ON_ISSUE_DATE")</f>
        <v>#N/A Requesting Data...</v>
      </c>
      <c r="N1253" t="str">
        <f>_xll.BDP("61336SBF Muni","YTW_SPREAD_TO_MATURITY_AT_ISSU")</f>
        <v>#N/A Requesting Data...</v>
      </c>
      <c r="O1253" t="str">
        <f>_xll.BDP("61336SBF Muni","BVAL_MID_YTM")</f>
        <v>#N/A Requesting Data...</v>
      </c>
      <c r="P1253" t="str">
        <f>_xll.BDP("61336SBF Muni","MUNI_TAX_PROV")</f>
        <v>#N/A Requesting Data...</v>
      </c>
      <c r="Q1253" t="str">
        <f>_xll.BDP("61336SBF Muni","MUNI_FED_TAX")</f>
        <v>#N/A Requesting Data...</v>
      </c>
      <c r="R1253" t="str">
        <f>_xll.BDP("61336SBF Muni","MUNI_MSRB_VOLUME")</f>
        <v>#N/A Requesting Data...</v>
      </c>
      <c r="S1253" t="str">
        <f>_xll.BDP("61336SBF Muni","BB_COMPOSITE")</f>
        <v>#N/A Requesting Data...</v>
      </c>
      <c r="T1253" t="str">
        <f>_xll.BDP("61336SBF Muni","LQA_LIQUIDITY_SCORE")</f>
        <v>#N/A Requesting Data...</v>
      </c>
    </row>
    <row r="1254" spans="1:20" x14ac:dyDescent="0.25">
      <c r="A1254" t="str">
        <f>_xll.BDP("62507PDY Muni","ID_CUSIP")</f>
        <v>#N/A Requesting Data...</v>
      </c>
      <c r="B1254" t="s">
        <v>418</v>
      </c>
      <c r="C1254" t="str">
        <f>_xll.BDP("62507PDY Muni","INSURANCE_STATUS")</f>
        <v>#N/A Requesting Data...</v>
      </c>
      <c r="D1254" t="str">
        <f>_xll.BDP("62507PDY Muni","STATE_CODE")</f>
        <v>#N/A Requesting Data...</v>
      </c>
      <c r="E1254" t="str">
        <f>_xll.BDP("62507PDY Muni","COUNTY_LOCATION_ISSUER")</f>
        <v>#N/A Requesting Data...</v>
      </c>
      <c r="F1254" t="str">
        <f>_xll.BDP("62507PDY Muni","DUR_ADJ_MID")</f>
        <v>#N/A Requesting Data...</v>
      </c>
      <c r="G1254" t="str">
        <f>_xll.BDP("62507PDY Muni","SPREAD_AT_ISSUANCE_TO_WORST")</f>
        <v>#N/A Requesting Data...</v>
      </c>
      <c r="H1254" t="str">
        <f>_xll.BDP("62507PDY Muni","ISSUE_DT")</f>
        <v>#N/A Requesting Data...</v>
      </c>
      <c r="I1254" t="str">
        <f>_xll.BDS("62507PDY Muni","MUNI_PURPOSE_SCHED", "aggregate=y")</f>
        <v>#N/A Review</v>
      </c>
      <c r="J1254" t="str">
        <f>_xll.BDP("62507PDY Muni","CPN")</f>
        <v>#N/A Requesting Data...</v>
      </c>
      <c r="K1254" t="str">
        <f>_xll.BDP("62507PDY Muni","MATURITY")</f>
        <v>#N/A Requesting Data...</v>
      </c>
      <c r="L1254">
        <v>320000</v>
      </c>
      <c r="M1254" t="str">
        <f>_xll.BDP("62507PDY Muni","YIELD_ON_ISSUE_DATE")</f>
        <v>#N/A Requesting Data...</v>
      </c>
      <c r="N1254" t="str">
        <f>_xll.BDP("62507PDY Muni","YTW_SPREAD_TO_MATURITY_AT_ISSU")</f>
        <v>#N/A Requesting Data...</v>
      </c>
      <c r="O1254" t="str">
        <f>_xll.BDP("62507PDY Muni","BVAL_MID_YTM")</f>
        <v>#N/A Requesting Data...</v>
      </c>
      <c r="P1254" t="str">
        <f>_xll.BDP("62507PDY Muni","MUNI_TAX_PROV")</f>
        <v>#N/A Requesting Data...</v>
      </c>
      <c r="Q1254" t="str">
        <f>_xll.BDP("62507PDY Muni","MUNI_FED_TAX")</f>
        <v>#N/A Requesting Data...</v>
      </c>
      <c r="R1254" t="str">
        <f>_xll.BDP("62507PDY Muni","MUNI_MSRB_VOLUME")</f>
        <v>#N/A Requesting Data...</v>
      </c>
      <c r="S1254" t="str">
        <f>_xll.BDP("62507PDY Muni","BB_COMPOSITE")</f>
        <v>#N/A Requesting Data...</v>
      </c>
      <c r="T1254" t="str">
        <f>_xll.BDP("62507PDY Muni","LQA_LIQUIDITY_SCORE")</f>
        <v>#N/A Requesting Data...</v>
      </c>
    </row>
    <row r="1255" spans="1:20" x14ac:dyDescent="0.25">
      <c r="A1255" t="str">
        <f>_xll.BDP("62507PDZ Muni","ID_CUSIP")</f>
        <v>#N/A Requesting Data...</v>
      </c>
      <c r="B1255" t="s">
        <v>418</v>
      </c>
      <c r="C1255" t="str">
        <f>_xll.BDP("62507PDZ Muni","INSURANCE_STATUS")</f>
        <v>#N/A Requesting Data...</v>
      </c>
      <c r="D1255" t="str">
        <f>_xll.BDP("62507PDZ Muni","STATE_CODE")</f>
        <v>#N/A Requesting Data...</v>
      </c>
      <c r="E1255" t="str">
        <f>_xll.BDP("62507PDZ Muni","COUNTY_LOCATION_ISSUER")</f>
        <v>#N/A Requesting Data...</v>
      </c>
      <c r="F1255" t="str">
        <f>_xll.BDP("62507PDZ Muni","DUR_ADJ_MID")</f>
        <v>#N/A Requesting Data...</v>
      </c>
      <c r="G1255" t="str">
        <f>_xll.BDP("62507PDZ Muni","SPREAD_AT_ISSUANCE_TO_WORST")</f>
        <v>#N/A Requesting Data...</v>
      </c>
      <c r="H1255" t="str">
        <f>_xll.BDP("62507PDZ Muni","ISSUE_DT")</f>
        <v>#N/A Requesting Data...</v>
      </c>
      <c r="I1255" t="str">
        <f>_xll.BDS("62507PDZ Muni","MUNI_PURPOSE_SCHED", "aggregate=y")</f>
        <v>#N/A Review</v>
      </c>
      <c r="J1255" t="str">
        <f>_xll.BDP("62507PDZ Muni","CPN")</f>
        <v>#N/A Requesting Data...</v>
      </c>
      <c r="K1255" t="str">
        <f>_xll.BDP("62507PDZ Muni","MATURITY")</f>
        <v>#N/A Requesting Data...</v>
      </c>
      <c r="L1255">
        <v>210000</v>
      </c>
      <c r="M1255" t="str">
        <f>_xll.BDP("62507PDZ Muni","YIELD_ON_ISSUE_DATE")</f>
        <v>#N/A Requesting Data...</v>
      </c>
      <c r="N1255" t="str">
        <f>_xll.BDP("62507PDZ Muni","YTW_SPREAD_TO_MATURITY_AT_ISSU")</f>
        <v>#N/A Requesting Data...</v>
      </c>
      <c r="O1255" t="str">
        <f>_xll.BDP("62507PDZ Muni","BVAL_MID_YTM")</f>
        <v>#N/A Requesting Data...</v>
      </c>
      <c r="P1255" t="str">
        <f>_xll.BDP("62507PDZ Muni","MUNI_TAX_PROV")</f>
        <v>#N/A Requesting Data...</v>
      </c>
      <c r="Q1255" t="str">
        <f>_xll.BDP("62507PDZ Muni","MUNI_FED_TAX")</f>
        <v>#N/A Requesting Data...</v>
      </c>
      <c r="R1255" t="str">
        <f>_xll.BDP("62507PDZ Muni","MUNI_MSRB_VOLUME")</f>
        <v>#N/A Requesting Data...</v>
      </c>
      <c r="S1255" t="str">
        <f>_xll.BDP("62507PDZ Muni","BB_COMPOSITE")</f>
        <v>#N/A Requesting Data...</v>
      </c>
      <c r="T1255" t="str">
        <f>_xll.BDP("62507PDZ Muni","LQA_LIQUIDITY_SCORE")</f>
        <v>#N/A Requesting Data...</v>
      </c>
    </row>
    <row r="1256" spans="1:20" x14ac:dyDescent="0.25">
      <c r="A1256" t="str">
        <f>_xll.BDP("625183AX Muni","ID_CUSIP")</f>
        <v>#N/A Requesting Data...</v>
      </c>
      <c r="B1256" t="s">
        <v>419</v>
      </c>
      <c r="C1256" t="str">
        <f>_xll.BDP("625183AX Muni","INSURANCE_STATUS")</f>
        <v>#N/A Requesting Data...</v>
      </c>
      <c r="D1256" t="str">
        <f>_xll.BDP("625183AX Muni","STATE_CODE")</f>
        <v>#N/A Requesting Data...</v>
      </c>
      <c r="E1256" t="str">
        <f>_xll.BDP("625183AX Muni","COUNTY_LOCATION_ISSUER")</f>
        <v>#N/A Requesting Data...</v>
      </c>
      <c r="F1256" t="str">
        <f>_xll.BDP("625183AX Muni","DUR_ADJ_MID")</f>
        <v>#N/A Requesting Data...</v>
      </c>
      <c r="G1256" t="str">
        <f>_xll.BDP("625183AX Muni","SPREAD_AT_ISSUANCE_TO_WORST")</f>
        <v>#N/A Requesting Data...</v>
      </c>
      <c r="H1256" t="str">
        <f>_xll.BDP("625183AX Muni","ISSUE_DT")</f>
        <v>#N/A Requesting Data...</v>
      </c>
      <c r="I1256" t="str">
        <f>_xll.BDS("625183AX Muni","MUNI_PURPOSE_SCHED", "aggregate=y")</f>
        <v>#N/A Review</v>
      </c>
      <c r="J1256" t="str">
        <f>_xll.BDP("625183AX Muni","CPN")</f>
        <v>#N/A Requesting Data...</v>
      </c>
      <c r="K1256" t="str">
        <f>_xll.BDP("625183AX Muni","MATURITY")</f>
        <v>#N/A Requesting Data...</v>
      </c>
      <c r="L1256">
        <v>175000</v>
      </c>
      <c r="M1256" t="str">
        <f>_xll.BDP("625183AX Muni","YIELD_ON_ISSUE_DATE")</f>
        <v>#N/A Requesting Data...</v>
      </c>
      <c r="N1256" t="str">
        <f>_xll.BDP("625183AX Muni","YTW_SPREAD_TO_MATURITY_AT_ISSU")</f>
        <v>#N/A Requesting Data...</v>
      </c>
      <c r="O1256" t="str">
        <f>_xll.BDP("625183AX Muni","BVAL_MID_YTM")</f>
        <v>#N/A Requesting Data...</v>
      </c>
      <c r="P1256" t="str">
        <f>_xll.BDP("625183AX Muni","MUNI_TAX_PROV")</f>
        <v>#N/A Requesting Data...</v>
      </c>
      <c r="Q1256" t="str">
        <f>_xll.BDP("625183AX Muni","MUNI_FED_TAX")</f>
        <v>#N/A Requesting Data...</v>
      </c>
      <c r="R1256" t="str">
        <f>_xll.BDP("625183AX Muni","MUNI_MSRB_VOLUME")</f>
        <v>#N/A Requesting Data...</v>
      </c>
      <c r="S1256" t="str">
        <f>_xll.BDP("625183AX Muni","BB_COMPOSITE")</f>
        <v>#N/A Requesting Data...</v>
      </c>
      <c r="T1256" t="str">
        <f>_xll.BDP("625183AX Muni","LQA_LIQUIDITY_SCORE")</f>
        <v>#N/A Requesting Data...</v>
      </c>
    </row>
    <row r="1257" spans="1:20" x14ac:dyDescent="0.25">
      <c r="A1257" t="str">
        <f>_xll.BDP("61370GBY Muni","ID_CUSIP")</f>
        <v>#N/A Requesting Data...</v>
      </c>
      <c r="B1257" t="s">
        <v>420</v>
      </c>
      <c r="C1257" t="str">
        <f>_xll.BDP("61370GBY Muni","INSURANCE_STATUS")</f>
        <v>#N/A Requesting Data...</v>
      </c>
      <c r="D1257" t="str">
        <f>_xll.BDP("61370GBY Muni","STATE_CODE")</f>
        <v>#N/A Requesting Data...</v>
      </c>
      <c r="E1257" t="str">
        <f>_xll.BDP("61370GBY Muni","COUNTY_LOCATION_ISSUER")</f>
        <v>#N/A Requesting Data...</v>
      </c>
      <c r="F1257" t="str">
        <f>_xll.BDP("61370GBY Muni","DUR_ADJ_MID")</f>
        <v>#N/A Requesting Data...</v>
      </c>
      <c r="G1257" t="str">
        <f>_xll.BDP("61370GBY Muni","SPREAD_AT_ISSUANCE_TO_WORST")</f>
        <v>#N/A Requesting Data...</v>
      </c>
      <c r="H1257" t="str">
        <f>_xll.BDP("61370GBY Muni","ISSUE_DT")</f>
        <v>#N/A Requesting Data...</v>
      </c>
      <c r="I1257" t="str">
        <f>_xll.BDS("61370GBY Muni","MUNI_PURPOSE_SCHED", "aggregate=y")</f>
        <v>#N/A Review</v>
      </c>
      <c r="J1257" t="str">
        <f>_xll.BDP("61370GBY Muni","CPN")</f>
        <v>#N/A Requesting Data...</v>
      </c>
      <c r="K1257" t="str">
        <f>_xll.BDP("61370GBY Muni","MATURITY")</f>
        <v>#N/A Requesting Data...</v>
      </c>
      <c r="L1257">
        <v>25000</v>
      </c>
      <c r="M1257" t="str">
        <f>_xll.BDP("61370GBY Muni","YIELD_ON_ISSUE_DATE")</f>
        <v>#N/A Requesting Data...</v>
      </c>
      <c r="N1257" t="str">
        <f>_xll.BDP("61370GBY Muni","YTW_SPREAD_TO_MATURITY_AT_ISSU")</f>
        <v>#N/A Requesting Data...</v>
      </c>
      <c r="O1257" t="str">
        <f>_xll.BDP("61370GBY Muni","BVAL_MID_YTM")</f>
        <v>#N/A Requesting Data...</v>
      </c>
      <c r="P1257" t="str">
        <f>_xll.BDP("61370GBY Muni","MUNI_TAX_PROV")</f>
        <v>#N/A Requesting Data...</v>
      </c>
      <c r="Q1257" t="str">
        <f>_xll.BDP("61370GBY Muni","MUNI_FED_TAX")</f>
        <v>#N/A Requesting Data...</v>
      </c>
      <c r="R1257" t="str">
        <f>_xll.BDP("61370GBY Muni","MUNI_MSRB_VOLUME")</f>
        <v>#N/A Requesting Data...</v>
      </c>
      <c r="S1257" t="str">
        <f>_xll.BDP("61370GBY Muni","BB_COMPOSITE")</f>
        <v>#N/A Requesting Data...</v>
      </c>
      <c r="T1257" t="str">
        <f>_xll.BDP("61370GBY Muni","LQA_LIQUIDITY_SCORE")</f>
        <v>#N/A Requesting Data...</v>
      </c>
    </row>
    <row r="1258" spans="1:20" x14ac:dyDescent="0.25">
      <c r="A1258" t="str">
        <f>_xll.BDP("61370LCD Muni","ID_CUSIP")</f>
        <v>#N/A Requesting Data...</v>
      </c>
      <c r="B1258" t="s">
        <v>399</v>
      </c>
      <c r="C1258" t="str">
        <f>_xll.BDP("61370LCD Muni","INSURANCE_STATUS")</f>
        <v>#N/A Requesting Data...</v>
      </c>
      <c r="D1258" t="str">
        <f>_xll.BDP("61370LCD Muni","STATE_CODE")</f>
        <v>#N/A Requesting Data...</v>
      </c>
      <c r="E1258" t="str">
        <f>_xll.BDP("61370LCD Muni","COUNTY_LOCATION_ISSUER")</f>
        <v>#N/A Requesting Data...</v>
      </c>
      <c r="F1258" t="str">
        <f>_xll.BDP("61370LCD Muni","DUR_ADJ_MID")</f>
        <v>#N/A Requesting Data...</v>
      </c>
      <c r="G1258" t="str">
        <f>_xll.BDP("61370LCD Muni","SPREAD_AT_ISSUANCE_TO_WORST")</f>
        <v>#N/A Requesting Data...</v>
      </c>
      <c r="H1258" t="str">
        <f>_xll.BDP("61370LCD Muni","ISSUE_DT")</f>
        <v>#N/A Requesting Data...</v>
      </c>
      <c r="I1258" t="str">
        <f>_xll.BDS("61370LCD Muni","MUNI_PURPOSE_SCHED", "aggregate=y")</f>
        <v>#N/A Review</v>
      </c>
      <c r="J1258" t="str">
        <f>_xll.BDP("61370LCD Muni","CPN")</f>
        <v>#N/A Requesting Data...</v>
      </c>
      <c r="K1258" t="str">
        <f>_xll.BDP("61370LCD Muni","MATURITY")</f>
        <v>#N/A Requesting Data...</v>
      </c>
      <c r="L1258">
        <v>165000</v>
      </c>
      <c r="M1258" t="str">
        <f>_xll.BDP("61370LCD Muni","YIELD_ON_ISSUE_DATE")</f>
        <v>#N/A Requesting Data...</v>
      </c>
      <c r="N1258" t="str">
        <f>_xll.BDP("61370LCD Muni","YTW_SPREAD_TO_MATURITY_AT_ISSU")</f>
        <v>#N/A Requesting Data...</v>
      </c>
      <c r="O1258" t="str">
        <f>_xll.BDP("61370LCD Muni","BVAL_MID_YTM")</f>
        <v>#N/A Requesting Data...</v>
      </c>
      <c r="P1258" t="str">
        <f>_xll.BDP("61370LCD Muni","MUNI_TAX_PROV")</f>
        <v>#N/A Requesting Data...</v>
      </c>
      <c r="Q1258" t="str">
        <f>_xll.BDP("61370LCD Muni","MUNI_FED_TAX")</f>
        <v>#N/A Requesting Data...</v>
      </c>
      <c r="R1258" t="str">
        <f>_xll.BDP("61370LCD Muni","MUNI_MSRB_VOLUME")</f>
        <v>#N/A Requesting Data...</v>
      </c>
      <c r="S1258" t="str">
        <f>_xll.BDP("61370LCD Muni","BB_COMPOSITE")</f>
        <v>#N/A Requesting Data...</v>
      </c>
      <c r="T1258" t="str">
        <f>_xll.BDP("61370LCD Muni","LQA_LIQUIDITY_SCORE")</f>
        <v>#N/A Requesting Data...</v>
      </c>
    </row>
    <row r="1259" spans="1:20" x14ac:dyDescent="0.25">
      <c r="A1259" t="str">
        <f>_xll.BDP("61370PJU Muni","ID_CUSIP")</f>
        <v>#N/A Requesting Data...</v>
      </c>
      <c r="B1259" t="s">
        <v>93</v>
      </c>
      <c r="C1259" t="str">
        <f>_xll.BDP("61370PJU Muni","INSURANCE_STATUS")</f>
        <v>#N/A Requesting Data...</v>
      </c>
      <c r="D1259" t="str">
        <f>_xll.BDP("61370PJU Muni","STATE_CODE")</f>
        <v>#N/A Requesting Data...</v>
      </c>
      <c r="E1259" t="str">
        <f>_xll.BDP("61370PJU Muni","COUNTY_LOCATION_ISSUER")</f>
        <v>#N/A Requesting Data...</v>
      </c>
      <c r="F1259" t="str">
        <f>_xll.BDP("61370PJU Muni","DUR_ADJ_MID")</f>
        <v>#N/A Requesting Data...</v>
      </c>
      <c r="G1259" t="str">
        <f>_xll.BDP("61370PJU Muni","SPREAD_AT_ISSUANCE_TO_WORST")</f>
        <v>#N/A Requesting Data...</v>
      </c>
      <c r="H1259" t="str">
        <f>_xll.BDP("61370PJU Muni","ISSUE_DT")</f>
        <v>#N/A Requesting Data...</v>
      </c>
      <c r="I1259" t="str">
        <f>_xll.BDS("61370PJU Muni","MUNI_PURPOSE_SCHED", "aggregate=y")</f>
        <v>#N/A Review</v>
      </c>
      <c r="J1259" t="str">
        <f>_xll.BDP("61370PJU Muni","CPN")</f>
        <v>#N/A Requesting Data...</v>
      </c>
      <c r="K1259" t="str">
        <f>_xll.BDP("61370PJU Muni","MATURITY")</f>
        <v>#N/A Requesting Data...</v>
      </c>
      <c r="L1259">
        <v>260000</v>
      </c>
      <c r="M1259" t="str">
        <f>_xll.BDP("61370PJU Muni","YIELD_ON_ISSUE_DATE")</f>
        <v>#N/A Requesting Data...</v>
      </c>
      <c r="N1259" t="str">
        <f>_xll.BDP("61370PJU Muni","YTW_SPREAD_TO_MATURITY_AT_ISSU")</f>
        <v>#N/A Requesting Data...</v>
      </c>
      <c r="O1259" t="str">
        <f>_xll.BDP("61370PJU Muni","BVAL_MID_YTM")</f>
        <v>#N/A Requesting Data...</v>
      </c>
      <c r="P1259" t="str">
        <f>_xll.BDP("61370PJU Muni","MUNI_TAX_PROV")</f>
        <v>#N/A Requesting Data...</v>
      </c>
      <c r="Q1259" t="str">
        <f>_xll.BDP("61370PJU Muni","MUNI_FED_TAX")</f>
        <v>#N/A Requesting Data...</v>
      </c>
      <c r="R1259" t="str">
        <f>_xll.BDP("61370PJU Muni","MUNI_MSRB_VOLUME")</f>
        <v>#N/A Requesting Data...</v>
      </c>
      <c r="S1259" t="str">
        <f>_xll.BDP("61370PJU Muni","BB_COMPOSITE")</f>
        <v>#N/A Requesting Data...</v>
      </c>
      <c r="T1259" t="str">
        <f>_xll.BDP("61370PJU Muni","LQA_LIQUIDITY_SCORE")</f>
        <v>#N/A Requesting Data...</v>
      </c>
    </row>
    <row r="1260" spans="1:20" x14ac:dyDescent="0.25">
      <c r="A1260" t="str">
        <f>_xll.BDP("61370RFK Muni","ID_CUSIP")</f>
        <v>#N/A Requesting Data...</v>
      </c>
      <c r="B1260" t="s">
        <v>400</v>
      </c>
      <c r="C1260" t="str">
        <f>_xll.BDP("61370RFK Muni","INSURANCE_STATUS")</f>
        <v>#N/A Requesting Data...</v>
      </c>
      <c r="D1260" t="str">
        <f>_xll.BDP("61370RFK Muni","STATE_CODE")</f>
        <v>#N/A Requesting Data...</v>
      </c>
      <c r="E1260" t="str">
        <f>_xll.BDP("61370RFK Muni","COUNTY_LOCATION_ISSUER")</f>
        <v>#N/A Requesting Data...</v>
      </c>
      <c r="F1260" t="str">
        <f>_xll.BDP("61370RFK Muni","DUR_ADJ_MID")</f>
        <v>#N/A Requesting Data...</v>
      </c>
      <c r="G1260" t="str">
        <f>_xll.BDP("61370RFK Muni","SPREAD_AT_ISSUANCE_TO_WORST")</f>
        <v>#N/A Requesting Data...</v>
      </c>
      <c r="H1260" t="str">
        <f>_xll.BDP("61370RFK Muni","ISSUE_DT")</f>
        <v>#N/A Requesting Data...</v>
      </c>
      <c r="I1260" t="str">
        <f>_xll.BDS("61370RFK Muni","MUNI_PURPOSE_SCHED", "aggregate=y")</f>
        <v>#N/A Review</v>
      </c>
      <c r="J1260" t="str">
        <f>_xll.BDP("61370RFK Muni","CPN")</f>
        <v>#N/A Requesting Data...</v>
      </c>
      <c r="K1260" t="str">
        <f>_xll.BDP("61370RFK Muni","MATURITY")</f>
        <v>#N/A Requesting Data...</v>
      </c>
      <c r="L1260">
        <v>100000</v>
      </c>
      <c r="M1260" t="str">
        <f>_xll.BDP("61370RFK Muni","YIELD_ON_ISSUE_DATE")</f>
        <v>#N/A Requesting Data...</v>
      </c>
      <c r="N1260" t="str">
        <f>_xll.BDP("61370RFK Muni","YTW_SPREAD_TO_MATURITY_AT_ISSU")</f>
        <v>#N/A Requesting Data...</v>
      </c>
      <c r="O1260" t="str">
        <f>_xll.BDP("61370RFK Muni","BVAL_MID_YTM")</f>
        <v>#N/A Requesting Data...</v>
      </c>
      <c r="P1260" t="str">
        <f>_xll.BDP("61370RFK Muni","MUNI_TAX_PROV")</f>
        <v>#N/A Requesting Data...</v>
      </c>
      <c r="Q1260" t="str">
        <f>_xll.BDP("61370RFK Muni","MUNI_FED_TAX")</f>
        <v>#N/A Requesting Data...</v>
      </c>
      <c r="R1260" t="str">
        <f>_xll.BDP("61370RFK Muni","MUNI_MSRB_VOLUME")</f>
        <v>#N/A Requesting Data...</v>
      </c>
      <c r="S1260" t="str">
        <f>_xll.BDP("61370RFK Muni","BB_COMPOSITE")</f>
        <v>#N/A Requesting Data...</v>
      </c>
      <c r="T1260" t="str">
        <f>_xll.BDP("61370RFK Muni","LQA_LIQUIDITY_SCORE")</f>
        <v>#N/A Requesting Data...</v>
      </c>
    </row>
    <row r="1261" spans="1:20" x14ac:dyDescent="0.25">
      <c r="A1261" t="str">
        <f>_xll.BDP("61370UEE Muni","ID_CUSIP")</f>
        <v>#N/A Requesting Data...</v>
      </c>
      <c r="B1261" t="s">
        <v>401</v>
      </c>
      <c r="C1261" t="str">
        <f>_xll.BDP("61370UEE Muni","INSURANCE_STATUS")</f>
        <v>#N/A Requesting Data...</v>
      </c>
      <c r="D1261" t="str">
        <f>_xll.BDP("61370UEE Muni","STATE_CODE")</f>
        <v>#N/A Requesting Data...</v>
      </c>
      <c r="E1261" t="str">
        <f>_xll.BDP("61370UEE Muni","COUNTY_LOCATION_ISSUER")</f>
        <v>#N/A Requesting Data...</v>
      </c>
      <c r="F1261" t="str">
        <f>_xll.BDP("61370UEE Muni","DUR_ADJ_MID")</f>
        <v>#N/A Requesting Data...</v>
      </c>
      <c r="G1261" t="str">
        <f>_xll.BDP("61370UEE Muni","SPREAD_AT_ISSUANCE_TO_WORST")</f>
        <v>#N/A Requesting Data...</v>
      </c>
      <c r="H1261" t="str">
        <f>_xll.BDP("61370UEE Muni","ISSUE_DT")</f>
        <v>#N/A Requesting Data...</v>
      </c>
      <c r="I1261" t="str">
        <f>_xll.BDS("61370UEE Muni","MUNI_PURPOSE_SCHED", "aggregate=y")</f>
        <v>#N/A Review</v>
      </c>
      <c r="J1261" t="str">
        <f>_xll.BDP("61370UEE Muni","CPN")</f>
        <v>#N/A Requesting Data...</v>
      </c>
      <c r="K1261" t="str">
        <f>_xll.BDP("61370UEE Muni","MATURITY")</f>
        <v>#N/A Requesting Data...</v>
      </c>
      <c r="L1261">
        <v>75000</v>
      </c>
      <c r="M1261" t="str">
        <f>_xll.BDP("61370UEE Muni","YIELD_ON_ISSUE_DATE")</f>
        <v>#N/A Requesting Data...</v>
      </c>
      <c r="N1261" t="str">
        <f>_xll.BDP("61370UEE Muni","YTW_SPREAD_TO_MATURITY_AT_ISSU")</f>
        <v>#N/A Requesting Data...</v>
      </c>
      <c r="O1261" t="str">
        <f>_xll.BDP("61370UEE Muni","BVAL_MID_YTM")</f>
        <v>#N/A Requesting Data...</v>
      </c>
      <c r="P1261" t="str">
        <f>_xll.BDP("61370UEE Muni","MUNI_TAX_PROV")</f>
        <v>#N/A Requesting Data...</v>
      </c>
      <c r="Q1261" t="str">
        <f>_xll.BDP("61370UEE Muni","MUNI_FED_TAX")</f>
        <v>#N/A Requesting Data...</v>
      </c>
      <c r="R1261" t="str">
        <f>_xll.BDP("61370UEE Muni","MUNI_MSRB_VOLUME")</f>
        <v>#N/A Requesting Data...</v>
      </c>
      <c r="S1261" t="str">
        <f>_xll.BDP("61370UEE Muni","BB_COMPOSITE")</f>
        <v>#N/A Requesting Data...</v>
      </c>
      <c r="T1261" t="str">
        <f>_xll.BDP("61370UEE Muni","LQA_LIQUIDITY_SCORE")</f>
        <v>#N/A Requesting Data...</v>
      </c>
    </row>
    <row r="1262" spans="1:20" x14ac:dyDescent="0.25">
      <c r="A1262" t="str">
        <f>_xll.BDP("61370UEG Muni","ID_CUSIP")</f>
        <v>#N/A Requesting Data...</v>
      </c>
      <c r="B1262" t="s">
        <v>401</v>
      </c>
      <c r="C1262" t="str">
        <f>_xll.BDP("61370UEG Muni","INSURANCE_STATUS")</f>
        <v>#N/A Requesting Data...</v>
      </c>
      <c r="D1262" t="str">
        <f>_xll.BDP("61370UEG Muni","STATE_CODE")</f>
        <v>#N/A Requesting Data...</v>
      </c>
      <c r="E1262" t="str">
        <f>_xll.BDP("61370UEG Muni","COUNTY_LOCATION_ISSUER")</f>
        <v>#N/A Requesting Data...</v>
      </c>
      <c r="F1262" t="str">
        <f>_xll.BDP("61370UEG Muni","DUR_ADJ_MID")</f>
        <v>#N/A Requesting Data...</v>
      </c>
      <c r="G1262" t="str">
        <f>_xll.BDP("61370UEG Muni","SPREAD_AT_ISSUANCE_TO_WORST")</f>
        <v>#N/A Requesting Data...</v>
      </c>
      <c r="H1262" t="str">
        <f>_xll.BDP("61370UEG Muni","ISSUE_DT")</f>
        <v>#N/A Requesting Data...</v>
      </c>
      <c r="I1262" t="str">
        <f>_xll.BDS("61370UEG Muni","MUNI_PURPOSE_SCHED", "aggregate=y")</f>
        <v>#N/A Review</v>
      </c>
      <c r="J1262" t="str">
        <f>_xll.BDP("61370UEG Muni","CPN")</f>
        <v>#N/A Requesting Data...</v>
      </c>
      <c r="K1262" t="str">
        <f>_xll.BDP("61370UEG Muni","MATURITY")</f>
        <v>#N/A Requesting Data...</v>
      </c>
      <c r="L1262">
        <v>80000</v>
      </c>
      <c r="M1262" t="str">
        <f>_xll.BDP("61370UEG Muni","YIELD_ON_ISSUE_DATE")</f>
        <v>#N/A Requesting Data...</v>
      </c>
      <c r="N1262" t="str">
        <f>_xll.BDP("61370UEG Muni","YTW_SPREAD_TO_MATURITY_AT_ISSU")</f>
        <v>#N/A Requesting Data...</v>
      </c>
      <c r="O1262" t="str">
        <f>_xll.BDP("61370UEG Muni","BVAL_MID_YTM")</f>
        <v>#N/A Requesting Data...</v>
      </c>
      <c r="P1262" t="str">
        <f>_xll.BDP("61370UEG Muni","MUNI_TAX_PROV")</f>
        <v>#N/A Requesting Data...</v>
      </c>
      <c r="Q1262" t="str">
        <f>_xll.BDP("61370UEG Muni","MUNI_FED_TAX")</f>
        <v>#N/A Requesting Data...</v>
      </c>
      <c r="R1262" t="str">
        <f>_xll.BDP("61370UEG Muni","MUNI_MSRB_VOLUME")</f>
        <v>#N/A Requesting Data...</v>
      </c>
      <c r="S1262" t="str">
        <f>_xll.BDP("61370UEG Muni","BB_COMPOSITE")</f>
        <v>#N/A Requesting Data...</v>
      </c>
      <c r="T1262" t="str">
        <f>_xll.BDP("61370UEG Muni","LQA_LIQUIDITY_SCORE")</f>
        <v>#N/A Requesting Data...</v>
      </c>
    </row>
    <row r="1263" spans="1:20" x14ac:dyDescent="0.25">
      <c r="A1263" t="str">
        <f>_xll.BDP("61370WCM Muni","ID_CUSIP")</f>
        <v>#N/A Requesting Data...</v>
      </c>
      <c r="B1263" t="s">
        <v>402</v>
      </c>
      <c r="C1263" t="str">
        <f>_xll.BDP("61370WCM Muni","INSURANCE_STATUS")</f>
        <v>#N/A Requesting Data...</v>
      </c>
      <c r="D1263" t="str">
        <f>_xll.BDP("61370WCM Muni","STATE_CODE")</f>
        <v>#N/A Requesting Data...</v>
      </c>
      <c r="E1263" t="str">
        <f>_xll.BDP("61370WCM Muni","COUNTY_LOCATION_ISSUER")</f>
        <v>#N/A Requesting Data...</v>
      </c>
      <c r="F1263" t="str">
        <f>_xll.BDP("61370WCM Muni","DUR_ADJ_MID")</f>
        <v>#N/A Requesting Data...</v>
      </c>
      <c r="G1263" t="str">
        <f>_xll.BDP("61370WCM Muni","SPREAD_AT_ISSUANCE_TO_WORST")</f>
        <v>#N/A Requesting Data...</v>
      </c>
      <c r="H1263" t="str">
        <f>_xll.BDP("61370WCM Muni","ISSUE_DT")</f>
        <v>#N/A Requesting Data...</v>
      </c>
      <c r="I1263" t="str">
        <f>_xll.BDS("61370WCM Muni","MUNI_PURPOSE_SCHED", "aggregate=y")</f>
        <v>#N/A Review</v>
      </c>
      <c r="J1263" t="str">
        <f>_xll.BDP("61370WCM Muni","CPN")</f>
        <v>#N/A Requesting Data...</v>
      </c>
      <c r="K1263" t="str">
        <f>_xll.BDP("61370WCM Muni","MATURITY")</f>
        <v>#N/A Requesting Data...</v>
      </c>
      <c r="L1263">
        <v>100000</v>
      </c>
      <c r="M1263" t="str">
        <f>_xll.BDP("61370WCM Muni","YIELD_ON_ISSUE_DATE")</f>
        <v>#N/A Requesting Data...</v>
      </c>
      <c r="N1263" t="str">
        <f>_xll.BDP("61370WCM Muni","YTW_SPREAD_TO_MATURITY_AT_ISSU")</f>
        <v>#N/A Requesting Data...</v>
      </c>
      <c r="O1263" t="str">
        <f>_xll.BDP("61370WCM Muni","BVAL_MID_YTM")</f>
        <v>#N/A Requesting Data...</v>
      </c>
      <c r="P1263" t="str">
        <f>_xll.BDP("61370WCM Muni","MUNI_TAX_PROV")</f>
        <v>#N/A Requesting Data...</v>
      </c>
      <c r="Q1263" t="str">
        <f>_xll.BDP("61370WCM Muni","MUNI_FED_TAX")</f>
        <v>#N/A Requesting Data...</v>
      </c>
      <c r="R1263" t="str">
        <f>_xll.BDP("61370WCM Muni","MUNI_MSRB_VOLUME")</f>
        <v>#N/A Requesting Data...</v>
      </c>
      <c r="S1263" t="str">
        <f>_xll.BDP("61370WCM Muni","BB_COMPOSITE")</f>
        <v>#N/A Requesting Data...</v>
      </c>
      <c r="T1263" t="str">
        <f>_xll.BDP("61370WCM Muni","LQA_LIQUIDITY_SCORE")</f>
        <v>#N/A Requesting Data...</v>
      </c>
    </row>
    <row r="1264" spans="1:20" x14ac:dyDescent="0.25">
      <c r="A1264" t="str">
        <f>_xll.BDP("628577LK Muni","ID_CUSIP")</f>
        <v>#N/A Requesting Data...</v>
      </c>
      <c r="B1264" t="s">
        <v>118</v>
      </c>
      <c r="C1264" t="str">
        <f>_xll.BDP("628577LK Muni","INSURANCE_STATUS")</f>
        <v>#N/A Requesting Data...</v>
      </c>
      <c r="D1264" t="str">
        <f>_xll.BDP("628577LK Muni","STATE_CODE")</f>
        <v>#N/A Requesting Data...</v>
      </c>
      <c r="E1264" t="str">
        <f>_xll.BDP("628577LK Muni","COUNTY_LOCATION_ISSUER")</f>
        <v>#N/A Requesting Data...</v>
      </c>
      <c r="F1264" t="str">
        <f>_xll.BDP("628577LK Muni","DUR_ADJ_MID")</f>
        <v>#N/A Requesting Data...</v>
      </c>
      <c r="G1264" t="str">
        <f>_xll.BDP("628577LK Muni","SPREAD_AT_ISSUANCE_TO_WORST")</f>
        <v>#N/A Requesting Data...</v>
      </c>
      <c r="H1264" t="str">
        <f>_xll.BDP("628577LK Muni","ISSUE_DT")</f>
        <v>#N/A Requesting Data...</v>
      </c>
      <c r="I1264" t="str">
        <f>_xll.BDS("628577LK Muni","MUNI_PURPOSE_SCHED", "aggregate=y")</f>
        <v>#N/A Review</v>
      </c>
      <c r="J1264" t="str">
        <f>_xll.BDP("628577LK Muni","CPN")</f>
        <v>#N/A Requesting Data...</v>
      </c>
      <c r="K1264" t="str">
        <f>_xll.BDP("628577LK Muni","MATURITY")</f>
        <v>#N/A Requesting Data...</v>
      </c>
      <c r="L1264">
        <v>1165000</v>
      </c>
      <c r="M1264" t="str">
        <f>_xll.BDP("628577LK Muni","YIELD_ON_ISSUE_DATE")</f>
        <v>#N/A Requesting Data...</v>
      </c>
      <c r="N1264" t="str">
        <f>_xll.BDP("628577LK Muni","YTW_SPREAD_TO_MATURITY_AT_ISSU")</f>
        <v>#N/A Requesting Data...</v>
      </c>
      <c r="O1264" t="str">
        <f>_xll.BDP("628577LK Muni","BVAL_MID_YTM")</f>
        <v>#N/A Requesting Data...</v>
      </c>
      <c r="P1264" t="str">
        <f>_xll.BDP("628577LK Muni","MUNI_TAX_PROV")</f>
        <v>#N/A Requesting Data...</v>
      </c>
      <c r="Q1264" t="str">
        <f>_xll.BDP("628577LK Muni","MUNI_FED_TAX")</f>
        <v>#N/A Requesting Data...</v>
      </c>
      <c r="R1264" t="str">
        <f>_xll.BDP("628577LK Muni","MUNI_MSRB_VOLUME")</f>
        <v>#N/A Requesting Data...</v>
      </c>
      <c r="S1264" t="str">
        <f>_xll.BDP("628577LK Muni","BB_COMPOSITE")</f>
        <v>#N/A Requesting Data...</v>
      </c>
      <c r="T1264" t="str">
        <f>_xll.BDP("628577LK Muni","LQA_LIQUIDITY_SCORE")</f>
        <v>#N/A Requesting Data...</v>
      </c>
    </row>
    <row r="1265" spans="1:20" x14ac:dyDescent="0.25">
      <c r="A1265" t="str">
        <f>_xll.BDP("628577LM Muni","ID_CUSIP")</f>
        <v>#N/A Requesting Data...</v>
      </c>
      <c r="B1265" t="s">
        <v>118</v>
      </c>
      <c r="C1265" t="str">
        <f>_xll.BDP("628577LM Muni","INSURANCE_STATUS")</f>
        <v>#N/A Requesting Data...</v>
      </c>
      <c r="D1265" t="str">
        <f>_xll.BDP("628577LM Muni","STATE_CODE")</f>
        <v>#N/A Requesting Data...</v>
      </c>
      <c r="E1265" t="str">
        <f>_xll.BDP("628577LM Muni","COUNTY_LOCATION_ISSUER")</f>
        <v>#N/A Requesting Data...</v>
      </c>
      <c r="F1265" t="str">
        <f>_xll.BDP("628577LM Muni","DUR_ADJ_MID")</f>
        <v>#N/A Requesting Data...</v>
      </c>
      <c r="G1265" t="str">
        <f>_xll.BDP("628577LM Muni","SPREAD_AT_ISSUANCE_TO_WORST")</f>
        <v>#N/A Requesting Data...</v>
      </c>
      <c r="H1265" t="str">
        <f>_xll.BDP("628577LM Muni","ISSUE_DT")</f>
        <v>#N/A Requesting Data...</v>
      </c>
      <c r="I1265" t="str">
        <f>_xll.BDS("628577LM Muni","MUNI_PURPOSE_SCHED", "aggregate=y")</f>
        <v>#N/A Review</v>
      </c>
      <c r="J1265" t="str">
        <f>_xll.BDP("628577LM Muni","CPN")</f>
        <v>#N/A Requesting Data...</v>
      </c>
      <c r="K1265" t="str">
        <f>_xll.BDP("628577LM Muni","MATURITY")</f>
        <v>#N/A Requesting Data...</v>
      </c>
      <c r="L1265">
        <v>1240000</v>
      </c>
      <c r="M1265" t="str">
        <f>_xll.BDP("628577LM Muni","YIELD_ON_ISSUE_DATE")</f>
        <v>#N/A Requesting Data...</v>
      </c>
      <c r="N1265" t="str">
        <f>_xll.BDP("628577LM Muni","YTW_SPREAD_TO_MATURITY_AT_ISSU")</f>
        <v>#N/A Requesting Data...</v>
      </c>
      <c r="O1265" t="str">
        <f>_xll.BDP("628577LM Muni","BVAL_MID_YTM")</f>
        <v>#N/A Requesting Data...</v>
      </c>
      <c r="P1265" t="str">
        <f>_xll.BDP("628577LM Muni","MUNI_TAX_PROV")</f>
        <v>#N/A Requesting Data...</v>
      </c>
      <c r="Q1265" t="str">
        <f>_xll.BDP("628577LM Muni","MUNI_FED_TAX")</f>
        <v>#N/A Requesting Data...</v>
      </c>
      <c r="R1265" t="str">
        <f>_xll.BDP("628577LM Muni","MUNI_MSRB_VOLUME")</f>
        <v>#N/A Requesting Data...</v>
      </c>
      <c r="S1265" t="str">
        <f>_xll.BDP("628577LM Muni","BB_COMPOSITE")</f>
        <v>#N/A Requesting Data...</v>
      </c>
      <c r="T1265" t="str">
        <f>_xll.BDP("628577LM Muni","LQA_LIQUIDITY_SCORE")</f>
        <v>#N/A Requesting Data...</v>
      </c>
    </row>
    <row r="1266" spans="1:20" x14ac:dyDescent="0.25">
      <c r="A1266" t="str">
        <f>_xll.BDP("61372GAE Muni","ID_CUSIP")</f>
        <v>#N/A Requesting Data...</v>
      </c>
      <c r="B1266" t="s">
        <v>421</v>
      </c>
      <c r="C1266" t="str">
        <f>_xll.BDP("61372GAE Muni","INSURANCE_STATUS")</f>
        <v>#N/A Requesting Data...</v>
      </c>
      <c r="D1266" t="str">
        <f>_xll.BDP("61372GAE Muni","STATE_CODE")</f>
        <v>#N/A Requesting Data...</v>
      </c>
      <c r="E1266" t="str">
        <f>_xll.BDP("61372GAE Muni","COUNTY_LOCATION_ISSUER")</f>
        <v>#N/A Requesting Data...</v>
      </c>
      <c r="F1266" t="str">
        <f>_xll.BDP("61372GAE Muni","DUR_ADJ_MID")</f>
        <v>#N/A Requesting Data...</v>
      </c>
      <c r="G1266" t="str">
        <f>_xll.BDP("61372GAE Muni","SPREAD_AT_ISSUANCE_TO_WORST")</f>
        <v>#N/A Requesting Data...</v>
      </c>
      <c r="H1266" t="str">
        <f>_xll.BDP("61372GAE Muni","ISSUE_DT")</f>
        <v>#N/A Requesting Data...</v>
      </c>
      <c r="I1266" t="str">
        <f>_xll.BDS("61372GAE Muni","MUNI_PURPOSE_SCHED", "aggregate=y")</f>
        <v>#N/A Review</v>
      </c>
      <c r="J1266" t="str">
        <f>_xll.BDP("61372GAE Muni","CPN")</f>
        <v>#N/A Requesting Data...</v>
      </c>
      <c r="K1266" t="str">
        <f>_xll.BDP("61372GAE Muni","MATURITY")</f>
        <v>#N/A Requesting Data...</v>
      </c>
      <c r="L1266">
        <v>75000</v>
      </c>
      <c r="M1266" t="str">
        <f>_xll.BDP("61372GAE Muni","YIELD_ON_ISSUE_DATE")</f>
        <v>#N/A Requesting Data...</v>
      </c>
      <c r="N1266" t="str">
        <f>_xll.BDP("61372GAE Muni","YTW_SPREAD_TO_MATURITY_AT_ISSU")</f>
        <v>#N/A Requesting Data...</v>
      </c>
      <c r="O1266" t="str">
        <f>_xll.BDP("61372GAE Muni","BVAL_MID_YTM")</f>
        <v>#N/A Requesting Data...</v>
      </c>
      <c r="P1266" t="str">
        <f>_xll.BDP("61372GAE Muni","MUNI_TAX_PROV")</f>
        <v>#N/A Requesting Data...</v>
      </c>
      <c r="Q1266" t="str">
        <f>_xll.BDP("61372GAE Muni","MUNI_FED_TAX")</f>
        <v>#N/A Requesting Data...</v>
      </c>
      <c r="R1266" t="str">
        <f>_xll.BDP("61372GAE Muni","MUNI_MSRB_VOLUME")</f>
        <v>#N/A Requesting Data...</v>
      </c>
      <c r="S1266" t="str">
        <f>_xll.BDP("61372GAE Muni","BB_COMPOSITE")</f>
        <v>#N/A Requesting Data...</v>
      </c>
      <c r="T1266" t="str">
        <f>_xll.BDP("61372GAE Muni","LQA_LIQUIDITY_SCORE")</f>
        <v>#N/A Requesting Data...</v>
      </c>
    </row>
    <row r="1267" spans="1:20" x14ac:dyDescent="0.25">
      <c r="A1267" t="str">
        <f>_xll.BDP("61372GAF Muni","ID_CUSIP")</f>
        <v>#N/A Requesting Data...</v>
      </c>
      <c r="B1267" t="s">
        <v>421</v>
      </c>
      <c r="C1267" t="str">
        <f>_xll.BDP("61372GAF Muni","INSURANCE_STATUS")</f>
        <v>#N/A Requesting Data...</v>
      </c>
      <c r="D1267" t="str">
        <f>_xll.BDP("61372GAF Muni","STATE_CODE")</f>
        <v>#N/A Requesting Data...</v>
      </c>
      <c r="E1267" t="str">
        <f>_xll.BDP("61372GAF Muni","COUNTY_LOCATION_ISSUER")</f>
        <v>#N/A Requesting Data...</v>
      </c>
      <c r="F1267" t="str">
        <f>_xll.BDP("61372GAF Muni","DUR_ADJ_MID")</f>
        <v>#N/A Requesting Data...</v>
      </c>
      <c r="G1267" t="str">
        <f>_xll.BDP("61372GAF Muni","SPREAD_AT_ISSUANCE_TO_WORST")</f>
        <v>#N/A Requesting Data...</v>
      </c>
      <c r="H1267" t="str">
        <f>_xll.BDP("61372GAF Muni","ISSUE_DT")</f>
        <v>#N/A Requesting Data...</v>
      </c>
      <c r="I1267" t="str">
        <f>_xll.BDS("61372GAF Muni","MUNI_PURPOSE_SCHED", "aggregate=y")</f>
        <v>#N/A Review</v>
      </c>
      <c r="J1267" t="str">
        <f>_xll.BDP("61372GAF Muni","CPN")</f>
        <v>#N/A Requesting Data...</v>
      </c>
      <c r="K1267" t="str">
        <f>_xll.BDP("61372GAF Muni","MATURITY")</f>
        <v>#N/A Requesting Data...</v>
      </c>
      <c r="L1267">
        <v>80000</v>
      </c>
      <c r="M1267" t="str">
        <f>_xll.BDP("61372GAF Muni","YIELD_ON_ISSUE_DATE")</f>
        <v>#N/A Requesting Data...</v>
      </c>
      <c r="N1267" t="str">
        <f>_xll.BDP("61372GAF Muni","YTW_SPREAD_TO_MATURITY_AT_ISSU")</f>
        <v>#N/A Requesting Data...</v>
      </c>
      <c r="O1267" t="str">
        <f>_xll.BDP("61372GAF Muni","BVAL_MID_YTM")</f>
        <v>#N/A Requesting Data...</v>
      </c>
      <c r="P1267" t="str">
        <f>_xll.BDP("61372GAF Muni","MUNI_TAX_PROV")</f>
        <v>#N/A Requesting Data...</v>
      </c>
      <c r="Q1267" t="str">
        <f>_xll.BDP("61372GAF Muni","MUNI_FED_TAX")</f>
        <v>#N/A Requesting Data...</v>
      </c>
      <c r="R1267" t="str">
        <f>_xll.BDP("61372GAF Muni","MUNI_MSRB_VOLUME")</f>
        <v>#N/A Requesting Data...</v>
      </c>
      <c r="S1267" t="str">
        <f>_xll.BDP("61372GAF Muni","BB_COMPOSITE")</f>
        <v>#N/A Requesting Data...</v>
      </c>
      <c r="T1267" t="str">
        <f>_xll.BDP("61372GAF Muni","LQA_LIQUIDITY_SCORE")</f>
        <v>#N/A Requesting Data...</v>
      </c>
    </row>
    <row r="1268" spans="1:20" x14ac:dyDescent="0.25">
      <c r="A1268" t="str">
        <f>_xll.BDP("502563RB Muni","ID_CUSIP")</f>
        <v>#N/A Requesting Data...</v>
      </c>
      <c r="B1268" t="s">
        <v>422</v>
      </c>
      <c r="C1268" t="str">
        <f>_xll.BDP("502563RB Muni","INSURANCE_STATUS")</f>
        <v>#N/A Requesting Data...</v>
      </c>
      <c r="D1268" t="str">
        <f>_xll.BDP("502563RB Muni","STATE_CODE")</f>
        <v>#N/A Requesting Data...</v>
      </c>
      <c r="E1268" t="str">
        <f>_xll.BDP("502563RB Muni","COUNTY_LOCATION_ISSUER")</f>
        <v>#N/A Requesting Data...</v>
      </c>
      <c r="F1268" t="str">
        <f>_xll.BDP("502563RB Muni","DUR_ADJ_MID")</f>
        <v>#N/A Requesting Data...</v>
      </c>
      <c r="G1268" t="str">
        <f>_xll.BDP("502563RB Muni","SPREAD_AT_ISSUANCE_TO_WORST")</f>
        <v>#N/A Requesting Data...</v>
      </c>
      <c r="H1268" t="str">
        <f>_xll.BDP("502563RB Muni","ISSUE_DT")</f>
        <v>#N/A Requesting Data...</v>
      </c>
      <c r="I1268" t="str">
        <f>_xll.BDS("502563RB Muni","MUNI_PURPOSE_SCHED", "aggregate=y")</f>
        <v>#N/A Review</v>
      </c>
      <c r="J1268" t="str">
        <f>_xll.BDP("502563RB Muni","CPN")</f>
        <v>#N/A Requesting Data...</v>
      </c>
      <c r="K1268" t="str">
        <f>_xll.BDP("502563RB Muni","MATURITY")</f>
        <v>#N/A Requesting Data...</v>
      </c>
      <c r="L1268">
        <v>280000</v>
      </c>
      <c r="M1268" t="str">
        <f>_xll.BDP("502563RB Muni","YIELD_ON_ISSUE_DATE")</f>
        <v>#N/A Requesting Data...</v>
      </c>
      <c r="N1268" t="str">
        <f>_xll.BDP("502563RB Muni","YTW_SPREAD_TO_MATURITY_AT_ISSU")</f>
        <v>#N/A Requesting Data...</v>
      </c>
      <c r="O1268" t="str">
        <f>_xll.BDP("502563RB Muni","BVAL_MID_YTM")</f>
        <v>#N/A Requesting Data...</v>
      </c>
      <c r="P1268" t="str">
        <f>_xll.BDP("502563RB Muni","MUNI_TAX_PROV")</f>
        <v>#N/A Requesting Data...</v>
      </c>
      <c r="Q1268" t="str">
        <f>_xll.BDP("502563RB Muni","MUNI_FED_TAX")</f>
        <v>#N/A Requesting Data...</v>
      </c>
      <c r="R1268" t="str">
        <f>_xll.BDP("502563RB Muni","MUNI_MSRB_VOLUME")</f>
        <v>#N/A Requesting Data...</v>
      </c>
      <c r="S1268" t="str">
        <f>_xll.BDP("502563RB Muni","BB_COMPOSITE")</f>
        <v>#N/A Requesting Data...</v>
      </c>
      <c r="T1268" t="str">
        <f>_xll.BDP("502563RB Muni","LQA_LIQUIDITY_SCORE")</f>
        <v>#N/A Requesting Data...</v>
      </c>
    </row>
    <row r="1269" spans="1:20" x14ac:dyDescent="0.25">
      <c r="A1269" t="str">
        <f>_xll.BDP("502563RC Muni","ID_CUSIP")</f>
        <v>#N/A Requesting Data...</v>
      </c>
      <c r="B1269" t="s">
        <v>422</v>
      </c>
      <c r="C1269" t="str">
        <f>_xll.BDP("502563RC Muni","INSURANCE_STATUS")</f>
        <v>#N/A Requesting Data...</v>
      </c>
      <c r="D1269" t="str">
        <f>_xll.BDP("502563RC Muni","STATE_CODE")</f>
        <v>#N/A Requesting Data...</v>
      </c>
      <c r="E1269" t="str">
        <f>_xll.BDP("502563RC Muni","COUNTY_LOCATION_ISSUER")</f>
        <v>#N/A Requesting Data...</v>
      </c>
      <c r="F1269" t="str">
        <f>_xll.BDP("502563RC Muni","DUR_ADJ_MID")</f>
        <v>#N/A Requesting Data...</v>
      </c>
      <c r="G1269" t="str">
        <f>_xll.BDP("502563RC Muni","SPREAD_AT_ISSUANCE_TO_WORST")</f>
        <v>#N/A Requesting Data...</v>
      </c>
      <c r="H1269" t="str">
        <f>_xll.BDP("502563RC Muni","ISSUE_DT")</f>
        <v>#N/A Requesting Data...</v>
      </c>
      <c r="I1269" t="str">
        <f>_xll.BDS("502563RC Muni","MUNI_PURPOSE_SCHED", "aggregate=y")</f>
        <v>#N/A Review</v>
      </c>
      <c r="J1269" t="str">
        <f>_xll.BDP("502563RC Muni","CPN")</f>
        <v>#N/A Requesting Data...</v>
      </c>
      <c r="K1269" t="str">
        <f>_xll.BDP("502563RC Muni","MATURITY")</f>
        <v>#N/A Requesting Data...</v>
      </c>
      <c r="L1269">
        <v>290000</v>
      </c>
      <c r="M1269" t="str">
        <f>_xll.BDP("502563RC Muni","YIELD_ON_ISSUE_DATE")</f>
        <v>#N/A Requesting Data...</v>
      </c>
      <c r="N1269" t="str">
        <f>_xll.BDP("502563RC Muni","YTW_SPREAD_TO_MATURITY_AT_ISSU")</f>
        <v>#N/A Requesting Data...</v>
      </c>
      <c r="O1269" t="str">
        <f>_xll.BDP("502563RC Muni","BVAL_MID_YTM")</f>
        <v>#N/A Requesting Data...</v>
      </c>
      <c r="P1269" t="str">
        <f>_xll.BDP("502563RC Muni","MUNI_TAX_PROV")</f>
        <v>#N/A Requesting Data...</v>
      </c>
      <c r="Q1269" t="str">
        <f>_xll.BDP("502563RC Muni","MUNI_FED_TAX")</f>
        <v>#N/A Requesting Data...</v>
      </c>
      <c r="R1269" t="str">
        <f>_xll.BDP("502563RC Muni","MUNI_MSRB_VOLUME")</f>
        <v>#N/A Requesting Data...</v>
      </c>
      <c r="S1269" t="str">
        <f>_xll.BDP("502563RC Muni","BB_COMPOSITE")</f>
        <v>#N/A Requesting Data...</v>
      </c>
      <c r="T1269" t="str">
        <f>_xll.BDP("502563RC Muni","LQA_LIQUIDITY_SCORE")</f>
        <v>#N/A Requesting Data...</v>
      </c>
    </row>
    <row r="1270" spans="1:20" x14ac:dyDescent="0.25">
      <c r="A1270" t="str">
        <f>_xll.BDP("503570EB Muni","ID_CUSIP")</f>
        <v>#N/A Requesting Data...</v>
      </c>
      <c r="B1270" t="s">
        <v>423</v>
      </c>
      <c r="C1270" t="str">
        <f>_xll.BDP("503570EB Muni","INSURANCE_STATUS")</f>
        <v>#N/A Requesting Data...</v>
      </c>
      <c r="D1270" t="str">
        <f>_xll.BDP("503570EB Muni","STATE_CODE")</f>
        <v>#N/A Requesting Data...</v>
      </c>
      <c r="E1270" t="str">
        <f>_xll.BDP("503570EB Muni","COUNTY_LOCATION_ISSUER")</f>
        <v>#N/A Requesting Data...</v>
      </c>
      <c r="F1270" t="str">
        <f>_xll.BDP("503570EB Muni","DUR_ADJ_MID")</f>
        <v>#N/A Requesting Data...</v>
      </c>
      <c r="G1270" t="str">
        <f>_xll.BDP("503570EB Muni","SPREAD_AT_ISSUANCE_TO_WORST")</f>
        <v>#N/A Requesting Data...</v>
      </c>
      <c r="H1270" t="str">
        <f>_xll.BDP("503570EB Muni","ISSUE_DT")</f>
        <v>#N/A Requesting Data...</v>
      </c>
      <c r="I1270" t="str">
        <f>_xll.BDS("503570EB Muni","MUNI_PURPOSE_SCHED", "aggregate=y")</f>
        <v>#N/A Review</v>
      </c>
      <c r="J1270" t="str">
        <f>_xll.BDP("503570EB Muni","CPN")</f>
        <v>#N/A Requesting Data...</v>
      </c>
      <c r="K1270" t="str">
        <f>_xll.BDP("503570EB Muni","MATURITY")</f>
        <v>#N/A Requesting Data...</v>
      </c>
      <c r="L1270">
        <v>260000</v>
      </c>
      <c r="M1270" t="str">
        <f>_xll.BDP("503570EB Muni","YIELD_ON_ISSUE_DATE")</f>
        <v>#N/A Requesting Data...</v>
      </c>
      <c r="N1270" t="str">
        <f>_xll.BDP("503570EB Muni","YTW_SPREAD_TO_MATURITY_AT_ISSU")</f>
        <v>#N/A Requesting Data...</v>
      </c>
      <c r="O1270" t="str">
        <f>_xll.BDP("503570EB Muni","BVAL_MID_YTM")</f>
        <v>#N/A Requesting Data...</v>
      </c>
      <c r="P1270" t="str">
        <f>_xll.BDP("503570EB Muni","MUNI_TAX_PROV")</f>
        <v>#N/A Requesting Data...</v>
      </c>
      <c r="Q1270" t="str">
        <f>_xll.BDP("503570EB Muni","MUNI_FED_TAX")</f>
        <v>#N/A Requesting Data...</v>
      </c>
      <c r="R1270" t="str">
        <f>_xll.BDP("503570EB Muni","MUNI_MSRB_VOLUME")</f>
        <v>#N/A Requesting Data...</v>
      </c>
      <c r="S1270" t="str">
        <f>_xll.BDP("503570EB Muni","BB_COMPOSITE")</f>
        <v>#N/A Requesting Data...</v>
      </c>
      <c r="T1270" t="str">
        <f>_xll.BDP("503570EB Muni","LQA_LIQUIDITY_SCORE")</f>
        <v>#N/A Requesting Data...</v>
      </c>
    </row>
    <row r="1271" spans="1:20" x14ac:dyDescent="0.25">
      <c r="A1271" t="str">
        <f>_xll.BDP("503570EC Muni","ID_CUSIP")</f>
        <v>#N/A Requesting Data...</v>
      </c>
      <c r="B1271" t="s">
        <v>423</v>
      </c>
      <c r="C1271" t="str">
        <f>_xll.BDP("503570EC Muni","INSURANCE_STATUS")</f>
        <v>#N/A Requesting Data...</v>
      </c>
      <c r="D1271" t="str">
        <f>_xll.BDP("503570EC Muni","STATE_CODE")</f>
        <v>#N/A Requesting Data...</v>
      </c>
      <c r="E1271" t="str">
        <f>_xll.BDP("503570EC Muni","COUNTY_LOCATION_ISSUER")</f>
        <v>#N/A Requesting Data...</v>
      </c>
      <c r="F1271" t="str">
        <f>_xll.BDP("503570EC Muni","DUR_ADJ_MID")</f>
        <v>#N/A Requesting Data...</v>
      </c>
      <c r="G1271" t="str">
        <f>_xll.BDP("503570EC Muni","SPREAD_AT_ISSUANCE_TO_WORST")</f>
        <v>#N/A Requesting Data...</v>
      </c>
      <c r="H1271" t="str">
        <f>_xll.BDP("503570EC Muni","ISSUE_DT")</f>
        <v>#N/A Requesting Data...</v>
      </c>
      <c r="I1271" t="str">
        <f>_xll.BDS("503570EC Muni","MUNI_PURPOSE_SCHED", "aggregate=y")</f>
        <v>#N/A Review</v>
      </c>
      <c r="J1271" t="str">
        <f>_xll.BDP("503570EC Muni","CPN")</f>
        <v>#N/A Requesting Data...</v>
      </c>
      <c r="K1271" t="str">
        <f>_xll.BDP("503570EC Muni","MATURITY")</f>
        <v>#N/A Requesting Data...</v>
      </c>
      <c r="L1271">
        <v>270000</v>
      </c>
      <c r="M1271" t="str">
        <f>_xll.BDP("503570EC Muni","YIELD_ON_ISSUE_DATE")</f>
        <v>#N/A Requesting Data...</v>
      </c>
      <c r="N1271" t="str">
        <f>_xll.BDP("503570EC Muni","YTW_SPREAD_TO_MATURITY_AT_ISSU")</f>
        <v>#N/A Requesting Data...</v>
      </c>
      <c r="O1271" t="str">
        <f>_xll.BDP("503570EC Muni","BVAL_MID_YTM")</f>
        <v>#N/A Requesting Data...</v>
      </c>
      <c r="P1271" t="str">
        <f>_xll.BDP("503570EC Muni","MUNI_TAX_PROV")</f>
        <v>#N/A Requesting Data...</v>
      </c>
      <c r="Q1271" t="str">
        <f>_xll.BDP("503570EC Muni","MUNI_FED_TAX")</f>
        <v>#N/A Requesting Data...</v>
      </c>
      <c r="R1271" t="str">
        <f>_xll.BDP("503570EC Muni","MUNI_MSRB_VOLUME")</f>
        <v>#N/A Requesting Data...</v>
      </c>
      <c r="S1271" t="str">
        <f>_xll.BDP("503570EC Muni","BB_COMPOSITE")</f>
        <v>#N/A Requesting Data...</v>
      </c>
      <c r="T1271" t="str">
        <f>_xll.BDP("503570EC Muni","LQA_LIQUIDITY_SCORE")</f>
        <v>#N/A Requesting Data...</v>
      </c>
    </row>
    <row r="1272" spans="1:20" x14ac:dyDescent="0.25">
      <c r="A1272" t="str">
        <f>_xll.BDP("503570ED Muni","ID_CUSIP")</f>
        <v>#N/A Requesting Data...</v>
      </c>
      <c r="B1272" t="s">
        <v>423</v>
      </c>
      <c r="C1272" t="str">
        <f>_xll.BDP("503570ED Muni","INSURANCE_STATUS")</f>
        <v>#N/A Requesting Data...</v>
      </c>
      <c r="D1272" t="str">
        <f>_xll.BDP("503570ED Muni","STATE_CODE")</f>
        <v>#N/A Requesting Data...</v>
      </c>
      <c r="E1272" t="str">
        <f>_xll.BDP("503570ED Muni","COUNTY_LOCATION_ISSUER")</f>
        <v>#N/A Requesting Data...</v>
      </c>
      <c r="F1272" t="str">
        <f>_xll.BDP("503570ED Muni","DUR_ADJ_MID")</f>
        <v>#N/A Requesting Data...</v>
      </c>
      <c r="G1272" t="str">
        <f>_xll.BDP("503570ED Muni","SPREAD_AT_ISSUANCE_TO_WORST")</f>
        <v>#N/A Requesting Data...</v>
      </c>
      <c r="H1272" t="str">
        <f>_xll.BDP("503570ED Muni","ISSUE_DT")</f>
        <v>#N/A Requesting Data...</v>
      </c>
      <c r="I1272" t="str">
        <f>_xll.BDS("503570ED Muni","MUNI_PURPOSE_SCHED", "aggregate=y")</f>
        <v>#N/A Review</v>
      </c>
      <c r="J1272" t="str">
        <f>_xll.BDP("503570ED Muni","CPN")</f>
        <v>#N/A Requesting Data...</v>
      </c>
      <c r="K1272" t="str">
        <f>_xll.BDP("503570ED Muni","MATURITY")</f>
        <v>#N/A Requesting Data...</v>
      </c>
      <c r="L1272">
        <v>280000</v>
      </c>
      <c r="M1272" t="str">
        <f>_xll.BDP("503570ED Muni","YIELD_ON_ISSUE_DATE")</f>
        <v>#N/A Requesting Data...</v>
      </c>
      <c r="N1272" t="str">
        <f>_xll.BDP("503570ED Muni","YTW_SPREAD_TO_MATURITY_AT_ISSU")</f>
        <v>#N/A Requesting Data...</v>
      </c>
      <c r="O1272" t="str">
        <f>_xll.BDP("503570ED Muni","BVAL_MID_YTM")</f>
        <v>#N/A Requesting Data...</v>
      </c>
      <c r="P1272" t="str">
        <f>_xll.BDP("503570ED Muni","MUNI_TAX_PROV")</f>
        <v>#N/A Requesting Data...</v>
      </c>
      <c r="Q1272" t="str">
        <f>_xll.BDP("503570ED Muni","MUNI_FED_TAX")</f>
        <v>#N/A Requesting Data...</v>
      </c>
      <c r="R1272" t="str">
        <f>_xll.BDP("503570ED Muni","MUNI_MSRB_VOLUME")</f>
        <v>#N/A Requesting Data...</v>
      </c>
      <c r="S1272" t="str">
        <f>_xll.BDP("503570ED Muni","BB_COMPOSITE")</f>
        <v>#N/A Requesting Data...</v>
      </c>
      <c r="T1272" t="str">
        <f>_xll.BDP("503570ED Muni","LQA_LIQUIDITY_SCORE")</f>
        <v>#N/A Requesting Data...</v>
      </c>
    </row>
    <row r="1273" spans="1:20" x14ac:dyDescent="0.25">
      <c r="A1273" t="str">
        <f>_xll.BDP("503570EE Muni","ID_CUSIP")</f>
        <v>#N/A Requesting Data...</v>
      </c>
      <c r="B1273" t="s">
        <v>423</v>
      </c>
      <c r="C1273" t="str">
        <f>_xll.BDP("503570EE Muni","INSURANCE_STATUS")</f>
        <v>#N/A Requesting Data...</v>
      </c>
      <c r="D1273" t="str">
        <f>_xll.BDP("503570EE Muni","STATE_CODE")</f>
        <v>#N/A Requesting Data...</v>
      </c>
      <c r="E1273" t="str">
        <f>_xll.BDP("503570EE Muni","COUNTY_LOCATION_ISSUER")</f>
        <v>#N/A Requesting Data...</v>
      </c>
      <c r="F1273" t="str">
        <f>_xll.BDP("503570EE Muni","DUR_ADJ_MID")</f>
        <v>#N/A Requesting Data...</v>
      </c>
      <c r="G1273" t="str">
        <f>_xll.BDP("503570EE Muni","SPREAD_AT_ISSUANCE_TO_WORST")</f>
        <v>#N/A Requesting Data...</v>
      </c>
      <c r="H1273" t="str">
        <f>_xll.BDP("503570EE Muni","ISSUE_DT")</f>
        <v>#N/A Requesting Data...</v>
      </c>
      <c r="I1273" t="str">
        <f>_xll.BDS("503570EE Muni","MUNI_PURPOSE_SCHED", "aggregate=y")</f>
        <v>#N/A Review</v>
      </c>
      <c r="J1273" t="str">
        <f>_xll.BDP("503570EE Muni","CPN")</f>
        <v>#N/A Requesting Data...</v>
      </c>
      <c r="K1273" t="str">
        <f>_xll.BDP("503570EE Muni","MATURITY")</f>
        <v>#N/A Requesting Data...</v>
      </c>
      <c r="L1273">
        <v>285000</v>
      </c>
      <c r="M1273" t="str">
        <f>_xll.BDP("503570EE Muni","YIELD_ON_ISSUE_DATE")</f>
        <v>#N/A Requesting Data...</v>
      </c>
      <c r="N1273" t="str">
        <f>_xll.BDP("503570EE Muni","YTW_SPREAD_TO_MATURITY_AT_ISSU")</f>
        <v>#N/A Requesting Data...</v>
      </c>
      <c r="O1273" t="str">
        <f>_xll.BDP("503570EE Muni","BVAL_MID_YTM")</f>
        <v>#N/A Requesting Data...</v>
      </c>
      <c r="P1273" t="str">
        <f>_xll.BDP("503570EE Muni","MUNI_TAX_PROV")</f>
        <v>#N/A Requesting Data...</v>
      </c>
      <c r="Q1273" t="str">
        <f>_xll.BDP("503570EE Muni","MUNI_FED_TAX")</f>
        <v>#N/A Requesting Data...</v>
      </c>
      <c r="R1273" t="str">
        <f>_xll.BDP("503570EE Muni","MUNI_MSRB_VOLUME")</f>
        <v>#N/A Requesting Data...</v>
      </c>
      <c r="S1273" t="str">
        <f>_xll.BDP("503570EE Muni","BB_COMPOSITE")</f>
        <v>#N/A Requesting Data...</v>
      </c>
      <c r="T1273" t="str">
        <f>_xll.BDP("503570EE Muni","LQA_LIQUIDITY_SCORE")</f>
        <v>#N/A Requesting Data...</v>
      </c>
    </row>
    <row r="1274" spans="1:20" x14ac:dyDescent="0.25">
      <c r="A1274" t="str">
        <f>_xll.BDP("505242AF Muni","ID_CUSIP")</f>
        <v>#N/A Requesting Data...</v>
      </c>
      <c r="B1274" t="s">
        <v>424</v>
      </c>
      <c r="C1274" t="str">
        <f>_xll.BDP("505242AF Muni","INSURANCE_STATUS")</f>
        <v>#N/A Requesting Data...</v>
      </c>
      <c r="D1274" t="str">
        <f>_xll.BDP("505242AF Muni","STATE_CODE")</f>
        <v>#N/A Requesting Data...</v>
      </c>
      <c r="E1274" t="str">
        <f>_xll.BDP("505242AF Muni","COUNTY_LOCATION_ISSUER")</f>
        <v>#N/A Requesting Data...</v>
      </c>
      <c r="F1274" t="str">
        <f>_xll.BDP("505242AF Muni","DUR_ADJ_MID")</f>
        <v>#N/A Requesting Data...</v>
      </c>
      <c r="G1274" t="str">
        <f>_xll.BDP("505242AF Muni","SPREAD_AT_ISSUANCE_TO_WORST")</f>
        <v>#N/A Requesting Data...</v>
      </c>
      <c r="H1274" t="str">
        <f>_xll.BDP("505242AF Muni","ISSUE_DT")</f>
        <v>#N/A Requesting Data...</v>
      </c>
      <c r="I1274" t="str">
        <f>_xll.BDS("505242AF Muni","MUNI_PURPOSE_SCHED", "aggregate=y")</f>
        <v>#N/A Review</v>
      </c>
      <c r="J1274" t="str">
        <f>_xll.BDP("505242AF Muni","CPN")</f>
        <v>#N/A Requesting Data...</v>
      </c>
      <c r="K1274" t="str">
        <f>_xll.BDP("505242AF Muni","MATURITY")</f>
        <v>#N/A Requesting Data...</v>
      </c>
      <c r="L1274">
        <v>130000</v>
      </c>
      <c r="M1274" t="str">
        <f>_xll.BDP("505242AF Muni","YIELD_ON_ISSUE_DATE")</f>
        <v>#N/A Requesting Data...</v>
      </c>
      <c r="N1274" t="str">
        <f>_xll.BDP("505242AF Muni","YTW_SPREAD_TO_MATURITY_AT_ISSU")</f>
        <v>#N/A Requesting Data...</v>
      </c>
      <c r="O1274" t="str">
        <f>_xll.BDP("505242AF Muni","BVAL_MID_YTM")</f>
        <v>#N/A Requesting Data...</v>
      </c>
      <c r="P1274" t="str">
        <f>_xll.BDP("505242AF Muni","MUNI_TAX_PROV")</f>
        <v>#N/A Requesting Data...</v>
      </c>
      <c r="Q1274" t="str">
        <f>_xll.BDP("505242AF Muni","MUNI_FED_TAX")</f>
        <v>#N/A Requesting Data...</v>
      </c>
      <c r="R1274" t="str">
        <f>_xll.BDP("505242AF Muni","MUNI_MSRB_VOLUME")</f>
        <v>#N/A Requesting Data...</v>
      </c>
      <c r="S1274" t="str">
        <f>_xll.BDP("505242AF Muni","BB_COMPOSITE")</f>
        <v>#N/A Requesting Data...</v>
      </c>
      <c r="T1274" t="str">
        <f>_xll.BDP("505242AF Muni","LQA_LIQUIDITY_SCORE")</f>
        <v>#N/A Requesting Data...</v>
      </c>
    </row>
    <row r="1275" spans="1:20" x14ac:dyDescent="0.25">
      <c r="A1275" t="str">
        <f>_xll.BDP("505242AG Muni","ID_CUSIP")</f>
        <v>#N/A Requesting Data...</v>
      </c>
      <c r="B1275" t="s">
        <v>424</v>
      </c>
      <c r="C1275" t="str">
        <f>_xll.BDP("505242AG Muni","INSURANCE_STATUS")</f>
        <v>#N/A Requesting Data...</v>
      </c>
      <c r="D1275" t="str">
        <f>_xll.BDP("505242AG Muni","STATE_CODE")</f>
        <v>#N/A Requesting Data...</v>
      </c>
      <c r="E1275" t="str">
        <f>_xll.BDP("505242AG Muni","COUNTY_LOCATION_ISSUER")</f>
        <v>#N/A Requesting Data...</v>
      </c>
      <c r="F1275" t="str">
        <f>_xll.BDP("505242AG Muni","DUR_ADJ_MID")</f>
        <v>#N/A Requesting Data...</v>
      </c>
      <c r="G1275" t="str">
        <f>_xll.BDP("505242AG Muni","SPREAD_AT_ISSUANCE_TO_WORST")</f>
        <v>#N/A Requesting Data...</v>
      </c>
      <c r="H1275" t="str">
        <f>_xll.BDP("505242AG Muni","ISSUE_DT")</f>
        <v>#N/A Requesting Data...</v>
      </c>
      <c r="I1275" t="str">
        <f>_xll.BDS("505242AG Muni","MUNI_PURPOSE_SCHED", "aggregate=y")</f>
        <v>#N/A Review</v>
      </c>
      <c r="J1275" t="str">
        <f>_xll.BDP("505242AG Muni","CPN")</f>
        <v>#N/A Requesting Data...</v>
      </c>
      <c r="K1275" t="str">
        <f>_xll.BDP("505242AG Muni","MATURITY")</f>
        <v>#N/A Requesting Data...</v>
      </c>
      <c r="L1275">
        <v>135000</v>
      </c>
      <c r="M1275" t="str">
        <f>_xll.BDP("505242AG Muni","YIELD_ON_ISSUE_DATE")</f>
        <v>#N/A Requesting Data...</v>
      </c>
      <c r="N1275" t="str">
        <f>_xll.BDP("505242AG Muni","YTW_SPREAD_TO_MATURITY_AT_ISSU")</f>
        <v>#N/A Requesting Data...</v>
      </c>
      <c r="O1275" t="str">
        <f>_xll.BDP("505242AG Muni","BVAL_MID_YTM")</f>
        <v>#N/A Requesting Data...</v>
      </c>
      <c r="P1275" t="str">
        <f>_xll.BDP("505242AG Muni","MUNI_TAX_PROV")</f>
        <v>#N/A Requesting Data...</v>
      </c>
      <c r="Q1275" t="str">
        <f>_xll.BDP("505242AG Muni","MUNI_FED_TAX")</f>
        <v>#N/A Requesting Data...</v>
      </c>
      <c r="R1275" t="str">
        <f>_xll.BDP("505242AG Muni","MUNI_MSRB_VOLUME")</f>
        <v>#N/A Requesting Data...</v>
      </c>
      <c r="S1275" t="str">
        <f>_xll.BDP("505242AG Muni","BB_COMPOSITE")</f>
        <v>#N/A Requesting Data...</v>
      </c>
      <c r="T1275" t="str">
        <f>_xll.BDP("505242AG Muni","LQA_LIQUIDITY_SCORE")</f>
        <v>#N/A Requesting Data...</v>
      </c>
    </row>
    <row r="1276" spans="1:20" x14ac:dyDescent="0.25">
      <c r="A1276" t="str">
        <f>_xll.BDP("505242AH Muni","ID_CUSIP")</f>
        <v>#N/A Requesting Data...</v>
      </c>
      <c r="B1276" t="s">
        <v>424</v>
      </c>
      <c r="C1276" t="str">
        <f>_xll.BDP("505242AH Muni","INSURANCE_STATUS")</f>
        <v>#N/A Requesting Data...</v>
      </c>
      <c r="D1276" t="str">
        <f>_xll.BDP("505242AH Muni","STATE_CODE")</f>
        <v>#N/A Requesting Data...</v>
      </c>
      <c r="E1276" t="str">
        <f>_xll.BDP("505242AH Muni","COUNTY_LOCATION_ISSUER")</f>
        <v>#N/A Requesting Data...</v>
      </c>
      <c r="F1276" t="str">
        <f>_xll.BDP("505242AH Muni","DUR_ADJ_MID")</f>
        <v>#N/A Requesting Data...</v>
      </c>
      <c r="G1276" t="str">
        <f>_xll.BDP("505242AH Muni","SPREAD_AT_ISSUANCE_TO_WORST")</f>
        <v>#N/A Requesting Data...</v>
      </c>
      <c r="H1276" t="str">
        <f>_xll.BDP("505242AH Muni","ISSUE_DT")</f>
        <v>#N/A Requesting Data...</v>
      </c>
      <c r="I1276" t="str">
        <f>_xll.BDS("505242AH Muni","MUNI_PURPOSE_SCHED", "aggregate=y")</f>
        <v>#N/A Review</v>
      </c>
      <c r="J1276" t="str">
        <f>_xll.BDP("505242AH Muni","CPN")</f>
        <v>#N/A Requesting Data...</v>
      </c>
      <c r="K1276" t="str">
        <f>_xll.BDP("505242AH Muni","MATURITY")</f>
        <v>#N/A Requesting Data...</v>
      </c>
      <c r="L1276">
        <v>140000</v>
      </c>
      <c r="M1276" t="str">
        <f>_xll.BDP("505242AH Muni","YIELD_ON_ISSUE_DATE")</f>
        <v>#N/A Requesting Data...</v>
      </c>
      <c r="N1276" t="str">
        <f>_xll.BDP("505242AH Muni","YTW_SPREAD_TO_MATURITY_AT_ISSU")</f>
        <v>#N/A Requesting Data...</v>
      </c>
      <c r="O1276" t="str">
        <f>_xll.BDP("505242AH Muni","BVAL_MID_YTM")</f>
        <v>#N/A Requesting Data...</v>
      </c>
      <c r="P1276" t="str">
        <f>_xll.BDP("505242AH Muni","MUNI_TAX_PROV")</f>
        <v>#N/A Requesting Data...</v>
      </c>
      <c r="Q1276" t="str">
        <f>_xll.BDP("505242AH Muni","MUNI_FED_TAX")</f>
        <v>#N/A Requesting Data...</v>
      </c>
      <c r="R1276" t="str">
        <f>_xll.BDP("505242AH Muni","MUNI_MSRB_VOLUME")</f>
        <v>#N/A Requesting Data...</v>
      </c>
      <c r="S1276" t="str">
        <f>_xll.BDP("505242AH Muni","BB_COMPOSITE")</f>
        <v>#N/A Requesting Data...</v>
      </c>
      <c r="T1276" t="str">
        <f>_xll.BDP("505242AH Muni","LQA_LIQUIDITY_SCORE")</f>
        <v>#N/A Requesting Data...</v>
      </c>
    </row>
    <row r="1277" spans="1:20" x14ac:dyDescent="0.25">
      <c r="A1277" t="str">
        <f>_xll.BDP("505242AJ Muni","ID_CUSIP")</f>
        <v>#N/A Requesting Data...</v>
      </c>
      <c r="B1277" t="s">
        <v>424</v>
      </c>
      <c r="C1277" t="str">
        <f>_xll.BDP("505242AJ Muni","INSURANCE_STATUS")</f>
        <v>#N/A Requesting Data...</v>
      </c>
      <c r="D1277" t="str">
        <f>_xll.BDP("505242AJ Muni","STATE_CODE")</f>
        <v>#N/A Requesting Data...</v>
      </c>
      <c r="E1277" t="str">
        <f>_xll.BDP("505242AJ Muni","COUNTY_LOCATION_ISSUER")</f>
        <v>#N/A Requesting Data...</v>
      </c>
      <c r="F1277" t="str">
        <f>_xll.BDP("505242AJ Muni","DUR_ADJ_MID")</f>
        <v>#N/A Requesting Data...</v>
      </c>
      <c r="G1277" t="str">
        <f>_xll.BDP("505242AJ Muni","SPREAD_AT_ISSUANCE_TO_WORST")</f>
        <v>#N/A Requesting Data...</v>
      </c>
      <c r="H1277" t="str">
        <f>_xll.BDP("505242AJ Muni","ISSUE_DT")</f>
        <v>#N/A Requesting Data...</v>
      </c>
      <c r="I1277" t="str">
        <f>_xll.BDS("505242AJ Muni","MUNI_PURPOSE_SCHED", "aggregate=y")</f>
        <v>#N/A Review</v>
      </c>
      <c r="J1277" t="str">
        <f>_xll.BDP("505242AJ Muni","CPN")</f>
        <v>#N/A Requesting Data...</v>
      </c>
      <c r="K1277" t="str">
        <f>_xll.BDP("505242AJ Muni","MATURITY")</f>
        <v>#N/A Requesting Data...</v>
      </c>
      <c r="L1277">
        <v>145000</v>
      </c>
      <c r="M1277" t="str">
        <f>_xll.BDP("505242AJ Muni","YIELD_ON_ISSUE_DATE")</f>
        <v>#N/A Requesting Data...</v>
      </c>
      <c r="N1277" t="str">
        <f>_xll.BDP("505242AJ Muni","YTW_SPREAD_TO_MATURITY_AT_ISSU")</f>
        <v>#N/A Requesting Data...</v>
      </c>
      <c r="O1277" t="str">
        <f>_xll.BDP("505242AJ Muni","BVAL_MID_YTM")</f>
        <v>#N/A Requesting Data...</v>
      </c>
      <c r="P1277" t="str">
        <f>_xll.BDP("505242AJ Muni","MUNI_TAX_PROV")</f>
        <v>#N/A Requesting Data...</v>
      </c>
      <c r="Q1277" t="str">
        <f>_xll.BDP("505242AJ Muni","MUNI_FED_TAX")</f>
        <v>#N/A Requesting Data...</v>
      </c>
      <c r="R1277" t="str">
        <f>_xll.BDP("505242AJ Muni","MUNI_MSRB_VOLUME")</f>
        <v>#N/A Requesting Data...</v>
      </c>
      <c r="S1277" t="str">
        <f>_xll.BDP("505242AJ Muni","BB_COMPOSITE")</f>
        <v>#N/A Requesting Data...</v>
      </c>
      <c r="T1277" t="str">
        <f>_xll.BDP("505242AJ Muni","LQA_LIQUIDITY_SCORE")</f>
        <v>#N/A Requesting Data...</v>
      </c>
    </row>
    <row r="1278" spans="1:20" x14ac:dyDescent="0.25">
      <c r="A1278" t="str">
        <f>_xll.BDP("531286NA Muni","ID_CUSIP")</f>
        <v>#N/A Requesting Data...</v>
      </c>
      <c r="B1278" t="s">
        <v>141</v>
      </c>
      <c r="C1278" t="str">
        <f>_xll.BDP("531286NA Muni","INSURANCE_STATUS")</f>
        <v>#N/A Requesting Data...</v>
      </c>
      <c r="D1278" t="str">
        <f>_xll.BDP("531286NA Muni","STATE_CODE")</f>
        <v>#N/A Requesting Data...</v>
      </c>
      <c r="E1278" t="str">
        <f>_xll.BDP("531286NA Muni","COUNTY_LOCATION_ISSUER")</f>
        <v>#N/A Requesting Data...</v>
      </c>
      <c r="F1278" t="str">
        <f>_xll.BDP("531286NA Muni","DUR_ADJ_MID")</f>
        <v>#N/A Requesting Data...</v>
      </c>
      <c r="G1278" t="str">
        <f>_xll.BDP("531286NA Muni","SPREAD_AT_ISSUANCE_TO_WORST")</f>
        <v>#N/A Requesting Data...</v>
      </c>
      <c r="H1278" t="str">
        <f>_xll.BDP("531286NA Muni","ISSUE_DT")</f>
        <v>#N/A Requesting Data...</v>
      </c>
      <c r="I1278" t="str">
        <f>_xll.BDS("531286NA Muni","MUNI_PURPOSE_SCHED", "aggregate=y")</f>
        <v>#N/A Review</v>
      </c>
      <c r="J1278" t="str">
        <f>_xll.BDP("531286NA Muni","CPN")</f>
        <v>#N/A Requesting Data...</v>
      </c>
      <c r="K1278" t="str">
        <f>_xll.BDP("531286NA Muni","MATURITY")</f>
        <v>#N/A Requesting Data...</v>
      </c>
      <c r="L1278">
        <v>350000</v>
      </c>
      <c r="M1278" t="str">
        <f>_xll.BDP("531286NA Muni","YIELD_ON_ISSUE_DATE")</f>
        <v>#N/A Requesting Data...</v>
      </c>
      <c r="N1278" t="str">
        <f>_xll.BDP("531286NA Muni","YTW_SPREAD_TO_MATURITY_AT_ISSU")</f>
        <v>#N/A Requesting Data...</v>
      </c>
      <c r="O1278" t="str">
        <f>_xll.BDP("531286NA Muni","BVAL_MID_YTM")</f>
        <v>#N/A Requesting Data...</v>
      </c>
      <c r="P1278" t="str">
        <f>_xll.BDP("531286NA Muni","MUNI_TAX_PROV")</f>
        <v>#N/A Requesting Data...</v>
      </c>
      <c r="Q1278" t="str">
        <f>_xll.BDP("531286NA Muni","MUNI_FED_TAX")</f>
        <v>#N/A Requesting Data...</v>
      </c>
      <c r="R1278" t="str">
        <f>_xll.BDP("531286NA Muni","MUNI_MSRB_VOLUME")</f>
        <v>#N/A Requesting Data...</v>
      </c>
      <c r="S1278" t="str">
        <f>_xll.BDP("531286NA Muni","BB_COMPOSITE")</f>
        <v>#N/A Requesting Data...</v>
      </c>
      <c r="T1278" t="str">
        <f>_xll.BDP("531286NA Muni","LQA_LIQUIDITY_SCORE")</f>
        <v>#N/A Requesting Data...</v>
      </c>
    </row>
    <row r="1279" spans="1:20" x14ac:dyDescent="0.25">
      <c r="A1279" t="str">
        <f>_xll.BDP("531338AG Muni","ID_CUSIP")</f>
        <v>#N/A Requesting Data...</v>
      </c>
      <c r="B1279" t="s">
        <v>416</v>
      </c>
      <c r="C1279" t="str">
        <f>_xll.BDP("531338AG Muni","INSURANCE_STATUS")</f>
        <v>#N/A Requesting Data...</v>
      </c>
      <c r="D1279" t="str">
        <f>_xll.BDP("531338AG Muni","STATE_CODE")</f>
        <v>#N/A Requesting Data...</v>
      </c>
      <c r="E1279" t="str">
        <f>_xll.BDP("531338AG Muni","COUNTY_LOCATION_ISSUER")</f>
        <v>#N/A Requesting Data...</v>
      </c>
      <c r="F1279" t="str">
        <f>_xll.BDP("531338AG Muni","DUR_ADJ_MID")</f>
        <v>#N/A Requesting Data...</v>
      </c>
      <c r="G1279" t="str">
        <f>_xll.BDP("531338AG Muni","SPREAD_AT_ISSUANCE_TO_WORST")</f>
        <v>#N/A Requesting Data...</v>
      </c>
      <c r="H1279" t="str">
        <f>_xll.BDP("531338AG Muni","ISSUE_DT")</f>
        <v>#N/A Requesting Data...</v>
      </c>
      <c r="I1279" t="str">
        <f>_xll.BDS("531338AG Muni","MUNI_PURPOSE_SCHED", "aggregate=y")</f>
        <v>#N/A Review</v>
      </c>
      <c r="J1279" t="str">
        <f>_xll.BDP("531338AG Muni","CPN")</f>
        <v>#N/A Requesting Data...</v>
      </c>
      <c r="K1279" t="str">
        <f>_xll.BDP("531338AG Muni","MATURITY")</f>
        <v>#N/A Requesting Data...</v>
      </c>
      <c r="L1279">
        <v>90000</v>
      </c>
      <c r="M1279" t="str">
        <f>_xll.BDP("531338AG Muni","YIELD_ON_ISSUE_DATE")</f>
        <v>#N/A Requesting Data...</v>
      </c>
      <c r="N1279" t="str">
        <f>_xll.BDP("531338AG Muni","YTW_SPREAD_TO_MATURITY_AT_ISSU")</f>
        <v>#N/A Requesting Data...</v>
      </c>
      <c r="O1279" t="str">
        <f>_xll.BDP("531338AG Muni","BVAL_MID_YTM")</f>
        <v>#N/A Requesting Data...</v>
      </c>
      <c r="P1279" t="str">
        <f>_xll.BDP("531338AG Muni","MUNI_TAX_PROV")</f>
        <v>#N/A Requesting Data...</v>
      </c>
      <c r="Q1279" t="str">
        <f>_xll.BDP("531338AG Muni","MUNI_FED_TAX")</f>
        <v>#N/A Requesting Data...</v>
      </c>
      <c r="R1279" t="str">
        <f>_xll.BDP("531338AG Muni","MUNI_MSRB_VOLUME")</f>
        <v>#N/A Requesting Data...</v>
      </c>
      <c r="S1279" t="str">
        <f>_xll.BDP("531338AG Muni","BB_COMPOSITE")</f>
        <v>#N/A Requesting Data...</v>
      </c>
      <c r="T1279" t="str">
        <f>_xll.BDP("531338AG Muni","LQA_LIQUIDITY_SCORE")</f>
        <v>#N/A Requesting Data...</v>
      </c>
    </row>
    <row r="1280" spans="1:20" x14ac:dyDescent="0.25">
      <c r="A1280" t="str">
        <f>_xll.BDP("531338AH Muni","ID_CUSIP")</f>
        <v>#N/A Requesting Data...</v>
      </c>
      <c r="B1280" t="s">
        <v>416</v>
      </c>
      <c r="C1280" t="str">
        <f>_xll.BDP("531338AH Muni","INSURANCE_STATUS")</f>
        <v>#N/A Requesting Data...</v>
      </c>
      <c r="D1280" t="str">
        <f>_xll.BDP("531338AH Muni","STATE_CODE")</f>
        <v>#N/A Requesting Data...</v>
      </c>
      <c r="E1280" t="str">
        <f>_xll.BDP("531338AH Muni","COUNTY_LOCATION_ISSUER")</f>
        <v>#N/A Requesting Data...</v>
      </c>
      <c r="F1280" t="str">
        <f>_xll.BDP("531338AH Muni","DUR_ADJ_MID")</f>
        <v>#N/A Requesting Data...</v>
      </c>
      <c r="G1280" t="str">
        <f>_xll.BDP("531338AH Muni","SPREAD_AT_ISSUANCE_TO_WORST")</f>
        <v>#N/A Requesting Data...</v>
      </c>
      <c r="H1280" t="str">
        <f>_xll.BDP("531338AH Muni","ISSUE_DT")</f>
        <v>#N/A Requesting Data...</v>
      </c>
      <c r="I1280" t="str">
        <f>_xll.BDS("531338AH Muni","MUNI_PURPOSE_SCHED", "aggregate=y")</f>
        <v>#N/A Review</v>
      </c>
      <c r="J1280" t="str">
        <f>_xll.BDP("531338AH Muni","CPN")</f>
        <v>#N/A Requesting Data...</v>
      </c>
      <c r="K1280" t="str">
        <f>_xll.BDP("531338AH Muni","MATURITY")</f>
        <v>#N/A Requesting Data...</v>
      </c>
      <c r="L1280">
        <v>90000</v>
      </c>
      <c r="M1280" t="str">
        <f>_xll.BDP("531338AH Muni","YIELD_ON_ISSUE_DATE")</f>
        <v>#N/A Requesting Data...</v>
      </c>
      <c r="N1280" t="str">
        <f>_xll.BDP("531338AH Muni","YTW_SPREAD_TO_MATURITY_AT_ISSU")</f>
        <v>#N/A Requesting Data...</v>
      </c>
      <c r="O1280" t="str">
        <f>_xll.BDP("531338AH Muni","BVAL_MID_YTM")</f>
        <v>#N/A Requesting Data...</v>
      </c>
      <c r="P1280" t="str">
        <f>_xll.BDP("531338AH Muni","MUNI_TAX_PROV")</f>
        <v>#N/A Requesting Data...</v>
      </c>
      <c r="Q1280" t="str">
        <f>_xll.BDP("531338AH Muni","MUNI_FED_TAX")</f>
        <v>#N/A Requesting Data...</v>
      </c>
      <c r="R1280" t="str">
        <f>_xll.BDP("531338AH Muni","MUNI_MSRB_VOLUME")</f>
        <v>#N/A Requesting Data...</v>
      </c>
      <c r="S1280" t="str">
        <f>_xll.BDP("531338AH Muni","BB_COMPOSITE")</f>
        <v>#N/A Requesting Data...</v>
      </c>
      <c r="T1280" t="str">
        <f>_xll.BDP("531338AH Muni","LQA_LIQUIDITY_SCORE")</f>
        <v>#N/A Requesting Data...</v>
      </c>
    </row>
    <row r="1281" spans="1:20" x14ac:dyDescent="0.25">
      <c r="A1281" t="str">
        <f>_xll.BDP("531338AJ Muni","ID_CUSIP")</f>
        <v>#N/A Requesting Data...</v>
      </c>
      <c r="B1281" t="s">
        <v>416</v>
      </c>
      <c r="C1281" t="str">
        <f>_xll.BDP("531338AJ Muni","INSURANCE_STATUS")</f>
        <v>#N/A Requesting Data...</v>
      </c>
      <c r="D1281" t="str">
        <f>_xll.BDP("531338AJ Muni","STATE_CODE")</f>
        <v>#N/A Requesting Data...</v>
      </c>
      <c r="E1281" t="str">
        <f>_xll.BDP("531338AJ Muni","COUNTY_LOCATION_ISSUER")</f>
        <v>#N/A Requesting Data...</v>
      </c>
      <c r="F1281" t="str">
        <f>_xll.BDP("531338AJ Muni","DUR_ADJ_MID")</f>
        <v>#N/A Requesting Data...</v>
      </c>
      <c r="G1281" t="str">
        <f>_xll.BDP("531338AJ Muni","SPREAD_AT_ISSUANCE_TO_WORST")</f>
        <v>#N/A Requesting Data...</v>
      </c>
      <c r="H1281" t="str">
        <f>_xll.BDP("531338AJ Muni","ISSUE_DT")</f>
        <v>#N/A Requesting Data...</v>
      </c>
      <c r="I1281" t="str">
        <f>_xll.BDS("531338AJ Muni","MUNI_PURPOSE_SCHED", "aggregate=y")</f>
        <v>#N/A Review</v>
      </c>
      <c r="J1281" t="str">
        <f>_xll.BDP("531338AJ Muni","CPN")</f>
        <v>#N/A Requesting Data...</v>
      </c>
      <c r="K1281" t="str">
        <f>_xll.BDP("531338AJ Muni","MATURITY")</f>
        <v>#N/A Requesting Data...</v>
      </c>
      <c r="L1281">
        <v>90000</v>
      </c>
      <c r="M1281" t="str">
        <f>_xll.BDP("531338AJ Muni","YIELD_ON_ISSUE_DATE")</f>
        <v>#N/A Requesting Data...</v>
      </c>
      <c r="N1281" t="str">
        <f>_xll.BDP("531338AJ Muni","YTW_SPREAD_TO_MATURITY_AT_ISSU")</f>
        <v>#N/A Requesting Data...</v>
      </c>
      <c r="O1281" t="str">
        <f>_xll.BDP("531338AJ Muni","BVAL_MID_YTM")</f>
        <v>#N/A Requesting Data...</v>
      </c>
      <c r="P1281" t="str">
        <f>_xll.BDP("531338AJ Muni","MUNI_TAX_PROV")</f>
        <v>#N/A Requesting Data...</v>
      </c>
      <c r="Q1281" t="str">
        <f>_xll.BDP("531338AJ Muni","MUNI_FED_TAX")</f>
        <v>#N/A Requesting Data...</v>
      </c>
      <c r="R1281" t="str">
        <f>_xll.BDP("531338AJ Muni","MUNI_MSRB_VOLUME")</f>
        <v>#N/A Requesting Data...</v>
      </c>
      <c r="S1281" t="str">
        <f>_xll.BDP("531338AJ Muni","BB_COMPOSITE")</f>
        <v>#N/A Requesting Data...</v>
      </c>
      <c r="T1281" t="str">
        <f>_xll.BDP("531338AJ Muni","LQA_LIQUIDITY_SCORE")</f>
        <v>#N/A Requesting Data...</v>
      </c>
    </row>
    <row r="1282" spans="1:20" x14ac:dyDescent="0.25">
      <c r="A1282" t="str">
        <f>_xll.BDP("648443DQ Muni","ID_CUSIP")</f>
        <v>#N/A Requesting Data...</v>
      </c>
      <c r="B1282" t="s">
        <v>425</v>
      </c>
      <c r="C1282" t="str">
        <f>_xll.BDP("648443DQ Muni","INSURANCE_STATUS")</f>
        <v>#N/A Requesting Data...</v>
      </c>
      <c r="D1282" t="str">
        <f>_xll.BDP("648443DQ Muni","STATE_CODE")</f>
        <v>#N/A Requesting Data...</v>
      </c>
      <c r="E1282" t="str">
        <f>_xll.BDP("648443DQ Muni","COUNTY_LOCATION_ISSUER")</f>
        <v>#N/A Requesting Data...</v>
      </c>
      <c r="F1282" t="str">
        <f>_xll.BDP("648443DQ Muni","DUR_ADJ_MID")</f>
        <v>#N/A Requesting Data...</v>
      </c>
      <c r="G1282" t="str">
        <f>_xll.BDP("648443DQ Muni","SPREAD_AT_ISSUANCE_TO_WORST")</f>
        <v>#N/A Requesting Data...</v>
      </c>
      <c r="H1282" t="str">
        <f>_xll.BDP("648443DQ Muni","ISSUE_DT")</f>
        <v>#N/A Requesting Data...</v>
      </c>
      <c r="I1282" t="str">
        <f>_xll.BDS("648443DQ Muni","MUNI_PURPOSE_SCHED", "aggregate=y")</f>
        <v>#N/A Review</v>
      </c>
      <c r="J1282" t="str">
        <f>_xll.BDP("648443DQ Muni","CPN")</f>
        <v>#N/A Requesting Data...</v>
      </c>
      <c r="K1282" t="str">
        <f>_xll.BDP("648443DQ Muni","MATURITY")</f>
        <v>#N/A Requesting Data...</v>
      </c>
      <c r="L1282">
        <v>245000</v>
      </c>
      <c r="M1282" t="str">
        <f>_xll.BDP("648443DQ Muni","YIELD_ON_ISSUE_DATE")</f>
        <v>#N/A Requesting Data...</v>
      </c>
      <c r="N1282" t="str">
        <f>_xll.BDP("648443DQ Muni","YTW_SPREAD_TO_MATURITY_AT_ISSU")</f>
        <v>#N/A Requesting Data...</v>
      </c>
      <c r="O1282" t="str">
        <f>_xll.BDP("648443DQ Muni","BVAL_MID_YTM")</f>
        <v>#N/A Requesting Data...</v>
      </c>
      <c r="P1282" t="str">
        <f>_xll.BDP("648443DQ Muni","MUNI_TAX_PROV")</f>
        <v>#N/A Requesting Data...</v>
      </c>
      <c r="Q1282" t="str">
        <f>_xll.BDP("648443DQ Muni","MUNI_FED_TAX")</f>
        <v>#N/A Requesting Data...</v>
      </c>
      <c r="R1282" t="str">
        <f>_xll.BDP("648443DQ Muni","MUNI_MSRB_VOLUME")</f>
        <v>#N/A Requesting Data...</v>
      </c>
      <c r="S1282" t="str">
        <f>_xll.BDP("648443DQ Muni","BB_COMPOSITE")</f>
        <v>#N/A Requesting Data...</v>
      </c>
      <c r="T1282" t="str">
        <f>_xll.BDP("648443DQ Muni","LQA_LIQUIDITY_SCORE")</f>
        <v>#N/A Requesting Data...</v>
      </c>
    </row>
    <row r="1283" spans="1:20" x14ac:dyDescent="0.25">
      <c r="A1283" t="str">
        <f>_xll.BDP("646720HW Muni","ID_CUSIP")</f>
        <v>#N/A Requesting Data...</v>
      </c>
      <c r="B1283" t="s">
        <v>426</v>
      </c>
      <c r="C1283" t="str">
        <f>_xll.BDP("646720HW Muni","INSURANCE_STATUS")</f>
        <v>#N/A Requesting Data...</v>
      </c>
      <c r="D1283" t="str">
        <f>_xll.BDP("646720HW Muni","STATE_CODE")</f>
        <v>#N/A Requesting Data...</v>
      </c>
      <c r="E1283" t="str">
        <f>_xll.BDP("646720HW Muni","COUNTY_LOCATION_ISSUER")</f>
        <v>#N/A Requesting Data...</v>
      </c>
      <c r="F1283" t="str">
        <f>_xll.BDP("646720HW Muni","DUR_ADJ_MID")</f>
        <v>#N/A Requesting Data...</v>
      </c>
      <c r="G1283" t="str">
        <f>_xll.BDP("646720HW Muni","SPREAD_AT_ISSUANCE_TO_WORST")</f>
        <v>#N/A Requesting Data...</v>
      </c>
      <c r="H1283" t="str">
        <f>_xll.BDP("646720HW Muni","ISSUE_DT")</f>
        <v>#N/A Requesting Data...</v>
      </c>
      <c r="I1283" t="str">
        <f>_xll.BDS("646720HW Muni","MUNI_PURPOSE_SCHED", "aggregate=y")</f>
        <v>#N/A Review</v>
      </c>
      <c r="J1283" t="str">
        <f>_xll.BDP("646720HW Muni","CPN")</f>
        <v>#N/A Requesting Data...</v>
      </c>
      <c r="K1283" t="str">
        <f>_xll.BDP("646720HW Muni","MATURITY")</f>
        <v>#N/A Requesting Data...</v>
      </c>
      <c r="L1283">
        <v>120000</v>
      </c>
      <c r="M1283" t="str">
        <f>_xll.BDP("646720HW Muni","YIELD_ON_ISSUE_DATE")</f>
        <v>#N/A Requesting Data...</v>
      </c>
      <c r="N1283" t="str">
        <f>_xll.BDP("646720HW Muni","YTW_SPREAD_TO_MATURITY_AT_ISSU")</f>
        <v>#N/A Requesting Data...</v>
      </c>
      <c r="O1283" t="str">
        <f>_xll.BDP("646720HW Muni","BVAL_MID_YTM")</f>
        <v>#N/A Requesting Data...</v>
      </c>
      <c r="P1283" t="str">
        <f>_xll.BDP("646720HW Muni","MUNI_TAX_PROV")</f>
        <v>#N/A Requesting Data...</v>
      </c>
      <c r="Q1283" t="str">
        <f>_xll.BDP("646720HW Muni","MUNI_FED_TAX")</f>
        <v>#N/A Requesting Data...</v>
      </c>
      <c r="R1283" t="str">
        <f>_xll.BDP("646720HW Muni","MUNI_MSRB_VOLUME")</f>
        <v>#N/A Requesting Data...</v>
      </c>
      <c r="S1283" t="str">
        <f>_xll.BDP("646720HW Muni","BB_COMPOSITE")</f>
        <v>#N/A Requesting Data...</v>
      </c>
      <c r="T1283" t="str">
        <f>_xll.BDP("646720HW Muni","LQA_LIQUIDITY_SCORE")</f>
        <v>#N/A Requesting Data...</v>
      </c>
    </row>
    <row r="1284" spans="1:20" x14ac:dyDescent="0.25">
      <c r="A1284" t="str">
        <f>_xll.BDP("648443DP Muni","ID_CUSIP")</f>
        <v>#N/A Requesting Data...</v>
      </c>
      <c r="B1284" t="s">
        <v>425</v>
      </c>
      <c r="C1284" t="str">
        <f>_xll.BDP("648443DP Muni","INSURANCE_STATUS")</f>
        <v>#N/A Requesting Data...</v>
      </c>
      <c r="D1284" t="str">
        <f>_xll.BDP("648443DP Muni","STATE_CODE")</f>
        <v>#N/A Requesting Data...</v>
      </c>
      <c r="E1284" t="str">
        <f>_xll.BDP("648443DP Muni","COUNTY_LOCATION_ISSUER")</f>
        <v>#N/A Requesting Data...</v>
      </c>
      <c r="F1284" t="str">
        <f>_xll.BDP("648443DP Muni","DUR_ADJ_MID")</f>
        <v>#N/A Requesting Data...</v>
      </c>
      <c r="G1284" t="str">
        <f>_xll.BDP("648443DP Muni","SPREAD_AT_ISSUANCE_TO_WORST")</f>
        <v>#N/A Requesting Data...</v>
      </c>
      <c r="H1284" t="str">
        <f>_xll.BDP("648443DP Muni","ISSUE_DT")</f>
        <v>#N/A Requesting Data...</v>
      </c>
      <c r="I1284" t="str">
        <f>_xll.BDS("648443DP Muni","MUNI_PURPOSE_SCHED", "aggregate=y")</f>
        <v>#N/A Review</v>
      </c>
      <c r="J1284" t="str">
        <f>_xll.BDP("648443DP Muni","CPN")</f>
        <v>#N/A Requesting Data...</v>
      </c>
      <c r="K1284" t="str">
        <f>_xll.BDP("648443DP Muni","MATURITY")</f>
        <v>#N/A Requesting Data...</v>
      </c>
      <c r="L1284">
        <v>230000</v>
      </c>
      <c r="M1284" t="str">
        <f>_xll.BDP("648443DP Muni","YIELD_ON_ISSUE_DATE")</f>
        <v>#N/A Requesting Data...</v>
      </c>
      <c r="N1284" t="str">
        <f>_xll.BDP("648443DP Muni","YTW_SPREAD_TO_MATURITY_AT_ISSU")</f>
        <v>#N/A Requesting Data...</v>
      </c>
      <c r="O1284" t="str">
        <f>_xll.BDP("648443DP Muni","BVAL_MID_YTM")</f>
        <v>#N/A Requesting Data...</v>
      </c>
      <c r="P1284" t="str">
        <f>_xll.BDP("648443DP Muni","MUNI_TAX_PROV")</f>
        <v>#N/A Requesting Data...</v>
      </c>
      <c r="Q1284" t="str">
        <f>_xll.BDP("648443DP Muni","MUNI_FED_TAX")</f>
        <v>#N/A Requesting Data...</v>
      </c>
      <c r="R1284" t="str">
        <f>_xll.BDP("648443DP Muni","MUNI_MSRB_VOLUME")</f>
        <v>#N/A Requesting Data...</v>
      </c>
      <c r="S1284" t="str">
        <f>_xll.BDP("648443DP Muni","BB_COMPOSITE")</f>
        <v>#N/A Requesting Data...</v>
      </c>
      <c r="T1284" t="str">
        <f>_xll.BDP("648443DP Muni","LQA_LIQUIDITY_SCORE")</f>
        <v>#N/A Requesting Data...</v>
      </c>
    </row>
    <row r="1285" spans="1:20" x14ac:dyDescent="0.25">
      <c r="A1285" t="str">
        <f>_xll.BDP("648443DR Muni","ID_CUSIP")</f>
        <v>#N/A Requesting Data...</v>
      </c>
      <c r="B1285" t="s">
        <v>425</v>
      </c>
      <c r="C1285" t="str">
        <f>_xll.BDP("648443DR Muni","INSURANCE_STATUS")</f>
        <v>#N/A Requesting Data...</v>
      </c>
      <c r="D1285" t="str">
        <f>_xll.BDP("648443DR Muni","STATE_CODE")</f>
        <v>#N/A Requesting Data...</v>
      </c>
      <c r="E1285" t="str">
        <f>_xll.BDP("648443DR Muni","COUNTY_LOCATION_ISSUER")</f>
        <v>#N/A Requesting Data...</v>
      </c>
      <c r="F1285" t="str">
        <f>_xll.BDP("648443DR Muni","DUR_ADJ_MID")</f>
        <v>#N/A Requesting Data...</v>
      </c>
      <c r="G1285" t="str">
        <f>_xll.BDP("648443DR Muni","SPREAD_AT_ISSUANCE_TO_WORST")</f>
        <v>#N/A Requesting Data...</v>
      </c>
      <c r="H1285" t="str">
        <f>_xll.BDP("648443DR Muni","ISSUE_DT")</f>
        <v>#N/A Requesting Data...</v>
      </c>
      <c r="I1285" t="str">
        <f>_xll.BDS("648443DR Muni","MUNI_PURPOSE_SCHED", "aggregate=y")</f>
        <v>#N/A Review</v>
      </c>
      <c r="J1285" t="str">
        <f>_xll.BDP("648443DR Muni","CPN")</f>
        <v>#N/A Requesting Data...</v>
      </c>
      <c r="K1285" t="str">
        <f>_xll.BDP("648443DR Muni","MATURITY")</f>
        <v>#N/A Requesting Data...</v>
      </c>
      <c r="L1285">
        <v>245000</v>
      </c>
      <c r="M1285" t="str">
        <f>_xll.BDP("648443DR Muni","YIELD_ON_ISSUE_DATE")</f>
        <v>#N/A Requesting Data...</v>
      </c>
      <c r="N1285" t="str">
        <f>_xll.BDP("648443DR Muni","YTW_SPREAD_TO_MATURITY_AT_ISSU")</f>
        <v>#N/A Requesting Data...</v>
      </c>
      <c r="O1285" t="str">
        <f>_xll.BDP("648443DR Muni","BVAL_MID_YTM")</f>
        <v>#N/A Requesting Data...</v>
      </c>
      <c r="P1285" t="str">
        <f>_xll.BDP("648443DR Muni","MUNI_TAX_PROV")</f>
        <v>#N/A Requesting Data...</v>
      </c>
      <c r="Q1285" t="str">
        <f>_xll.BDP("648443DR Muni","MUNI_FED_TAX")</f>
        <v>#N/A Requesting Data...</v>
      </c>
      <c r="R1285" t="str">
        <f>_xll.BDP("648443DR Muni","MUNI_MSRB_VOLUME")</f>
        <v>#N/A Requesting Data...</v>
      </c>
      <c r="S1285" t="str">
        <f>_xll.BDP("648443DR Muni","BB_COMPOSITE")</f>
        <v>#N/A Requesting Data...</v>
      </c>
      <c r="T1285" t="str">
        <f>_xll.BDP("648443DR Muni","LQA_LIQUIDITY_SCORE")</f>
        <v>#N/A Requesting Data...</v>
      </c>
    </row>
    <row r="1286" spans="1:20" x14ac:dyDescent="0.25">
      <c r="A1286" t="str">
        <f>_xll.BDP("646720HX Muni","ID_CUSIP")</f>
        <v>#N/A Requesting Data...</v>
      </c>
      <c r="B1286" t="s">
        <v>426</v>
      </c>
      <c r="C1286" t="str">
        <f>_xll.BDP("646720HX Muni","INSURANCE_STATUS")</f>
        <v>#N/A Requesting Data...</v>
      </c>
      <c r="D1286" t="str">
        <f>_xll.BDP("646720HX Muni","STATE_CODE")</f>
        <v>#N/A Requesting Data...</v>
      </c>
      <c r="E1286" t="str">
        <f>_xll.BDP("646720HX Muni","COUNTY_LOCATION_ISSUER")</f>
        <v>#N/A Requesting Data...</v>
      </c>
      <c r="F1286" t="str">
        <f>_xll.BDP("646720HX Muni","DUR_ADJ_MID")</f>
        <v>#N/A Requesting Data...</v>
      </c>
      <c r="G1286" t="str">
        <f>_xll.BDP("646720HX Muni","SPREAD_AT_ISSUANCE_TO_WORST")</f>
        <v>#N/A Requesting Data...</v>
      </c>
      <c r="H1286" t="str">
        <f>_xll.BDP("646720HX Muni","ISSUE_DT")</f>
        <v>#N/A Requesting Data...</v>
      </c>
      <c r="I1286" t="str">
        <f>_xll.BDS("646720HX Muni","MUNI_PURPOSE_SCHED", "aggregate=y")</f>
        <v>#N/A Review</v>
      </c>
      <c r="J1286" t="str">
        <f>_xll.BDP("646720HX Muni","CPN")</f>
        <v>#N/A Requesting Data...</v>
      </c>
      <c r="K1286" t="str">
        <f>_xll.BDP("646720HX Muni","MATURITY")</f>
        <v>#N/A Requesting Data...</v>
      </c>
      <c r="L1286">
        <v>120000</v>
      </c>
      <c r="M1286" t="str">
        <f>_xll.BDP("646720HX Muni","YIELD_ON_ISSUE_DATE")</f>
        <v>#N/A Requesting Data...</v>
      </c>
      <c r="N1286" t="str">
        <f>_xll.BDP("646720HX Muni","YTW_SPREAD_TO_MATURITY_AT_ISSU")</f>
        <v>#N/A Requesting Data...</v>
      </c>
      <c r="O1286" t="str">
        <f>_xll.BDP("646720HX Muni","BVAL_MID_YTM")</f>
        <v>#N/A Requesting Data...</v>
      </c>
      <c r="P1286" t="str">
        <f>_xll.BDP("646720HX Muni","MUNI_TAX_PROV")</f>
        <v>#N/A Requesting Data...</v>
      </c>
      <c r="Q1286" t="str">
        <f>_xll.BDP("646720HX Muni","MUNI_FED_TAX")</f>
        <v>#N/A Requesting Data...</v>
      </c>
      <c r="R1286" t="str">
        <f>_xll.BDP("646720HX Muni","MUNI_MSRB_VOLUME")</f>
        <v>#N/A Requesting Data...</v>
      </c>
      <c r="S1286" t="str">
        <f>_xll.BDP("646720HX Muni","BB_COMPOSITE")</f>
        <v>#N/A Requesting Data...</v>
      </c>
      <c r="T1286" t="str">
        <f>_xll.BDP("646720HX Muni","LQA_LIQUIDITY_SCORE")</f>
        <v>#N/A Requesting Data...</v>
      </c>
    </row>
    <row r="1287" spans="1:20" x14ac:dyDescent="0.25">
      <c r="A1287" t="str">
        <f>_xll.BDP("646720HY Muni","ID_CUSIP")</f>
        <v>#N/A Requesting Data...</v>
      </c>
      <c r="B1287" t="s">
        <v>426</v>
      </c>
      <c r="C1287" t="str">
        <f>_xll.BDP("646720HY Muni","INSURANCE_STATUS")</f>
        <v>#N/A Requesting Data...</v>
      </c>
      <c r="D1287" t="str">
        <f>_xll.BDP("646720HY Muni","STATE_CODE")</f>
        <v>#N/A Requesting Data...</v>
      </c>
      <c r="E1287" t="str">
        <f>_xll.BDP("646720HY Muni","COUNTY_LOCATION_ISSUER")</f>
        <v>#N/A Requesting Data...</v>
      </c>
      <c r="F1287" t="str">
        <f>_xll.BDP("646720HY Muni","DUR_ADJ_MID")</f>
        <v>#N/A Requesting Data...</v>
      </c>
      <c r="G1287" t="str">
        <f>_xll.BDP("646720HY Muni","SPREAD_AT_ISSUANCE_TO_WORST")</f>
        <v>#N/A Requesting Data...</v>
      </c>
      <c r="H1287" t="str">
        <f>_xll.BDP("646720HY Muni","ISSUE_DT")</f>
        <v>#N/A Requesting Data...</v>
      </c>
      <c r="I1287" t="str">
        <f>_xll.BDS("646720HY Muni","MUNI_PURPOSE_SCHED", "aggregate=y")</f>
        <v>#N/A Review</v>
      </c>
      <c r="J1287" t="str">
        <f>_xll.BDP("646720HY Muni","CPN")</f>
        <v>#N/A Requesting Data...</v>
      </c>
      <c r="K1287" t="str">
        <f>_xll.BDP("646720HY Muni","MATURITY")</f>
        <v>#N/A Requesting Data...</v>
      </c>
      <c r="L1287">
        <v>150000</v>
      </c>
      <c r="M1287" t="str">
        <f>_xll.BDP("646720HY Muni","YIELD_ON_ISSUE_DATE")</f>
        <v>#N/A Requesting Data...</v>
      </c>
      <c r="N1287" t="str">
        <f>_xll.BDP("646720HY Muni","YTW_SPREAD_TO_MATURITY_AT_ISSU")</f>
        <v>#N/A Requesting Data...</v>
      </c>
      <c r="O1287" t="str">
        <f>_xll.BDP("646720HY Muni","BVAL_MID_YTM")</f>
        <v>#N/A Requesting Data...</v>
      </c>
      <c r="P1287" t="str">
        <f>_xll.BDP("646720HY Muni","MUNI_TAX_PROV")</f>
        <v>#N/A Requesting Data...</v>
      </c>
      <c r="Q1287" t="str">
        <f>_xll.BDP("646720HY Muni","MUNI_FED_TAX")</f>
        <v>#N/A Requesting Data...</v>
      </c>
      <c r="R1287" t="str">
        <f>_xll.BDP("646720HY Muni","MUNI_MSRB_VOLUME")</f>
        <v>#N/A Requesting Data...</v>
      </c>
      <c r="S1287" t="str">
        <f>_xll.BDP("646720HY Muni","BB_COMPOSITE")</f>
        <v>#N/A Requesting Data...</v>
      </c>
      <c r="T1287" t="str">
        <f>_xll.BDP("646720HY Muni","LQA_LIQUIDITY_SCORE")</f>
        <v>#N/A Requesting Data...</v>
      </c>
    </row>
    <row r="1288" spans="1:20" x14ac:dyDescent="0.25">
      <c r="A1288" t="str">
        <f>_xll.BDP("646720HZ Muni","ID_CUSIP")</f>
        <v>#N/A Requesting Data...</v>
      </c>
      <c r="B1288" t="s">
        <v>426</v>
      </c>
      <c r="C1288" t="str">
        <f>_xll.BDP("646720HZ Muni","INSURANCE_STATUS")</f>
        <v>#N/A Requesting Data...</v>
      </c>
      <c r="D1288" t="str">
        <f>_xll.BDP("646720HZ Muni","STATE_CODE")</f>
        <v>#N/A Requesting Data...</v>
      </c>
      <c r="E1288" t="str">
        <f>_xll.BDP("646720HZ Muni","COUNTY_LOCATION_ISSUER")</f>
        <v>#N/A Requesting Data...</v>
      </c>
      <c r="F1288" t="str">
        <f>_xll.BDP("646720HZ Muni","DUR_ADJ_MID")</f>
        <v>#N/A Requesting Data...</v>
      </c>
      <c r="G1288" t="str">
        <f>_xll.BDP("646720HZ Muni","SPREAD_AT_ISSUANCE_TO_WORST")</f>
        <v>#N/A Requesting Data...</v>
      </c>
      <c r="H1288" t="str">
        <f>_xll.BDP("646720HZ Muni","ISSUE_DT")</f>
        <v>#N/A Requesting Data...</v>
      </c>
      <c r="I1288" t="str">
        <f>_xll.BDS("646720HZ Muni","MUNI_PURPOSE_SCHED", "aggregate=y")</f>
        <v>#N/A Review</v>
      </c>
      <c r="J1288" t="str">
        <f>_xll.BDP("646720HZ Muni","CPN")</f>
        <v>#N/A Requesting Data...</v>
      </c>
      <c r="K1288" t="str">
        <f>_xll.BDP("646720HZ Muni","MATURITY")</f>
        <v>#N/A Requesting Data...</v>
      </c>
      <c r="L1288">
        <v>150000</v>
      </c>
      <c r="M1288" t="str">
        <f>_xll.BDP("646720HZ Muni","YIELD_ON_ISSUE_DATE")</f>
        <v>#N/A Requesting Data...</v>
      </c>
      <c r="N1288" t="str">
        <f>_xll.BDP("646720HZ Muni","YTW_SPREAD_TO_MATURITY_AT_ISSU")</f>
        <v>#N/A Requesting Data...</v>
      </c>
      <c r="O1288" t="str">
        <f>_xll.BDP("646720HZ Muni","BVAL_MID_YTM")</f>
        <v>#N/A Requesting Data...</v>
      </c>
      <c r="P1288" t="str">
        <f>_xll.BDP("646720HZ Muni","MUNI_TAX_PROV")</f>
        <v>#N/A Requesting Data...</v>
      </c>
      <c r="Q1288" t="str">
        <f>_xll.BDP("646720HZ Muni","MUNI_FED_TAX")</f>
        <v>#N/A Requesting Data...</v>
      </c>
      <c r="R1288" t="str">
        <f>_xll.BDP("646720HZ Muni","MUNI_MSRB_VOLUME")</f>
        <v>#N/A Requesting Data...</v>
      </c>
      <c r="S1288" t="str">
        <f>_xll.BDP("646720HZ Muni","BB_COMPOSITE")</f>
        <v>#N/A Requesting Data...</v>
      </c>
      <c r="T1288" t="str">
        <f>_xll.BDP("646720HZ Muni","LQA_LIQUIDITY_SCORE")</f>
        <v>#N/A Requesting Data...</v>
      </c>
    </row>
    <row r="1289" spans="1:20" x14ac:dyDescent="0.25">
      <c r="A1289" t="str">
        <f>_xll.BDP("646720JA Muni","ID_CUSIP")</f>
        <v>#N/A Requesting Data...</v>
      </c>
      <c r="B1289" t="s">
        <v>426</v>
      </c>
      <c r="C1289" t="str">
        <f>_xll.BDP("646720JA Muni","INSURANCE_STATUS")</f>
        <v>#N/A Requesting Data...</v>
      </c>
      <c r="D1289" t="str">
        <f>_xll.BDP("646720JA Muni","STATE_CODE")</f>
        <v>#N/A Requesting Data...</v>
      </c>
      <c r="E1289" t="str">
        <f>_xll.BDP("646720JA Muni","COUNTY_LOCATION_ISSUER")</f>
        <v>#N/A Requesting Data...</v>
      </c>
      <c r="F1289" t="str">
        <f>_xll.BDP("646720JA Muni","DUR_ADJ_MID")</f>
        <v>#N/A Requesting Data...</v>
      </c>
      <c r="G1289" t="str">
        <f>_xll.BDP("646720JA Muni","SPREAD_AT_ISSUANCE_TO_WORST")</f>
        <v>#N/A Requesting Data...</v>
      </c>
      <c r="H1289" t="str">
        <f>_xll.BDP("646720JA Muni","ISSUE_DT")</f>
        <v>#N/A Requesting Data...</v>
      </c>
      <c r="I1289" t="str">
        <f>_xll.BDS("646720JA Muni","MUNI_PURPOSE_SCHED", "aggregate=y")</f>
        <v>#N/A Review</v>
      </c>
      <c r="J1289" t="str">
        <f>_xll.BDP("646720JA Muni","CPN")</f>
        <v>#N/A Requesting Data...</v>
      </c>
      <c r="K1289" t="str">
        <f>_xll.BDP("646720JA Muni","MATURITY")</f>
        <v>#N/A Requesting Data...</v>
      </c>
      <c r="L1289">
        <v>160000</v>
      </c>
      <c r="M1289" t="str">
        <f>_xll.BDP("646720JA Muni","YIELD_ON_ISSUE_DATE")</f>
        <v>#N/A Requesting Data...</v>
      </c>
      <c r="N1289" t="str">
        <f>_xll.BDP("646720JA Muni","YTW_SPREAD_TO_MATURITY_AT_ISSU")</f>
        <v>#N/A Requesting Data...</v>
      </c>
      <c r="O1289" t="str">
        <f>_xll.BDP("646720JA Muni","BVAL_MID_YTM")</f>
        <v>#N/A Requesting Data...</v>
      </c>
      <c r="P1289" t="str">
        <f>_xll.BDP("646720JA Muni","MUNI_TAX_PROV")</f>
        <v>#N/A Requesting Data...</v>
      </c>
      <c r="Q1289" t="str">
        <f>_xll.BDP("646720JA Muni","MUNI_FED_TAX")</f>
        <v>#N/A Requesting Data...</v>
      </c>
      <c r="R1289" t="str">
        <f>_xll.BDP("646720JA Muni","MUNI_MSRB_VOLUME")</f>
        <v>#N/A Requesting Data...</v>
      </c>
      <c r="S1289" t="str">
        <f>_xll.BDP("646720JA Muni","BB_COMPOSITE")</f>
        <v>#N/A Requesting Data...</v>
      </c>
      <c r="T1289" t="str">
        <f>_xll.BDP("646720JA Muni","LQA_LIQUIDITY_SCORE")</f>
        <v>#N/A Requesting Data...</v>
      </c>
    </row>
    <row r="1290" spans="1:20" x14ac:dyDescent="0.25">
      <c r="A1290" t="str">
        <f>_xll.BDP("586226GP Muni","ID_CUSIP")</f>
        <v>#N/A Requesting Data...</v>
      </c>
      <c r="B1290" t="s">
        <v>96</v>
      </c>
      <c r="C1290" t="str">
        <f>_xll.BDP("586226GP Muni","INSURANCE_STATUS")</f>
        <v>#N/A Requesting Data...</v>
      </c>
      <c r="D1290" t="str">
        <f>_xll.BDP("586226GP Muni","STATE_CODE")</f>
        <v>#N/A Requesting Data...</v>
      </c>
      <c r="E1290" t="str">
        <f>_xll.BDP("586226GP Muni","COUNTY_LOCATION_ISSUER")</f>
        <v>#N/A Requesting Data...</v>
      </c>
      <c r="F1290" t="str">
        <f>_xll.BDP("586226GP Muni","DUR_ADJ_MID")</f>
        <v>#N/A Requesting Data...</v>
      </c>
      <c r="G1290" t="str">
        <f>_xll.BDP("586226GP Muni","SPREAD_AT_ISSUANCE_TO_WORST")</f>
        <v>#N/A Requesting Data...</v>
      </c>
      <c r="H1290" t="str">
        <f>_xll.BDP("586226GP Muni","ISSUE_DT")</f>
        <v>#N/A Requesting Data...</v>
      </c>
      <c r="I1290" t="str">
        <f>_xll.BDS("586226GP Muni","MUNI_PURPOSE_SCHED", "aggregate=y")</f>
        <v>#N/A Review</v>
      </c>
      <c r="J1290" t="str">
        <f>_xll.BDP("586226GP Muni","CPN")</f>
        <v>#N/A Requesting Data...</v>
      </c>
      <c r="K1290" t="str">
        <f>_xll.BDP("586226GP Muni","MATURITY")</f>
        <v>#N/A Requesting Data...</v>
      </c>
      <c r="L1290">
        <v>1355000</v>
      </c>
      <c r="M1290" t="str">
        <f>_xll.BDP("586226GP Muni","YIELD_ON_ISSUE_DATE")</f>
        <v>#N/A Requesting Data...</v>
      </c>
      <c r="N1290" t="str">
        <f>_xll.BDP("586226GP Muni","YTW_SPREAD_TO_MATURITY_AT_ISSU")</f>
        <v>#N/A Requesting Data...</v>
      </c>
      <c r="O1290" t="str">
        <f>_xll.BDP("586226GP Muni","BVAL_MID_YTM")</f>
        <v>#N/A Requesting Data...</v>
      </c>
      <c r="P1290" t="str">
        <f>_xll.BDP("586226GP Muni","MUNI_TAX_PROV")</f>
        <v>#N/A Requesting Data...</v>
      </c>
      <c r="Q1290" t="str">
        <f>_xll.BDP("586226GP Muni","MUNI_FED_TAX")</f>
        <v>#N/A Requesting Data...</v>
      </c>
      <c r="R1290" t="str">
        <f>_xll.BDP("586226GP Muni","MUNI_MSRB_VOLUME")</f>
        <v>#N/A Requesting Data...</v>
      </c>
      <c r="S1290" t="str">
        <f>_xll.BDP("586226GP Muni","BB_COMPOSITE")</f>
        <v>#N/A Requesting Data...</v>
      </c>
      <c r="T1290" t="str">
        <f>_xll.BDP("586226GP Muni","LQA_LIQUIDITY_SCORE")</f>
        <v>#N/A Requesting Data...</v>
      </c>
    </row>
    <row r="1291" spans="1:20" x14ac:dyDescent="0.25">
      <c r="A1291" t="str">
        <f>_xll.BDP("587057Q4 Muni","ID_CUSIP")</f>
        <v>#N/A Requesting Data...</v>
      </c>
      <c r="B1291" t="s">
        <v>142</v>
      </c>
      <c r="C1291" t="str">
        <f>_xll.BDP("587057Q4 Muni","INSURANCE_STATUS")</f>
        <v>#N/A Requesting Data...</v>
      </c>
      <c r="D1291" t="str">
        <f>_xll.BDP("587057Q4 Muni","STATE_CODE")</f>
        <v>#N/A Requesting Data...</v>
      </c>
      <c r="E1291" t="str">
        <f>_xll.BDP("587057Q4 Muni","COUNTY_LOCATION_ISSUER")</f>
        <v>#N/A Requesting Data...</v>
      </c>
      <c r="F1291" t="str">
        <f>_xll.BDP("587057Q4 Muni","DUR_ADJ_MID")</f>
        <v>#N/A Requesting Data...</v>
      </c>
      <c r="G1291" t="str">
        <f>_xll.BDP("587057Q4 Muni","SPREAD_AT_ISSUANCE_TO_WORST")</f>
        <v>#N/A Requesting Data...</v>
      </c>
      <c r="H1291" t="str">
        <f>_xll.BDP("587057Q4 Muni","ISSUE_DT")</f>
        <v>#N/A Requesting Data...</v>
      </c>
      <c r="I1291" t="str">
        <f>_xll.BDS("587057Q4 Muni","MUNI_PURPOSE_SCHED", "aggregate=y")</f>
        <v>#N/A Review</v>
      </c>
      <c r="J1291" t="str">
        <f>_xll.BDP("587057Q4 Muni","CPN")</f>
        <v>#N/A Requesting Data...</v>
      </c>
      <c r="K1291" t="str">
        <f>_xll.BDP("587057Q4 Muni","MATURITY")</f>
        <v>#N/A Requesting Data...</v>
      </c>
      <c r="L1291">
        <v>255000</v>
      </c>
      <c r="M1291" t="str">
        <f>_xll.BDP("587057Q4 Muni","YIELD_ON_ISSUE_DATE")</f>
        <v>#N/A Requesting Data...</v>
      </c>
      <c r="N1291" t="str">
        <f>_xll.BDP("587057Q4 Muni","YTW_SPREAD_TO_MATURITY_AT_ISSU")</f>
        <v>#N/A Requesting Data...</v>
      </c>
      <c r="O1291" t="str">
        <f>_xll.BDP("587057Q4 Muni","BVAL_MID_YTM")</f>
        <v>#N/A Requesting Data...</v>
      </c>
      <c r="P1291" t="str">
        <f>_xll.BDP("587057Q4 Muni","MUNI_TAX_PROV")</f>
        <v>#N/A Requesting Data...</v>
      </c>
      <c r="Q1291" t="str">
        <f>_xll.BDP("587057Q4 Muni","MUNI_FED_TAX")</f>
        <v>#N/A Requesting Data...</v>
      </c>
      <c r="R1291" t="str">
        <f>_xll.BDP("587057Q4 Muni","MUNI_MSRB_VOLUME")</f>
        <v>#N/A Requesting Data...</v>
      </c>
      <c r="S1291" t="str">
        <f>_xll.BDP("587057Q4 Muni","BB_COMPOSITE")</f>
        <v>#N/A Requesting Data...</v>
      </c>
      <c r="T1291" t="str">
        <f>_xll.BDP("587057Q4 Muni","LQA_LIQUIDITY_SCORE")</f>
        <v>#N/A Requesting Data...</v>
      </c>
    </row>
    <row r="1292" spans="1:20" x14ac:dyDescent="0.25">
      <c r="A1292" t="str">
        <f>_xll.BDP("453452KY Muni","ID_CUSIP")</f>
        <v>#N/A Requesting Data...</v>
      </c>
      <c r="B1292" t="s">
        <v>427</v>
      </c>
      <c r="C1292" t="str">
        <f>_xll.BDP("453452KY Muni","INSURANCE_STATUS")</f>
        <v>#N/A Requesting Data...</v>
      </c>
      <c r="D1292" t="str">
        <f>_xll.BDP("453452KY Muni","STATE_CODE")</f>
        <v>#N/A Requesting Data...</v>
      </c>
      <c r="E1292" t="str">
        <f>_xll.BDP("453452KY Muni","COUNTY_LOCATION_ISSUER")</f>
        <v>#N/A Requesting Data...</v>
      </c>
      <c r="F1292" t="str">
        <f>_xll.BDP("453452KY Muni","DUR_ADJ_MID")</f>
        <v>#N/A Requesting Data...</v>
      </c>
      <c r="G1292" t="str">
        <f>_xll.BDP("453452KY Muni","SPREAD_AT_ISSUANCE_TO_WORST")</f>
        <v>#N/A Requesting Data...</v>
      </c>
      <c r="H1292" t="str">
        <f>_xll.BDP("453452KY Muni","ISSUE_DT")</f>
        <v>#N/A Requesting Data...</v>
      </c>
      <c r="I1292" t="str">
        <f>_xll.BDS("453452KY Muni","MUNI_PURPOSE_SCHED", "aggregate=y")</f>
        <v>#N/A Review</v>
      </c>
      <c r="J1292" t="str">
        <f>_xll.BDP("453452KY Muni","CPN")</f>
        <v>#N/A Requesting Data...</v>
      </c>
      <c r="K1292" t="str">
        <f>_xll.BDP("453452KY Muni","MATURITY")</f>
        <v>#N/A Requesting Data...</v>
      </c>
      <c r="L1292">
        <v>200000</v>
      </c>
      <c r="M1292" t="str">
        <f>_xll.BDP("453452KY Muni","YIELD_ON_ISSUE_DATE")</f>
        <v>#N/A Requesting Data...</v>
      </c>
      <c r="N1292" t="str">
        <f>_xll.BDP("453452KY Muni","YTW_SPREAD_TO_MATURITY_AT_ISSU")</f>
        <v>#N/A Requesting Data...</v>
      </c>
      <c r="O1292" t="str">
        <f>_xll.BDP("453452KY Muni","BVAL_MID_YTM")</f>
        <v>#N/A Requesting Data...</v>
      </c>
      <c r="P1292" t="str">
        <f>_xll.BDP("453452KY Muni","MUNI_TAX_PROV")</f>
        <v>#N/A Requesting Data...</v>
      </c>
      <c r="Q1292" t="str">
        <f>_xll.BDP("453452KY Muni","MUNI_FED_TAX")</f>
        <v>#N/A Requesting Data...</v>
      </c>
      <c r="R1292" t="str">
        <f>_xll.BDP("453452KY Muni","MUNI_MSRB_VOLUME")</f>
        <v>#N/A Requesting Data...</v>
      </c>
      <c r="S1292" t="str">
        <f>_xll.BDP("453452KY Muni","BB_COMPOSITE")</f>
        <v>#N/A Requesting Data...</v>
      </c>
      <c r="T1292" t="str">
        <f>_xll.BDP("453452KY Muni","LQA_LIQUIDITY_SCORE")</f>
        <v>#N/A Requesting Data...</v>
      </c>
    </row>
    <row r="1293" spans="1:20" x14ac:dyDescent="0.25">
      <c r="A1293" t="str">
        <f>_xll.BDP("453452KZ Muni","ID_CUSIP")</f>
        <v>#N/A Requesting Data...</v>
      </c>
      <c r="B1293" t="s">
        <v>427</v>
      </c>
      <c r="C1293" t="str">
        <f>_xll.BDP("453452KZ Muni","INSURANCE_STATUS")</f>
        <v>#N/A Requesting Data...</v>
      </c>
      <c r="D1293" t="str">
        <f>_xll.BDP("453452KZ Muni","STATE_CODE")</f>
        <v>#N/A Requesting Data...</v>
      </c>
      <c r="E1293" t="str">
        <f>_xll.BDP("453452KZ Muni","COUNTY_LOCATION_ISSUER")</f>
        <v>#N/A Requesting Data...</v>
      </c>
      <c r="F1293" t="str">
        <f>_xll.BDP("453452KZ Muni","DUR_ADJ_MID")</f>
        <v>#N/A Requesting Data...</v>
      </c>
      <c r="G1293" t="str">
        <f>_xll.BDP("453452KZ Muni","SPREAD_AT_ISSUANCE_TO_WORST")</f>
        <v>#N/A Requesting Data...</v>
      </c>
      <c r="H1293" t="str">
        <f>_xll.BDP("453452KZ Muni","ISSUE_DT")</f>
        <v>#N/A Requesting Data...</v>
      </c>
      <c r="I1293" t="str">
        <f>_xll.BDS("453452KZ Muni","MUNI_PURPOSE_SCHED", "aggregate=y")</f>
        <v>#N/A Review</v>
      </c>
      <c r="J1293" t="str">
        <f>_xll.BDP("453452KZ Muni","CPN")</f>
        <v>#N/A Requesting Data...</v>
      </c>
      <c r="K1293" t="str">
        <f>_xll.BDP("453452KZ Muni","MATURITY")</f>
        <v>#N/A Requesting Data...</v>
      </c>
      <c r="L1293">
        <v>205000</v>
      </c>
      <c r="M1293" t="str">
        <f>_xll.BDP("453452KZ Muni","YIELD_ON_ISSUE_DATE")</f>
        <v>#N/A Requesting Data...</v>
      </c>
      <c r="N1293" t="str">
        <f>_xll.BDP("453452KZ Muni","YTW_SPREAD_TO_MATURITY_AT_ISSU")</f>
        <v>#N/A Requesting Data...</v>
      </c>
      <c r="O1293" t="str">
        <f>_xll.BDP("453452KZ Muni","BVAL_MID_YTM")</f>
        <v>#N/A Requesting Data...</v>
      </c>
      <c r="P1293" t="str">
        <f>_xll.BDP("453452KZ Muni","MUNI_TAX_PROV")</f>
        <v>#N/A Requesting Data...</v>
      </c>
      <c r="Q1293" t="str">
        <f>_xll.BDP("453452KZ Muni","MUNI_FED_TAX")</f>
        <v>#N/A Requesting Data...</v>
      </c>
      <c r="R1293" t="str">
        <f>_xll.BDP("453452KZ Muni","MUNI_MSRB_VOLUME")</f>
        <v>#N/A Requesting Data...</v>
      </c>
      <c r="S1293" t="str">
        <f>_xll.BDP("453452KZ Muni","BB_COMPOSITE")</f>
        <v>#N/A Requesting Data...</v>
      </c>
      <c r="T1293" t="str">
        <f>_xll.BDP("453452KZ Muni","LQA_LIQUIDITY_SCORE")</f>
        <v>#N/A Requesting Data...</v>
      </c>
    </row>
    <row r="1294" spans="1:20" x14ac:dyDescent="0.25">
      <c r="A1294" t="str">
        <f>_xll.BDP("453452LA Muni","ID_CUSIP")</f>
        <v>#N/A Requesting Data...</v>
      </c>
      <c r="B1294" t="s">
        <v>427</v>
      </c>
      <c r="C1294" t="str">
        <f>_xll.BDP("453452LA Muni","INSURANCE_STATUS")</f>
        <v>#N/A Requesting Data...</v>
      </c>
      <c r="D1294" t="str">
        <f>_xll.BDP("453452LA Muni","STATE_CODE")</f>
        <v>#N/A Requesting Data...</v>
      </c>
      <c r="E1294" t="str">
        <f>_xll.BDP("453452LA Muni","COUNTY_LOCATION_ISSUER")</f>
        <v>#N/A Requesting Data...</v>
      </c>
      <c r="F1294" t="str">
        <f>_xll.BDP("453452LA Muni","DUR_ADJ_MID")</f>
        <v>#N/A Requesting Data...</v>
      </c>
      <c r="G1294" t="str">
        <f>_xll.BDP("453452LA Muni","SPREAD_AT_ISSUANCE_TO_WORST")</f>
        <v>#N/A Requesting Data...</v>
      </c>
      <c r="H1294" t="str">
        <f>_xll.BDP("453452LA Muni","ISSUE_DT")</f>
        <v>#N/A Requesting Data...</v>
      </c>
      <c r="I1294" t="str">
        <f>_xll.BDS("453452LA Muni","MUNI_PURPOSE_SCHED", "aggregate=y")</f>
        <v>#N/A Review</v>
      </c>
      <c r="J1294" t="str">
        <f>_xll.BDP("453452LA Muni","CPN")</f>
        <v>#N/A Requesting Data...</v>
      </c>
      <c r="K1294" t="str">
        <f>_xll.BDP("453452LA Muni","MATURITY")</f>
        <v>#N/A Requesting Data...</v>
      </c>
      <c r="L1294">
        <v>215000</v>
      </c>
      <c r="M1294" t="str">
        <f>_xll.BDP("453452LA Muni","YIELD_ON_ISSUE_DATE")</f>
        <v>#N/A Requesting Data...</v>
      </c>
      <c r="N1294" t="str">
        <f>_xll.BDP("453452LA Muni","YTW_SPREAD_TO_MATURITY_AT_ISSU")</f>
        <v>#N/A Requesting Data...</v>
      </c>
      <c r="O1294" t="str">
        <f>_xll.BDP("453452LA Muni","BVAL_MID_YTM")</f>
        <v>#N/A Requesting Data...</v>
      </c>
      <c r="P1294" t="str">
        <f>_xll.BDP("453452LA Muni","MUNI_TAX_PROV")</f>
        <v>#N/A Requesting Data...</v>
      </c>
      <c r="Q1294" t="str">
        <f>_xll.BDP("453452LA Muni","MUNI_FED_TAX")</f>
        <v>#N/A Requesting Data...</v>
      </c>
      <c r="R1294" t="str">
        <f>_xll.BDP("453452LA Muni","MUNI_MSRB_VOLUME")</f>
        <v>#N/A Requesting Data...</v>
      </c>
      <c r="S1294" t="str">
        <f>_xll.BDP("453452LA Muni","BB_COMPOSITE")</f>
        <v>#N/A Requesting Data...</v>
      </c>
      <c r="T1294" t="str">
        <f>_xll.BDP("453452LA Muni","LQA_LIQUIDITY_SCORE")</f>
        <v>#N/A Requesting Data...</v>
      </c>
    </row>
    <row r="1295" spans="1:20" x14ac:dyDescent="0.25">
      <c r="A1295" t="str">
        <f>_xll.BDP("453907GG Muni","ID_CUSIP")</f>
        <v>#N/A Requesting Data...</v>
      </c>
      <c r="B1295" t="s">
        <v>428</v>
      </c>
      <c r="C1295" t="str">
        <f>_xll.BDP("453907GG Muni","INSURANCE_STATUS")</f>
        <v>#N/A Requesting Data...</v>
      </c>
      <c r="D1295" t="str">
        <f>_xll.BDP("453907GG Muni","STATE_CODE")</f>
        <v>#N/A Requesting Data...</v>
      </c>
      <c r="E1295" t="str">
        <f>_xll.BDP("453907GG Muni","COUNTY_LOCATION_ISSUER")</f>
        <v>#N/A Requesting Data...</v>
      </c>
      <c r="F1295" t="str">
        <f>_xll.BDP("453907GG Muni","DUR_ADJ_MID")</f>
        <v>#N/A Requesting Data...</v>
      </c>
      <c r="G1295" t="str">
        <f>_xll.BDP("453907GG Muni","SPREAD_AT_ISSUANCE_TO_WORST")</f>
        <v>#N/A Requesting Data...</v>
      </c>
      <c r="H1295" t="str">
        <f>_xll.BDP("453907GG Muni","ISSUE_DT")</f>
        <v>#N/A Requesting Data...</v>
      </c>
      <c r="I1295" t="str">
        <f>_xll.BDS("453907GG Muni","MUNI_PURPOSE_SCHED", "aggregate=y")</f>
        <v>#N/A Review</v>
      </c>
      <c r="J1295" t="str">
        <f>_xll.BDP("453907GG Muni","CPN")</f>
        <v>#N/A Requesting Data...</v>
      </c>
      <c r="K1295" t="str">
        <f>_xll.BDP("453907GG Muni","MATURITY")</f>
        <v>#N/A Requesting Data...</v>
      </c>
      <c r="L1295">
        <v>60000</v>
      </c>
      <c r="M1295" t="str">
        <f>_xll.BDP("453907GG Muni","YIELD_ON_ISSUE_DATE")</f>
        <v>#N/A Requesting Data...</v>
      </c>
      <c r="N1295" t="str">
        <f>_xll.BDP("453907GG Muni","YTW_SPREAD_TO_MATURITY_AT_ISSU")</f>
        <v>#N/A Requesting Data...</v>
      </c>
      <c r="O1295" t="str">
        <f>_xll.BDP("453907GG Muni","BVAL_MID_YTM")</f>
        <v>#N/A Requesting Data...</v>
      </c>
      <c r="P1295" t="str">
        <f>_xll.BDP("453907GG Muni","MUNI_TAX_PROV")</f>
        <v>#N/A Requesting Data...</v>
      </c>
      <c r="Q1295" t="str">
        <f>_xll.BDP("453907GG Muni","MUNI_FED_TAX")</f>
        <v>#N/A Requesting Data...</v>
      </c>
      <c r="R1295" t="str">
        <f>_xll.BDP("453907GG Muni","MUNI_MSRB_VOLUME")</f>
        <v>#N/A Requesting Data...</v>
      </c>
      <c r="S1295" t="str">
        <f>_xll.BDP("453907GG Muni","BB_COMPOSITE")</f>
        <v>#N/A Requesting Data...</v>
      </c>
      <c r="T1295" t="str">
        <f>_xll.BDP("453907GG Muni","LQA_LIQUIDITY_SCORE")</f>
        <v>#N/A Requesting Data...</v>
      </c>
    </row>
    <row r="1296" spans="1:20" x14ac:dyDescent="0.25">
      <c r="A1296" t="str">
        <f>_xll.BDP("453907GH Muni","ID_CUSIP")</f>
        <v>#N/A Requesting Data...</v>
      </c>
      <c r="B1296" t="s">
        <v>428</v>
      </c>
      <c r="C1296" t="str">
        <f>_xll.BDP("453907GH Muni","INSURANCE_STATUS")</f>
        <v>#N/A Requesting Data...</v>
      </c>
      <c r="D1296" t="str">
        <f>_xll.BDP("453907GH Muni","STATE_CODE")</f>
        <v>#N/A Requesting Data...</v>
      </c>
      <c r="E1296" t="str">
        <f>_xll.BDP("453907GH Muni","COUNTY_LOCATION_ISSUER")</f>
        <v>#N/A Requesting Data...</v>
      </c>
      <c r="F1296" t="str">
        <f>_xll.BDP("453907GH Muni","DUR_ADJ_MID")</f>
        <v>#N/A Requesting Data...</v>
      </c>
      <c r="G1296" t="str">
        <f>_xll.BDP("453907GH Muni","SPREAD_AT_ISSUANCE_TO_WORST")</f>
        <v>#N/A Requesting Data...</v>
      </c>
      <c r="H1296" t="str">
        <f>_xll.BDP("453907GH Muni","ISSUE_DT")</f>
        <v>#N/A Requesting Data...</v>
      </c>
      <c r="I1296" t="str">
        <f>_xll.BDS("453907GH Muni","MUNI_PURPOSE_SCHED", "aggregate=y")</f>
        <v>#N/A Review</v>
      </c>
      <c r="J1296" t="str">
        <f>_xll.BDP("453907GH Muni","CPN")</f>
        <v>#N/A Requesting Data...</v>
      </c>
      <c r="K1296" t="str">
        <f>_xll.BDP("453907GH Muni","MATURITY")</f>
        <v>#N/A Requesting Data...</v>
      </c>
      <c r="L1296">
        <v>60000</v>
      </c>
      <c r="M1296" t="str">
        <f>_xll.BDP("453907GH Muni","YIELD_ON_ISSUE_DATE")</f>
        <v>#N/A Requesting Data...</v>
      </c>
      <c r="N1296" t="str">
        <f>_xll.BDP("453907GH Muni","YTW_SPREAD_TO_MATURITY_AT_ISSU")</f>
        <v>#N/A Requesting Data...</v>
      </c>
      <c r="O1296" t="str">
        <f>_xll.BDP("453907GH Muni","BVAL_MID_YTM")</f>
        <v>#N/A Requesting Data...</v>
      </c>
      <c r="P1296" t="str">
        <f>_xll.BDP("453907GH Muni","MUNI_TAX_PROV")</f>
        <v>#N/A Requesting Data...</v>
      </c>
      <c r="Q1296" t="str">
        <f>_xll.BDP("453907GH Muni","MUNI_FED_TAX")</f>
        <v>#N/A Requesting Data...</v>
      </c>
      <c r="R1296" t="str">
        <f>_xll.BDP("453907GH Muni","MUNI_MSRB_VOLUME")</f>
        <v>#N/A Requesting Data...</v>
      </c>
      <c r="S1296" t="str">
        <f>_xll.BDP("453907GH Muni","BB_COMPOSITE")</f>
        <v>#N/A Requesting Data...</v>
      </c>
      <c r="T1296" t="str">
        <f>_xll.BDP("453907GH Muni","LQA_LIQUIDITY_SCORE")</f>
        <v>#N/A Requesting Data...</v>
      </c>
    </row>
    <row r="1297" spans="1:20" x14ac:dyDescent="0.25">
      <c r="A1297" t="str">
        <f>_xll.BDP("453907GJ Muni","ID_CUSIP")</f>
        <v>#N/A Requesting Data...</v>
      </c>
      <c r="B1297" t="s">
        <v>428</v>
      </c>
      <c r="C1297" t="str">
        <f>_xll.BDP("453907GJ Muni","INSURANCE_STATUS")</f>
        <v>#N/A Requesting Data...</v>
      </c>
      <c r="D1297" t="str">
        <f>_xll.BDP("453907GJ Muni","STATE_CODE")</f>
        <v>#N/A Requesting Data...</v>
      </c>
      <c r="E1297" t="str">
        <f>_xll.BDP("453907GJ Muni","COUNTY_LOCATION_ISSUER")</f>
        <v>#N/A Requesting Data...</v>
      </c>
      <c r="F1297" t="str">
        <f>_xll.BDP("453907GJ Muni","DUR_ADJ_MID")</f>
        <v>#N/A Requesting Data...</v>
      </c>
      <c r="G1297" t="str">
        <f>_xll.BDP("453907GJ Muni","SPREAD_AT_ISSUANCE_TO_WORST")</f>
        <v>#N/A Requesting Data...</v>
      </c>
      <c r="H1297" t="str">
        <f>_xll.BDP("453907GJ Muni","ISSUE_DT")</f>
        <v>#N/A Requesting Data...</v>
      </c>
      <c r="I1297" t="str">
        <f>_xll.BDS("453907GJ Muni","MUNI_PURPOSE_SCHED", "aggregate=y")</f>
        <v>#N/A Review</v>
      </c>
      <c r="J1297" t="str">
        <f>_xll.BDP("453907GJ Muni","CPN")</f>
        <v>#N/A Requesting Data...</v>
      </c>
      <c r="K1297" t="str">
        <f>_xll.BDP("453907GJ Muni","MATURITY")</f>
        <v>#N/A Requesting Data...</v>
      </c>
      <c r="L1297">
        <v>65000</v>
      </c>
      <c r="M1297" t="str">
        <f>_xll.BDP("453907GJ Muni","YIELD_ON_ISSUE_DATE")</f>
        <v>#N/A Requesting Data...</v>
      </c>
      <c r="N1297" t="str">
        <f>_xll.BDP("453907GJ Muni","YTW_SPREAD_TO_MATURITY_AT_ISSU")</f>
        <v>#N/A Requesting Data...</v>
      </c>
      <c r="O1297" t="str">
        <f>_xll.BDP("453907GJ Muni","BVAL_MID_YTM")</f>
        <v>#N/A Requesting Data...</v>
      </c>
      <c r="P1297" t="str">
        <f>_xll.BDP("453907GJ Muni","MUNI_TAX_PROV")</f>
        <v>#N/A Requesting Data...</v>
      </c>
      <c r="Q1297" t="str">
        <f>_xll.BDP("453907GJ Muni","MUNI_FED_TAX")</f>
        <v>#N/A Requesting Data...</v>
      </c>
      <c r="R1297" t="str">
        <f>_xll.BDP("453907GJ Muni","MUNI_MSRB_VOLUME")</f>
        <v>#N/A Requesting Data...</v>
      </c>
      <c r="S1297" t="str">
        <f>_xll.BDP("453907GJ Muni","BB_COMPOSITE")</f>
        <v>#N/A Requesting Data...</v>
      </c>
      <c r="T1297" t="str">
        <f>_xll.BDP("453907GJ Muni","LQA_LIQUIDITY_SCORE")</f>
        <v>#N/A Requesting Data...</v>
      </c>
    </row>
    <row r="1298" spans="1:20" x14ac:dyDescent="0.25">
      <c r="A1298" t="str">
        <f>_xll.BDP("453907GK Muni","ID_CUSIP")</f>
        <v>#N/A Requesting Data...</v>
      </c>
      <c r="B1298" t="s">
        <v>428</v>
      </c>
      <c r="C1298" t="str">
        <f>_xll.BDP("453907GK Muni","INSURANCE_STATUS")</f>
        <v>#N/A Requesting Data...</v>
      </c>
      <c r="D1298" t="str">
        <f>_xll.BDP("453907GK Muni","STATE_CODE")</f>
        <v>#N/A Requesting Data...</v>
      </c>
      <c r="E1298" t="str">
        <f>_xll.BDP("453907GK Muni","COUNTY_LOCATION_ISSUER")</f>
        <v>#N/A Requesting Data...</v>
      </c>
      <c r="F1298" t="str">
        <f>_xll.BDP("453907GK Muni","DUR_ADJ_MID")</f>
        <v>#N/A Requesting Data...</v>
      </c>
      <c r="G1298" t="str">
        <f>_xll.BDP("453907GK Muni","SPREAD_AT_ISSUANCE_TO_WORST")</f>
        <v>#N/A Requesting Data...</v>
      </c>
      <c r="H1298" t="str">
        <f>_xll.BDP("453907GK Muni","ISSUE_DT")</f>
        <v>#N/A Requesting Data...</v>
      </c>
      <c r="I1298" t="str">
        <f>_xll.BDS("453907GK Muni","MUNI_PURPOSE_SCHED", "aggregate=y")</f>
        <v>#N/A Review</v>
      </c>
      <c r="J1298" t="str">
        <f>_xll.BDP("453907GK Muni","CPN")</f>
        <v>#N/A Requesting Data...</v>
      </c>
      <c r="K1298" t="str">
        <f>_xll.BDP("453907GK Muni","MATURITY")</f>
        <v>#N/A Requesting Data...</v>
      </c>
      <c r="L1298">
        <v>65000</v>
      </c>
      <c r="M1298" t="str">
        <f>_xll.BDP("453907GK Muni","YIELD_ON_ISSUE_DATE")</f>
        <v>#N/A Requesting Data...</v>
      </c>
      <c r="N1298" t="str">
        <f>_xll.BDP("453907GK Muni","YTW_SPREAD_TO_MATURITY_AT_ISSU")</f>
        <v>#N/A Requesting Data...</v>
      </c>
      <c r="O1298" t="str">
        <f>_xll.BDP("453907GK Muni","BVAL_MID_YTM")</f>
        <v>#N/A Requesting Data...</v>
      </c>
      <c r="P1298" t="str">
        <f>_xll.BDP("453907GK Muni","MUNI_TAX_PROV")</f>
        <v>#N/A Requesting Data...</v>
      </c>
      <c r="Q1298" t="str">
        <f>_xll.BDP("453907GK Muni","MUNI_FED_TAX")</f>
        <v>#N/A Requesting Data...</v>
      </c>
      <c r="R1298" t="str">
        <f>_xll.BDP("453907GK Muni","MUNI_MSRB_VOLUME")</f>
        <v>#N/A Requesting Data...</v>
      </c>
      <c r="S1298" t="str">
        <f>_xll.BDP("453907GK Muni","BB_COMPOSITE")</f>
        <v>#N/A Requesting Data...</v>
      </c>
      <c r="T1298" t="str">
        <f>_xll.BDP("453907GK Muni","LQA_LIQUIDITY_SCORE")</f>
        <v>#N/A Requesting Data...</v>
      </c>
    </row>
    <row r="1299" spans="1:20" x14ac:dyDescent="0.25">
      <c r="A1299" t="str">
        <f>_xll.BDP("586226GM Muni","ID_CUSIP")</f>
        <v>#N/A Requesting Data...</v>
      </c>
      <c r="B1299" t="s">
        <v>96</v>
      </c>
      <c r="C1299" t="str">
        <f>_xll.BDP("586226GM Muni","INSURANCE_STATUS")</f>
        <v>#N/A Requesting Data...</v>
      </c>
      <c r="D1299" t="str">
        <f>_xll.BDP("586226GM Muni","STATE_CODE")</f>
        <v>#N/A Requesting Data...</v>
      </c>
      <c r="E1299" t="str">
        <f>_xll.BDP("586226GM Muni","COUNTY_LOCATION_ISSUER")</f>
        <v>#N/A Requesting Data...</v>
      </c>
      <c r="F1299" t="str">
        <f>_xll.BDP("586226GM Muni","DUR_ADJ_MID")</f>
        <v>#N/A Requesting Data...</v>
      </c>
      <c r="G1299" t="str">
        <f>_xll.BDP("586226GM Muni","SPREAD_AT_ISSUANCE_TO_WORST")</f>
        <v>#N/A Requesting Data...</v>
      </c>
      <c r="H1299" t="str">
        <f>_xll.BDP("586226GM Muni","ISSUE_DT")</f>
        <v>#N/A Requesting Data...</v>
      </c>
      <c r="I1299" t="str">
        <f>_xll.BDS("586226GM Muni","MUNI_PURPOSE_SCHED", "aggregate=y")</f>
        <v>#N/A Review</v>
      </c>
      <c r="J1299" t="str">
        <f>_xll.BDP("586226GM Muni","CPN")</f>
        <v>#N/A Requesting Data...</v>
      </c>
      <c r="K1299" t="str">
        <f>_xll.BDP("586226GM Muni","MATURITY")</f>
        <v>#N/A Requesting Data...</v>
      </c>
      <c r="L1299">
        <v>1275000</v>
      </c>
      <c r="M1299" t="str">
        <f>_xll.BDP("586226GM Muni","YIELD_ON_ISSUE_DATE")</f>
        <v>#N/A Requesting Data...</v>
      </c>
      <c r="N1299" t="str">
        <f>_xll.BDP("586226GM Muni","YTW_SPREAD_TO_MATURITY_AT_ISSU")</f>
        <v>#N/A Requesting Data...</v>
      </c>
      <c r="O1299" t="str">
        <f>_xll.BDP("586226GM Muni","BVAL_MID_YTM")</f>
        <v>#N/A Requesting Data...</v>
      </c>
      <c r="P1299" t="str">
        <f>_xll.BDP("586226GM Muni","MUNI_TAX_PROV")</f>
        <v>#N/A Requesting Data...</v>
      </c>
      <c r="Q1299" t="str">
        <f>_xll.BDP("586226GM Muni","MUNI_FED_TAX")</f>
        <v>#N/A Requesting Data...</v>
      </c>
      <c r="R1299" t="str">
        <f>_xll.BDP("586226GM Muni","MUNI_MSRB_VOLUME")</f>
        <v>#N/A Requesting Data...</v>
      </c>
      <c r="S1299" t="str">
        <f>_xll.BDP("586226GM Muni","BB_COMPOSITE")</f>
        <v>#N/A Requesting Data...</v>
      </c>
      <c r="T1299" t="str">
        <f>_xll.BDP("586226GM Muni","LQA_LIQUIDITY_SCORE")</f>
        <v>#N/A Requesting Data...</v>
      </c>
    </row>
    <row r="1300" spans="1:20" x14ac:dyDescent="0.25">
      <c r="A1300" t="str">
        <f>_xll.BDP("586226GN Muni","ID_CUSIP")</f>
        <v>#N/A Requesting Data...</v>
      </c>
      <c r="B1300" t="s">
        <v>96</v>
      </c>
      <c r="C1300" t="str">
        <f>_xll.BDP("586226GN Muni","INSURANCE_STATUS")</f>
        <v>#N/A Requesting Data...</v>
      </c>
      <c r="D1300" t="str">
        <f>_xll.BDP("586226GN Muni","STATE_CODE")</f>
        <v>#N/A Requesting Data...</v>
      </c>
      <c r="E1300" t="str">
        <f>_xll.BDP("586226GN Muni","COUNTY_LOCATION_ISSUER")</f>
        <v>#N/A Requesting Data...</v>
      </c>
      <c r="F1300" t="str">
        <f>_xll.BDP("586226GN Muni","DUR_ADJ_MID")</f>
        <v>#N/A Requesting Data...</v>
      </c>
      <c r="G1300" t="str">
        <f>_xll.BDP("586226GN Muni","SPREAD_AT_ISSUANCE_TO_WORST")</f>
        <v>#N/A Requesting Data...</v>
      </c>
      <c r="H1300" t="str">
        <f>_xll.BDP("586226GN Muni","ISSUE_DT")</f>
        <v>#N/A Requesting Data...</v>
      </c>
      <c r="I1300" t="str">
        <f>_xll.BDS("586226GN Muni","MUNI_PURPOSE_SCHED", "aggregate=y")</f>
        <v>#N/A Review</v>
      </c>
      <c r="J1300" t="str">
        <f>_xll.BDP("586226GN Muni","CPN")</f>
        <v>#N/A Requesting Data...</v>
      </c>
      <c r="K1300" t="str">
        <f>_xll.BDP("586226GN Muni","MATURITY")</f>
        <v>#N/A Requesting Data...</v>
      </c>
      <c r="L1300">
        <v>1315000</v>
      </c>
      <c r="M1300" t="str">
        <f>_xll.BDP("586226GN Muni","YIELD_ON_ISSUE_DATE")</f>
        <v>#N/A Requesting Data...</v>
      </c>
      <c r="N1300" t="str">
        <f>_xll.BDP("586226GN Muni","YTW_SPREAD_TO_MATURITY_AT_ISSU")</f>
        <v>#N/A Requesting Data...</v>
      </c>
      <c r="O1300" t="str">
        <f>_xll.BDP("586226GN Muni","BVAL_MID_YTM")</f>
        <v>#N/A Requesting Data...</v>
      </c>
      <c r="P1300" t="str">
        <f>_xll.BDP("586226GN Muni","MUNI_TAX_PROV")</f>
        <v>#N/A Requesting Data...</v>
      </c>
      <c r="Q1300" t="str">
        <f>_xll.BDP("586226GN Muni","MUNI_FED_TAX")</f>
        <v>#N/A Requesting Data...</v>
      </c>
      <c r="R1300" t="str">
        <f>_xll.BDP("586226GN Muni","MUNI_MSRB_VOLUME")</f>
        <v>#N/A Requesting Data...</v>
      </c>
      <c r="S1300" t="str">
        <f>_xll.BDP("586226GN Muni","BB_COMPOSITE")</f>
        <v>#N/A Requesting Data...</v>
      </c>
      <c r="T1300" t="str">
        <f>_xll.BDP("586226GN Muni","LQA_LIQUIDITY_SCORE")</f>
        <v>#N/A Requesting Data...</v>
      </c>
    </row>
    <row r="1301" spans="1:20" x14ac:dyDescent="0.25">
      <c r="A1301" t="str">
        <f>_xll.BDP("586226GQ Muni","ID_CUSIP")</f>
        <v>#N/A Requesting Data...</v>
      </c>
      <c r="B1301" t="s">
        <v>96</v>
      </c>
      <c r="C1301" t="str">
        <f>_xll.BDP("586226GQ Muni","INSURANCE_STATUS")</f>
        <v>#N/A Requesting Data...</v>
      </c>
      <c r="D1301" t="str">
        <f>_xll.BDP("586226GQ Muni","STATE_CODE")</f>
        <v>#N/A Requesting Data...</v>
      </c>
      <c r="E1301" t="str">
        <f>_xll.BDP("586226GQ Muni","COUNTY_LOCATION_ISSUER")</f>
        <v>#N/A Requesting Data...</v>
      </c>
      <c r="F1301" t="str">
        <f>_xll.BDP("586226GQ Muni","DUR_ADJ_MID")</f>
        <v>#N/A Requesting Data...</v>
      </c>
      <c r="G1301" t="str">
        <f>_xll.BDP("586226GQ Muni","SPREAD_AT_ISSUANCE_TO_WORST")</f>
        <v>#N/A Requesting Data...</v>
      </c>
      <c r="H1301" t="str">
        <f>_xll.BDP("586226GQ Muni","ISSUE_DT")</f>
        <v>#N/A Requesting Data...</v>
      </c>
      <c r="I1301" t="str">
        <f>_xll.BDS("586226GQ Muni","MUNI_PURPOSE_SCHED", "aggregate=y")</f>
        <v>#N/A Review</v>
      </c>
      <c r="J1301" t="str">
        <f>_xll.BDP("586226GQ Muni","CPN")</f>
        <v>#N/A Requesting Data...</v>
      </c>
      <c r="K1301" t="str">
        <f>_xll.BDP("586226GQ Muni","MATURITY")</f>
        <v>#N/A Requesting Data...</v>
      </c>
      <c r="L1301">
        <v>1395000</v>
      </c>
      <c r="M1301" t="str">
        <f>_xll.BDP("586226GQ Muni","YIELD_ON_ISSUE_DATE")</f>
        <v>#N/A Requesting Data...</v>
      </c>
      <c r="N1301" t="str">
        <f>_xll.BDP("586226GQ Muni","YTW_SPREAD_TO_MATURITY_AT_ISSU")</f>
        <v>#N/A Requesting Data...</v>
      </c>
      <c r="O1301" t="str">
        <f>_xll.BDP("586226GQ Muni","BVAL_MID_YTM")</f>
        <v>#N/A Requesting Data...</v>
      </c>
      <c r="P1301" t="str">
        <f>_xll.BDP("586226GQ Muni","MUNI_TAX_PROV")</f>
        <v>#N/A Requesting Data...</v>
      </c>
      <c r="Q1301" t="str">
        <f>_xll.BDP("586226GQ Muni","MUNI_FED_TAX")</f>
        <v>#N/A Requesting Data...</v>
      </c>
      <c r="R1301" t="str">
        <f>_xll.BDP("586226GQ Muni","MUNI_MSRB_VOLUME")</f>
        <v>#N/A Requesting Data...</v>
      </c>
      <c r="S1301" t="str">
        <f>_xll.BDP("586226GQ Muni","BB_COMPOSITE")</f>
        <v>#N/A Requesting Data...</v>
      </c>
      <c r="T1301" t="str">
        <f>_xll.BDP("586226GQ Muni","LQA_LIQUIDITY_SCORE")</f>
        <v>#N/A Requesting Data...</v>
      </c>
    </row>
    <row r="1302" spans="1:20" x14ac:dyDescent="0.25">
      <c r="A1302" t="str">
        <f>_xll.BDP("58642PAF Muni","ID_CUSIP")</f>
        <v>#N/A Requesting Data...</v>
      </c>
      <c r="B1302" t="s">
        <v>429</v>
      </c>
      <c r="C1302" t="str">
        <f>_xll.BDP("58642PAF Muni","INSURANCE_STATUS")</f>
        <v>#N/A Requesting Data...</v>
      </c>
      <c r="D1302" t="str">
        <f>_xll.BDP("58642PAF Muni","STATE_CODE")</f>
        <v>#N/A Requesting Data...</v>
      </c>
      <c r="E1302" t="str">
        <f>_xll.BDP("58642PAF Muni","COUNTY_LOCATION_ISSUER")</f>
        <v>#N/A Requesting Data...</v>
      </c>
      <c r="F1302" t="str">
        <f>_xll.BDP("58642PAF Muni","DUR_ADJ_MID")</f>
        <v>#N/A Requesting Data...</v>
      </c>
      <c r="G1302" t="str">
        <f>_xll.BDP("58642PAF Muni","SPREAD_AT_ISSUANCE_TO_WORST")</f>
        <v>#N/A Requesting Data...</v>
      </c>
      <c r="H1302" t="str">
        <f>_xll.BDP("58642PAF Muni","ISSUE_DT")</f>
        <v>#N/A Requesting Data...</v>
      </c>
      <c r="I1302" t="str">
        <f>_xll.BDS("58642PAF Muni","MUNI_PURPOSE_SCHED", "aggregate=y")</f>
        <v>#N/A Review</v>
      </c>
      <c r="J1302" t="str">
        <f>_xll.BDP("58642PAF Muni","CPN")</f>
        <v>#N/A Requesting Data...</v>
      </c>
      <c r="K1302" t="str">
        <f>_xll.BDP("58642PAF Muni","MATURITY")</f>
        <v>#N/A Requesting Data...</v>
      </c>
      <c r="L1302">
        <v>135000</v>
      </c>
      <c r="M1302" t="str">
        <f>_xll.BDP("58642PAF Muni","YIELD_ON_ISSUE_DATE")</f>
        <v>#N/A Requesting Data...</v>
      </c>
      <c r="N1302" t="str">
        <f>_xll.BDP("58642PAF Muni","YTW_SPREAD_TO_MATURITY_AT_ISSU")</f>
        <v>#N/A Requesting Data...</v>
      </c>
      <c r="O1302" t="str">
        <f>_xll.BDP("58642PAF Muni","BVAL_MID_YTM")</f>
        <v>#N/A Requesting Data...</v>
      </c>
      <c r="P1302" t="str">
        <f>_xll.BDP("58642PAF Muni","MUNI_TAX_PROV")</f>
        <v>#N/A Requesting Data...</v>
      </c>
      <c r="Q1302" t="str">
        <f>_xll.BDP("58642PAF Muni","MUNI_FED_TAX")</f>
        <v>#N/A Requesting Data...</v>
      </c>
      <c r="R1302" t="str">
        <f>_xll.BDP("58642PAF Muni","MUNI_MSRB_VOLUME")</f>
        <v>#N/A Requesting Data...</v>
      </c>
      <c r="S1302" t="str">
        <f>_xll.BDP("58642PAF Muni","BB_COMPOSITE")</f>
        <v>#N/A Requesting Data...</v>
      </c>
      <c r="T1302" t="str">
        <f>_xll.BDP("58642PAF Muni","LQA_LIQUIDITY_SCORE")</f>
        <v>#N/A Requesting Data...</v>
      </c>
    </row>
    <row r="1303" spans="1:20" x14ac:dyDescent="0.25">
      <c r="A1303" t="str">
        <f>_xll.BDP("58642PAG Muni","ID_CUSIP")</f>
        <v>#N/A Requesting Data...</v>
      </c>
      <c r="B1303" t="s">
        <v>429</v>
      </c>
      <c r="C1303" t="str">
        <f>_xll.BDP("58642PAG Muni","INSURANCE_STATUS")</f>
        <v>#N/A Requesting Data...</v>
      </c>
      <c r="D1303" t="str">
        <f>_xll.BDP("58642PAG Muni","STATE_CODE")</f>
        <v>#N/A Requesting Data...</v>
      </c>
      <c r="E1303" t="str">
        <f>_xll.BDP("58642PAG Muni","COUNTY_LOCATION_ISSUER")</f>
        <v>#N/A Requesting Data...</v>
      </c>
      <c r="F1303" t="str">
        <f>_xll.BDP("58642PAG Muni","DUR_ADJ_MID")</f>
        <v>#N/A Requesting Data...</v>
      </c>
      <c r="G1303" t="str">
        <f>_xll.BDP("58642PAG Muni","SPREAD_AT_ISSUANCE_TO_WORST")</f>
        <v>#N/A Requesting Data...</v>
      </c>
      <c r="H1303" t="str">
        <f>_xll.BDP("58642PAG Muni","ISSUE_DT")</f>
        <v>#N/A Requesting Data...</v>
      </c>
      <c r="I1303" t="str">
        <f>_xll.BDS("58642PAG Muni","MUNI_PURPOSE_SCHED", "aggregate=y")</f>
        <v>#N/A Review</v>
      </c>
      <c r="J1303" t="str">
        <f>_xll.BDP("58642PAG Muni","CPN")</f>
        <v>#N/A Requesting Data...</v>
      </c>
      <c r="K1303" t="str">
        <f>_xll.BDP("58642PAG Muni","MATURITY")</f>
        <v>#N/A Requesting Data...</v>
      </c>
      <c r="L1303">
        <v>140000</v>
      </c>
      <c r="M1303" t="str">
        <f>_xll.BDP("58642PAG Muni","YIELD_ON_ISSUE_DATE")</f>
        <v>#N/A Requesting Data...</v>
      </c>
      <c r="N1303" t="str">
        <f>_xll.BDP("58642PAG Muni","YTW_SPREAD_TO_MATURITY_AT_ISSU")</f>
        <v>#N/A Requesting Data...</v>
      </c>
      <c r="O1303" t="str">
        <f>_xll.BDP("58642PAG Muni","BVAL_MID_YTM")</f>
        <v>#N/A Requesting Data...</v>
      </c>
      <c r="P1303" t="str">
        <f>_xll.BDP("58642PAG Muni","MUNI_TAX_PROV")</f>
        <v>#N/A Requesting Data...</v>
      </c>
      <c r="Q1303" t="str">
        <f>_xll.BDP("58642PAG Muni","MUNI_FED_TAX")</f>
        <v>#N/A Requesting Data...</v>
      </c>
      <c r="R1303" t="str">
        <f>_xll.BDP("58642PAG Muni","MUNI_MSRB_VOLUME")</f>
        <v>#N/A Requesting Data...</v>
      </c>
      <c r="S1303" t="str">
        <f>_xll.BDP("58642PAG Muni","BB_COMPOSITE")</f>
        <v>#N/A Requesting Data...</v>
      </c>
      <c r="T1303" t="str">
        <f>_xll.BDP("58642PAG Muni","LQA_LIQUIDITY_SCORE")</f>
        <v>#N/A Requesting Data...</v>
      </c>
    </row>
    <row r="1304" spans="1:20" x14ac:dyDescent="0.25">
      <c r="A1304" t="str">
        <f>_xll.BDP("58642PAH Muni","ID_CUSIP")</f>
        <v>#N/A Requesting Data...</v>
      </c>
      <c r="B1304" t="s">
        <v>429</v>
      </c>
      <c r="C1304" t="str">
        <f>_xll.BDP("58642PAH Muni","INSURANCE_STATUS")</f>
        <v>#N/A Requesting Data...</v>
      </c>
      <c r="D1304" t="str">
        <f>_xll.BDP("58642PAH Muni","STATE_CODE")</f>
        <v>#N/A Requesting Data...</v>
      </c>
      <c r="E1304" t="str">
        <f>_xll.BDP("58642PAH Muni","COUNTY_LOCATION_ISSUER")</f>
        <v>#N/A Requesting Data...</v>
      </c>
      <c r="F1304" t="str">
        <f>_xll.BDP("58642PAH Muni","DUR_ADJ_MID")</f>
        <v>#N/A Requesting Data...</v>
      </c>
      <c r="G1304" t="str">
        <f>_xll.BDP("58642PAH Muni","SPREAD_AT_ISSUANCE_TO_WORST")</f>
        <v>#N/A Requesting Data...</v>
      </c>
      <c r="H1304" t="str">
        <f>_xll.BDP("58642PAH Muni","ISSUE_DT")</f>
        <v>#N/A Requesting Data...</v>
      </c>
      <c r="I1304" t="str">
        <f>_xll.BDS("58642PAH Muni","MUNI_PURPOSE_SCHED", "aggregate=y")</f>
        <v>#N/A Review</v>
      </c>
      <c r="J1304" t="str">
        <f>_xll.BDP("58642PAH Muni","CPN")</f>
        <v>#N/A Requesting Data...</v>
      </c>
      <c r="K1304" t="str">
        <f>_xll.BDP("58642PAH Muni","MATURITY")</f>
        <v>#N/A Requesting Data...</v>
      </c>
      <c r="L1304">
        <v>145000</v>
      </c>
      <c r="M1304" t="str">
        <f>_xll.BDP("58642PAH Muni","YIELD_ON_ISSUE_DATE")</f>
        <v>#N/A Requesting Data...</v>
      </c>
      <c r="N1304" t="str">
        <f>_xll.BDP("58642PAH Muni","YTW_SPREAD_TO_MATURITY_AT_ISSU")</f>
        <v>#N/A Requesting Data...</v>
      </c>
      <c r="O1304" t="str">
        <f>_xll.BDP("58642PAH Muni","BVAL_MID_YTM")</f>
        <v>#N/A Requesting Data...</v>
      </c>
      <c r="P1304" t="str">
        <f>_xll.BDP("58642PAH Muni","MUNI_TAX_PROV")</f>
        <v>#N/A Requesting Data...</v>
      </c>
      <c r="Q1304" t="str">
        <f>_xll.BDP("58642PAH Muni","MUNI_FED_TAX")</f>
        <v>#N/A Requesting Data...</v>
      </c>
      <c r="R1304" t="str">
        <f>_xll.BDP("58642PAH Muni","MUNI_MSRB_VOLUME")</f>
        <v>#N/A Requesting Data...</v>
      </c>
      <c r="S1304" t="str">
        <f>_xll.BDP("58642PAH Muni","BB_COMPOSITE")</f>
        <v>#N/A Requesting Data...</v>
      </c>
      <c r="T1304" t="str">
        <f>_xll.BDP("58642PAH Muni","LQA_LIQUIDITY_SCORE")</f>
        <v>#N/A Requesting Data...</v>
      </c>
    </row>
    <row r="1305" spans="1:20" x14ac:dyDescent="0.25">
      <c r="A1305" t="str">
        <f>_xll.BDP("58642PAJ Muni","ID_CUSIP")</f>
        <v>#N/A Requesting Data...</v>
      </c>
      <c r="B1305" t="s">
        <v>429</v>
      </c>
      <c r="C1305" t="str">
        <f>_xll.BDP("58642PAJ Muni","INSURANCE_STATUS")</f>
        <v>#N/A Requesting Data...</v>
      </c>
      <c r="D1305" t="str">
        <f>_xll.BDP("58642PAJ Muni","STATE_CODE")</f>
        <v>#N/A Requesting Data...</v>
      </c>
      <c r="E1305" t="str">
        <f>_xll.BDP("58642PAJ Muni","COUNTY_LOCATION_ISSUER")</f>
        <v>#N/A Requesting Data...</v>
      </c>
      <c r="F1305" t="str">
        <f>_xll.BDP("58642PAJ Muni","DUR_ADJ_MID")</f>
        <v>#N/A Requesting Data...</v>
      </c>
      <c r="G1305" t="str">
        <f>_xll.BDP("58642PAJ Muni","SPREAD_AT_ISSUANCE_TO_WORST")</f>
        <v>#N/A Requesting Data...</v>
      </c>
      <c r="H1305" t="str">
        <f>_xll.BDP("58642PAJ Muni","ISSUE_DT")</f>
        <v>#N/A Requesting Data...</v>
      </c>
      <c r="I1305" t="str">
        <f>_xll.BDS("58642PAJ Muni","MUNI_PURPOSE_SCHED", "aggregate=y")</f>
        <v>#N/A Review</v>
      </c>
      <c r="J1305" t="str">
        <f>_xll.BDP("58642PAJ Muni","CPN")</f>
        <v>#N/A Requesting Data...</v>
      </c>
      <c r="K1305" t="str">
        <f>_xll.BDP("58642PAJ Muni","MATURITY")</f>
        <v>#N/A Requesting Data...</v>
      </c>
      <c r="L1305">
        <v>150000</v>
      </c>
      <c r="M1305" t="str">
        <f>_xll.BDP("58642PAJ Muni","YIELD_ON_ISSUE_DATE")</f>
        <v>#N/A Requesting Data...</v>
      </c>
      <c r="N1305" t="str">
        <f>_xll.BDP("58642PAJ Muni","YTW_SPREAD_TO_MATURITY_AT_ISSU")</f>
        <v>#N/A Requesting Data...</v>
      </c>
      <c r="O1305" t="str">
        <f>_xll.BDP("58642PAJ Muni","BVAL_MID_YTM")</f>
        <v>#N/A Requesting Data...</v>
      </c>
      <c r="P1305" t="str">
        <f>_xll.BDP("58642PAJ Muni","MUNI_TAX_PROV")</f>
        <v>#N/A Requesting Data...</v>
      </c>
      <c r="Q1305" t="str">
        <f>_xll.BDP("58642PAJ Muni","MUNI_FED_TAX")</f>
        <v>#N/A Requesting Data...</v>
      </c>
      <c r="R1305" t="str">
        <f>_xll.BDP("58642PAJ Muni","MUNI_MSRB_VOLUME")</f>
        <v>#N/A Requesting Data...</v>
      </c>
      <c r="S1305" t="str">
        <f>_xll.BDP("58642PAJ Muni","BB_COMPOSITE")</f>
        <v>#N/A Requesting Data...</v>
      </c>
      <c r="T1305" t="str">
        <f>_xll.BDP("58642PAJ Muni","LQA_LIQUIDITY_SCORE")</f>
        <v>#N/A Requesting Data...</v>
      </c>
    </row>
    <row r="1306" spans="1:20" x14ac:dyDescent="0.25">
      <c r="A1306" t="str">
        <f>_xll.BDP("64985HVJ Muni","ID_CUSIP")</f>
        <v>#N/A Requesting Data...</v>
      </c>
      <c r="B1306" t="s">
        <v>38</v>
      </c>
      <c r="C1306" t="str">
        <f>_xll.BDP("64985HVJ Muni","INSURANCE_STATUS")</f>
        <v>#N/A Requesting Data...</v>
      </c>
      <c r="D1306" t="str">
        <f>_xll.BDP("64985HVJ Muni","STATE_CODE")</f>
        <v>#N/A Requesting Data...</v>
      </c>
      <c r="E1306" t="str">
        <f>_xll.BDP("64985HVJ Muni","COUNTY_LOCATION_ISSUER")</f>
        <v>#N/A Requesting Data...</v>
      </c>
      <c r="F1306" t="str">
        <f>_xll.BDP("64985HVJ Muni","DUR_ADJ_MID")</f>
        <v>#N/A Requesting Data...</v>
      </c>
      <c r="G1306" t="str">
        <f>_xll.BDP("64985HVJ Muni","SPREAD_AT_ISSUANCE_TO_WORST")</f>
        <v>#N/A Requesting Data...</v>
      </c>
      <c r="H1306" t="str">
        <f>_xll.BDP("64985HVJ Muni","ISSUE_DT")</f>
        <v>#N/A Requesting Data...</v>
      </c>
      <c r="I1306" t="str">
        <f>_xll.BDS("64985HVJ Muni","MUNI_PURPOSE_SCHED", "aggregate=y")</f>
        <v>#N/A Review</v>
      </c>
      <c r="J1306" t="str">
        <f>_xll.BDP("64985HVJ Muni","CPN")</f>
        <v>#N/A Requesting Data...</v>
      </c>
      <c r="K1306" t="str">
        <f>_xll.BDP("64985HVJ Muni","MATURITY")</f>
        <v>#N/A Requesting Data...</v>
      </c>
      <c r="L1306">
        <v>960000</v>
      </c>
      <c r="M1306" t="str">
        <f>_xll.BDP("64985HVJ Muni","YIELD_ON_ISSUE_DATE")</f>
        <v>#N/A Requesting Data...</v>
      </c>
      <c r="N1306" t="str">
        <f>_xll.BDP("64985HVJ Muni","YTW_SPREAD_TO_MATURITY_AT_ISSU")</f>
        <v>#N/A Requesting Data...</v>
      </c>
      <c r="O1306" t="str">
        <f>_xll.BDP("64985HVJ Muni","BVAL_MID_YTM")</f>
        <v>#N/A Requesting Data...</v>
      </c>
      <c r="P1306" t="str">
        <f>_xll.BDP("64985HVJ Muni","MUNI_TAX_PROV")</f>
        <v>#N/A Requesting Data...</v>
      </c>
      <c r="Q1306" t="str">
        <f>_xll.BDP("64985HVJ Muni","MUNI_FED_TAX")</f>
        <v>#N/A Requesting Data...</v>
      </c>
      <c r="R1306" t="str">
        <f>_xll.BDP("64985HVJ Muni","MUNI_MSRB_VOLUME")</f>
        <v>#N/A Requesting Data...</v>
      </c>
      <c r="S1306" t="str">
        <f>_xll.BDP("64985HVJ Muni","BB_COMPOSITE")</f>
        <v>#N/A Requesting Data...</v>
      </c>
      <c r="T1306" t="str">
        <f>_xll.BDP("64985HVJ Muni","LQA_LIQUIDITY_SCORE")</f>
        <v>#N/A Requesting Data...</v>
      </c>
    </row>
    <row r="1307" spans="1:20" x14ac:dyDescent="0.25">
      <c r="A1307" t="str">
        <f>_xll.BDP("64985HVK Muni","ID_CUSIP")</f>
        <v>#N/A Requesting Data...</v>
      </c>
      <c r="B1307" t="s">
        <v>38</v>
      </c>
      <c r="C1307" t="str">
        <f>_xll.BDP("64985HVK Muni","INSURANCE_STATUS")</f>
        <v>#N/A Requesting Data...</v>
      </c>
      <c r="D1307" t="str">
        <f>_xll.BDP("64985HVK Muni","STATE_CODE")</f>
        <v>#N/A Requesting Data...</v>
      </c>
      <c r="E1307" t="str">
        <f>_xll.BDP("64985HVK Muni","COUNTY_LOCATION_ISSUER")</f>
        <v>#N/A Requesting Data...</v>
      </c>
      <c r="F1307" t="str">
        <f>_xll.BDP("64985HVK Muni","DUR_ADJ_MID")</f>
        <v>#N/A Requesting Data...</v>
      </c>
      <c r="G1307" t="str">
        <f>_xll.BDP("64985HVK Muni","SPREAD_AT_ISSUANCE_TO_WORST")</f>
        <v>#N/A Requesting Data...</v>
      </c>
      <c r="H1307" t="str">
        <f>_xll.BDP("64985HVK Muni","ISSUE_DT")</f>
        <v>#N/A Requesting Data...</v>
      </c>
      <c r="I1307" t="str">
        <f>_xll.BDS("64985HVK Muni","MUNI_PURPOSE_SCHED", "aggregate=y")</f>
        <v>#N/A Review</v>
      </c>
      <c r="J1307" t="str">
        <f>_xll.BDP("64985HVK Muni","CPN")</f>
        <v>#N/A Requesting Data...</v>
      </c>
      <c r="K1307" t="str">
        <f>_xll.BDP("64985HVK Muni","MATURITY")</f>
        <v>#N/A Requesting Data...</v>
      </c>
      <c r="L1307">
        <v>1770000</v>
      </c>
      <c r="M1307" t="str">
        <f>_xll.BDP("64985HVK Muni","YIELD_ON_ISSUE_DATE")</f>
        <v>#N/A Requesting Data...</v>
      </c>
      <c r="N1307" t="str">
        <f>_xll.BDP("64985HVK Muni","YTW_SPREAD_TO_MATURITY_AT_ISSU")</f>
        <v>#N/A Requesting Data...</v>
      </c>
      <c r="O1307" t="str">
        <f>_xll.BDP("64985HVK Muni","BVAL_MID_YTM")</f>
        <v>#N/A Requesting Data...</v>
      </c>
      <c r="P1307" t="str">
        <f>_xll.BDP("64985HVK Muni","MUNI_TAX_PROV")</f>
        <v>#N/A Requesting Data...</v>
      </c>
      <c r="Q1307" t="str">
        <f>_xll.BDP("64985HVK Muni","MUNI_FED_TAX")</f>
        <v>#N/A Requesting Data...</v>
      </c>
      <c r="R1307" t="str">
        <f>_xll.BDP("64985HVK Muni","MUNI_MSRB_VOLUME")</f>
        <v>#N/A Requesting Data...</v>
      </c>
      <c r="S1307" t="str">
        <f>_xll.BDP("64985HVK Muni","BB_COMPOSITE")</f>
        <v>#N/A Requesting Data...</v>
      </c>
      <c r="T1307" t="str">
        <f>_xll.BDP("64985HVK Muni","LQA_LIQUIDITY_SCORE")</f>
        <v>#N/A Requesting Data...</v>
      </c>
    </row>
    <row r="1308" spans="1:20" x14ac:dyDescent="0.25">
      <c r="A1308" t="str">
        <f>_xll.BDP("64985HVL Muni","ID_CUSIP")</f>
        <v>#N/A Requesting Data...</v>
      </c>
      <c r="B1308" t="s">
        <v>38</v>
      </c>
      <c r="C1308" t="str">
        <f>_xll.BDP("64985HVL Muni","INSURANCE_STATUS")</f>
        <v>#N/A Requesting Data...</v>
      </c>
      <c r="D1308" t="str">
        <f>_xll.BDP("64985HVL Muni","STATE_CODE")</f>
        <v>#N/A Requesting Data...</v>
      </c>
      <c r="E1308" t="str">
        <f>_xll.BDP("64985HVL Muni","COUNTY_LOCATION_ISSUER")</f>
        <v>#N/A Requesting Data...</v>
      </c>
      <c r="F1308" t="str">
        <f>_xll.BDP("64985HVL Muni","DUR_ADJ_MID")</f>
        <v>#N/A Requesting Data...</v>
      </c>
      <c r="G1308" t="str">
        <f>_xll.BDP("64985HVL Muni","SPREAD_AT_ISSUANCE_TO_WORST")</f>
        <v>#N/A Requesting Data...</v>
      </c>
      <c r="H1308" t="str">
        <f>_xll.BDP("64985HVL Muni","ISSUE_DT")</f>
        <v>#N/A Requesting Data...</v>
      </c>
      <c r="I1308" t="str">
        <f>_xll.BDS("64985HVL Muni","MUNI_PURPOSE_SCHED", "aggregate=y")</f>
        <v>#N/A Review</v>
      </c>
      <c r="J1308" t="str">
        <f>_xll.BDP("64985HVL Muni","CPN")</f>
        <v>#N/A Requesting Data...</v>
      </c>
      <c r="K1308" t="str">
        <f>_xll.BDP("64985HVL Muni","MATURITY")</f>
        <v>#N/A Requesting Data...</v>
      </c>
      <c r="L1308">
        <v>1010000</v>
      </c>
      <c r="M1308" t="str">
        <f>_xll.BDP("64985HVL Muni","YIELD_ON_ISSUE_DATE")</f>
        <v>#N/A Requesting Data...</v>
      </c>
      <c r="N1308" t="str">
        <f>_xll.BDP("64985HVL Muni","YTW_SPREAD_TO_MATURITY_AT_ISSU")</f>
        <v>#N/A Requesting Data...</v>
      </c>
      <c r="O1308" t="str">
        <f>_xll.BDP("64985HVL Muni","BVAL_MID_YTM")</f>
        <v>#N/A Requesting Data...</v>
      </c>
      <c r="P1308" t="str">
        <f>_xll.BDP("64985HVL Muni","MUNI_TAX_PROV")</f>
        <v>#N/A Requesting Data...</v>
      </c>
      <c r="Q1308" t="str">
        <f>_xll.BDP("64985HVL Muni","MUNI_FED_TAX")</f>
        <v>#N/A Requesting Data...</v>
      </c>
      <c r="R1308" t="str">
        <f>_xll.BDP("64985HVL Muni","MUNI_MSRB_VOLUME")</f>
        <v>#N/A Requesting Data...</v>
      </c>
      <c r="S1308" t="str">
        <f>_xll.BDP("64985HVL Muni","BB_COMPOSITE")</f>
        <v>#N/A Requesting Data...</v>
      </c>
      <c r="T1308" t="str">
        <f>_xll.BDP("64985HVL Muni","LQA_LIQUIDITY_SCORE")</f>
        <v>#N/A Requesting Data...</v>
      </c>
    </row>
    <row r="1309" spans="1:20" x14ac:dyDescent="0.25">
      <c r="A1309" t="str">
        <f>_xll.BDP("64985HVM Muni","ID_CUSIP")</f>
        <v>#N/A Requesting Data...</v>
      </c>
      <c r="B1309" t="s">
        <v>38</v>
      </c>
      <c r="C1309" t="str">
        <f>_xll.BDP("64985HVM Muni","INSURANCE_STATUS")</f>
        <v>#N/A Requesting Data...</v>
      </c>
      <c r="D1309" t="str">
        <f>_xll.BDP("64985HVM Muni","STATE_CODE")</f>
        <v>#N/A Requesting Data...</v>
      </c>
      <c r="E1309" t="str">
        <f>_xll.BDP("64985HVM Muni","COUNTY_LOCATION_ISSUER")</f>
        <v>#N/A Requesting Data...</v>
      </c>
      <c r="F1309" t="str">
        <f>_xll.BDP("64985HVM Muni","DUR_ADJ_MID")</f>
        <v>#N/A Requesting Data...</v>
      </c>
      <c r="G1309" t="str">
        <f>_xll.BDP("64985HVM Muni","SPREAD_AT_ISSUANCE_TO_WORST")</f>
        <v>#N/A Requesting Data...</v>
      </c>
      <c r="H1309" t="str">
        <f>_xll.BDP("64985HVM Muni","ISSUE_DT")</f>
        <v>#N/A Requesting Data...</v>
      </c>
      <c r="I1309" t="str">
        <f>_xll.BDS("64985HVM Muni","MUNI_PURPOSE_SCHED", "aggregate=y")</f>
        <v>#N/A Review</v>
      </c>
      <c r="J1309" t="str">
        <f>_xll.BDP("64985HVM Muni","CPN")</f>
        <v>#N/A Requesting Data...</v>
      </c>
      <c r="K1309" t="str">
        <f>_xll.BDP("64985HVM Muni","MATURITY")</f>
        <v>#N/A Requesting Data...</v>
      </c>
      <c r="L1309">
        <v>1835000</v>
      </c>
      <c r="M1309" t="str">
        <f>_xll.BDP("64985HVM Muni","YIELD_ON_ISSUE_DATE")</f>
        <v>#N/A Requesting Data...</v>
      </c>
      <c r="N1309" t="str">
        <f>_xll.BDP("64985HVM Muni","YTW_SPREAD_TO_MATURITY_AT_ISSU")</f>
        <v>#N/A Requesting Data...</v>
      </c>
      <c r="O1309" t="str">
        <f>_xll.BDP("64985HVM Muni","BVAL_MID_YTM")</f>
        <v>#N/A Requesting Data...</v>
      </c>
      <c r="P1309" t="str">
        <f>_xll.BDP("64985HVM Muni","MUNI_TAX_PROV")</f>
        <v>#N/A Requesting Data...</v>
      </c>
      <c r="Q1309" t="str">
        <f>_xll.BDP("64985HVM Muni","MUNI_FED_TAX")</f>
        <v>#N/A Requesting Data...</v>
      </c>
      <c r="R1309" t="str">
        <f>_xll.BDP("64985HVM Muni","MUNI_MSRB_VOLUME")</f>
        <v>#N/A Requesting Data...</v>
      </c>
      <c r="S1309" t="str">
        <f>_xll.BDP("64985HVM Muni","BB_COMPOSITE")</f>
        <v>#N/A Requesting Data...</v>
      </c>
      <c r="T1309" t="str">
        <f>_xll.BDP("64985HVM Muni","LQA_LIQUIDITY_SCORE")</f>
        <v>#N/A Requesting Data...</v>
      </c>
    </row>
    <row r="1310" spans="1:20" x14ac:dyDescent="0.25">
      <c r="A1310" t="str">
        <f>_xll.BDP("64985HVN Muni","ID_CUSIP")</f>
        <v>#N/A Requesting Data...</v>
      </c>
      <c r="B1310" t="s">
        <v>38</v>
      </c>
      <c r="C1310" t="str">
        <f>_xll.BDP("64985HVN Muni","INSURANCE_STATUS")</f>
        <v>#N/A Requesting Data...</v>
      </c>
      <c r="D1310" t="str">
        <f>_xll.BDP("64985HVN Muni","STATE_CODE")</f>
        <v>#N/A Requesting Data...</v>
      </c>
      <c r="E1310" t="str">
        <f>_xll.BDP("64985HVN Muni","COUNTY_LOCATION_ISSUER")</f>
        <v>#N/A Requesting Data...</v>
      </c>
      <c r="F1310" t="str">
        <f>_xll.BDP("64985HVN Muni","DUR_ADJ_MID")</f>
        <v>#N/A Requesting Data...</v>
      </c>
      <c r="G1310" t="str">
        <f>_xll.BDP("64985HVN Muni","SPREAD_AT_ISSUANCE_TO_WORST")</f>
        <v>#N/A Requesting Data...</v>
      </c>
      <c r="H1310" t="str">
        <f>_xll.BDP("64985HVN Muni","ISSUE_DT")</f>
        <v>#N/A Requesting Data...</v>
      </c>
      <c r="I1310" t="str">
        <f>_xll.BDS("64985HVN Muni","MUNI_PURPOSE_SCHED", "aggregate=y")</f>
        <v>#N/A Review</v>
      </c>
      <c r="J1310" t="str">
        <f>_xll.BDP("64985HVN Muni","CPN")</f>
        <v>#N/A Requesting Data...</v>
      </c>
      <c r="K1310" t="str">
        <f>_xll.BDP("64985HVN Muni","MATURITY")</f>
        <v>#N/A Requesting Data...</v>
      </c>
      <c r="L1310">
        <v>1065000</v>
      </c>
      <c r="M1310" t="str">
        <f>_xll.BDP("64985HVN Muni","YIELD_ON_ISSUE_DATE")</f>
        <v>#N/A Requesting Data...</v>
      </c>
      <c r="N1310" t="str">
        <f>_xll.BDP("64985HVN Muni","YTW_SPREAD_TO_MATURITY_AT_ISSU")</f>
        <v>#N/A Requesting Data...</v>
      </c>
      <c r="O1310" t="str">
        <f>_xll.BDP("64985HVN Muni","BVAL_MID_YTM")</f>
        <v>#N/A Requesting Data...</v>
      </c>
      <c r="P1310" t="str">
        <f>_xll.BDP("64985HVN Muni","MUNI_TAX_PROV")</f>
        <v>#N/A Requesting Data...</v>
      </c>
      <c r="Q1310" t="str">
        <f>_xll.BDP("64985HVN Muni","MUNI_FED_TAX")</f>
        <v>#N/A Requesting Data...</v>
      </c>
      <c r="R1310" t="str">
        <f>_xll.BDP("64985HVN Muni","MUNI_MSRB_VOLUME")</f>
        <v>#N/A Requesting Data...</v>
      </c>
      <c r="S1310" t="str">
        <f>_xll.BDP("64985HVN Muni","BB_COMPOSITE")</f>
        <v>#N/A Requesting Data...</v>
      </c>
      <c r="T1310" t="str">
        <f>_xll.BDP("64985HVN Muni","LQA_LIQUIDITY_SCORE")</f>
        <v>#N/A Requesting Data...</v>
      </c>
    </row>
    <row r="1311" spans="1:20" x14ac:dyDescent="0.25">
      <c r="A1311" t="str">
        <f>_xll.BDP("64985HVQ Muni","ID_CUSIP")</f>
        <v>#N/A Requesting Data...</v>
      </c>
      <c r="B1311" t="s">
        <v>38</v>
      </c>
      <c r="C1311" t="str">
        <f>_xll.BDP("64985HVQ Muni","INSURANCE_STATUS")</f>
        <v>#N/A Requesting Data...</v>
      </c>
      <c r="D1311" t="str">
        <f>_xll.BDP("64985HVQ Muni","STATE_CODE")</f>
        <v>#N/A Requesting Data...</v>
      </c>
      <c r="E1311" t="str">
        <f>_xll.BDP("64985HVQ Muni","COUNTY_LOCATION_ISSUER")</f>
        <v>#N/A Requesting Data...</v>
      </c>
      <c r="F1311" t="str">
        <f>_xll.BDP("64985HVQ Muni","DUR_ADJ_MID")</f>
        <v>#N/A Requesting Data...</v>
      </c>
      <c r="G1311" t="str">
        <f>_xll.BDP("64985HVQ Muni","SPREAD_AT_ISSUANCE_TO_WORST")</f>
        <v>#N/A Requesting Data...</v>
      </c>
      <c r="H1311" t="str">
        <f>_xll.BDP("64985HVQ Muni","ISSUE_DT")</f>
        <v>#N/A Requesting Data...</v>
      </c>
      <c r="I1311" t="str">
        <f>_xll.BDS("64985HVQ Muni","MUNI_PURPOSE_SCHED", "aggregate=y")</f>
        <v>#N/A Review</v>
      </c>
      <c r="J1311" t="str">
        <f>_xll.BDP("64985HVQ Muni","CPN")</f>
        <v>#N/A Requesting Data...</v>
      </c>
      <c r="K1311" t="str">
        <f>_xll.BDP("64985HVQ Muni","MATURITY")</f>
        <v>#N/A Requesting Data...</v>
      </c>
      <c r="L1311">
        <v>1125000</v>
      </c>
      <c r="M1311" t="str">
        <f>_xll.BDP("64985HVQ Muni","YIELD_ON_ISSUE_DATE")</f>
        <v>#N/A Requesting Data...</v>
      </c>
      <c r="N1311" t="str">
        <f>_xll.BDP("64985HVQ Muni","YTW_SPREAD_TO_MATURITY_AT_ISSU")</f>
        <v>#N/A Requesting Data...</v>
      </c>
      <c r="O1311" t="str">
        <f>_xll.BDP("64985HVQ Muni","BVAL_MID_YTM")</f>
        <v>#N/A Requesting Data...</v>
      </c>
      <c r="P1311" t="str">
        <f>_xll.BDP("64985HVQ Muni","MUNI_TAX_PROV")</f>
        <v>#N/A Requesting Data...</v>
      </c>
      <c r="Q1311" t="str">
        <f>_xll.BDP("64985HVQ Muni","MUNI_FED_TAX")</f>
        <v>#N/A Requesting Data...</v>
      </c>
      <c r="R1311" t="str">
        <f>_xll.BDP("64985HVQ Muni","MUNI_MSRB_VOLUME")</f>
        <v>#N/A Requesting Data...</v>
      </c>
      <c r="S1311" t="str">
        <f>_xll.BDP("64985HVQ Muni","BB_COMPOSITE")</f>
        <v>#N/A Requesting Data...</v>
      </c>
      <c r="T1311" t="str">
        <f>_xll.BDP("64985HVQ Muni","LQA_LIQUIDITY_SCORE")</f>
        <v>#N/A Requesting Data...</v>
      </c>
    </row>
    <row r="1312" spans="1:20" x14ac:dyDescent="0.25">
      <c r="A1312" t="str">
        <f>_xll.BDP("64985HVS Muni","ID_CUSIP")</f>
        <v>#N/A Requesting Data...</v>
      </c>
      <c r="B1312" t="s">
        <v>38</v>
      </c>
      <c r="C1312" t="str">
        <f>_xll.BDP("64985HVS Muni","INSURANCE_STATUS")</f>
        <v>#N/A Requesting Data...</v>
      </c>
      <c r="D1312" t="str">
        <f>_xll.BDP("64985HVS Muni","STATE_CODE")</f>
        <v>#N/A Requesting Data...</v>
      </c>
      <c r="E1312" t="str">
        <f>_xll.BDP("64985HVS Muni","COUNTY_LOCATION_ISSUER")</f>
        <v>#N/A Requesting Data...</v>
      </c>
      <c r="F1312" t="str">
        <f>_xll.BDP("64985HVS Muni","DUR_ADJ_MID")</f>
        <v>#N/A Requesting Data...</v>
      </c>
      <c r="G1312" t="str">
        <f>_xll.BDP("64985HVS Muni","SPREAD_AT_ISSUANCE_TO_WORST")</f>
        <v>#N/A Requesting Data...</v>
      </c>
      <c r="H1312" t="str">
        <f>_xll.BDP("64985HVS Muni","ISSUE_DT")</f>
        <v>#N/A Requesting Data...</v>
      </c>
      <c r="I1312" t="str">
        <f>_xll.BDS("64985HVS Muni","MUNI_PURPOSE_SCHED", "aggregate=y")</f>
        <v>#N/A Review</v>
      </c>
      <c r="J1312" t="str">
        <f>_xll.BDP("64985HVS Muni","CPN")</f>
        <v>#N/A Requesting Data...</v>
      </c>
      <c r="K1312" t="str">
        <f>_xll.BDP("64985HVS Muni","MATURITY")</f>
        <v>#N/A Requesting Data...</v>
      </c>
      <c r="L1312">
        <v>1190000</v>
      </c>
      <c r="M1312" t="str">
        <f>_xll.BDP("64985HVS Muni","YIELD_ON_ISSUE_DATE")</f>
        <v>#N/A Requesting Data...</v>
      </c>
      <c r="N1312" t="str">
        <f>_xll.BDP("64985HVS Muni","YTW_SPREAD_TO_MATURITY_AT_ISSU")</f>
        <v>#N/A Requesting Data...</v>
      </c>
      <c r="O1312" t="str">
        <f>_xll.BDP("64985HVS Muni","BVAL_MID_YTM")</f>
        <v>#N/A Requesting Data...</v>
      </c>
      <c r="P1312" t="str">
        <f>_xll.BDP("64985HVS Muni","MUNI_TAX_PROV")</f>
        <v>#N/A Requesting Data...</v>
      </c>
      <c r="Q1312" t="str">
        <f>_xll.BDP("64985HVS Muni","MUNI_FED_TAX")</f>
        <v>#N/A Requesting Data...</v>
      </c>
      <c r="R1312" t="str">
        <f>_xll.BDP("64985HVS Muni","MUNI_MSRB_VOLUME")</f>
        <v>#N/A Requesting Data...</v>
      </c>
      <c r="S1312" t="str">
        <f>_xll.BDP("64985HVS Muni","BB_COMPOSITE")</f>
        <v>#N/A Requesting Data...</v>
      </c>
      <c r="T1312" t="str">
        <f>_xll.BDP("64985HVS Muni","LQA_LIQUIDITY_SCORE")</f>
        <v>#N/A Requesting Data...</v>
      </c>
    </row>
    <row r="1313" spans="1:20" x14ac:dyDescent="0.25">
      <c r="A1313" t="str">
        <f>_xll.BDP("64986DAG Muni","ID_CUSIP")</f>
        <v>#N/A Requesting Data...</v>
      </c>
      <c r="B1313" t="s">
        <v>38</v>
      </c>
      <c r="C1313" t="str">
        <f>_xll.BDP("64986DAG Muni","INSURANCE_STATUS")</f>
        <v>#N/A Requesting Data...</v>
      </c>
      <c r="D1313" t="str">
        <f>_xll.BDP("64986DAG Muni","STATE_CODE")</f>
        <v>#N/A Requesting Data...</v>
      </c>
      <c r="E1313" t="str">
        <f>_xll.BDP("64986DAG Muni","COUNTY_LOCATION_ISSUER")</f>
        <v>#N/A Requesting Data...</v>
      </c>
      <c r="F1313" t="str">
        <f>_xll.BDP("64986DAG Muni","DUR_ADJ_MID")</f>
        <v>#N/A Requesting Data...</v>
      </c>
      <c r="G1313" t="str">
        <f>_xll.BDP("64986DAG Muni","SPREAD_AT_ISSUANCE_TO_WORST")</f>
        <v>#N/A Requesting Data...</v>
      </c>
      <c r="H1313" t="str">
        <f>_xll.BDP("64986DAG Muni","ISSUE_DT")</f>
        <v>#N/A Requesting Data...</v>
      </c>
      <c r="I1313" t="str">
        <f>_xll.BDS("64986DAG Muni","MUNI_PURPOSE_SCHED", "aggregate=y")</f>
        <v>#N/A Review</v>
      </c>
      <c r="J1313" t="str">
        <f>_xll.BDP("64986DAG Muni","CPN")</f>
        <v>#N/A Requesting Data...</v>
      </c>
      <c r="K1313" t="str">
        <f>_xll.BDP("64986DAG Muni","MATURITY")</f>
        <v>#N/A Requesting Data...</v>
      </c>
      <c r="L1313">
        <v>725000</v>
      </c>
      <c r="M1313" t="str">
        <f>_xll.BDP("64986DAG Muni","YIELD_ON_ISSUE_DATE")</f>
        <v>#N/A Requesting Data...</v>
      </c>
      <c r="N1313" t="str">
        <f>_xll.BDP("64986DAG Muni","YTW_SPREAD_TO_MATURITY_AT_ISSU")</f>
        <v>#N/A Requesting Data...</v>
      </c>
      <c r="O1313" t="str">
        <f>_xll.BDP("64986DAG Muni","BVAL_MID_YTM")</f>
        <v>#N/A Requesting Data...</v>
      </c>
      <c r="P1313" t="str">
        <f>_xll.BDP("64986DAG Muni","MUNI_TAX_PROV")</f>
        <v>#N/A Requesting Data...</v>
      </c>
      <c r="Q1313" t="str">
        <f>_xll.BDP("64986DAG Muni","MUNI_FED_TAX")</f>
        <v>#N/A Requesting Data...</v>
      </c>
      <c r="R1313" t="str">
        <f>_xll.BDP("64986DAG Muni","MUNI_MSRB_VOLUME")</f>
        <v>#N/A Requesting Data...</v>
      </c>
      <c r="S1313" t="str">
        <f>_xll.BDP("64986DAG Muni","BB_COMPOSITE")</f>
        <v>#N/A Requesting Data...</v>
      </c>
      <c r="T1313" t="str">
        <f>_xll.BDP("64986DAG Muni","LQA_LIQUIDITY_SCORE")</f>
        <v>#N/A Requesting Data...</v>
      </c>
    </row>
    <row r="1314" spans="1:20" x14ac:dyDescent="0.25">
      <c r="A1314" t="str">
        <f>_xll.BDP("64986DAH Muni","ID_CUSIP")</f>
        <v>#N/A Requesting Data...</v>
      </c>
      <c r="B1314" t="s">
        <v>38</v>
      </c>
      <c r="C1314" t="str">
        <f>_xll.BDP("64986DAH Muni","INSURANCE_STATUS")</f>
        <v>#N/A Requesting Data...</v>
      </c>
      <c r="D1314" t="str">
        <f>_xll.BDP("64986DAH Muni","STATE_CODE")</f>
        <v>#N/A Requesting Data...</v>
      </c>
      <c r="E1314" t="str">
        <f>_xll.BDP("64986DAH Muni","COUNTY_LOCATION_ISSUER")</f>
        <v>#N/A Requesting Data...</v>
      </c>
      <c r="F1314" t="str">
        <f>_xll.BDP("64986DAH Muni","DUR_ADJ_MID")</f>
        <v>#N/A Requesting Data...</v>
      </c>
      <c r="G1314" t="str">
        <f>_xll.BDP("64986DAH Muni","SPREAD_AT_ISSUANCE_TO_WORST")</f>
        <v>#N/A Requesting Data...</v>
      </c>
      <c r="H1314" t="str">
        <f>_xll.BDP("64986DAH Muni","ISSUE_DT")</f>
        <v>#N/A Requesting Data...</v>
      </c>
      <c r="I1314" t="str">
        <f>_xll.BDS("64986DAH Muni","MUNI_PURPOSE_SCHED", "aggregate=y")</f>
        <v>#N/A Review</v>
      </c>
      <c r="J1314" t="str">
        <f>_xll.BDP("64986DAH Muni","CPN")</f>
        <v>#N/A Requesting Data...</v>
      </c>
      <c r="K1314" t="str">
        <f>_xll.BDP("64986DAH Muni","MATURITY")</f>
        <v>#N/A Requesting Data...</v>
      </c>
      <c r="L1314">
        <v>8035000</v>
      </c>
      <c r="M1314" t="str">
        <f>_xll.BDP("64986DAH Muni","YIELD_ON_ISSUE_DATE")</f>
        <v>#N/A Requesting Data...</v>
      </c>
      <c r="N1314" t="str">
        <f>_xll.BDP("64986DAH Muni","YTW_SPREAD_TO_MATURITY_AT_ISSU")</f>
        <v>#N/A Requesting Data...</v>
      </c>
      <c r="O1314" t="str">
        <f>_xll.BDP("64986DAH Muni","BVAL_MID_YTM")</f>
        <v>#N/A Requesting Data...</v>
      </c>
      <c r="P1314" t="str">
        <f>_xll.BDP("64986DAH Muni","MUNI_TAX_PROV")</f>
        <v>#N/A Requesting Data...</v>
      </c>
      <c r="Q1314" t="str">
        <f>_xll.BDP("64986DAH Muni","MUNI_FED_TAX")</f>
        <v>#N/A Requesting Data...</v>
      </c>
      <c r="R1314" t="str">
        <f>_xll.BDP("64986DAH Muni","MUNI_MSRB_VOLUME")</f>
        <v>#N/A Requesting Data...</v>
      </c>
      <c r="S1314" t="str">
        <f>_xll.BDP("64986DAH Muni","BB_COMPOSITE")</f>
        <v>#N/A Requesting Data...</v>
      </c>
      <c r="T1314" t="str">
        <f>_xll.BDP("64986DAH Muni","LQA_LIQUIDITY_SCORE")</f>
        <v>#N/A Requesting Data...</v>
      </c>
    </row>
    <row r="1315" spans="1:20" x14ac:dyDescent="0.25">
      <c r="A1315" t="str">
        <f>_xll.BDP("64986DAJ Muni","ID_CUSIP")</f>
        <v>#N/A Requesting Data...</v>
      </c>
      <c r="B1315" t="s">
        <v>38</v>
      </c>
      <c r="C1315" t="str">
        <f>_xll.BDP("64986DAJ Muni","INSURANCE_STATUS")</f>
        <v>#N/A Requesting Data...</v>
      </c>
      <c r="D1315" t="str">
        <f>_xll.BDP("64986DAJ Muni","STATE_CODE")</f>
        <v>#N/A Requesting Data...</v>
      </c>
      <c r="E1315" t="str">
        <f>_xll.BDP("64986DAJ Muni","COUNTY_LOCATION_ISSUER")</f>
        <v>#N/A Requesting Data...</v>
      </c>
      <c r="F1315" t="str">
        <f>_xll.BDP("64986DAJ Muni","DUR_ADJ_MID")</f>
        <v>#N/A Requesting Data...</v>
      </c>
      <c r="G1315" t="str">
        <f>_xll.BDP("64986DAJ Muni","SPREAD_AT_ISSUANCE_TO_WORST")</f>
        <v>#N/A Requesting Data...</v>
      </c>
      <c r="H1315" t="str">
        <f>_xll.BDP("64986DAJ Muni","ISSUE_DT")</f>
        <v>#N/A Requesting Data...</v>
      </c>
      <c r="I1315" t="str">
        <f>_xll.BDS("64986DAJ Muni","MUNI_PURPOSE_SCHED", "aggregate=y")</f>
        <v>#N/A Review</v>
      </c>
      <c r="J1315" t="str">
        <f>_xll.BDP("64986DAJ Muni","CPN")</f>
        <v>#N/A Requesting Data...</v>
      </c>
      <c r="K1315" t="str">
        <f>_xll.BDP("64986DAJ Muni","MATURITY")</f>
        <v>#N/A Requesting Data...</v>
      </c>
      <c r="L1315">
        <v>2715000</v>
      </c>
      <c r="M1315" t="str">
        <f>_xll.BDP("64986DAJ Muni","YIELD_ON_ISSUE_DATE")</f>
        <v>#N/A Requesting Data...</v>
      </c>
      <c r="N1315" t="str">
        <f>_xll.BDP("64986DAJ Muni","YTW_SPREAD_TO_MATURITY_AT_ISSU")</f>
        <v>#N/A Requesting Data...</v>
      </c>
      <c r="O1315" t="str">
        <f>_xll.BDP("64986DAJ Muni","BVAL_MID_YTM")</f>
        <v>#N/A Requesting Data...</v>
      </c>
      <c r="P1315" t="str">
        <f>_xll.BDP("64986DAJ Muni","MUNI_TAX_PROV")</f>
        <v>#N/A Requesting Data...</v>
      </c>
      <c r="Q1315" t="str">
        <f>_xll.BDP("64986DAJ Muni","MUNI_FED_TAX")</f>
        <v>#N/A Requesting Data...</v>
      </c>
      <c r="R1315" t="str">
        <f>_xll.BDP("64986DAJ Muni","MUNI_MSRB_VOLUME")</f>
        <v>#N/A Requesting Data...</v>
      </c>
      <c r="S1315" t="str">
        <f>_xll.BDP("64986DAJ Muni","BB_COMPOSITE")</f>
        <v>#N/A Requesting Data...</v>
      </c>
      <c r="T1315" t="str">
        <f>_xll.BDP("64986DAJ Muni","LQA_LIQUIDITY_SCORE")</f>
        <v>#N/A Requesting Data...</v>
      </c>
    </row>
    <row r="1316" spans="1:20" x14ac:dyDescent="0.25">
      <c r="A1316" t="str">
        <f>_xll.BDP("717087B7 Muni","ID_CUSIP")</f>
        <v>#N/A Requesting Data...</v>
      </c>
      <c r="B1316" t="s">
        <v>236</v>
      </c>
      <c r="C1316" t="str">
        <f>_xll.BDP("717087B7 Muni","INSURANCE_STATUS")</f>
        <v>#N/A Requesting Data...</v>
      </c>
      <c r="D1316" t="str">
        <f>_xll.BDP("717087B7 Muni","STATE_CODE")</f>
        <v>#N/A Requesting Data...</v>
      </c>
      <c r="E1316" t="str">
        <f>_xll.BDP("717087B7 Muni","COUNTY_LOCATION_ISSUER")</f>
        <v>#N/A Requesting Data...</v>
      </c>
      <c r="F1316" t="str">
        <f>_xll.BDP("717087B7 Muni","DUR_ADJ_MID")</f>
        <v>#N/A Requesting Data...</v>
      </c>
      <c r="G1316" t="str">
        <f>_xll.BDP("717087B7 Muni","SPREAD_AT_ISSUANCE_TO_WORST")</f>
        <v>#N/A Requesting Data...</v>
      </c>
      <c r="H1316" t="str">
        <f>_xll.BDP("717087B7 Muni","ISSUE_DT")</f>
        <v>#N/A Requesting Data...</v>
      </c>
      <c r="I1316" t="str">
        <f>_xll.BDS("717087B7 Muni","MUNI_PURPOSE_SCHED", "aggregate=y")</f>
        <v>#N/A Review</v>
      </c>
      <c r="J1316" t="str">
        <f>_xll.BDP("717087B7 Muni","CPN")</f>
        <v>#N/A Requesting Data...</v>
      </c>
      <c r="K1316" t="str">
        <f>_xll.BDP("717087B7 Muni","MATURITY")</f>
        <v>#N/A Requesting Data...</v>
      </c>
      <c r="L1316">
        <v>115000</v>
      </c>
      <c r="M1316" t="str">
        <f>_xll.BDP("717087B7 Muni","YIELD_ON_ISSUE_DATE")</f>
        <v>#N/A Requesting Data...</v>
      </c>
      <c r="N1316" t="str">
        <f>_xll.BDP("717087B7 Muni","YTW_SPREAD_TO_MATURITY_AT_ISSU")</f>
        <v>#N/A Requesting Data...</v>
      </c>
      <c r="O1316" t="str">
        <f>_xll.BDP("717087B7 Muni","BVAL_MID_YTM")</f>
        <v>#N/A Requesting Data...</v>
      </c>
      <c r="P1316" t="str">
        <f>_xll.BDP("717087B7 Muni","MUNI_TAX_PROV")</f>
        <v>#N/A Requesting Data...</v>
      </c>
      <c r="Q1316" t="str">
        <f>_xll.BDP("717087B7 Muni","MUNI_FED_TAX")</f>
        <v>#N/A Requesting Data...</v>
      </c>
      <c r="R1316" t="str">
        <f>_xll.BDP("717087B7 Muni","MUNI_MSRB_VOLUME")</f>
        <v>#N/A Requesting Data...</v>
      </c>
      <c r="S1316" t="str">
        <f>_xll.BDP("717087B7 Muni","BB_COMPOSITE")</f>
        <v>#N/A Requesting Data...</v>
      </c>
      <c r="T1316" t="str">
        <f>_xll.BDP("717087B7 Muni","LQA_LIQUIDITY_SCORE")</f>
        <v>#N/A Requesting Data...</v>
      </c>
    </row>
    <row r="1317" spans="1:20" x14ac:dyDescent="0.25">
      <c r="A1317" t="str">
        <f>_xll.BDP("717087B9 Muni","ID_CUSIP")</f>
        <v>#N/A Requesting Data...</v>
      </c>
      <c r="B1317" t="s">
        <v>236</v>
      </c>
      <c r="C1317" t="str">
        <f>_xll.BDP("717087B9 Muni","INSURANCE_STATUS")</f>
        <v>#N/A Requesting Data...</v>
      </c>
      <c r="D1317" t="str">
        <f>_xll.BDP("717087B9 Muni","STATE_CODE")</f>
        <v>#N/A Requesting Data...</v>
      </c>
      <c r="E1317" t="str">
        <f>_xll.BDP("717087B9 Muni","COUNTY_LOCATION_ISSUER")</f>
        <v>#N/A Requesting Data...</v>
      </c>
      <c r="F1317" t="str">
        <f>_xll.BDP("717087B9 Muni","DUR_ADJ_MID")</f>
        <v>#N/A Requesting Data...</v>
      </c>
      <c r="G1317" t="str">
        <f>_xll.BDP("717087B9 Muni","SPREAD_AT_ISSUANCE_TO_WORST")</f>
        <v>#N/A Requesting Data...</v>
      </c>
      <c r="H1317" t="str">
        <f>_xll.BDP("717087B9 Muni","ISSUE_DT")</f>
        <v>#N/A Requesting Data...</v>
      </c>
      <c r="I1317" t="str">
        <f>_xll.BDS("717087B9 Muni","MUNI_PURPOSE_SCHED", "aggregate=y")</f>
        <v>#N/A Review</v>
      </c>
      <c r="J1317" t="str">
        <f>_xll.BDP("717087B9 Muni","CPN")</f>
        <v>#N/A Requesting Data...</v>
      </c>
      <c r="K1317" t="str">
        <f>_xll.BDP("717087B9 Muni","MATURITY")</f>
        <v>#N/A Requesting Data...</v>
      </c>
      <c r="L1317">
        <v>100000</v>
      </c>
      <c r="M1317" t="str">
        <f>_xll.BDP("717087B9 Muni","YIELD_ON_ISSUE_DATE")</f>
        <v>#N/A Requesting Data...</v>
      </c>
      <c r="N1317" t="str">
        <f>_xll.BDP("717087B9 Muni","YTW_SPREAD_TO_MATURITY_AT_ISSU")</f>
        <v>#N/A Requesting Data...</v>
      </c>
      <c r="O1317" t="str">
        <f>_xll.BDP("717087B9 Muni","BVAL_MID_YTM")</f>
        <v>#N/A Requesting Data...</v>
      </c>
      <c r="P1317" t="str">
        <f>_xll.BDP("717087B9 Muni","MUNI_TAX_PROV")</f>
        <v>#N/A Requesting Data...</v>
      </c>
      <c r="Q1317" t="str">
        <f>_xll.BDP("717087B9 Muni","MUNI_FED_TAX")</f>
        <v>#N/A Requesting Data...</v>
      </c>
      <c r="R1317" t="str">
        <f>_xll.BDP("717087B9 Muni","MUNI_MSRB_VOLUME")</f>
        <v>#N/A Requesting Data...</v>
      </c>
      <c r="S1317" t="str">
        <f>_xll.BDP("717087B9 Muni","BB_COMPOSITE")</f>
        <v>#N/A Requesting Data...</v>
      </c>
      <c r="T1317" t="str">
        <f>_xll.BDP("717087B9 Muni","LQA_LIQUIDITY_SCORE")</f>
        <v>#N/A Requesting Data...</v>
      </c>
    </row>
    <row r="1318" spans="1:20" x14ac:dyDescent="0.25">
      <c r="A1318" t="str">
        <f>_xll.BDP("576051NG Muni","ID_CUSIP")</f>
        <v>#N/A Requesting Data...</v>
      </c>
      <c r="B1318" t="s">
        <v>111</v>
      </c>
      <c r="C1318" t="str">
        <f>_xll.BDP("576051NG Muni","INSURANCE_STATUS")</f>
        <v>#N/A Requesting Data...</v>
      </c>
      <c r="D1318" t="str">
        <f>_xll.BDP("576051NG Muni","STATE_CODE")</f>
        <v>#N/A Requesting Data...</v>
      </c>
      <c r="E1318" t="str">
        <f>_xll.BDP("576051NG Muni","COUNTY_LOCATION_ISSUER")</f>
        <v>#N/A Requesting Data...</v>
      </c>
      <c r="F1318" t="str">
        <f>_xll.BDP("576051NG Muni","DUR_ADJ_MID")</f>
        <v>#N/A Requesting Data...</v>
      </c>
      <c r="G1318" t="str">
        <f>_xll.BDP("576051NG Muni","SPREAD_AT_ISSUANCE_TO_WORST")</f>
        <v>#N/A Requesting Data...</v>
      </c>
      <c r="H1318" t="str">
        <f>_xll.BDP("576051NG Muni","ISSUE_DT")</f>
        <v>#N/A Requesting Data...</v>
      </c>
      <c r="I1318" t="str">
        <f>_xll.BDS("576051NG Muni","MUNI_PURPOSE_SCHED", "aggregate=y")</f>
        <v>#N/A Review</v>
      </c>
      <c r="J1318" t="str">
        <f>_xll.BDP("576051NG Muni","CPN")</f>
        <v>#N/A Requesting Data...</v>
      </c>
      <c r="K1318" t="str">
        <f>_xll.BDP("576051NG Muni","MATURITY")</f>
        <v>#N/A Requesting Data...</v>
      </c>
      <c r="L1318">
        <v>1470000</v>
      </c>
      <c r="M1318" t="str">
        <f>_xll.BDP("576051NG Muni","YIELD_ON_ISSUE_DATE")</f>
        <v>#N/A Requesting Data...</v>
      </c>
      <c r="N1318" t="str">
        <f>_xll.BDP("576051NG Muni","YTW_SPREAD_TO_MATURITY_AT_ISSU")</f>
        <v>#N/A Requesting Data...</v>
      </c>
      <c r="O1318" t="str">
        <f>_xll.BDP("576051NG Muni","BVAL_MID_YTM")</f>
        <v>#N/A Requesting Data...</v>
      </c>
      <c r="P1318" t="str">
        <f>_xll.BDP("576051NG Muni","MUNI_TAX_PROV")</f>
        <v>#N/A Requesting Data...</v>
      </c>
      <c r="Q1318" t="str">
        <f>_xll.BDP("576051NG Muni","MUNI_FED_TAX")</f>
        <v>#N/A Requesting Data...</v>
      </c>
      <c r="R1318" t="str">
        <f>_xll.BDP("576051NG Muni","MUNI_MSRB_VOLUME")</f>
        <v>#N/A Requesting Data...</v>
      </c>
      <c r="S1318" t="str">
        <f>_xll.BDP("576051NG Muni","BB_COMPOSITE")</f>
        <v>#N/A Requesting Data...</v>
      </c>
      <c r="T1318" t="str">
        <f>_xll.BDP("576051NG Muni","LQA_LIQUIDITY_SCORE")</f>
        <v>#N/A Requesting Data...</v>
      </c>
    </row>
    <row r="1319" spans="1:20" x14ac:dyDescent="0.25">
      <c r="A1319" t="str">
        <f>_xll.BDP("576051NH Muni","ID_CUSIP")</f>
        <v>#N/A Requesting Data...</v>
      </c>
      <c r="B1319" t="s">
        <v>111</v>
      </c>
      <c r="C1319" t="str">
        <f>_xll.BDP("576051NH Muni","INSURANCE_STATUS")</f>
        <v>#N/A Requesting Data...</v>
      </c>
      <c r="D1319" t="str">
        <f>_xll.BDP("576051NH Muni","STATE_CODE")</f>
        <v>#N/A Requesting Data...</v>
      </c>
      <c r="E1319" t="str">
        <f>_xll.BDP("576051NH Muni","COUNTY_LOCATION_ISSUER")</f>
        <v>#N/A Requesting Data...</v>
      </c>
      <c r="F1319" t="str">
        <f>_xll.BDP("576051NH Muni","DUR_ADJ_MID")</f>
        <v>#N/A Requesting Data...</v>
      </c>
      <c r="G1319" t="str">
        <f>_xll.BDP("576051NH Muni","SPREAD_AT_ISSUANCE_TO_WORST")</f>
        <v>#N/A Requesting Data...</v>
      </c>
      <c r="H1319" t="str">
        <f>_xll.BDP("576051NH Muni","ISSUE_DT")</f>
        <v>#N/A Requesting Data...</v>
      </c>
      <c r="I1319" t="str">
        <f>_xll.BDS("576051NH Muni","MUNI_PURPOSE_SCHED", "aggregate=y")</f>
        <v>#N/A Review</v>
      </c>
      <c r="J1319" t="str">
        <f>_xll.BDP("576051NH Muni","CPN")</f>
        <v>#N/A Requesting Data...</v>
      </c>
      <c r="K1319" t="str">
        <f>_xll.BDP("576051NH Muni","MATURITY")</f>
        <v>#N/A Requesting Data...</v>
      </c>
      <c r="L1319">
        <v>1525000</v>
      </c>
      <c r="M1319" t="str">
        <f>_xll.BDP("576051NH Muni","YIELD_ON_ISSUE_DATE")</f>
        <v>#N/A Requesting Data...</v>
      </c>
      <c r="N1319" t="str">
        <f>_xll.BDP("576051NH Muni","YTW_SPREAD_TO_MATURITY_AT_ISSU")</f>
        <v>#N/A Requesting Data...</v>
      </c>
      <c r="O1319" t="str">
        <f>_xll.BDP("576051NH Muni","BVAL_MID_YTM")</f>
        <v>#N/A Requesting Data...</v>
      </c>
      <c r="P1319" t="str">
        <f>_xll.BDP("576051NH Muni","MUNI_TAX_PROV")</f>
        <v>#N/A Requesting Data...</v>
      </c>
      <c r="Q1319" t="str">
        <f>_xll.BDP("576051NH Muni","MUNI_FED_TAX")</f>
        <v>#N/A Requesting Data...</v>
      </c>
      <c r="R1319" t="str">
        <f>_xll.BDP("576051NH Muni","MUNI_MSRB_VOLUME")</f>
        <v>#N/A Requesting Data...</v>
      </c>
      <c r="S1319" t="str">
        <f>_xll.BDP("576051NH Muni","BB_COMPOSITE")</f>
        <v>#N/A Requesting Data...</v>
      </c>
      <c r="T1319" t="str">
        <f>_xll.BDP("576051NH Muni","LQA_LIQUIDITY_SCORE")</f>
        <v>#N/A Requesting Data...</v>
      </c>
    </row>
    <row r="1320" spans="1:20" x14ac:dyDescent="0.25">
      <c r="A1320" t="str">
        <f>_xll.BDP("576051NJ Muni","ID_CUSIP")</f>
        <v>#N/A Requesting Data...</v>
      </c>
      <c r="B1320" t="s">
        <v>111</v>
      </c>
      <c r="C1320" t="str">
        <f>_xll.BDP("576051NJ Muni","INSURANCE_STATUS")</f>
        <v>#N/A Requesting Data...</v>
      </c>
      <c r="D1320" t="str">
        <f>_xll.BDP("576051NJ Muni","STATE_CODE")</f>
        <v>#N/A Requesting Data...</v>
      </c>
      <c r="E1320" t="str">
        <f>_xll.BDP("576051NJ Muni","COUNTY_LOCATION_ISSUER")</f>
        <v>#N/A Requesting Data...</v>
      </c>
      <c r="F1320" t="str">
        <f>_xll.BDP("576051NJ Muni","DUR_ADJ_MID")</f>
        <v>#N/A Requesting Data...</v>
      </c>
      <c r="G1320" t="str">
        <f>_xll.BDP("576051NJ Muni","SPREAD_AT_ISSUANCE_TO_WORST")</f>
        <v>#N/A Requesting Data...</v>
      </c>
      <c r="H1320" t="str">
        <f>_xll.BDP("576051NJ Muni","ISSUE_DT")</f>
        <v>#N/A Requesting Data...</v>
      </c>
      <c r="I1320" t="str">
        <f>_xll.BDS("576051NJ Muni","MUNI_PURPOSE_SCHED", "aggregate=y")</f>
        <v>#N/A Review</v>
      </c>
      <c r="J1320" t="str">
        <f>_xll.BDP("576051NJ Muni","CPN")</f>
        <v>#N/A Requesting Data...</v>
      </c>
      <c r="K1320" t="str">
        <f>_xll.BDP("576051NJ Muni","MATURITY")</f>
        <v>#N/A Requesting Data...</v>
      </c>
      <c r="L1320">
        <v>1590000</v>
      </c>
      <c r="M1320" t="str">
        <f>_xll.BDP("576051NJ Muni","YIELD_ON_ISSUE_DATE")</f>
        <v>#N/A Requesting Data...</v>
      </c>
      <c r="N1320" t="str">
        <f>_xll.BDP("576051NJ Muni","YTW_SPREAD_TO_MATURITY_AT_ISSU")</f>
        <v>#N/A Requesting Data...</v>
      </c>
      <c r="O1320" t="str">
        <f>_xll.BDP("576051NJ Muni","BVAL_MID_YTM")</f>
        <v>#N/A Requesting Data...</v>
      </c>
      <c r="P1320" t="str">
        <f>_xll.BDP("576051NJ Muni","MUNI_TAX_PROV")</f>
        <v>#N/A Requesting Data...</v>
      </c>
      <c r="Q1320" t="str">
        <f>_xll.BDP("576051NJ Muni","MUNI_FED_TAX")</f>
        <v>#N/A Requesting Data...</v>
      </c>
      <c r="R1320" t="str">
        <f>_xll.BDP("576051NJ Muni","MUNI_MSRB_VOLUME")</f>
        <v>#N/A Requesting Data...</v>
      </c>
      <c r="S1320" t="str">
        <f>_xll.BDP("576051NJ Muni","BB_COMPOSITE")</f>
        <v>#N/A Requesting Data...</v>
      </c>
      <c r="T1320" t="str">
        <f>_xll.BDP("576051NJ Muni","LQA_LIQUIDITY_SCORE")</f>
        <v>#N/A Requesting Data...</v>
      </c>
    </row>
    <row r="1321" spans="1:20" x14ac:dyDescent="0.25">
      <c r="A1321" t="str">
        <f>_xll.BDP("577030KF Muni","ID_CUSIP")</f>
        <v>#N/A Requesting Data...</v>
      </c>
      <c r="B1321" t="s">
        <v>430</v>
      </c>
      <c r="C1321" t="str">
        <f>_xll.BDP("577030KF Muni","INSURANCE_STATUS")</f>
        <v>#N/A Requesting Data...</v>
      </c>
      <c r="D1321" t="str">
        <f>_xll.BDP("577030KF Muni","STATE_CODE")</f>
        <v>#N/A Requesting Data...</v>
      </c>
      <c r="E1321" t="str">
        <f>_xll.BDP("577030KF Muni","COUNTY_LOCATION_ISSUER")</f>
        <v>#N/A Requesting Data...</v>
      </c>
      <c r="F1321" t="str">
        <f>_xll.BDP("577030KF Muni","DUR_ADJ_MID")</f>
        <v>#N/A Requesting Data...</v>
      </c>
      <c r="G1321" t="str">
        <f>_xll.BDP("577030KF Muni","SPREAD_AT_ISSUANCE_TO_WORST")</f>
        <v>#N/A Requesting Data...</v>
      </c>
      <c r="H1321" t="str">
        <f>_xll.BDP("577030KF Muni","ISSUE_DT")</f>
        <v>#N/A Requesting Data...</v>
      </c>
      <c r="I1321" t="str">
        <f>_xll.BDS("577030KF Muni","MUNI_PURPOSE_SCHED", "aggregate=y")</f>
        <v>#N/A Review</v>
      </c>
      <c r="J1321" t="str">
        <f>_xll.BDP("577030KF Muni","CPN")</f>
        <v>#N/A Requesting Data...</v>
      </c>
      <c r="K1321" t="str">
        <f>_xll.BDP("577030KF Muni","MATURITY")</f>
        <v>#N/A Requesting Data...</v>
      </c>
      <c r="L1321">
        <v>120000</v>
      </c>
      <c r="M1321" t="str">
        <f>_xll.BDP("577030KF Muni","YIELD_ON_ISSUE_DATE")</f>
        <v>#N/A Requesting Data...</v>
      </c>
      <c r="N1321" t="str">
        <f>_xll.BDP("577030KF Muni","YTW_SPREAD_TO_MATURITY_AT_ISSU")</f>
        <v>#N/A Requesting Data...</v>
      </c>
      <c r="O1321" t="str">
        <f>_xll.BDP("577030KF Muni","BVAL_MID_YTM")</f>
        <v>#N/A Requesting Data...</v>
      </c>
      <c r="P1321" t="str">
        <f>_xll.BDP("577030KF Muni","MUNI_TAX_PROV")</f>
        <v>#N/A Requesting Data...</v>
      </c>
      <c r="Q1321" t="str">
        <f>_xll.BDP("577030KF Muni","MUNI_FED_TAX")</f>
        <v>#N/A Requesting Data...</v>
      </c>
      <c r="R1321" t="str">
        <f>_xll.BDP("577030KF Muni","MUNI_MSRB_VOLUME")</f>
        <v>#N/A Requesting Data...</v>
      </c>
      <c r="S1321" t="str">
        <f>_xll.BDP("577030KF Muni","BB_COMPOSITE")</f>
        <v>#N/A Requesting Data...</v>
      </c>
      <c r="T1321" t="str">
        <f>_xll.BDP("577030KF Muni","LQA_LIQUIDITY_SCORE")</f>
        <v>#N/A Requesting Data...</v>
      </c>
    </row>
    <row r="1322" spans="1:20" x14ac:dyDescent="0.25">
      <c r="A1322" t="str">
        <f>_xll.BDP("577030KG Muni","ID_CUSIP")</f>
        <v>#N/A Requesting Data...</v>
      </c>
      <c r="B1322" t="s">
        <v>430</v>
      </c>
      <c r="C1322" t="str">
        <f>_xll.BDP("577030KG Muni","INSURANCE_STATUS")</f>
        <v>#N/A Requesting Data...</v>
      </c>
      <c r="D1322" t="str">
        <f>_xll.BDP("577030KG Muni","STATE_CODE")</f>
        <v>#N/A Requesting Data...</v>
      </c>
      <c r="E1322" t="str">
        <f>_xll.BDP("577030KG Muni","COUNTY_LOCATION_ISSUER")</f>
        <v>#N/A Requesting Data...</v>
      </c>
      <c r="F1322" t="str">
        <f>_xll.BDP("577030KG Muni","DUR_ADJ_MID")</f>
        <v>#N/A Requesting Data...</v>
      </c>
      <c r="G1322" t="str">
        <f>_xll.BDP("577030KG Muni","SPREAD_AT_ISSUANCE_TO_WORST")</f>
        <v>#N/A Requesting Data...</v>
      </c>
      <c r="H1322" t="str">
        <f>_xll.BDP("577030KG Muni","ISSUE_DT")</f>
        <v>#N/A Requesting Data...</v>
      </c>
      <c r="I1322" t="str">
        <f>_xll.BDS("577030KG Muni","MUNI_PURPOSE_SCHED", "aggregate=y")</f>
        <v>#N/A Review</v>
      </c>
      <c r="J1322" t="str">
        <f>_xll.BDP("577030KG Muni","CPN")</f>
        <v>#N/A Requesting Data...</v>
      </c>
      <c r="K1322" t="str">
        <f>_xll.BDP("577030KG Muni","MATURITY")</f>
        <v>#N/A Requesting Data...</v>
      </c>
      <c r="L1322">
        <v>120000</v>
      </c>
      <c r="M1322" t="str">
        <f>_xll.BDP("577030KG Muni","YIELD_ON_ISSUE_DATE")</f>
        <v>#N/A Requesting Data...</v>
      </c>
      <c r="N1322" t="str">
        <f>_xll.BDP("577030KG Muni","YTW_SPREAD_TO_MATURITY_AT_ISSU")</f>
        <v>#N/A Requesting Data...</v>
      </c>
      <c r="O1322" t="str">
        <f>_xll.BDP("577030KG Muni","BVAL_MID_YTM")</f>
        <v>#N/A Requesting Data...</v>
      </c>
      <c r="P1322" t="str">
        <f>_xll.BDP("577030KG Muni","MUNI_TAX_PROV")</f>
        <v>#N/A Requesting Data...</v>
      </c>
      <c r="Q1322" t="str">
        <f>_xll.BDP("577030KG Muni","MUNI_FED_TAX")</f>
        <v>#N/A Requesting Data...</v>
      </c>
      <c r="R1322" t="str">
        <f>_xll.BDP("577030KG Muni","MUNI_MSRB_VOLUME")</f>
        <v>#N/A Requesting Data...</v>
      </c>
      <c r="S1322" t="str">
        <f>_xll.BDP("577030KG Muni","BB_COMPOSITE")</f>
        <v>#N/A Requesting Data...</v>
      </c>
      <c r="T1322" t="str">
        <f>_xll.BDP("577030KG Muni","LQA_LIQUIDITY_SCORE")</f>
        <v>#N/A Requesting Data...</v>
      </c>
    </row>
    <row r="1323" spans="1:20" x14ac:dyDescent="0.25">
      <c r="A1323" t="str">
        <f>_xll.BDP("577030KH Muni","ID_CUSIP")</f>
        <v>#N/A Requesting Data...</v>
      </c>
      <c r="B1323" t="s">
        <v>430</v>
      </c>
      <c r="C1323" t="str">
        <f>_xll.BDP("577030KH Muni","INSURANCE_STATUS")</f>
        <v>#N/A Requesting Data...</v>
      </c>
      <c r="D1323" t="str">
        <f>_xll.BDP("577030KH Muni","STATE_CODE")</f>
        <v>#N/A Requesting Data...</v>
      </c>
      <c r="E1323" t="str">
        <f>_xll.BDP("577030KH Muni","COUNTY_LOCATION_ISSUER")</f>
        <v>#N/A Requesting Data...</v>
      </c>
      <c r="F1323" t="str">
        <f>_xll.BDP("577030KH Muni","DUR_ADJ_MID")</f>
        <v>#N/A Requesting Data...</v>
      </c>
      <c r="G1323" t="str">
        <f>_xll.BDP("577030KH Muni","SPREAD_AT_ISSUANCE_TO_WORST")</f>
        <v>#N/A Requesting Data...</v>
      </c>
      <c r="H1323" t="str">
        <f>_xll.BDP("577030KH Muni","ISSUE_DT")</f>
        <v>#N/A Requesting Data...</v>
      </c>
      <c r="I1323" t="str">
        <f>_xll.BDS("577030KH Muni","MUNI_PURPOSE_SCHED", "aggregate=y")</f>
        <v>#N/A Review</v>
      </c>
      <c r="J1323" t="str">
        <f>_xll.BDP("577030KH Muni","CPN")</f>
        <v>#N/A Requesting Data...</v>
      </c>
      <c r="K1323" t="str">
        <f>_xll.BDP("577030KH Muni","MATURITY")</f>
        <v>#N/A Requesting Data...</v>
      </c>
      <c r="L1323">
        <v>120000</v>
      </c>
      <c r="M1323" t="str">
        <f>_xll.BDP("577030KH Muni","YIELD_ON_ISSUE_DATE")</f>
        <v>#N/A Requesting Data...</v>
      </c>
      <c r="N1323" t="str">
        <f>_xll.BDP("577030KH Muni","YTW_SPREAD_TO_MATURITY_AT_ISSU")</f>
        <v>#N/A Requesting Data...</v>
      </c>
      <c r="O1323" t="str">
        <f>_xll.BDP("577030KH Muni","BVAL_MID_YTM")</f>
        <v>#N/A Requesting Data...</v>
      </c>
      <c r="P1323" t="str">
        <f>_xll.BDP("577030KH Muni","MUNI_TAX_PROV")</f>
        <v>#N/A Requesting Data...</v>
      </c>
      <c r="Q1323" t="str">
        <f>_xll.BDP("577030KH Muni","MUNI_FED_TAX")</f>
        <v>#N/A Requesting Data...</v>
      </c>
      <c r="R1323" t="str">
        <f>_xll.BDP("577030KH Muni","MUNI_MSRB_VOLUME")</f>
        <v>#N/A Requesting Data...</v>
      </c>
      <c r="S1323" t="str">
        <f>_xll.BDP("577030KH Muni","BB_COMPOSITE")</f>
        <v>#N/A Requesting Data...</v>
      </c>
      <c r="T1323" t="str">
        <f>_xll.BDP("577030KH Muni","LQA_LIQUIDITY_SCORE")</f>
        <v>#N/A Requesting Data...</v>
      </c>
    </row>
    <row r="1324" spans="1:20" x14ac:dyDescent="0.25">
      <c r="A1324" t="str">
        <f>_xll.BDP("579083SL Muni","ID_CUSIP")</f>
        <v>#N/A Requesting Data...</v>
      </c>
      <c r="B1324" t="s">
        <v>124</v>
      </c>
      <c r="C1324" t="str">
        <f>_xll.BDP("579083SL Muni","INSURANCE_STATUS")</f>
        <v>#N/A Requesting Data...</v>
      </c>
      <c r="D1324" t="str">
        <f>_xll.BDP("579083SL Muni","STATE_CODE")</f>
        <v>#N/A Requesting Data...</v>
      </c>
      <c r="E1324" t="str">
        <f>_xll.BDP("579083SL Muni","COUNTY_LOCATION_ISSUER")</f>
        <v>#N/A Requesting Data...</v>
      </c>
      <c r="F1324" t="str">
        <f>_xll.BDP("579083SL Muni","DUR_ADJ_MID")</f>
        <v>#N/A Requesting Data...</v>
      </c>
      <c r="G1324" t="str">
        <f>_xll.BDP("579083SL Muni","SPREAD_AT_ISSUANCE_TO_WORST")</f>
        <v>#N/A Requesting Data...</v>
      </c>
      <c r="H1324" t="str">
        <f>_xll.BDP("579083SL Muni","ISSUE_DT")</f>
        <v>#N/A Requesting Data...</v>
      </c>
      <c r="I1324" t="str">
        <f>_xll.BDS("579083SL Muni","MUNI_PURPOSE_SCHED", "aggregate=y")</f>
        <v>#N/A Review</v>
      </c>
      <c r="J1324" t="str">
        <f>_xll.BDP("579083SL Muni","CPN")</f>
        <v>#N/A Requesting Data...</v>
      </c>
      <c r="K1324" t="str">
        <f>_xll.BDP("579083SL Muni","MATURITY")</f>
        <v>#N/A Requesting Data...</v>
      </c>
      <c r="L1324">
        <v>680000</v>
      </c>
      <c r="M1324" t="str">
        <f>_xll.BDP("579083SL Muni","YIELD_ON_ISSUE_DATE")</f>
        <v>#N/A Requesting Data...</v>
      </c>
      <c r="N1324" t="str">
        <f>_xll.BDP("579083SL Muni","YTW_SPREAD_TO_MATURITY_AT_ISSU")</f>
        <v>#N/A Requesting Data...</v>
      </c>
      <c r="O1324" t="str">
        <f>_xll.BDP("579083SL Muni","BVAL_MID_YTM")</f>
        <v>#N/A Requesting Data...</v>
      </c>
      <c r="P1324" t="str">
        <f>_xll.BDP("579083SL Muni","MUNI_TAX_PROV")</f>
        <v>#N/A Requesting Data...</v>
      </c>
      <c r="Q1324" t="str">
        <f>_xll.BDP("579083SL Muni","MUNI_FED_TAX")</f>
        <v>#N/A Requesting Data...</v>
      </c>
      <c r="R1324" t="str">
        <f>_xll.BDP("579083SL Muni","MUNI_MSRB_VOLUME")</f>
        <v>#N/A Requesting Data...</v>
      </c>
      <c r="S1324" t="str">
        <f>_xll.BDP("579083SL Muni","BB_COMPOSITE")</f>
        <v>#N/A Requesting Data...</v>
      </c>
      <c r="T1324" t="str">
        <f>_xll.BDP("579083SL Muni","LQA_LIQUIDITY_SCORE")</f>
        <v>#N/A Requesting Data...</v>
      </c>
    </row>
    <row r="1325" spans="1:20" x14ac:dyDescent="0.25">
      <c r="A1325" t="str">
        <f>_xll.BDP("579083SM Muni","ID_CUSIP")</f>
        <v>#N/A Requesting Data...</v>
      </c>
      <c r="B1325" t="s">
        <v>124</v>
      </c>
      <c r="C1325" t="str">
        <f>_xll.BDP("579083SM Muni","INSURANCE_STATUS")</f>
        <v>#N/A Requesting Data...</v>
      </c>
      <c r="D1325" t="str">
        <f>_xll.BDP("579083SM Muni","STATE_CODE")</f>
        <v>#N/A Requesting Data...</v>
      </c>
      <c r="E1325" t="str">
        <f>_xll.BDP("579083SM Muni","COUNTY_LOCATION_ISSUER")</f>
        <v>#N/A Requesting Data...</v>
      </c>
      <c r="F1325" t="str">
        <f>_xll.BDP("579083SM Muni","DUR_ADJ_MID")</f>
        <v>#N/A Requesting Data...</v>
      </c>
      <c r="G1325" t="str">
        <f>_xll.BDP("579083SM Muni","SPREAD_AT_ISSUANCE_TO_WORST")</f>
        <v>#N/A Requesting Data...</v>
      </c>
      <c r="H1325" t="str">
        <f>_xll.BDP("579083SM Muni","ISSUE_DT")</f>
        <v>#N/A Requesting Data...</v>
      </c>
      <c r="I1325" t="str">
        <f>_xll.BDS("579083SM Muni","MUNI_PURPOSE_SCHED", "aggregate=y")</f>
        <v>#N/A Review</v>
      </c>
      <c r="J1325" t="str">
        <f>_xll.BDP("579083SM Muni","CPN")</f>
        <v>#N/A Requesting Data...</v>
      </c>
      <c r="K1325" t="str">
        <f>_xll.BDP("579083SM Muni","MATURITY")</f>
        <v>#N/A Requesting Data...</v>
      </c>
      <c r="L1325">
        <v>695000</v>
      </c>
      <c r="M1325" t="str">
        <f>_xll.BDP("579083SM Muni","YIELD_ON_ISSUE_DATE")</f>
        <v>#N/A Requesting Data...</v>
      </c>
      <c r="N1325" t="str">
        <f>_xll.BDP("579083SM Muni","YTW_SPREAD_TO_MATURITY_AT_ISSU")</f>
        <v>#N/A Requesting Data...</v>
      </c>
      <c r="O1325" t="str">
        <f>_xll.BDP("579083SM Muni","BVAL_MID_YTM")</f>
        <v>#N/A Requesting Data...</v>
      </c>
      <c r="P1325" t="str">
        <f>_xll.BDP("579083SM Muni","MUNI_TAX_PROV")</f>
        <v>#N/A Requesting Data...</v>
      </c>
      <c r="Q1325" t="str">
        <f>_xll.BDP("579083SM Muni","MUNI_FED_TAX")</f>
        <v>#N/A Requesting Data...</v>
      </c>
      <c r="R1325" t="str">
        <f>_xll.BDP("579083SM Muni","MUNI_MSRB_VOLUME")</f>
        <v>#N/A Requesting Data...</v>
      </c>
      <c r="S1325" t="str">
        <f>_xll.BDP("579083SM Muni","BB_COMPOSITE")</f>
        <v>#N/A Requesting Data...</v>
      </c>
      <c r="T1325" t="str">
        <f>_xll.BDP("579083SM Muni","LQA_LIQUIDITY_SCORE")</f>
        <v>#N/A Requesting Data...</v>
      </c>
    </row>
    <row r="1326" spans="1:20" x14ac:dyDescent="0.25">
      <c r="A1326" t="str">
        <f>_xll.BDP("579083SN Muni","ID_CUSIP")</f>
        <v>#N/A Requesting Data...</v>
      </c>
      <c r="B1326" t="s">
        <v>124</v>
      </c>
      <c r="C1326" t="str">
        <f>_xll.BDP("579083SN Muni","INSURANCE_STATUS")</f>
        <v>#N/A Requesting Data...</v>
      </c>
      <c r="D1326" t="str">
        <f>_xll.BDP("579083SN Muni","STATE_CODE")</f>
        <v>#N/A Requesting Data...</v>
      </c>
      <c r="E1326" t="str">
        <f>_xll.BDP("579083SN Muni","COUNTY_LOCATION_ISSUER")</f>
        <v>#N/A Requesting Data...</v>
      </c>
      <c r="F1326" t="str">
        <f>_xll.BDP("579083SN Muni","DUR_ADJ_MID")</f>
        <v>#N/A Requesting Data...</v>
      </c>
      <c r="G1326" t="str">
        <f>_xll.BDP("579083SN Muni","SPREAD_AT_ISSUANCE_TO_WORST")</f>
        <v>#N/A Requesting Data...</v>
      </c>
      <c r="H1326" t="str">
        <f>_xll.BDP("579083SN Muni","ISSUE_DT")</f>
        <v>#N/A Requesting Data...</v>
      </c>
      <c r="I1326" t="str">
        <f>_xll.BDS("579083SN Muni","MUNI_PURPOSE_SCHED", "aggregate=y")</f>
        <v>#N/A Review</v>
      </c>
      <c r="J1326" t="str">
        <f>_xll.BDP("579083SN Muni","CPN")</f>
        <v>#N/A Requesting Data...</v>
      </c>
      <c r="K1326" t="str">
        <f>_xll.BDP("579083SN Muni","MATURITY")</f>
        <v>#N/A Requesting Data...</v>
      </c>
      <c r="L1326">
        <v>715000</v>
      </c>
      <c r="M1326" t="str">
        <f>_xll.BDP("579083SN Muni","YIELD_ON_ISSUE_DATE")</f>
        <v>#N/A Requesting Data...</v>
      </c>
      <c r="N1326" t="str">
        <f>_xll.BDP("579083SN Muni","YTW_SPREAD_TO_MATURITY_AT_ISSU")</f>
        <v>#N/A Requesting Data...</v>
      </c>
      <c r="O1326" t="str">
        <f>_xll.BDP("579083SN Muni","BVAL_MID_YTM")</f>
        <v>#N/A Requesting Data...</v>
      </c>
      <c r="P1326" t="str">
        <f>_xll.BDP("579083SN Muni","MUNI_TAX_PROV")</f>
        <v>#N/A Requesting Data...</v>
      </c>
      <c r="Q1326" t="str">
        <f>_xll.BDP("579083SN Muni","MUNI_FED_TAX")</f>
        <v>#N/A Requesting Data...</v>
      </c>
      <c r="R1326" t="str">
        <f>_xll.BDP("579083SN Muni","MUNI_MSRB_VOLUME")</f>
        <v>#N/A Requesting Data...</v>
      </c>
      <c r="S1326" t="str">
        <f>_xll.BDP("579083SN Muni","BB_COMPOSITE")</f>
        <v>#N/A Requesting Data...</v>
      </c>
      <c r="T1326" t="str">
        <f>_xll.BDP("579083SN Muni","LQA_LIQUIDITY_SCORE")</f>
        <v>#N/A Requesting Data...</v>
      </c>
    </row>
    <row r="1327" spans="1:20" x14ac:dyDescent="0.25">
      <c r="A1327" t="str">
        <f>_xll.BDP("572500CS Muni","ID_CUSIP")</f>
        <v>#N/A Requesting Data...</v>
      </c>
      <c r="B1327" t="s">
        <v>431</v>
      </c>
      <c r="C1327" t="str">
        <f>_xll.BDP("572500CS Muni","INSURANCE_STATUS")</f>
        <v>#N/A Requesting Data...</v>
      </c>
      <c r="D1327" t="str">
        <f>_xll.BDP("572500CS Muni","STATE_CODE")</f>
        <v>#N/A Requesting Data...</v>
      </c>
      <c r="E1327" t="str">
        <f>_xll.BDP("572500CS Muni","COUNTY_LOCATION_ISSUER")</f>
        <v>#N/A Requesting Data...</v>
      </c>
      <c r="F1327" t="str">
        <f>_xll.BDP("572500CS Muni","DUR_ADJ_MID")</f>
        <v>#N/A Requesting Data...</v>
      </c>
      <c r="G1327" t="str">
        <f>_xll.BDP("572500CS Muni","SPREAD_AT_ISSUANCE_TO_WORST")</f>
        <v>#N/A Requesting Data...</v>
      </c>
      <c r="H1327" t="str">
        <f>_xll.BDP("572500CS Muni","ISSUE_DT")</f>
        <v>#N/A Requesting Data...</v>
      </c>
      <c r="I1327" t="str">
        <f>_xll.BDS("572500CS Muni","MUNI_PURPOSE_SCHED", "aggregate=y")</f>
        <v>#N/A Review</v>
      </c>
      <c r="J1327" t="str">
        <f>_xll.BDP("572500CS Muni","CPN")</f>
        <v>#N/A Requesting Data...</v>
      </c>
      <c r="K1327" t="str">
        <f>_xll.BDP("572500CS Muni","MATURITY")</f>
        <v>#N/A Requesting Data...</v>
      </c>
      <c r="L1327">
        <v>365000</v>
      </c>
      <c r="M1327" t="str">
        <f>_xll.BDP("572500CS Muni","YIELD_ON_ISSUE_DATE")</f>
        <v>#N/A Requesting Data...</v>
      </c>
      <c r="N1327" t="str">
        <f>_xll.BDP("572500CS Muni","YTW_SPREAD_TO_MATURITY_AT_ISSU")</f>
        <v>#N/A Requesting Data...</v>
      </c>
      <c r="O1327" t="str">
        <f>_xll.BDP("572500CS Muni","BVAL_MID_YTM")</f>
        <v>#N/A Requesting Data...</v>
      </c>
      <c r="P1327" t="str">
        <f>_xll.BDP("572500CS Muni","MUNI_TAX_PROV")</f>
        <v>#N/A Requesting Data...</v>
      </c>
      <c r="Q1327" t="str">
        <f>_xll.BDP("572500CS Muni","MUNI_FED_TAX")</f>
        <v>#N/A Requesting Data...</v>
      </c>
      <c r="R1327" t="str">
        <f>_xll.BDP("572500CS Muni","MUNI_MSRB_VOLUME")</f>
        <v>#N/A Requesting Data...</v>
      </c>
      <c r="S1327" t="str">
        <f>_xll.BDP("572500CS Muni","BB_COMPOSITE")</f>
        <v>#N/A Requesting Data...</v>
      </c>
      <c r="T1327" t="str">
        <f>_xll.BDP("572500CS Muni","LQA_LIQUIDITY_SCORE")</f>
        <v>#N/A Requesting Data...</v>
      </c>
    </row>
    <row r="1328" spans="1:20" x14ac:dyDescent="0.25">
      <c r="A1328" t="str">
        <f>_xll.BDP("572500CU Muni","ID_CUSIP")</f>
        <v>#N/A Requesting Data...</v>
      </c>
      <c r="B1328" t="s">
        <v>431</v>
      </c>
      <c r="C1328" t="str">
        <f>_xll.BDP("572500CU Muni","INSURANCE_STATUS")</f>
        <v>#N/A Requesting Data...</v>
      </c>
      <c r="D1328" t="str">
        <f>_xll.BDP("572500CU Muni","STATE_CODE")</f>
        <v>#N/A Requesting Data...</v>
      </c>
      <c r="E1328" t="str">
        <f>_xll.BDP("572500CU Muni","COUNTY_LOCATION_ISSUER")</f>
        <v>#N/A Requesting Data...</v>
      </c>
      <c r="F1328" t="str">
        <f>_xll.BDP("572500CU Muni","DUR_ADJ_MID")</f>
        <v>#N/A Requesting Data...</v>
      </c>
      <c r="G1328" t="str">
        <f>_xll.BDP("572500CU Muni","SPREAD_AT_ISSUANCE_TO_WORST")</f>
        <v>#N/A Requesting Data...</v>
      </c>
      <c r="H1328" t="str">
        <f>_xll.BDP("572500CU Muni","ISSUE_DT")</f>
        <v>#N/A Requesting Data...</v>
      </c>
      <c r="I1328" t="str">
        <f>_xll.BDS("572500CU Muni","MUNI_PURPOSE_SCHED", "aggregate=y")</f>
        <v>#N/A Review</v>
      </c>
      <c r="J1328" t="str">
        <f>_xll.BDP("572500CU Muni","CPN")</f>
        <v>#N/A Requesting Data...</v>
      </c>
      <c r="K1328" t="str">
        <f>_xll.BDP("572500CU Muni","MATURITY")</f>
        <v>#N/A Requesting Data...</v>
      </c>
      <c r="L1328">
        <v>370000</v>
      </c>
      <c r="M1328" t="str">
        <f>_xll.BDP("572500CU Muni","YIELD_ON_ISSUE_DATE")</f>
        <v>#N/A Requesting Data...</v>
      </c>
      <c r="N1328" t="str">
        <f>_xll.BDP("572500CU Muni","YTW_SPREAD_TO_MATURITY_AT_ISSU")</f>
        <v>#N/A Requesting Data...</v>
      </c>
      <c r="O1328" t="str">
        <f>_xll.BDP("572500CU Muni","BVAL_MID_YTM")</f>
        <v>#N/A Requesting Data...</v>
      </c>
      <c r="P1328" t="str">
        <f>_xll.BDP("572500CU Muni","MUNI_TAX_PROV")</f>
        <v>#N/A Requesting Data...</v>
      </c>
      <c r="Q1328" t="str">
        <f>_xll.BDP("572500CU Muni","MUNI_FED_TAX")</f>
        <v>#N/A Requesting Data...</v>
      </c>
      <c r="R1328" t="str">
        <f>_xll.BDP("572500CU Muni","MUNI_MSRB_VOLUME")</f>
        <v>#N/A Requesting Data...</v>
      </c>
      <c r="S1328" t="str">
        <f>_xll.BDP("572500CU Muni","BB_COMPOSITE")</f>
        <v>#N/A Requesting Data...</v>
      </c>
      <c r="T1328" t="str">
        <f>_xll.BDP("572500CU Muni","LQA_LIQUIDITY_SCORE")</f>
        <v>#N/A Requesting Data...</v>
      </c>
    </row>
    <row r="1329" spans="1:20" x14ac:dyDescent="0.25">
      <c r="A1329" t="str">
        <f>_xll.BDP("572835C8 Muni","ID_CUSIP")</f>
        <v>#N/A Requesting Data...</v>
      </c>
      <c r="B1329" t="s">
        <v>94</v>
      </c>
      <c r="C1329" t="str">
        <f>_xll.BDP("572835C8 Muni","INSURANCE_STATUS")</f>
        <v>#N/A Requesting Data...</v>
      </c>
      <c r="D1329" t="str">
        <f>_xll.BDP("572835C8 Muni","STATE_CODE")</f>
        <v>#N/A Requesting Data...</v>
      </c>
      <c r="E1329" t="str">
        <f>_xll.BDP("572835C8 Muni","COUNTY_LOCATION_ISSUER")</f>
        <v>#N/A Requesting Data...</v>
      </c>
      <c r="F1329" t="str">
        <f>_xll.BDP("572835C8 Muni","DUR_ADJ_MID")</f>
        <v>#N/A Requesting Data...</v>
      </c>
      <c r="G1329" t="str">
        <f>_xll.BDP("572835C8 Muni","SPREAD_AT_ISSUANCE_TO_WORST")</f>
        <v>#N/A Requesting Data...</v>
      </c>
      <c r="H1329" t="str">
        <f>_xll.BDP("572835C8 Muni","ISSUE_DT")</f>
        <v>#N/A Requesting Data...</v>
      </c>
      <c r="I1329" t="str">
        <f>_xll.BDS("572835C8 Muni","MUNI_PURPOSE_SCHED", "aggregate=y")</f>
        <v>#N/A Review</v>
      </c>
      <c r="J1329" t="str">
        <f>_xll.BDP("572835C8 Muni","CPN")</f>
        <v>#N/A Requesting Data...</v>
      </c>
      <c r="K1329" t="str">
        <f>_xll.BDP("572835C8 Muni","MATURITY")</f>
        <v>#N/A Requesting Data...</v>
      </c>
      <c r="L1329">
        <v>440000</v>
      </c>
      <c r="M1329" t="str">
        <f>_xll.BDP("572835C8 Muni","YIELD_ON_ISSUE_DATE")</f>
        <v>#N/A Requesting Data...</v>
      </c>
      <c r="N1329" t="str">
        <f>_xll.BDP("572835C8 Muni","YTW_SPREAD_TO_MATURITY_AT_ISSU")</f>
        <v>#N/A Requesting Data...</v>
      </c>
      <c r="O1329" t="str">
        <f>_xll.BDP("572835C8 Muni","BVAL_MID_YTM")</f>
        <v>#N/A Requesting Data...</v>
      </c>
      <c r="P1329" t="str">
        <f>_xll.BDP("572835C8 Muni","MUNI_TAX_PROV")</f>
        <v>#N/A Requesting Data...</v>
      </c>
      <c r="Q1329" t="str">
        <f>_xll.BDP("572835C8 Muni","MUNI_FED_TAX")</f>
        <v>#N/A Requesting Data...</v>
      </c>
      <c r="R1329" t="str">
        <f>_xll.BDP("572835C8 Muni","MUNI_MSRB_VOLUME")</f>
        <v>#N/A Requesting Data...</v>
      </c>
      <c r="S1329" t="str">
        <f>_xll.BDP("572835C8 Muni","BB_COMPOSITE")</f>
        <v>#N/A Requesting Data...</v>
      </c>
      <c r="T1329" t="str">
        <f>_xll.BDP("572835C8 Muni","LQA_LIQUIDITY_SCORE")</f>
        <v>#N/A Requesting Data...</v>
      </c>
    </row>
    <row r="1330" spans="1:20" x14ac:dyDescent="0.25">
      <c r="A1330" t="str">
        <f>_xll.BDP("801019MH Muni","ID_CUSIP")</f>
        <v>#N/A Requesting Data...</v>
      </c>
      <c r="B1330" t="s">
        <v>432</v>
      </c>
      <c r="C1330" t="str">
        <f>_xll.BDP("801019MH Muni","INSURANCE_STATUS")</f>
        <v>#N/A Requesting Data...</v>
      </c>
      <c r="D1330" t="str">
        <f>_xll.BDP("801019MH Muni","STATE_CODE")</f>
        <v>#N/A Requesting Data...</v>
      </c>
      <c r="E1330" t="str">
        <f>_xll.BDP("801019MH Muni","COUNTY_LOCATION_ISSUER")</f>
        <v>#N/A Requesting Data...</v>
      </c>
      <c r="F1330" t="str">
        <f>_xll.BDP("801019MH Muni","DUR_ADJ_MID")</f>
        <v>#N/A Requesting Data...</v>
      </c>
      <c r="G1330" t="str">
        <f>_xll.BDP("801019MH Muni","SPREAD_AT_ISSUANCE_TO_WORST")</f>
        <v>#N/A Requesting Data...</v>
      </c>
      <c r="H1330" t="str">
        <f>_xll.BDP("801019MH Muni","ISSUE_DT")</f>
        <v>#N/A Requesting Data...</v>
      </c>
      <c r="I1330" t="str">
        <f>_xll.BDS("801019MH Muni","MUNI_PURPOSE_SCHED", "aggregate=y")</f>
        <v>#N/A Review</v>
      </c>
      <c r="J1330" t="str">
        <f>_xll.BDP("801019MH Muni","CPN")</f>
        <v>#N/A Requesting Data...</v>
      </c>
      <c r="K1330" t="str">
        <f>_xll.BDP("801019MH Muni","MATURITY")</f>
        <v>#N/A Requesting Data...</v>
      </c>
      <c r="L1330">
        <v>105000</v>
      </c>
      <c r="M1330" t="str">
        <f>_xll.BDP("801019MH Muni","YIELD_ON_ISSUE_DATE")</f>
        <v>#N/A Requesting Data...</v>
      </c>
      <c r="N1330" t="str">
        <f>_xll.BDP("801019MH Muni","YTW_SPREAD_TO_MATURITY_AT_ISSU")</f>
        <v>#N/A Requesting Data...</v>
      </c>
      <c r="O1330" t="str">
        <f>_xll.BDP("801019MH Muni","BVAL_MID_YTM")</f>
        <v>#N/A Requesting Data...</v>
      </c>
      <c r="P1330" t="str">
        <f>_xll.BDP("801019MH Muni","MUNI_TAX_PROV")</f>
        <v>#N/A Requesting Data...</v>
      </c>
      <c r="Q1330" t="str">
        <f>_xll.BDP("801019MH Muni","MUNI_FED_TAX")</f>
        <v>#N/A Requesting Data...</v>
      </c>
      <c r="R1330" t="str">
        <f>_xll.BDP("801019MH Muni","MUNI_MSRB_VOLUME")</f>
        <v>#N/A Requesting Data...</v>
      </c>
      <c r="S1330" t="str">
        <f>_xll.BDP("801019MH Muni","BB_COMPOSITE")</f>
        <v>#N/A Requesting Data...</v>
      </c>
      <c r="T1330" t="str">
        <f>_xll.BDP("801019MH Muni","LQA_LIQUIDITY_SCORE")</f>
        <v>#N/A Requesting Data...</v>
      </c>
    </row>
    <row r="1331" spans="1:20" x14ac:dyDescent="0.25">
      <c r="A1331" t="str">
        <f>_xll.BDP("801019MJ Muni","ID_CUSIP")</f>
        <v>#N/A Requesting Data...</v>
      </c>
      <c r="B1331" t="s">
        <v>432</v>
      </c>
      <c r="C1331" t="str">
        <f>_xll.BDP("801019MJ Muni","INSURANCE_STATUS")</f>
        <v>#N/A Requesting Data...</v>
      </c>
      <c r="D1331" t="str">
        <f>_xll.BDP("801019MJ Muni","STATE_CODE")</f>
        <v>#N/A Requesting Data...</v>
      </c>
      <c r="E1331" t="str">
        <f>_xll.BDP("801019MJ Muni","COUNTY_LOCATION_ISSUER")</f>
        <v>#N/A Requesting Data...</v>
      </c>
      <c r="F1331" t="str">
        <f>_xll.BDP("801019MJ Muni","DUR_ADJ_MID")</f>
        <v>#N/A Requesting Data...</v>
      </c>
      <c r="G1331" t="str">
        <f>_xll.BDP("801019MJ Muni","SPREAD_AT_ISSUANCE_TO_WORST")</f>
        <v>#N/A Requesting Data...</v>
      </c>
      <c r="H1331" t="str">
        <f>_xll.BDP("801019MJ Muni","ISSUE_DT")</f>
        <v>#N/A Requesting Data...</v>
      </c>
      <c r="I1331" t="str">
        <f>_xll.BDS("801019MJ Muni","MUNI_PURPOSE_SCHED", "aggregate=y")</f>
        <v>#N/A Review</v>
      </c>
      <c r="J1331" t="str">
        <f>_xll.BDP("801019MJ Muni","CPN")</f>
        <v>#N/A Requesting Data...</v>
      </c>
      <c r="K1331" t="str">
        <f>_xll.BDP("801019MJ Muni","MATURITY")</f>
        <v>#N/A Requesting Data...</v>
      </c>
      <c r="L1331">
        <v>110000</v>
      </c>
      <c r="M1331" t="str">
        <f>_xll.BDP("801019MJ Muni","YIELD_ON_ISSUE_DATE")</f>
        <v>#N/A Requesting Data...</v>
      </c>
      <c r="N1331" t="str">
        <f>_xll.BDP("801019MJ Muni","YTW_SPREAD_TO_MATURITY_AT_ISSU")</f>
        <v>#N/A Requesting Data...</v>
      </c>
      <c r="O1331" t="str">
        <f>_xll.BDP("801019MJ Muni","BVAL_MID_YTM")</f>
        <v>#N/A Requesting Data...</v>
      </c>
      <c r="P1331" t="str">
        <f>_xll.BDP("801019MJ Muni","MUNI_TAX_PROV")</f>
        <v>#N/A Requesting Data...</v>
      </c>
      <c r="Q1331" t="str">
        <f>_xll.BDP("801019MJ Muni","MUNI_FED_TAX")</f>
        <v>#N/A Requesting Data...</v>
      </c>
      <c r="R1331" t="str">
        <f>_xll.BDP("801019MJ Muni","MUNI_MSRB_VOLUME")</f>
        <v>#N/A Requesting Data...</v>
      </c>
      <c r="S1331" t="str">
        <f>_xll.BDP("801019MJ Muni","BB_COMPOSITE")</f>
        <v>#N/A Requesting Data...</v>
      </c>
      <c r="T1331" t="str">
        <f>_xll.BDP("801019MJ Muni","LQA_LIQUIDITY_SCORE")</f>
        <v>#N/A Requesting Data...</v>
      </c>
    </row>
    <row r="1332" spans="1:20" x14ac:dyDescent="0.25">
      <c r="A1332" t="str">
        <f>_xll.BDP("801019MK Muni","ID_CUSIP")</f>
        <v>#N/A Requesting Data...</v>
      </c>
      <c r="B1332" t="s">
        <v>432</v>
      </c>
      <c r="C1332" t="str">
        <f>_xll.BDP("801019MK Muni","INSURANCE_STATUS")</f>
        <v>#N/A Requesting Data...</v>
      </c>
      <c r="D1332" t="str">
        <f>_xll.BDP("801019MK Muni","STATE_CODE")</f>
        <v>#N/A Requesting Data...</v>
      </c>
      <c r="E1332" t="str">
        <f>_xll.BDP("801019MK Muni","COUNTY_LOCATION_ISSUER")</f>
        <v>#N/A Requesting Data...</v>
      </c>
      <c r="F1332" t="str">
        <f>_xll.BDP("801019MK Muni","DUR_ADJ_MID")</f>
        <v>#N/A Requesting Data...</v>
      </c>
      <c r="G1332" t="str">
        <f>_xll.BDP("801019MK Muni","SPREAD_AT_ISSUANCE_TO_WORST")</f>
        <v>#N/A Requesting Data...</v>
      </c>
      <c r="H1332" t="str">
        <f>_xll.BDP("801019MK Muni","ISSUE_DT")</f>
        <v>#N/A Requesting Data...</v>
      </c>
      <c r="I1332" t="str">
        <f>_xll.BDS("801019MK Muni","MUNI_PURPOSE_SCHED", "aggregate=y")</f>
        <v>#N/A Review</v>
      </c>
      <c r="J1332" t="str">
        <f>_xll.BDP("801019MK Muni","CPN")</f>
        <v>#N/A Requesting Data...</v>
      </c>
      <c r="K1332" t="str">
        <f>_xll.BDP("801019MK Muni","MATURITY")</f>
        <v>#N/A Requesting Data...</v>
      </c>
      <c r="L1332">
        <v>110000</v>
      </c>
      <c r="M1332" t="str">
        <f>_xll.BDP("801019MK Muni","YIELD_ON_ISSUE_DATE")</f>
        <v>#N/A Requesting Data...</v>
      </c>
      <c r="N1332" t="str">
        <f>_xll.BDP("801019MK Muni","YTW_SPREAD_TO_MATURITY_AT_ISSU")</f>
        <v>#N/A Requesting Data...</v>
      </c>
      <c r="O1332" t="str">
        <f>_xll.BDP("801019MK Muni","BVAL_MID_YTM")</f>
        <v>#N/A Requesting Data...</v>
      </c>
      <c r="P1332" t="str">
        <f>_xll.BDP("801019MK Muni","MUNI_TAX_PROV")</f>
        <v>#N/A Requesting Data...</v>
      </c>
      <c r="Q1332" t="str">
        <f>_xll.BDP("801019MK Muni","MUNI_FED_TAX")</f>
        <v>#N/A Requesting Data...</v>
      </c>
      <c r="R1332" t="str">
        <f>_xll.BDP("801019MK Muni","MUNI_MSRB_VOLUME")</f>
        <v>#N/A Requesting Data...</v>
      </c>
      <c r="S1332" t="str">
        <f>_xll.BDP("801019MK Muni","BB_COMPOSITE")</f>
        <v>#N/A Requesting Data...</v>
      </c>
      <c r="T1332" t="str">
        <f>_xll.BDP("801019MK Muni","LQA_LIQUIDITY_SCORE")</f>
        <v>#N/A Requesting Data...</v>
      </c>
    </row>
    <row r="1333" spans="1:20" x14ac:dyDescent="0.25">
      <c r="A1333" t="str">
        <f>_xll.BDP("801019ML Muni","ID_CUSIP")</f>
        <v>#N/A Requesting Data...</v>
      </c>
      <c r="B1333" t="s">
        <v>432</v>
      </c>
      <c r="C1333" t="str">
        <f>_xll.BDP("801019ML Muni","INSURANCE_STATUS")</f>
        <v>#N/A Requesting Data...</v>
      </c>
      <c r="D1333" t="str">
        <f>_xll.BDP("801019ML Muni","STATE_CODE")</f>
        <v>#N/A Requesting Data...</v>
      </c>
      <c r="E1333" t="str">
        <f>_xll.BDP("801019ML Muni","COUNTY_LOCATION_ISSUER")</f>
        <v>#N/A Requesting Data...</v>
      </c>
      <c r="F1333" t="str">
        <f>_xll.BDP("801019ML Muni","DUR_ADJ_MID")</f>
        <v>#N/A Requesting Data...</v>
      </c>
      <c r="G1333" t="str">
        <f>_xll.BDP("801019ML Muni","SPREAD_AT_ISSUANCE_TO_WORST")</f>
        <v>#N/A Requesting Data...</v>
      </c>
      <c r="H1333" t="str">
        <f>_xll.BDP("801019ML Muni","ISSUE_DT")</f>
        <v>#N/A Requesting Data...</v>
      </c>
      <c r="I1333" t="str">
        <f>_xll.BDS("801019ML Muni","MUNI_PURPOSE_SCHED", "aggregate=y")</f>
        <v>#N/A Review</v>
      </c>
      <c r="J1333" t="str">
        <f>_xll.BDP("801019ML Muni","CPN")</f>
        <v>#N/A Requesting Data...</v>
      </c>
      <c r="K1333" t="str">
        <f>_xll.BDP("801019ML Muni","MATURITY")</f>
        <v>#N/A Requesting Data...</v>
      </c>
      <c r="L1333">
        <v>110000</v>
      </c>
      <c r="M1333" t="str">
        <f>_xll.BDP("801019ML Muni","YIELD_ON_ISSUE_DATE")</f>
        <v>#N/A Requesting Data...</v>
      </c>
      <c r="N1333" t="str">
        <f>_xll.BDP("801019ML Muni","YTW_SPREAD_TO_MATURITY_AT_ISSU")</f>
        <v>#N/A Requesting Data...</v>
      </c>
      <c r="O1333" t="str">
        <f>_xll.BDP("801019ML Muni","BVAL_MID_YTM")</f>
        <v>#N/A Requesting Data...</v>
      </c>
      <c r="P1333" t="str">
        <f>_xll.BDP("801019ML Muni","MUNI_TAX_PROV")</f>
        <v>#N/A Requesting Data...</v>
      </c>
      <c r="Q1333" t="str">
        <f>_xll.BDP("801019ML Muni","MUNI_FED_TAX")</f>
        <v>#N/A Requesting Data...</v>
      </c>
      <c r="R1333" t="str">
        <f>_xll.BDP("801019ML Muni","MUNI_MSRB_VOLUME")</f>
        <v>#N/A Requesting Data...</v>
      </c>
      <c r="S1333" t="str">
        <f>_xll.BDP("801019ML Muni","BB_COMPOSITE")</f>
        <v>#N/A Requesting Data...</v>
      </c>
      <c r="T1333" t="str">
        <f>_xll.BDP("801019ML Muni","LQA_LIQUIDITY_SCORE")</f>
        <v>#N/A Requesting Data...</v>
      </c>
    </row>
    <row r="1334" spans="1:20" x14ac:dyDescent="0.25">
      <c r="A1334" t="str">
        <f>_xll.BDP("801053AE Muni","ID_CUSIP")</f>
        <v>#N/A Requesting Data...</v>
      </c>
      <c r="B1334" t="s">
        <v>433</v>
      </c>
      <c r="C1334" t="str">
        <f>_xll.BDP("801053AE Muni","INSURANCE_STATUS")</f>
        <v>#N/A Requesting Data...</v>
      </c>
      <c r="D1334" t="str">
        <f>_xll.BDP("801053AE Muni","STATE_CODE")</f>
        <v>#N/A Requesting Data...</v>
      </c>
      <c r="E1334" t="str">
        <f>_xll.BDP("801053AE Muni","COUNTY_LOCATION_ISSUER")</f>
        <v>#N/A Requesting Data...</v>
      </c>
      <c r="F1334" t="str">
        <f>_xll.BDP("801053AE Muni","DUR_ADJ_MID")</f>
        <v>#N/A Requesting Data...</v>
      </c>
      <c r="G1334" t="str">
        <f>_xll.BDP("801053AE Muni","SPREAD_AT_ISSUANCE_TO_WORST")</f>
        <v>#N/A Requesting Data...</v>
      </c>
      <c r="H1334" t="str">
        <f>_xll.BDP("801053AE Muni","ISSUE_DT")</f>
        <v>#N/A Requesting Data...</v>
      </c>
      <c r="I1334" t="str">
        <f>_xll.BDS("801053AE Muni","MUNI_PURPOSE_SCHED", "aggregate=y")</f>
        <v>#N/A Review</v>
      </c>
      <c r="J1334" t="str">
        <f>_xll.BDP("801053AE Muni","CPN")</f>
        <v>#N/A Requesting Data...</v>
      </c>
      <c r="K1334" t="str">
        <f>_xll.BDP("801053AE Muni","MATURITY")</f>
        <v>#N/A Requesting Data...</v>
      </c>
      <c r="L1334">
        <v>65000</v>
      </c>
      <c r="M1334" t="str">
        <f>_xll.BDP("801053AE Muni","YIELD_ON_ISSUE_DATE")</f>
        <v>#N/A Requesting Data...</v>
      </c>
      <c r="N1334" t="str">
        <f>_xll.BDP("801053AE Muni","YTW_SPREAD_TO_MATURITY_AT_ISSU")</f>
        <v>#N/A Requesting Data...</v>
      </c>
      <c r="O1334" t="str">
        <f>_xll.BDP("801053AE Muni","BVAL_MID_YTM")</f>
        <v>#N/A Requesting Data...</v>
      </c>
      <c r="P1334" t="str">
        <f>_xll.BDP("801053AE Muni","MUNI_TAX_PROV")</f>
        <v>#N/A Requesting Data...</v>
      </c>
      <c r="Q1334" t="str">
        <f>_xll.BDP("801053AE Muni","MUNI_FED_TAX")</f>
        <v>#N/A Requesting Data...</v>
      </c>
      <c r="R1334" t="str">
        <f>_xll.BDP("801053AE Muni","MUNI_MSRB_VOLUME")</f>
        <v>#N/A Requesting Data...</v>
      </c>
      <c r="S1334" t="str">
        <f>_xll.BDP("801053AE Muni","BB_COMPOSITE")</f>
        <v>#N/A Requesting Data...</v>
      </c>
      <c r="T1334" t="str">
        <f>_xll.BDP("801053AE Muni","LQA_LIQUIDITY_SCORE")</f>
        <v>#N/A Requesting Data...</v>
      </c>
    </row>
    <row r="1335" spans="1:20" x14ac:dyDescent="0.25">
      <c r="A1335" t="str">
        <f>_xll.BDP("801053AF Muni","ID_CUSIP")</f>
        <v>#N/A Requesting Data...</v>
      </c>
      <c r="B1335" t="s">
        <v>433</v>
      </c>
      <c r="C1335" t="str">
        <f>_xll.BDP("801053AF Muni","INSURANCE_STATUS")</f>
        <v>#N/A Requesting Data...</v>
      </c>
      <c r="D1335" t="str">
        <f>_xll.BDP("801053AF Muni","STATE_CODE")</f>
        <v>#N/A Requesting Data...</v>
      </c>
      <c r="E1335" t="str">
        <f>_xll.BDP("801053AF Muni","COUNTY_LOCATION_ISSUER")</f>
        <v>#N/A Requesting Data...</v>
      </c>
      <c r="F1335" t="str">
        <f>_xll.BDP("801053AF Muni","DUR_ADJ_MID")</f>
        <v>#N/A Requesting Data...</v>
      </c>
      <c r="G1335" t="str">
        <f>_xll.BDP("801053AF Muni","SPREAD_AT_ISSUANCE_TO_WORST")</f>
        <v>#N/A Requesting Data...</v>
      </c>
      <c r="H1335" t="str">
        <f>_xll.BDP("801053AF Muni","ISSUE_DT")</f>
        <v>#N/A Requesting Data...</v>
      </c>
      <c r="I1335" t="str">
        <f>_xll.BDS("801053AF Muni","MUNI_PURPOSE_SCHED", "aggregate=y")</f>
        <v>#N/A Review</v>
      </c>
      <c r="J1335" t="str">
        <f>_xll.BDP("801053AF Muni","CPN")</f>
        <v>#N/A Requesting Data...</v>
      </c>
      <c r="K1335" t="str">
        <f>_xll.BDP("801053AF Muni","MATURITY")</f>
        <v>#N/A Requesting Data...</v>
      </c>
      <c r="L1335">
        <v>70000</v>
      </c>
      <c r="M1335" t="str">
        <f>_xll.BDP("801053AF Muni","YIELD_ON_ISSUE_DATE")</f>
        <v>#N/A Requesting Data...</v>
      </c>
      <c r="N1335" t="str">
        <f>_xll.BDP("801053AF Muni","YTW_SPREAD_TO_MATURITY_AT_ISSU")</f>
        <v>#N/A Requesting Data...</v>
      </c>
      <c r="O1335" t="str">
        <f>_xll.BDP("801053AF Muni","BVAL_MID_YTM")</f>
        <v>#N/A Requesting Data...</v>
      </c>
      <c r="P1335" t="str">
        <f>_xll.BDP("801053AF Muni","MUNI_TAX_PROV")</f>
        <v>#N/A Requesting Data...</v>
      </c>
      <c r="Q1335" t="str">
        <f>_xll.BDP("801053AF Muni","MUNI_FED_TAX")</f>
        <v>#N/A Requesting Data...</v>
      </c>
      <c r="R1335" t="str">
        <f>_xll.BDP("801053AF Muni","MUNI_MSRB_VOLUME")</f>
        <v>#N/A Requesting Data...</v>
      </c>
      <c r="S1335" t="str">
        <f>_xll.BDP("801053AF Muni","BB_COMPOSITE")</f>
        <v>#N/A Requesting Data...</v>
      </c>
      <c r="T1335" t="str">
        <f>_xll.BDP("801053AF Muni","LQA_LIQUIDITY_SCORE")</f>
        <v>#N/A Requesting Data...</v>
      </c>
    </row>
    <row r="1336" spans="1:20" x14ac:dyDescent="0.25">
      <c r="A1336" t="str">
        <f>_xll.BDP("801053AG Muni","ID_CUSIP")</f>
        <v>#N/A Requesting Data...</v>
      </c>
      <c r="B1336" t="s">
        <v>433</v>
      </c>
      <c r="C1336" t="str">
        <f>_xll.BDP("801053AG Muni","INSURANCE_STATUS")</f>
        <v>#N/A Requesting Data...</v>
      </c>
      <c r="D1336" t="str">
        <f>_xll.BDP("801053AG Muni","STATE_CODE")</f>
        <v>#N/A Requesting Data...</v>
      </c>
      <c r="E1336" t="str">
        <f>_xll.BDP("801053AG Muni","COUNTY_LOCATION_ISSUER")</f>
        <v>#N/A Requesting Data...</v>
      </c>
      <c r="F1336" t="str">
        <f>_xll.BDP("801053AG Muni","DUR_ADJ_MID")</f>
        <v>#N/A Requesting Data...</v>
      </c>
      <c r="G1336" t="str">
        <f>_xll.BDP("801053AG Muni","SPREAD_AT_ISSUANCE_TO_WORST")</f>
        <v>#N/A Requesting Data...</v>
      </c>
      <c r="H1336" t="str">
        <f>_xll.BDP("801053AG Muni","ISSUE_DT")</f>
        <v>#N/A Requesting Data...</v>
      </c>
      <c r="I1336" t="str">
        <f>_xll.BDS("801053AG Muni","MUNI_PURPOSE_SCHED", "aggregate=y")</f>
        <v>#N/A Review</v>
      </c>
      <c r="J1336" t="str">
        <f>_xll.BDP("801053AG Muni","CPN")</f>
        <v>#N/A Requesting Data...</v>
      </c>
      <c r="K1336" t="str">
        <f>_xll.BDP("801053AG Muni","MATURITY")</f>
        <v>#N/A Requesting Data...</v>
      </c>
      <c r="L1336">
        <v>70000</v>
      </c>
      <c r="M1336" t="str">
        <f>_xll.BDP("801053AG Muni","YIELD_ON_ISSUE_DATE")</f>
        <v>#N/A Requesting Data...</v>
      </c>
      <c r="N1336" t="str">
        <f>_xll.BDP("801053AG Muni","YTW_SPREAD_TO_MATURITY_AT_ISSU")</f>
        <v>#N/A Requesting Data...</v>
      </c>
      <c r="O1336" t="str">
        <f>_xll.BDP("801053AG Muni","BVAL_MID_YTM")</f>
        <v>#N/A Requesting Data...</v>
      </c>
      <c r="P1336" t="str">
        <f>_xll.BDP("801053AG Muni","MUNI_TAX_PROV")</f>
        <v>#N/A Requesting Data...</v>
      </c>
      <c r="Q1336" t="str">
        <f>_xll.BDP("801053AG Muni","MUNI_FED_TAX")</f>
        <v>#N/A Requesting Data...</v>
      </c>
      <c r="R1336" t="str">
        <f>_xll.BDP("801053AG Muni","MUNI_MSRB_VOLUME")</f>
        <v>#N/A Requesting Data...</v>
      </c>
      <c r="S1336" t="str">
        <f>_xll.BDP("801053AG Muni","BB_COMPOSITE")</f>
        <v>#N/A Requesting Data...</v>
      </c>
      <c r="T1336" t="str">
        <f>_xll.BDP("801053AG Muni","LQA_LIQUIDITY_SCORE")</f>
        <v>#N/A Requesting Data...</v>
      </c>
    </row>
    <row r="1337" spans="1:20" x14ac:dyDescent="0.25">
      <c r="A1337" t="str">
        <f>_xll.BDP("801053AH Muni","ID_CUSIP")</f>
        <v>#N/A Requesting Data...</v>
      </c>
      <c r="B1337" t="s">
        <v>433</v>
      </c>
      <c r="C1337" t="str">
        <f>_xll.BDP("801053AH Muni","INSURANCE_STATUS")</f>
        <v>#N/A Requesting Data...</v>
      </c>
      <c r="D1337" t="str">
        <f>_xll.BDP("801053AH Muni","STATE_CODE")</f>
        <v>#N/A Requesting Data...</v>
      </c>
      <c r="E1337" t="str">
        <f>_xll.BDP("801053AH Muni","COUNTY_LOCATION_ISSUER")</f>
        <v>#N/A Requesting Data...</v>
      </c>
      <c r="F1337" t="str">
        <f>_xll.BDP("801053AH Muni","DUR_ADJ_MID")</f>
        <v>#N/A Requesting Data...</v>
      </c>
      <c r="G1337" t="str">
        <f>_xll.BDP("801053AH Muni","SPREAD_AT_ISSUANCE_TO_WORST")</f>
        <v>#N/A Requesting Data...</v>
      </c>
      <c r="H1337" t="str">
        <f>_xll.BDP("801053AH Muni","ISSUE_DT")</f>
        <v>#N/A Requesting Data...</v>
      </c>
      <c r="I1337" t="str">
        <f>_xll.BDS("801053AH Muni","MUNI_PURPOSE_SCHED", "aggregate=y")</f>
        <v>#N/A Review</v>
      </c>
      <c r="J1337" t="str">
        <f>_xll.BDP("801053AH Muni","CPN")</f>
        <v>#N/A Requesting Data...</v>
      </c>
      <c r="K1337" t="str">
        <f>_xll.BDP("801053AH Muni","MATURITY")</f>
        <v>#N/A Requesting Data...</v>
      </c>
      <c r="L1337">
        <v>70000</v>
      </c>
      <c r="M1337" t="str">
        <f>_xll.BDP("801053AH Muni","YIELD_ON_ISSUE_DATE")</f>
        <v>#N/A Requesting Data...</v>
      </c>
      <c r="N1337" t="str">
        <f>_xll.BDP("801053AH Muni","YTW_SPREAD_TO_MATURITY_AT_ISSU")</f>
        <v>#N/A Requesting Data...</v>
      </c>
      <c r="O1337" t="str">
        <f>_xll.BDP("801053AH Muni","BVAL_MID_YTM")</f>
        <v>#N/A Requesting Data...</v>
      </c>
      <c r="P1337" t="str">
        <f>_xll.BDP("801053AH Muni","MUNI_TAX_PROV")</f>
        <v>#N/A Requesting Data...</v>
      </c>
      <c r="Q1337" t="str">
        <f>_xll.BDP("801053AH Muni","MUNI_FED_TAX")</f>
        <v>#N/A Requesting Data...</v>
      </c>
      <c r="R1337" t="str">
        <f>_xll.BDP("801053AH Muni","MUNI_MSRB_VOLUME")</f>
        <v>#N/A Requesting Data...</v>
      </c>
      <c r="S1337" t="str">
        <f>_xll.BDP("801053AH Muni","BB_COMPOSITE")</f>
        <v>#N/A Requesting Data...</v>
      </c>
      <c r="T1337" t="str">
        <f>_xll.BDP("801053AH Muni","LQA_LIQUIDITY_SCORE")</f>
        <v>#N/A Requesting Data...</v>
      </c>
    </row>
    <row r="1338" spans="1:20" x14ac:dyDescent="0.25">
      <c r="A1338" t="str">
        <f>_xll.BDP("80168FLR Muni","ID_CUSIP")</f>
        <v>#N/A Requesting Data...</v>
      </c>
      <c r="B1338" t="s">
        <v>69</v>
      </c>
      <c r="C1338" t="str">
        <f>_xll.BDP("80168FLR Muni","INSURANCE_STATUS")</f>
        <v>#N/A Requesting Data...</v>
      </c>
      <c r="D1338" t="str">
        <f>_xll.BDP("80168FLR Muni","STATE_CODE")</f>
        <v>#N/A Requesting Data...</v>
      </c>
      <c r="E1338" t="str">
        <f>_xll.BDP("80168FLR Muni","COUNTY_LOCATION_ISSUER")</f>
        <v>#N/A Requesting Data...</v>
      </c>
      <c r="F1338" t="str">
        <f>_xll.BDP("80168FLR Muni","DUR_ADJ_MID")</f>
        <v>#N/A Requesting Data...</v>
      </c>
      <c r="G1338" t="str">
        <f>_xll.BDP("80168FLR Muni","SPREAD_AT_ISSUANCE_TO_WORST")</f>
        <v>#N/A Requesting Data...</v>
      </c>
      <c r="H1338" t="str">
        <f>_xll.BDP("80168FLR Muni","ISSUE_DT")</f>
        <v>#N/A Requesting Data...</v>
      </c>
      <c r="I1338" t="str">
        <f>_xll.BDS("80168FLR Muni","MUNI_PURPOSE_SCHED", "aggregate=y")</f>
        <v>#N/A Review</v>
      </c>
      <c r="J1338" t="str">
        <f>_xll.BDP("80168FLR Muni","CPN")</f>
        <v>#N/A Requesting Data...</v>
      </c>
      <c r="K1338" t="str">
        <f>_xll.BDP("80168FLR Muni","MATURITY")</f>
        <v>#N/A Requesting Data...</v>
      </c>
      <c r="L1338">
        <v>3685000</v>
      </c>
      <c r="M1338" t="str">
        <f>_xll.BDP("80168FLR Muni","YIELD_ON_ISSUE_DATE")</f>
        <v>#N/A Requesting Data...</v>
      </c>
      <c r="N1338" t="str">
        <f>_xll.BDP("80168FLR Muni","YTW_SPREAD_TO_MATURITY_AT_ISSU")</f>
        <v>#N/A Requesting Data...</v>
      </c>
      <c r="O1338" t="str">
        <f>_xll.BDP("80168FLR Muni","BVAL_MID_YTM")</f>
        <v>#N/A Requesting Data...</v>
      </c>
      <c r="P1338" t="str">
        <f>_xll.BDP("80168FLR Muni","MUNI_TAX_PROV")</f>
        <v>#N/A Requesting Data...</v>
      </c>
      <c r="Q1338" t="str">
        <f>_xll.BDP("80168FLR Muni","MUNI_FED_TAX")</f>
        <v>#N/A Requesting Data...</v>
      </c>
      <c r="R1338" t="str">
        <f>_xll.BDP("80168FLR Muni","MUNI_MSRB_VOLUME")</f>
        <v>#N/A Requesting Data...</v>
      </c>
      <c r="S1338" t="str">
        <f>_xll.BDP("80168FLR Muni","BB_COMPOSITE")</f>
        <v>#N/A Requesting Data...</v>
      </c>
      <c r="T1338" t="str">
        <f>_xll.BDP("80168FLR Muni","LQA_LIQUIDITY_SCORE")</f>
        <v>#N/A Requesting Data...</v>
      </c>
    </row>
    <row r="1339" spans="1:20" x14ac:dyDescent="0.25">
      <c r="A1339" t="str">
        <f>_xll.BDP("80168FMC Muni","ID_CUSIP")</f>
        <v>#N/A Requesting Data...</v>
      </c>
      <c r="B1339" t="s">
        <v>69</v>
      </c>
      <c r="C1339" t="str">
        <f>_xll.BDP("80168FMC Muni","INSURANCE_STATUS")</f>
        <v>#N/A Requesting Data...</v>
      </c>
      <c r="D1339" t="str">
        <f>_xll.BDP("80168FMC Muni","STATE_CODE")</f>
        <v>#N/A Requesting Data...</v>
      </c>
      <c r="E1339" t="str">
        <f>_xll.BDP("80168FMC Muni","COUNTY_LOCATION_ISSUER")</f>
        <v>#N/A Requesting Data...</v>
      </c>
      <c r="F1339" t="str">
        <f>_xll.BDP("80168FMC Muni","DUR_ADJ_MID")</f>
        <v>#N/A Requesting Data...</v>
      </c>
      <c r="G1339" t="str">
        <f>_xll.BDP("80168FMC Muni","SPREAD_AT_ISSUANCE_TO_WORST")</f>
        <v>#N/A Requesting Data...</v>
      </c>
      <c r="H1339" t="str">
        <f>_xll.BDP("80168FMC Muni","ISSUE_DT")</f>
        <v>#N/A Requesting Data...</v>
      </c>
      <c r="I1339" t="str">
        <f>_xll.BDS("80168FMC Muni","MUNI_PURPOSE_SCHED", "aggregate=y")</f>
        <v>#N/A Review</v>
      </c>
      <c r="J1339" t="str">
        <f>_xll.BDP("80168FMC Muni","CPN")</f>
        <v>#N/A Requesting Data...</v>
      </c>
      <c r="K1339" t="str">
        <f>_xll.BDP("80168FMC Muni","MATURITY")</f>
        <v>#N/A Requesting Data...</v>
      </c>
      <c r="L1339">
        <v>4595000</v>
      </c>
      <c r="M1339" t="str">
        <f>_xll.BDP("80168FMC Muni","YIELD_ON_ISSUE_DATE")</f>
        <v>#N/A Requesting Data...</v>
      </c>
      <c r="N1339" t="str">
        <f>_xll.BDP("80168FMC Muni","YTW_SPREAD_TO_MATURITY_AT_ISSU")</f>
        <v>#N/A Requesting Data...</v>
      </c>
      <c r="O1339" t="str">
        <f>_xll.BDP("80168FMC Muni","BVAL_MID_YTM")</f>
        <v>#N/A Requesting Data...</v>
      </c>
      <c r="P1339" t="str">
        <f>_xll.BDP("80168FMC Muni","MUNI_TAX_PROV")</f>
        <v>#N/A Requesting Data...</v>
      </c>
      <c r="Q1339" t="str">
        <f>_xll.BDP("80168FMC Muni","MUNI_FED_TAX")</f>
        <v>#N/A Requesting Data...</v>
      </c>
      <c r="R1339" t="str">
        <f>_xll.BDP("80168FMC Muni","MUNI_MSRB_VOLUME")</f>
        <v>#N/A Requesting Data...</v>
      </c>
      <c r="S1339" t="str">
        <f>_xll.BDP("80168FMC Muni","BB_COMPOSITE")</f>
        <v>#N/A Requesting Data...</v>
      </c>
      <c r="T1339" t="str">
        <f>_xll.BDP("80168FMC Muni","LQA_LIQUIDITY_SCORE")</f>
        <v>#N/A Requesting Data...</v>
      </c>
    </row>
    <row r="1340" spans="1:20" x14ac:dyDescent="0.25">
      <c r="A1340" t="str">
        <f>_xll.BDP("80168FMD Muni","ID_CUSIP")</f>
        <v>#N/A Requesting Data...</v>
      </c>
      <c r="B1340" t="s">
        <v>69</v>
      </c>
      <c r="C1340" t="str">
        <f>_xll.BDP("80168FMD Muni","INSURANCE_STATUS")</f>
        <v>#N/A Requesting Data...</v>
      </c>
      <c r="D1340" t="str">
        <f>_xll.BDP("80168FMD Muni","STATE_CODE")</f>
        <v>#N/A Requesting Data...</v>
      </c>
      <c r="E1340" t="str">
        <f>_xll.BDP("80168FMD Muni","COUNTY_LOCATION_ISSUER")</f>
        <v>#N/A Requesting Data...</v>
      </c>
      <c r="F1340" t="str">
        <f>_xll.BDP("80168FMD Muni","DUR_ADJ_MID")</f>
        <v>#N/A Requesting Data...</v>
      </c>
      <c r="G1340" t="str">
        <f>_xll.BDP("80168FMD Muni","SPREAD_AT_ISSUANCE_TO_WORST")</f>
        <v>#N/A Requesting Data...</v>
      </c>
      <c r="H1340" t="str">
        <f>_xll.BDP("80168FMD Muni","ISSUE_DT")</f>
        <v>#N/A Requesting Data...</v>
      </c>
      <c r="I1340" t="str">
        <f>_xll.BDS("80168FMD Muni","MUNI_PURPOSE_SCHED", "aggregate=y")</f>
        <v>#N/A Review</v>
      </c>
      <c r="J1340" t="str">
        <f>_xll.BDP("80168FMD Muni","CPN")</f>
        <v>#N/A Requesting Data...</v>
      </c>
      <c r="K1340" t="str">
        <f>_xll.BDP("80168FMD Muni","MATURITY")</f>
        <v>#N/A Requesting Data...</v>
      </c>
      <c r="L1340">
        <v>4740000</v>
      </c>
      <c r="M1340" t="str">
        <f>_xll.BDP("80168FMD Muni","YIELD_ON_ISSUE_DATE")</f>
        <v>#N/A Requesting Data...</v>
      </c>
      <c r="N1340" t="str">
        <f>_xll.BDP("80168FMD Muni","YTW_SPREAD_TO_MATURITY_AT_ISSU")</f>
        <v>#N/A Requesting Data...</v>
      </c>
      <c r="O1340" t="str">
        <f>_xll.BDP("80168FMD Muni","BVAL_MID_YTM")</f>
        <v>#N/A Requesting Data...</v>
      </c>
      <c r="P1340" t="str">
        <f>_xll.BDP("80168FMD Muni","MUNI_TAX_PROV")</f>
        <v>#N/A Requesting Data...</v>
      </c>
      <c r="Q1340" t="str">
        <f>_xll.BDP("80168FMD Muni","MUNI_FED_TAX")</f>
        <v>#N/A Requesting Data...</v>
      </c>
      <c r="R1340" t="str">
        <f>_xll.BDP("80168FMD Muni","MUNI_MSRB_VOLUME")</f>
        <v>#N/A Requesting Data...</v>
      </c>
      <c r="S1340" t="str">
        <f>_xll.BDP("80168FMD Muni","BB_COMPOSITE")</f>
        <v>#N/A Requesting Data...</v>
      </c>
      <c r="T1340" t="str">
        <f>_xll.BDP("80168FMD Muni","LQA_LIQUIDITY_SCORE")</f>
        <v>#N/A Requesting Data...</v>
      </c>
    </row>
    <row r="1341" spans="1:20" x14ac:dyDescent="0.25">
      <c r="A1341" t="str">
        <f>_xll.BDP("80168FME Muni","ID_CUSIP")</f>
        <v>#N/A Requesting Data...</v>
      </c>
      <c r="B1341" t="s">
        <v>69</v>
      </c>
      <c r="C1341" t="str">
        <f>_xll.BDP("80168FME Muni","INSURANCE_STATUS")</f>
        <v>#N/A Requesting Data...</v>
      </c>
      <c r="D1341" t="str">
        <f>_xll.BDP("80168FME Muni","STATE_CODE")</f>
        <v>#N/A Requesting Data...</v>
      </c>
      <c r="E1341" t="str">
        <f>_xll.BDP("80168FME Muni","COUNTY_LOCATION_ISSUER")</f>
        <v>#N/A Requesting Data...</v>
      </c>
      <c r="F1341" t="str">
        <f>_xll.BDP("80168FME Muni","DUR_ADJ_MID")</f>
        <v>#N/A Requesting Data...</v>
      </c>
      <c r="G1341" t="str">
        <f>_xll.BDP("80168FME Muni","SPREAD_AT_ISSUANCE_TO_WORST")</f>
        <v>#N/A Requesting Data...</v>
      </c>
      <c r="H1341" t="str">
        <f>_xll.BDP("80168FME Muni","ISSUE_DT")</f>
        <v>#N/A Requesting Data...</v>
      </c>
      <c r="I1341" t="str">
        <f>_xll.BDS("80168FME Muni","MUNI_PURPOSE_SCHED", "aggregate=y")</f>
        <v>#N/A Review</v>
      </c>
      <c r="J1341" t="str">
        <f>_xll.BDP("80168FME Muni","CPN")</f>
        <v>#N/A Requesting Data...</v>
      </c>
      <c r="K1341" t="str">
        <f>_xll.BDP("80168FME Muni","MATURITY")</f>
        <v>#N/A Requesting Data...</v>
      </c>
      <c r="L1341">
        <v>4870000</v>
      </c>
      <c r="M1341" t="str">
        <f>_xll.BDP("80168FME Muni","YIELD_ON_ISSUE_DATE")</f>
        <v>#N/A Requesting Data...</v>
      </c>
      <c r="N1341" t="str">
        <f>_xll.BDP("80168FME Muni","YTW_SPREAD_TO_MATURITY_AT_ISSU")</f>
        <v>#N/A Requesting Data...</v>
      </c>
      <c r="O1341" t="str">
        <f>_xll.BDP("80168FME Muni","BVAL_MID_YTM")</f>
        <v>#N/A Requesting Data...</v>
      </c>
      <c r="P1341" t="str">
        <f>_xll.BDP("80168FME Muni","MUNI_TAX_PROV")</f>
        <v>#N/A Requesting Data...</v>
      </c>
      <c r="Q1341" t="str">
        <f>_xll.BDP("80168FME Muni","MUNI_FED_TAX")</f>
        <v>#N/A Requesting Data...</v>
      </c>
      <c r="R1341" t="str">
        <f>_xll.BDP("80168FME Muni","MUNI_MSRB_VOLUME")</f>
        <v>#N/A Requesting Data...</v>
      </c>
      <c r="S1341" t="str">
        <f>_xll.BDP("80168FME Muni","BB_COMPOSITE")</f>
        <v>#N/A Requesting Data...</v>
      </c>
      <c r="T1341" t="str">
        <f>_xll.BDP("80168FME Muni","LQA_LIQUIDITY_SCORE")</f>
        <v>#N/A Requesting Data...</v>
      </c>
    </row>
    <row r="1342" spans="1:20" x14ac:dyDescent="0.25">
      <c r="A1342" t="str">
        <f>_xll.BDP("660313CK Muni","ID_CUSIP")</f>
        <v>#N/A Requesting Data...</v>
      </c>
      <c r="B1342" t="s">
        <v>434</v>
      </c>
      <c r="C1342" t="str">
        <f>_xll.BDP("660313CK Muni","INSURANCE_STATUS")</f>
        <v>#N/A Requesting Data...</v>
      </c>
      <c r="D1342" t="str">
        <f>_xll.BDP("660313CK Muni","STATE_CODE")</f>
        <v>#N/A Requesting Data...</v>
      </c>
      <c r="E1342" t="str">
        <f>_xll.BDP("660313CK Muni","COUNTY_LOCATION_ISSUER")</f>
        <v>#N/A Requesting Data...</v>
      </c>
      <c r="F1342" t="str">
        <f>_xll.BDP("660313CK Muni","DUR_ADJ_MID")</f>
        <v>#N/A Requesting Data...</v>
      </c>
      <c r="G1342" t="str">
        <f>_xll.BDP("660313CK Muni","SPREAD_AT_ISSUANCE_TO_WORST")</f>
        <v>#N/A Requesting Data...</v>
      </c>
      <c r="H1342" t="str">
        <f>_xll.BDP("660313CK Muni","ISSUE_DT")</f>
        <v>#N/A Requesting Data...</v>
      </c>
      <c r="I1342" t="str">
        <f>_xll.BDS("660313CK Muni","MUNI_PURPOSE_SCHED", "aggregate=y")</f>
        <v>#N/A Review</v>
      </c>
      <c r="J1342" t="str">
        <f>_xll.BDP("660313CK Muni","CPN")</f>
        <v>#N/A Requesting Data...</v>
      </c>
      <c r="K1342" t="str">
        <f>_xll.BDP("660313CK Muni","MATURITY")</f>
        <v>#N/A Requesting Data...</v>
      </c>
      <c r="L1342">
        <v>370000</v>
      </c>
      <c r="M1342" t="str">
        <f>_xll.BDP("660313CK Muni","YIELD_ON_ISSUE_DATE")</f>
        <v>#N/A Requesting Data...</v>
      </c>
      <c r="N1342" t="str">
        <f>_xll.BDP("660313CK Muni","YTW_SPREAD_TO_MATURITY_AT_ISSU")</f>
        <v>#N/A Requesting Data...</v>
      </c>
      <c r="O1342" t="str">
        <f>_xll.BDP("660313CK Muni","BVAL_MID_YTM")</f>
        <v>#N/A Requesting Data...</v>
      </c>
      <c r="P1342" t="str">
        <f>_xll.BDP("660313CK Muni","MUNI_TAX_PROV")</f>
        <v>#N/A Requesting Data...</v>
      </c>
      <c r="Q1342" t="str">
        <f>_xll.BDP("660313CK Muni","MUNI_FED_TAX")</f>
        <v>#N/A Requesting Data...</v>
      </c>
      <c r="R1342" t="str">
        <f>_xll.BDP("660313CK Muni","MUNI_MSRB_VOLUME")</f>
        <v>#N/A Requesting Data...</v>
      </c>
      <c r="S1342" t="str">
        <f>_xll.BDP("660313CK Muni","BB_COMPOSITE")</f>
        <v>#N/A Requesting Data...</v>
      </c>
      <c r="T1342" t="str">
        <f>_xll.BDP("660313CK Muni","LQA_LIQUIDITY_SCORE")</f>
        <v>#N/A Requesting Data...</v>
      </c>
    </row>
    <row r="1343" spans="1:20" x14ac:dyDescent="0.25">
      <c r="A1343" t="str">
        <f>_xll.BDP("660313CL Muni","ID_CUSIP")</f>
        <v>#N/A Requesting Data...</v>
      </c>
      <c r="B1343" t="s">
        <v>434</v>
      </c>
      <c r="C1343" t="str">
        <f>_xll.BDP("660313CL Muni","INSURANCE_STATUS")</f>
        <v>#N/A Requesting Data...</v>
      </c>
      <c r="D1343" t="str">
        <f>_xll.BDP("660313CL Muni","STATE_CODE")</f>
        <v>#N/A Requesting Data...</v>
      </c>
      <c r="E1343" t="str">
        <f>_xll.BDP("660313CL Muni","COUNTY_LOCATION_ISSUER")</f>
        <v>#N/A Requesting Data...</v>
      </c>
      <c r="F1343" t="str">
        <f>_xll.BDP("660313CL Muni","DUR_ADJ_MID")</f>
        <v>#N/A Requesting Data...</v>
      </c>
      <c r="G1343" t="str">
        <f>_xll.BDP("660313CL Muni","SPREAD_AT_ISSUANCE_TO_WORST")</f>
        <v>#N/A Requesting Data...</v>
      </c>
      <c r="H1343" t="str">
        <f>_xll.BDP("660313CL Muni","ISSUE_DT")</f>
        <v>#N/A Requesting Data...</v>
      </c>
      <c r="I1343" t="str">
        <f>_xll.BDS("660313CL Muni","MUNI_PURPOSE_SCHED", "aggregate=y")</f>
        <v>#N/A Review</v>
      </c>
      <c r="J1343" t="str">
        <f>_xll.BDP("660313CL Muni","CPN")</f>
        <v>#N/A Requesting Data...</v>
      </c>
      <c r="K1343" t="str">
        <f>_xll.BDP("660313CL Muni","MATURITY")</f>
        <v>#N/A Requesting Data...</v>
      </c>
      <c r="L1343">
        <v>385000</v>
      </c>
      <c r="M1343" t="str">
        <f>_xll.BDP("660313CL Muni","YIELD_ON_ISSUE_DATE")</f>
        <v>#N/A Requesting Data...</v>
      </c>
      <c r="N1343" t="str">
        <f>_xll.BDP("660313CL Muni","YTW_SPREAD_TO_MATURITY_AT_ISSU")</f>
        <v>#N/A Requesting Data...</v>
      </c>
      <c r="O1343" t="str">
        <f>_xll.BDP("660313CL Muni","BVAL_MID_YTM")</f>
        <v>#N/A Requesting Data...</v>
      </c>
      <c r="P1343" t="str">
        <f>_xll.BDP("660313CL Muni","MUNI_TAX_PROV")</f>
        <v>#N/A Requesting Data...</v>
      </c>
      <c r="Q1343" t="str">
        <f>_xll.BDP("660313CL Muni","MUNI_FED_TAX")</f>
        <v>#N/A Requesting Data...</v>
      </c>
      <c r="R1343" t="str">
        <f>_xll.BDP("660313CL Muni","MUNI_MSRB_VOLUME")</f>
        <v>#N/A Requesting Data...</v>
      </c>
      <c r="S1343" t="str">
        <f>_xll.BDP("660313CL Muni","BB_COMPOSITE")</f>
        <v>#N/A Requesting Data...</v>
      </c>
      <c r="T1343" t="str">
        <f>_xll.BDP("660313CL Muni","LQA_LIQUIDITY_SCORE")</f>
        <v>#N/A Requesting Data...</v>
      </c>
    </row>
    <row r="1344" spans="1:20" x14ac:dyDescent="0.25">
      <c r="A1344" t="str">
        <f>_xll.BDP("660313CM Muni","ID_CUSIP")</f>
        <v>#N/A Requesting Data...</v>
      </c>
      <c r="B1344" t="s">
        <v>434</v>
      </c>
      <c r="C1344" t="str">
        <f>_xll.BDP("660313CM Muni","INSURANCE_STATUS")</f>
        <v>#N/A Requesting Data...</v>
      </c>
      <c r="D1344" t="str">
        <f>_xll.BDP("660313CM Muni","STATE_CODE")</f>
        <v>#N/A Requesting Data...</v>
      </c>
      <c r="E1344" t="str">
        <f>_xll.BDP("660313CM Muni","COUNTY_LOCATION_ISSUER")</f>
        <v>#N/A Requesting Data...</v>
      </c>
      <c r="F1344" t="str">
        <f>_xll.BDP("660313CM Muni","DUR_ADJ_MID")</f>
        <v>#N/A Requesting Data...</v>
      </c>
      <c r="G1344" t="str">
        <f>_xll.BDP("660313CM Muni","SPREAD_AT_ISSUANCE_TO_WORST")</f>
        <v>#N/A Requesting Data...</v>
      </c>
      <c r="H1344" t="str">
        <f>_xll.BDP("660313CM Muni","ISSUE_DT")</f>
        <v>#N/A Requesting Data...</v>
      </c>
      <c r="I1344" t="str">
        <f>_xll.BDS("660313CM Muni","MUNI_PURPOSE_SCHED", "aggregate=y")</f>
        <v>#N/A Review</v>
      </c>
      <c r="J1344" t="str">
        <f>_xll.BDP("660313CM Muni","CPN")</f>
        <v>#N/A Requesting Data...</v>
      </c>
      <c r="K1344" t="str">
        <f>_xll.BDP("660313CM Muni","MATURITY")</f>
        <v>#N/A Requesting Data...</v>
      </c>
      <c r="L1344">
        <v>400000</v>
      </c>
      <c r="M1344" t="str">
        <f>_xll.BDP("660313CM Muni","YIELD_ON_ISSUE_DATE")</f>
        <v>#N/A Requesting Data...</v>
      </c>
      <c r="N1344" t="str">
        <f>_xll.BDP("660313CM Muni","YTW_SPREAD_TO_MATURITY_AT_ISSU")</f>
        <v>#N/A Requesting Data...</v>
      </c>
      <c r="O1344" t="str">
        <f>_xll.BDP("660313CM Muni","BVAL_MID_YTM")</f>
        <v>#N/A Requesting Data...</v>
      </c>
      <c r="P1344" t="str">
        <f>_xll.BDP("660313CM Muni","MUNI_TAX_PROV")</f>
        <v>#N/A Requesting Data...</v>
      </c>
      <c r="Q1344" t="str">
        <f>_xll.BDP("660313CM Muni","MUNI_FED_TAX")</f>
        <v>#N/A Requesting Data...</v>
      </c>
      <c r="R1344" t="str">
        <f>_xll.BDP("660313CM Muni","MUNI_MSRB_VOLUME")</f>
        <v>#N/A Requesting Data...</v>
      </c>
      <c r="S1344" t="str">
        <f>_xll.BDP("660313CM Muni","BB_COMPOSITE")</f>
        <v>#N/A Requesting Data...</v>
      </c>
      <c r="T1344" t="str">
        <f>_xll.BDP("660313CM Muni","LQA_LIQUIDITY_SCORE")</f>
        <v>#N/A Requesting Data...</v>
      </c>
    </row>
    <row r="1345" spans="1:20" x14ac:dyDescent="0.25">
      <c r="A1345" t="str">
        <f>_xll.BDP("660313CN Muni","ID_CUSIP")</f>
        <v>#N/A Requesting Data...</v>
      </c>
      <c r="B1345" t="s">
        <v>434</v>
      </c>
      <c r="C1345" t="str">
        <f>_xll.BDP("660313CN Muni","INSURANCE_STATUS")</f>
        <v>#N/A Requesting Data...</v>
      </c>
      <c r="D1345" t="str">
        <f>_xll.BDP("660313CN Muni","STATE_CODE")</f>
        <v>#N/A Requesting Data...</v>
      </c>
      <c r="E1345" t="str">
        <f>_xll.BDP("660313CN Muni","COUNTY_LOCATION_ISSUER")</f>
        <v>#N/A Requesting Data...</v>
      </c>
      <c r="F1345" t="str">
        <f>_xll.BDP("660313CN Muni","DUR_ADJ_MID")</f>
        <v>#N/A Requesting Data...</v>
      </c>
      <c r="G1345" t="str">
        <f>_xll.BDP("660313CN Muni","SPREAD_AT_ISSUANCE_TO_WORST")</f>
        <v>#N/A Requesting Data...</v>
      </c>
      <c r="H1345" t="str">
        <f>_xll.BDP("660313CN Muni","ISSUE_DT")</f>
        <v>#N/A Requesting Data...</v>
      </c>
      <c r="I1345" t="str">
        <f>_xll.BDS("660313CN Muni","MUNI_PURPOSE_SCHED", "aggregate=y")</f>
        <v>#N/A Review</v>
      </c>
      <c r="J1345" t="str">
        <f>_xll.BDP("660313CN Muni","CPN")</f>
        <v>#N/A Requesting Data...</v>
      </c>
      <c r="K1345" t="str">
        <f>_xll.BDP("660313CN Muni","MATURITY")</f>
        <v>#N/A Requesting Data...</v>
      </c>
      <c r="L1345">
        <v>420000</v>
      </c>
      <c r="M1345" t="str">
        <f>_xll.BDP("660313CN Muni","YIELD_ON_ISSUE_DATE")</f>
        <v>#N/A Requesting Data...</v>
      </c>
      <c r="N1345" t="str">
        <f>_xll.BDP("660313CN Muni","YTW_SPREAD_TO_MATURITY_AT_ISSU")</f>
        <v>#N/A Requesting Data...</v>
      </c>
      <c r="O1345" t="str">
        <f>_xll.BDP("660313CN Muni","BVAL_MID_YTM")</f>
        <v>#N/A Requesting Data...</v>
      </c>
      <c r="P1345" t="str">
        <f>_xll.BDP("660313CN Muni","MUNI_TAX_PROV")</f>
        <v>#N/A Requesting Data...</v>
      </c>
      <c r="Q1345" t="str">
        <f>_xll.BDP("660313CN Muni","MUNI_FED_TAX")</f>
        <v>#N/A Requesting Data...</v>
      </c>
      <c r="R1345" t="str">
        <f>_xll.BDP("660313CN Muni","MUNI_MSRB_VOLUME")</f>
        <v>#N/A Requesting Data...</v>
      </c>
      <c r="S1345" t="str">
        <f>_xll.BDP("660313CN Muni","BB_COMPOSITE")</f>
        <v>#N/A Requesting Data...</v>
      </c>
      <c r="T1345" t="str">
        <f>_xll.BDP("660313CN Muni","LQA_LIQUIDITY_SCORE")</f>
        <v>#N/A Requesting Data...</v>
      </c>
    </row>
    <row r="1346" spans="1:20" x14ac:dyDescent="0.25">
      <c r="A1346" t="str">
        <f>_xll.BDP("660751KW Muni","ID_CUSIP")</f>
        <v>#N/A Requesting Data...</v>
      </c>
      <c r="B1346" t="s">
        <v>435</v>
      </c>
      <c r="C1346" t="str">
        <f>_xll.BDP("660751KW Muni","INSURANCE_STATUS")</f>
        <v>#N/A Requesting Data...</v>
      </c>
      <c r="D1346" t="str">
        <f>_xll.BDP("660751KW Muni","STATE_CODE")</f>
        <v>#N/A Requesting Data...</v>
      </c>
      <c r="E1346" t="str">
        <f>_xll.BDP("660751KW Muni","COUNTY_LOCATION_ISSUER")</f>
        <v>#N/A Requesting Data...</v>
      </c>
      <c r="F1346" t="str">
        <f>_xll.BDP("660751KW Muni","DUR_ADJ_MID")</f>
        <v>#N/A Requesting Data...</v>
      </c>
      <c r="G1346" t="str">
        <f>_xll.BDP("660751KW Muni","SPREAD_AT_ISSUANCE_TO_WORST")</f>
        <v>#N/A Requesting Data...</v>
      </c>
      <c r="H1346" t="str">
        <f>_xll.BDP("660751KW Muni","ISSUE_DT")</f>
        <v>#N/A Requesting Data...</v>
      </c>
      <c r="I1346" t="str">
        <f>_xll.BDS("660751KW Muni","MUNI_PURPOSE_SCHED", "aggregate=y")</f>
        <v>#N/A Review</v>
      </c>
      <c r="J1346" t="str">
        <f>_xll.BDP("660751KW Muni","CPN")</f>
        <v>#N/A Requesting Data...</v>
      </c>
      <c r="K1346" t="str">
        <f>_xll.BDP("660751KW Muni","MATURITY")</f>
        <v>#N/A Requesting Data...</v>
      </c>
      <c r="L1346">
        <v>140000</v>
      </c>
      <c r="M1346" t="str">
        <f>_xll.BDP("660751KW Muni","YIELD_ON_ISSUE_DATE")</f>
        <v>#N/A Requesting Data...</v>
      </c>
      <c r="N1346" t="str">
        <f>_xll.BDP("660751KW Muni","YTW_SPREAD_TO_MATURITY_AT_ISSU")</f>
        <v>#N/A Requesting Data...</v>
      </c>
      <c r="O1346" t="str">
        <f>_xll.BDP("660751KW Muni","BVAL_MID_YTM")</f>
        <v>#N/A Requesting Data...</v>
      </c>
      <c r="P1346" t="str">
        <f>_xll.BDP("660751KW Muni","MUNI_TAX_PROV")</f>
        <v>#N/A Requesting Data...</v>
      </c>
      <c r="Q1346" t="str">
        <f>_xll.BDP("660751KW Muni","MUNI_FED_TAX")</f>
        <v>#N/A Requesting Data...</v>
      </c>
      <c r="R1346" t="str">
        <f>_xll.BDP("660751KW Muni","MUNI_MSRB_VOLUME")</f>
        <v>#N/A Requesting Data...</v>
      </c>
      <c r="S1346" t="str">
        <f>_xll.BDP("660751KW Muni","BB_COMPOSITE")</f>
        <v>#N/A Requesting Data...</v>
      </c>
      <c r="T1346" t="str">
        <f>_xll.BDP("660751KW Muni","LQA_LIQUIDITY_SCORE")</f>
        <v>#N/A Requesting Data...</v>
      </c>
    </row>
    <row r="1347" spans="1:20" x14ac:dyDescent="0.25">
      <c r="A1347" t="str">
        <f>_xll.BDP("660751KX Muni","ID_CUSIP")</f>
        <v>#N/A Requesting Data...</v>
      </c>
      <c r="B1347" t="s">
        <v>435</v>
      </c>
      <c r="C1347" t="str">
        <f>_xll.BDP("660751KX Muni","INSURANCE_STATUS")</f>
        <v>#N/A Requesting Data...</v>
      </c>
      <c r="D1347" t="str">
        <f>_xll.BDP("660751KX Muni","STATE_CODE")</f>
        <v>#N/A Requesting Data...</v>
      </c>
      <c r="E1347" t="str">
        <f>_xll.BDP("660751KX Muni","COUNTY_LOCATION_ISSUER")</f>
        <v>#N/A Requesting Data...</v>
      </c>
      <c r="F1347" t="str">
        <f>_xll.BDP("660751KX Muni","DUR_ADJ_MID")</f>
        <v>#N/A Requesting Data...</v>
      </c>
      <c r="G1347" t="str">
        <f>_xll.BDP("660751KX Muni","SPREAD_AT_ISSUANCE_TO_WORST")</f>
        <v>#N/A Requesting Data...</v>
      </c>
      <c r="H1347" t="str">
        <f>_xll.BDP("660751KX Muni","ISSUE_DT")</f>
        <v>#N/A Requesting Data...</v>
      </c>
      <c r="I1347" t="str">
        <f>_xll.BDS("660751KX Muni","MUNI_PURPOSE_SCHED", "aggregate=y")</f>
        <v>#N/A Review</v>
      </c>
      <c r="J1347" t="str">
        <f>_xll.BDP("660751KX Muni","CPN")</f>
        <v>#N/A Requesting Data...</v>
      </c>
      <c r="K1347" t="str">
        <f>_xll.BDP("660751KX Muni","MATURITY")</f>
        <v>#N/A Requesting Data...</v>
      </c>
      <c r="L1347">
        <v>140000</v>
      </c>
      <c r="M1347" t="str">
        <f>_xll.BDP("660751KX Muni","YIELD_ON_ISSUE_DATE")</f>
        <v>#N/A Requesting Data...</v>
      </c>
      <c r="N1347" t="str">
        <f>_xll.BDP("660751KX Muni","YTW_SPREAD_TO_MATURITY_AT_ISSU")</f>
        <v>#N/A Requesting Data...</v>
      </c>
      <c r="O1347" t="str">
        <f>_xll.BDP("660751KX Muni","BVAL_MID_YTM")</f>
        <v>#N/A Requesting Data...</v>
      </c>
      <c r="P1347" t="str">
        <f>_xll.BDP("660751KX Muni","MUNI_TAX_PROV")</f>
        <v>#N/A Requesting Data...</v>
      </c>
      <c r="Q1347" t="str">
        <f>_xll.BDP("660751KX Muni","MUNI_FED_TAX")</f>
        <v>#N/A Requesting Data...</v>
      </c>
      <c r="R1347" t="str">
        <f>_xll.BDP("660751KX Muni","MUNI_MSRB_VOLUME")</f>
        <v>#N/A Requesting Data...</v>
      </c>
      <c r="S1347" t="str">
        <f>_xll.BDP("660751KX Muni","BB_COMPOSITE")</f>
        <v>#N/A Requesting Data...</v>
      </c>
      <c r="T1347" t="str">
        <f>_xll.BDP("660751KX Muni","LQA_LIQUIDITY_SCORE")</f>
        <v>#N/A Requesting Data...</v>
      </c>
    </row>
    <row r="1348" spans="1:20" x14ac:dyDescent="0.25">
      <c r="A1348" t="str">
        <f>_xll.BDP("702592AF Muni","ID_CUSIP")</f>
        <v>#N/A Requesting Data...</v>
      </c>
      <c r="B1348" t="s">
        <v>436</v>
      </c>
      <c r="C1348" t="str">
        <f>_xll.BDP("702592AF Muni","INSURANCE_STATUS")</f>
        <v>#N/A Requesting Data...</v>
      </c>
      <c r="D1348" t="str">
        <f>_xll.BDP("702592AF Muni","STATE_CODE")</f>
        <v>#N/A Requesting Data...</v>
      </c>
      <c r="E1348" t="str">
        <f>_xll.BDP("702592AF Muni","COUNTY_LOCATION_ISSUER")</f>
        <v>#N/A Requesting Data...</v>
      </c>
      <c r="F1348" t="str">
        <f>_xll.BDP("702592AF Muni","DUR_ADJ_MID")</f>
        <v>#N/A Requesting Data...</v>
      </c>
      <c r="G1348" t="str">
        <f>_xll.BDP("702592AF Muni","SPREAD_AT_ISSUANCE_TO_WORST")</f>
        <v>#N/A Requesting Data...</v>
      </c>
      <c r="H1348" t="str">
        <f>_xll.BDP("702592AF Muni","ISSUE_DT")</f>
        <v>#N/A Requesting Data...</v>
      </c>
      <c r="I1348" t="str">
        <f>_xll.BDS("702592AF Muni","MUNI_PURPOSE_SCHED", "aggregate=y")</f>
        <v>#N/A Review</v>
      </c>
      <c r="J1348" t="str">
        <f>_xll.BDP("702592AF Muni","CPN")</f>
        <v>#N/A Requesting Data...</v>
      </c>
      <c r="K1348" t="str">
        <f>_xll.BDP("702592AF Muni","MATURITY")</f>
        <v>#N/A Requesting Data...</v>
      </c>
      <c r="L1348">
        <v>70000</v>
      </c>
      <c r="M1348" t="str">
        <f>_xll.BDP("702592AF Muni","YIELD_ON_ISSUE_DATE")</f>
        <v>#N/A Requesting Data...</v>
      </c>
      <c r="N1348" t="str">
        <f>_xll.BDP("702592AF Muni","YTW_SPREAD_TO_MATURITY_AT_ISSU")</f>
        <v>#N/A Requesting Data...</v>
      </c>
      <c r="O1348" t="str">
        <f>_xll.BDP("702592AF Muni","BVAL_MID_YTM")</f>
        <v>#N/A Requesting Data...</v>
      </c>
      <c r="P1348" t="str">
        <f>_xll.BDP("702592AF Muni","MUNI_TAX_PROV")</f>
        <v>#N/A Requesting Data...</v>
      </c>
      <c r="Q1348" t="str">
        <f>_xll.BDP("702592AF Muni","MUNI_FED_TAX")</f>
        <v>#N/A Requesting Data...</v>
      </c>
      <c r="R1348" t="str">
        <f>_xll.BDP("702592AF Muni","MUNI_MSRB_VOLUME")</f>
        <v>#N/A Requesting Data...</v>
      </c>
      <c r="S1348" t="str">
        <f>_xll.BDP("702592AF Muni","BB_COMPOSITE")</f>
        <v>#N/A Requesting Data...</v>
      </c>
      <c r="T1348" t="str">
        <f>_xll.BDP("702592AF Muni","LQA_LIQUIDITY_SCORE")</f>
        <v>#N/A Requesting Data...</v>
      </c>
    </row>
    <row r="1349" spans="1:20" x14ac:dyDescent="0.25">
      <c r="A1349" t="str">
        <f>_xll.BDP("702592AG Muni","ID_CUSIP")</f>
        <v>#N/A Requesting Data...</v>
      </c>
      <c r="B1349" t="s">
        <v>436</v>
      </c>
      <c r="C1349" t="str">
        <f>_xll.BDP("702592AG Muni","INSURANCE_STATUS")</f>
        <v>#N/A Requesting Data...</v>
      </c>
      <c r="D1349" t="str">
        <f>_xll.BDP("702592AG Muni","STATE_CODE")</f>
        <v>#N/A Requesting Data...</v>
      </c>
      <c r="E1349" t="str">
        <f>_xll.BDP("702592AG Muni","COUNTY_LOCATION_ISSUER")</f>
        <v>#N/A Requesting Data...</v>
      </c>
      <c r="F1349" t="str">
        <f>_xll.BDP("702592AG Muni","DUR_ADJ_MID")</f>
        <v>#N/A Requesting Data...</v>
      </c>
      <c r="G1349" t="str">
        <f>_xll.BDP("702592AG Muni","SPREAD_AT_ISSUANCE_TO_WORST")</f>
        <v>#N/A Requesting Data...</v>
      </c>
      <c r="H1349" t="str">
        <f>_xll.BDP("702592AG Muni","ISSUE_DT")</f>
        <v>#N/A Requesting Data...</v>
      </c>
      <c r="I1349" t="str">
        <f>_xll.BDS("702592AG Muni","MUNI_PURPOSE_SCHED", "aggregate=y")</f>
        <v>#N/A Review</v>
      </c>
      <c r="J1349" t="str">
        <f>_xll.BDP("702592AG Muni","CPN")</f>
        <v>#N/A Requesting Data...</v>
      </c>
      <c r="K1349" t="str">
        <f>_xll.BDP("702592AG Muni","MATURITY")</f>
        <v>#N/A Requesting Data...</v>
      </c>
      <c r="L1349">
        <v>75000</v>
      </c>
      <c r="M1349" t="str">
        <f>_xll.BDP("702592AG Muni","YIELD_ON_ISSUE_DATE")</f>
        <v>#N/A Requesting Data...</v>
      </c>
      <c r="N1349" t="str">
        <f>_xll.BDP("702592AG Muni","YTW_SPREAD_TO_MATURITY_AT_ISSU")</f>
        <v>#N/A Requesting Data...</v>
      </c>
      <c r="O1349" t="str">
        <f>_xll.BDP("702592AG Muni","BVAL_MID_YTM")</f>
        <v>#N/A Requesting Data...</v>
      </c>
      <c r="P1349" t="str">
        <f>_xll.BDP("702592AG Muni","MUNI_TAX_PROV")</f>
        <v>#N/A Requesting Data...</v>
      </c>
      <c r="Q1349" t="str">
        <f>_xll.BDP("702592AG Muni","MUNI_FED_TAX")</f>
        <v>#N/A Requesting Data...</v>
      </c>
      <c r="R1349" t="str">
        <f>_xll.BDP("702592AG Muni","MUNI_MSRB_VOLUME")</f>
        <v>#N/A Requesting Data...</v>
      </c>
      <c r="S1349" t="str">
        <f>_xll.BDP("702592AG Muni","BB_COMPOSITE")</f>
        <v>#N/A Requesting Data...</v>
      </c>
      <c r="T1349" t="str">
        <f>_xll.BDP("702592AG Muni","LQA_LIQUIDITY_SCORE")</f>
        <v>#N/A Requesting Data...</v>
      </c>
    </row>
    <row r="1350" spans="1:20" x14ac:dyDescent="0.25">
      <c r="A1350" t="str">
        <f>_xll.BDP("702592AH Muni","ID_CUSIP")</f>
        <v>#N/A Requesting Data...</v>
      </c>
      <c r="B1350" t="s">
        <v>436</v>
      </c>
      <c r="C1350" t="str">
        <f>_xll.BDP("702592AH Muni","INSURANCE_STATUS")</f>
        <v>#N/A Requesting Data...</v>
      </c>
      <c r="D1350" t="str">
        <f>_xll.BDP("702592AH Muni","STATE_CODE")</f>
        <v>#N/A Requesting Data...</v>
      </c>
      <c r="E1350" t="str">
        <f>_xll.BDP("702592AH Muni","COUNTY_LOCATION_ISSUER")</f>
        <v>#N/A Requesting Data...</v>
      </c>
      <c r="F1350" t="str">
        <f>_xll.BDP("702592AH Muni","DUR_ADJ_MID")</f>
        <v>#N/A Requesting Data...</v>
      </c>
      <c r="G1350" t="str">
        <f>_xll.BDP("702592AH Muni","SPREAD_AT_ISSUANCE_TO_WORST")</f>
        <v>#N/A Requesting Data...</v>
      </c>
      <c r="H1350" t="str">
        <f>_xll.BDP("702592AH Muni","ISSUE_DT")</f>
        <v>#N/A Requesting Data...</v>
      </c>
      <c r="I1350" t="str">
        <f>_xll.BDS("702592AH Muni","MUNI_PURPOSE_SCHED", "aggregate=y")</f>
        <v>#N/A Review</v>
      </c>
      <c r="J1350" t="str">
        <f>_xll.BDP("702592AH Muni","CPN")</f>
        <v>#N/A Requesting Data...</v>
      </c>
      <c r="K1350" t="str">
        <f>_xll.BDP("702592AH Muni","MATURITY")</f>
        <v>#N/A Requesting Data...</v>
      </c>
      <c r="L1350">
        <v>80000</v>
      </c>
      <c r="M1350" t="str">
        <f>_xll.BDP("702592AH Muni","YIELD_ON_ISSUE_DATE")</f>
        <v>#N/A Requesting Data...</v>
      </c>
      <c r="N1350" t="str">
        <f>_xll.BDP("702592AH Muni","YTW_SPREAD_TO_MATURITY_AT_ISSU")</f>
        <v>#N/A Requesting Data...</v>
      </c>
      <c r="O1350" t="str">
        <f>_xll.BDP("702592AH Muni","BVAL_MID_YTM")</f>
        <v>#N/A Requesting Data...</v>
      </c>
      <c r="P1350" t="str">
        <f>_xll.BDP("702592AH Muni","MUNI_TAX_PROV")</f>
        <v>#N/A Requesting Data...</v>
      </c>
      <c r="Q1350" t="str">
        <f>_xll.BDP("702592AH Muni","MUNI_FED_TAX")</f>
        <v>#N/A Requesting Data...</v>
      </c>
      <c r="R1350" t="str">
        <f>_xll.BDP("702592AH Muni","MUNI_MSRB_VOLUME")</f>
        <v>#N/A Requesting Data...</v>
      </c>
      <c r="S1350" t="str">
        <f>_xll.BDP("702592AH Muni","BB_COMPOSITE")</f>
        <v>#N/A Requesting Data...</v>
      </c>
      <c r="T1350" t="str">
        <f>_xll.BDP("702592AH Muni","LQA_LIQUIDITY_SCORE")</f>
        <v>#N/A Requesting Data...</v>
      </c>
    </row>
    <row r="1351" spans="1:20" x14ac:dyDescent="0.25">
      <c r="A1351" t="str">
        <f>_xll.BDP("702592AJ Muni","ID_CUSIP")</f>
        <v>#N/A Requesting Data...</v>
      </c>
      <c r="B1351" t="s">
        <v>436</v>
      </c>
      <c r="C1351" t="str">
        <f>_xll.BDP("702592AJ Muni","INSURANCE_STATUS")</f>
        <v>#N/A Requesting Data...</v>
      </c>
      <c r="D1351" t="str">
        <f>_xll.BDP("702592AJ Muni","STATE_CODE")</f>
        <v>#N/A Requesting Data...</v>
      </c>
      <c r="E1351" t="str">
        <f>_xll.BDP("702592AJ Muni","COUNTY_LOCATION_ISSUER")</f>
        <v>#N/A Requesting Data...</v>
      </c>
      <c r="F1351" t="str">
        <f>_xll.BDP("702592AJ Muni","DUR_ADJ_MID")</f>
        <v>#N/A Requesting Data...</v>
      </c>
      <c r="G1351" t="str">
        <f>_xll.BDP("702592AJ Muni","SPREAD_AT_ISSUANCE_TO_WORST")</f>
        <v>#N/A Requesting Data...</v>
      </c>
      <c r="H1351" t="str">
        <f>_xll.BDP("702592AJ Muni","ISSUE_DT")</f>
        <v>#N/A Requesting Data...</v>
      </c>
      <c r="I1351" t="str">
        <f>_xll.BDS("702592AJ Muni","MUNI_PURPOSE_SCHED", "aggregate=y")</f>
        <v>#N/A Review</v>
      </c>
      <c r="J1351" t="str">
        <f>_xll.BDP("702592AJ Muni","CPN")</f>
        <v>#N/A Requesting Data...</v>
      </c>
      <c r="K1351" t="str">
        <f>_xll.BDP("702592AJ Muni","MATURITY")</f>
        <v>#N/A Requesting Data...</v>
      </c>
      <c r="L1351">
        <v>80000</v>
      </c>
      <c r="M1351" t="str">
        <f>_xll.BDP("702592AJ Muni","YIELD_ON_ISSUE_DATE")</f>
        <v>#N/A Requesting Data...</v>
      </c>
      <c r="N1351" t="str">
        <f>_xll.BDP("702592AJ Muni","YTW_SPREAD_TO_MATURITY_AT_ISSU")</f>
        <v>#N/A Requesting Data...</v>
      </c>
      <c r="O1351" t="str">
        <f>_xll.BDP("702592AJ Muni","BVAL_MID_YTM")</f>
        <v>#N/A Requesting Data...</v>
      </c>
      <c r="P1351" t="str">
        <f>_xll.BDP("702592AJ Muni","MUNI_TAX_PROV")</f>
        <v>#N/A Requesting Data...</v>
      </c>
      <c r="Q1351" t="str">
        <f>_xll.BDP("702592AJ Muni","MUNI_FED_TAX")</f>
        <v>#N/A Requesting Data...</v>
      </c>
      <c r="R1351" t="str">
        <f>_xll.BDP("702592AJ Muni","MUNI_MSRB_VOLUME")</f>
        <v>#N/A Requesting Data...</v>
      </c>
      <c r="S1351" t="str">
        <f>_xll.BDP("702592AJ Muni","BB_COMPOSITE")</f>
        <v>#N/A Requesting Data...</v>
      </c>
      <c r="T1351" t="str">
        <f>_xll.BDP("702592AJ Muni","LQA_LIQUIDITY_SCORE")</f>
        <v>#N/A Requesting Data...</v>
      </c>
    </row>
    <row r="1352" spans="1:20" x14ac:dyDescent="0.25">
      <c r="A1352" t="str">
        <f>_xll.BDP("702592AK Muni","ID_CUSIP")</f>
        <v>#N/A Requesting Data...</v>
      </c>
      <c r="B1352" t="s">
        <v>436</v>
      </c>
      <c r="C1352" t="str">
        <f>_xll.BDP("702592AK Muni","INSURANCE_STATUS")</f>
        <v>#N/A Requesting Data...</v>
      </c>
      <c r="D1352" t="str">
        <f>_xll.BDP("702592AK Muni","STATE_CODE")</f>
        <v>#N/A Requesting Data...</v>
      </c>
      <c r="E1352" t="str">
        <f>_xll.BDP("702592AK Muni","COUNTY_LOCATION_ISSUER")</f>
        <v>#N/A Requesting Data...</v>
      </c>
      <c r="F1352" t="str">
        <f>_xll.BDP("702592AK Muni","DUR_ADJ_MID")</f>
        <v>#N/A Requesting Data...</v>
      </c>
      <c r="G1352" t="str">
        <f>_xll.BDP("702592AK Muni","SPREAD_AT_ISSUANCE_TO_WORST")</f>
        <v>#N/A Requesting Data...</v>
      </c>
      <c r="H1352" t="str">
        <f>_xll.BDP("702592AK Muni","ISSUE_DT")</f>
        <v>#N/A Requesting Data...</v>
      </c>
      <c r="I1352" t="str">
        <f>_xll.BDS("702592AK Muni","MUNI_PURPOSE_SCHED", "aggregate=y")</f>
        <v>#N/A Review</v>
      </c>
      <c r="J1352" t="str">
        <f>_xll.BDP("702592AK Muni","CPN")</f>
        <v>#N/A Requesting Data...</v>
      </c>
      <c r="K1352" t="str">
        <f>_xll.BDP("702592AK Muni","MATURITY")</f>
        <v>#N/A Requesting Data...</v>
      </c>
      <c r="L1352">
        <v>85000</v>
      </c>
      <c r="M1352" t="str">
        <f>_xll.BDP("702592AK Muni","YIELD_ON_ISSUE_DATE")</f>
        <v>#N/A Requesting Data...</v>
      </c>
      <c r="N1352" t="str">
        <f>_xll.BDP("702592AK Muni","YTW_SPREAD_TO_MATURITY_AT_ISSU")</f>
        <v>#N/A Requesting Data...</v>
      </c>
      <c r="O1352" t="str">
        <f>_xll.BDP("702592AK Muni","BVAL_MID_YTM")</f>
        <v>#N/A Requesting Data...</v>
      </c>
      <c r="P1352" t="str">
        <f>_xll.BDP("702592AK Muni","MUNI_TAX_PROV")</f>
        <v>#N/A Requesting Data...</v>
      </c>
      <c r="Q1352" t="str">
        <f>_xll.BDP("702592AK Muni","MUNI_FED_TAX")</f>
        <v>#N/A Requesting Data...</v>
      </c>
      <c r="R1352" t="str">
        <f>_xll.BDP("702592AK Muni","MUNI_MSRB_VOLUME")</f>
        <v>#N/A Requesting Data...</v>
      </c>
      <c r="S1352" t="str">
        <f>_xll.BDP("702592AK Muni","BB_COMPOSITE")</f>
        <v>#N/A Requesting Data...</v>
      </c>
      <c r="T1352" t="str">
        <f>_xll.BDP("702592AK Muni","LQA_LIQUIDITY_SCORE")</f>
        <v>#N/A Requesting Data...</v>
      </c>
    </row>
    <row r="1353" spans="1:20" x14ac:dyDescent="0.25">
      <c r="A1353" t="str">
        <f>_xll.BDP("70360PEC Muni","ID_CUSIP")</f>
        <v>#N/A Requesting Data...</v>
      </c>
      <c r="B1353" t="s">
        <v>37</v>
      </c>
      <c r="C1353" t="str">
        <f>_xll.BDP("70360PEC Muni","INSURANCE_STATUS")</f>
        <v>#N/A Requesting Data...</v>
      </c>
      <c r="D1353" t="str">
        <f>_xll.BDP("70360PEC Muni","STATE_CODE")</f>
        <v>#N/A Requesting Data...</v>
      </c>
      <c r="E1353" t="str">
        <f>_xll.BDP("70360PEC Muni","COUNTY_LOCATION_ISSUER")</f>
        <v>#N/A Requesting Data...</v>
      </c>
      <c r="F1353" t="str">
        <f>_xll.BDP("70360PEC Muni","DUR_ADJ_MID")</f>
        <v>#N/A Requesting Data...</v>
      </c>
      <c r="G1353" t="str">
        <f>_xll.BDP("70360PEC Muni","SPREAD_AT_ISSUANCE_TO_WORST")</f>
        <v>#N/A Requesting Data...</v>
      </c>
      <c r="H1353" t="str">
        <f>_xll.BDP("70360PEC Muni","ISSUE_DT")</f>
        <v>#N/A Requesting Data...</v>
      </c>
      <c r="I1353" t="str">
        <f>_xll.BDS("70360PEC Muni","MUNI_PURPOSE_SCHED", "aggregate=y")</f>
        <v>#N/A Review</v>
      </c>
      <c r="J1353" t="str">
        <f>_xll.BDP("70360PEC Muni","CPN")</f>
        <v>#N/A Requesting Data...</v>
      </c>
      <c r="K1353" t="str">
        <f>_xll.BDP("70360PEC Muni","MATURITY")</f>
        <v>#N/A Requesting Data...</v>
      </c>
      <c r="L1353">
        <v>3305000</v>
      </c>
      <c r="M1353" t="str">
        <f>_xll.BDP("70360PEC Muni","YIELD_ON_ISSUE_DATE")</f>
        <v>#N/A Requesting Data...</v>
      </c>
      <c r="N1353" t="str">
        <f>_xll.BDP("70360PEC Muni","YTW_SPREAD_TO_MATURITY_AT_ISSU")</f>
        <v>#N/A Requesting Data...</v>
      </c>
      <c r="O1353" t="str">
        <f>_xll.BDP("70360PEC Muni","BVAL_MID_YTM")</f>
        <v>#N/A Requesting Data...</v>
      </c>
      <c r="P1353" t="str">
        <f>_xll.BDP("70360PEC Muni","MUNI_TAX_PROV")</f>
        <v>#N/A Requesting Data...</v>
      </c>
      <c r="Q1353" t="str">
        <f>_xll.BDP("70360PEC Muni","MUNI_FED_TAX")</f>
        <v>#N/A Requesting Data...</v>
      </c>
      <c r="R1353" t="str">
        <f>_xll.BDP("70360PEC Muni","MUNI_MSRB_VOLUME")</f>
        <v>#N/A Requesting Data...</v>
      </c>
      <c r="S1353" t="str">
        <f>_xll.BDP("70360PEC Muni","BB_COMPOSITE")</f>
        <v>#N/A Requesting Data...</v>
      </c>
      <c r="T1353" t="str">
        <f>_xll.BDP("70360PEC Muni","LQA_LIQUIDITY_SCORE")</f>
        <v>#N/A Requesting Data...</v>
      </c>
    </row>
    <row r="1354" spans="1:20" x14ac:dyDescent="0.25">
      <c r="A1354" t="str">
        <f>_xll.BDP("70360PEF Muni","ID_CUSIP")</f>
        <v>#N/A Requesting Data...</v>
      </c>
      <c r="B1354" t="s">
        <v>37</v>
      </c>
      <c r="C1354" t="str">
        <f>_xll.BDP("70360PEF Muni","INSURANCE_STATUS")</f>
        <v>#N/A Requesting Data...</v>
      </c>
      <c r="D1354" t="str">
        <f>_xll.BDP("70360PEF Muni","STATE_CODE")</f>
        <v>#N/A Requesting Data...</v>
      </c>
      <c r="E1354" t="str">
        <f>_xll.BDP("70360PEF Muni","COUNTY_LOCATION_ISSUER")</f>
        <v>#N/A Requesting Data...</v>
      </c>
      <c r="F1354" t="str">
        <f>_xll.BDP("70360PEF Muni","DUR_ADJ_MID")</f>
        <v>#N/A Requesting Data...</v>
      </c>
      <c r="G1354" t="str">
        <f>_xll.BDP("70360PEF Muni","SPREAD_AT_ISSUANCE_TO_WORST")</f>
        <v>#N/A Requesting Data...</v>
      </c>
      <c r="H1354" t="str">
        <f>_xll.BDP("70360PEF Muni","ISSUE_DT")</f>
        <v>#N/A Requesting Data...</v>
      </c>
      <c r="I1354" t="str">
        <f>_xll.BDS("70360PEF Muni","MUNI_PURPOSE_SCHED", "aggregate=y")</f>
        <v>#N/A Review</v>
      </c>
      <c r="J1354" t="str">
        <f>_xll.BDP("70360PEF Muni","CPN")</f>
        <v>#N/A Requesting Data...</v>
      </c>
      <c r="K1354" t="str">
        <f>_xll.BDP("70360PEF Muni","MATURITY")</f>
        <v>#N/A Requesting Data...</v>
      </c>
      <c r="L1354">
        <v>3975000</v>
      </c>
      <c r="M1354" t="str">
        <f>_xll.BDP("70360PEF Muni","YIELD_ON_ISSUE_DATE")</f>
        <v>#N/A Requesting Data...</v>
      </c>
      <c r="N1354" t="str">
        <f>_xll.BDP("70360PEF Muni","YTW_SPREAD_TO_MATURITY_AT_ISSU")</f>
        <v>#N/A Requesting Data...</v>
      </c>
      <c r="O1354" t="str">
        <f>_xll.BDP("70360PEF Muni","BVAL_MID_YTM")</f>
        <v>#N/A Requesting Data...</v>
      </c>
      <c r="P1354" t="str">
        <f>_xll.BDP("70360PEF Muni","MUNI_TAX_PROV")</f>
        <v>#N/A Requesting Data...</v>
      </c>
      <c r="Q1354" t="str">
        <f>_xll.BDP("70360PEF Muni","MUNI_FED_TAX")</f>
        <v>#N/A Requesting Data...</v>
      </c>
      <c r="R1354" t="str">
        <f>_xll.BDP("70360PEF Muni","MUNI_MSRB_VOLUME")</f>
        <v>#N/A Requesting Data...</v>
      </c>
      <c r="S1354" t="str">
        <f>_xll.BDP("70360PEF Muni","BB_COMPOSITE")</f>
        <v>#N/A Requesting Data...</v>
      </c>
      <c r="T1354" t="str">
        <f>_xll.BDP("70360PEF Muni","LQA_LIQUIDITY_SCORE")</f>
        <v>#N/A Requesting Data...</v>
      </c>
    </row>
    <row r="1355" spans="1:20" x14ac:dyDescent="0.25">
      <c r="A1355" t="str">
        <f>_xll.BDP("70360PEG Muni","ID_CUSIP")</f>
        <v>#N/A Requesting Data...</v>
      </c>
      <c r="B1355" t="s">
        <v>37</v>
      </c>
      <c r="C1355" t="str">
        <f>_xll.BDP("70360PEG Muni","INSURANCE_STATUS")</f>
        <v>#N/A Requesting Data...</v>
      </c>
      <c r="D1355" t="str">
        <f>_xll.BDP("70360PEG Muni","STATE_CODE")</f>
        <v>#N/A Requesting Data...</v>
      </c>
      <c r="E1355" t="str">
        <f>_xll.BDP("70360PEG Muni","COUNTY_LOCATION_ISSUER")</f>
        <v>#N/A Requesting Data...</v>
      </c>
      <c r="F1355" t="str">
        <f>_xll.BDP("70360PEG Muni","DUR_ADJ_MID")</f>
        <v>#N/A Requesting Data...</v>
      </c>
      <c r="G1355" t="str">
        <f>_xll.BDP("70360PEG Muni","SPREAD_AT_ISSUANCE_TO_WORST")</f>
        <v>#N/A Requesting Data...</v>
      </c>
      <c r="H1355" t="str">
        <f>_xll.BDP("70360PEG Muni","ISSUE_DT")</f>
        <v>#N/A Requesting Data...</v>
      </c>
      <c r="I1355" t="str">
        <f>_xll.BDS("70360PEG Muni","MUNI_PURPOSE_SCHED", "aggregate=y")</f>
        <v>#N/A Review</v>
      </c>
      <c r="J1355" t="str">
        <f>_xll.BDP("70360PEG Muni","CPN")</f>
        <v>#N/A Requesting Data...</v>
      </c>
      <c r="K1355" t="str">
        <f>_xll.BDP("70360PEG Muni","MATURITY")</f>
        <v>#N/A Requesting Data...</v>
      </c>
      <c r="L1355">
        <v>4175000</v>
      </c>
      <c r="M1355" t="str">
        <f>_xll.BDP("70360PEG Muni","YIELD_ON_ISSUE_DATE")</f>
        <v>#N/A Requesting Data...</v>
      </c>
      <c r="N1355" t="str">
        <f>_xll.BDP("70360PEG Muni","YTW_SPREAD_TO_MATURITY_AT_ISSU")</f>
        <v>#N/A Requesting Data...</v>
      </c>
      <c r="O1355" t="str">
        <f>_xll.BDP("70360PEG Muni","BVAL_MID_YTM")</f>
        <v>#N/A Requesting Data...</v>
      </c>
      <c r="P1355" t="str">
        <f>_xll.BDP("70360PEG Muni","MUNI_TAX_PROV")</f>
        <v>#N/A Requesting Data...</v>
      </c>
      <c r="Q1355" t="str">
        <f>_xll.BDP("70360PEG Muni","MUNI_FED_TAX")</f>
        <v>#N/A Requesting Data...</v>
      </c>
      <c r="R1355" t="str">
        <f>_xll.BDP("70360PEG Muni","MUNI_MSRB_VOLUME")</f>
        <v>#N/A Requesting Data...</v>
      </c>
      <c r="S1355" t="str">
        <f>_xll.BDP("70360PEG Muni","BB_COMPOSITE")</f>
        <v>#N/A Requesting Data...</v>
      </c>
      <c r="T1355" t="str">
        <f>_xll.BDP("70360PEG Muni","LQA_LIQUIDITY_SCORE")</f>
        <v>#N/A Requesting Data...</v>
      </c>
    </row>
    <row r="1356" spans="1:20" x14ac:dyDescent="0.25">
      <c r="A1356" t="str">
        <f>_xll.BDP("704883NV Muni","ID_CUSIP")</f>
        <v>#N/A Requesting Data...</v>
      </c>
      <c r="B1356" t="s">
        <v>437</v>
      </c>
      <c r="C1356" t="str">
        <f>_xll.BDP("704883NV Muni","INSURANCE_STATUS")</f>
        <v>#N/A Requesting Data...</v>
      </c>
      <c r="D1356" t="str">
        <f>_xll.BDP("704883NV Muni","STATE_CODE")</f>
        <v>#N/A Requesting Data...</v>
      </c>
      <c r="E1356" t="str">
        <f>_xll.BDP("704883NV Muni","COUNTY_LOCATION_ISSUER")</f>
        <v>#N/A Requesting Data...</v>
      </c>
      <c r="F1356" t="str">
        <f>_xll.BDP("704883NV Muni","DUR_ADJ_MID")</f>
        <v>#N/A Requesting Data...</v>
      </c>
      <c r="G1356" t="str">
        <f>_xll.BDP("704883NV Muni","SPREAD_AT_ISSUANCE_TO_WORST")</f>
        <v>#N/A Requesting Data...</v>
      </c>
      <c r="H1356" t="str">
        <f>_xll.BDP("704883NV Muni","ISSUE_DT")</f>
        <v>#N/A Requesting Data...</v>
      </c>
      <c r="I1356" t="str">
        <f>_xll.BDS("704883NV Muni","MUNI_PURPOSE_SCHED", "aggregate=y")</f>
        <v>#N/A Review</v>
      </c>
      <c r="J1356" t="str">
        <f>_xll.BDP("704883NV Muni","CPN")</f>
        <v>#N/A Requesting Data...</v>
      </c>
      <c r="K1356" t="str">
        <f>_xll.BDP("704883NV Muni","MATURITY")</f>
        <v>#N/A Requesting Data...</v>
      </c>
      <c r="L1356">
        <v>445000</v>
      </c>
      <c r="M1356" t="str">
        <f>_xll.BDP("704883NV Muni","YIELD_ON_ISSUE_DATE")</f>
        <v>#N/A Requesting Data...</v>
      </c>
      <c r="N1356" t="str">
        <f>_xll.BDP("704883NV Muni","YTW_SPREAD_TO_MATURITY_AT_ISSU")</f>
        <v>#N/A Requesting Data...</v>
      </c>
      <c r="O1356" t="str">
        <f>_xll.BDP("704883NV Muni","BVAL_MID_YTM")</f>
        <v>#N/A Requesting Data...</v>
      </c>
      <c r="P1356" t="str">
        <f>_xll.BDP("704883NV Muni","MUNI_TAX_PROV")</f>
        <v>#N/A Requesting Data...</v>
      </c>
      <c r="Q1356" t="str">
        <f>_xll.BDP("704883NV Muni","MUNI_FED_TAX")</f>
        <v>#N/A Requesting Data...</v>
      </c>
      <c r="R1356" t="str">
        <f>_xll.BDP("704883NV Muni","MUNI_MSRB_VOLUME")</f>
        <v>#N/A Requesting Data...</v>
      </c>
      <c r="S1356" t="str">
        <f>_xll.BDP("704883NV Muni","BB_COMPOSITE")</f>
        <v>#N/A Requesting Data...</v>
      </c>
      <c r="T1356" t="str">
        <f>_xll.BDP("704883NV Muni","LQA_LIQUIDITY_SCORE")</f>
        <v>#N/A Requesting Data...</v>
      </c>
    </row>
    <row r="1357" spans="1:20" x14ac:dyDescent="0.25">
      <c r="A1357" t="str">
        <f>_xll.BDP("704883NW Muni","ID_CUSIP")</f>
        <v>#N/A Requesting Data...</v>
      </c>
      <c r="B1357" t="s">
        <v>437</v>
      </c>
      <c r="C1357" t="str">
        <f>_xll.BDP("704883NW Muni","INSURANCE_STATUS")</f>
        <v>#N/A Requesting Data...</v>
      </c>
      <c r="D1357" t="str">
        <f>_xll.BDP("704883NW Muni","STATE_CODE")</f>
        <v>#N/A Requesting Data...</v>
      </c>
      <c r="E1357" t="str">
        <f>_xll.BDP("704883NW Muni","COUNTY_LOCATION_ISSUER")</f>
        <v>#N/A Requesting Data...</v>
      </c>
      <c r="F1357" t="str">
        <f>_xll.BDP("704883NW Muni","DUR_ADJ_MID")</f>
        <v>#N/A Requesting Data...</v>
      </c>
      <c r="G1357" t="str">
        <f>_xll.BDP("704883NW Muni","SPREAD_AT_ISSUANCE_TO_WORST")</f>
        <v>#N/A Requesting Data...</v>
      </c>
      <c r="H1357" t="str">
        <f>_xll.BDP("704883NW Muni","ISSUE_DT")</f>
        <v>#N/A Requesting Data...</v>
      </c>
      <c r="I1357" t="str">
        <f>_xll.BDS("704883NW Muni","MUNI_PURPOSE_SCHED", "aggregate=y")</f>
        <v>#N/A Review</v>
      </c>
      <c r="J1357" t="str">
        <f>_xll.BDP("704883NW Muni","CPN")</f>
        <v>#N/A Requesting Data...</v>
      </c>
      <c r="K1357" t="str">
        <f>_xll.BDP("704883NW Muni","MATURITY")</f>
        <v>#N/A Requesting Data...</v>
      </c>
      <c r="L1357">
        <v>440000</v>
      </c>
      <c r="M1357" t="str">
        <f>_xll.BDP("704883NW Muni","YIELD_ON_ISSUE_DATE")</f>
        <v>#N/A Requesting Data...</v>
      </c>
      <c r="N1357" t="str">
        <f>_xll.BDP("704883NW Muni","YTW_SPREAD_TO_MATURITY_AT_ISSU")</f>
        <v>#N/A Requesting Data...</v>
      </c>
      <c r="O1357" t="str">
        <f>_xll.BDP("704883NW Muni","BVAL_MID_YTM")</f>
        <v>#N/A Requesting Data...</v>
      </c>
      <c r="P1357" t="str">
        <f>_xll.BDP("704883NW Muni","MUNI_TAX_PROV")</f>
        <v>#N/A Requesting Data...</v>
      </c>
      <c r="Q1357" t="str">
        <f>_xll.BDP("704883NW Muni","MUNI_FED_TAX")</f>
        <v>#N/A Requesting Data...</v>
      </c>
      <c r="R1357" t="str">
        <f>_xll.BDP("704883NW Muni","MUNI_MSRB_VOLUME")</f>
        <v>#N/A Requesting Data...</v>
      </c>
      <c r="S1357" t="str">
        <f>_xll.BDP("704883NW Muni","BB_COMPOSITE")</f>
        <v>#N/A Requesting Data...</v>
      </c>
      <c r="T1357" t="str">
        <f>_xll.BDP("704883NW Muni","LQA_LIQUIDITY_SCORE")</f>
        <v>#N/A Requesting Data...</v>
      </c>
    </row>
    <row r="1358" spans="1:20" x14ac:dyDescent="0.25">
      <c r="A1358" t="str">
        <f>_xll.BDP("704883NX Muni","ID_CUSIP")</f>
        <v>#N/A Requesting Data...</v>
      </c>
      <c r="B1358" t="s">
        <v>437</v>
      </c>
      <c r="C1358" t="str">
        <f>_xll.BDP("704883NX Muni","INSURANCE_STATUS")</f>
        <v>#N/A Requesting Data...</v>
      </c>
      <c r="D1358" t="str">
        <f>_xll.BDP("704883NX Muni","STATE_CODE")</f>
        <v>#N/A Requesting Data...</v>
      </c>
      <c r="E1358" t="str">
        <f>_xll.BDP("704883NX Muni","COUNTY_LOCATION_ISSUER")</f>
        <v>#N/A Requesting Data...</v>
      </c>
      <c r="F1358" t="str">
        <f>_xll.BDP("704883NX Muni","DUR_ADJ_MID")</f>
        <v>#N/A Requesting Data...</v>
      </c>
      <c r="G1358" t="str">
        <f>_xll.BDP("704883NX Muni","SPREAD_AT_ISSUANCE_TO_WORST")</f>
        <v>#N/A Requesting Data...</v>
      </c>
      <c r="H1358" t="str">
        <f>_xll.BDP("704883NX Muni","ISSUE_DT")</f>
        <v>#N/A Requesting Data...</v>
      </c>
      <c r="I1358" t="str">
        <f>_xll.BDS("704883NX Muni","MUNI_PURPOSE_SCHED", "aggregate=y")</f>
        <v>#N/A Review</v>
      </c>
      <c r="J1358" t="str">
        <f>_xll.BDP("704883NX Muni","CPN")</f>
        <v>#N/A Requesting Data...</v>
      </c>
      <c r="K1358" t="str">
        <f>_xll.BDP("704883NX Muni","MATURITY")</f>
        <v>#N/A Requesting Data...</v>
      </c>
      <c r="L1358">
        <v>445000</v>
      </c>
      <c r="M1358" t="str">
        <f>_xll.BDP("704883NX Muni","YIELD_ON_ISSUE_DATE")</f>
        <v>#N/A Requesting Data...</v>
      </c>
      <c r="N1358" t="str">
        <f>_xll.BDP("704883NX Muni","YTW_SPREAD_TO_MATURITY_AT_ISSU")</f>
        <v>#N/A Requesting Data...</v>
      </c>
      <c r="O1358" t="str">
        <f>_xll.BDP("704883NX Muni","BVAL_MID_YTM")</f>
        <v>#N/A Requesting Data...</v>
      </c>
      <c r="P1358" t="str">
        <f>_xll.BDP("704883NX Muni","MUNI_TAX_PROV")</f>
        <v>#N/A Requesting Data...</v>
      </c>
      <c r="Q1358" t="str">
        <f>_xll.BDP("704883NX Muni","MUNI_FED_TAX")</f>
        <v>#N/A Requesting Data...</v>
      </c>
      <c r="R1358" t="str">
        <f>_xll.BDP("704883NX Muni","MUNI_MSRB_VOLUME")</f>
        <v>#N/A Requesting Data...</v>
      </c>
      <c r="S1358" t="str">
        <f>_xll.BDP("704883NX Muni","BB_COMPOSITE")</f>
        <v>#N/A Requesting Data...</v>
      </c>
      <c r="T1358" t="str">
        <f>_xll.BDP("704883NX Muni","LQA_LIQUIDITY_SCORE")</f>
        <v>#N/A Requesting Data...</v>
      </c>
    </row>
    <row r="1359" spans="1:20" x14ac:dyDescent="0.25">
      <c r="A1359" t="str">
        <f>_xll.BDP("704883NY Muni","ID_CUSIP")</f>
        <v>#N/A Requesting Data...</v>
      </c>
      <c r="B1359" t="s">
        <v>437</v>
      </c>
      <c r="C1359" t="str">
        <f>_xll.BDP("704883NY Muni","INSURANCE_STATUS")</f>
        <v>#N/A Requesting Data...</v>
      </c>
      <c r="D1359" t="str">
        <f>_xll.BDP("704883NY Muni","STATE_CODE")</f>
        <v>#N/A Requesting Data...</v>
      </c>
      <c r="E1359" t="str">
        <f>_xll.BDP("704883NY Muni","COUNTY_LOCATION_ISSUER")</f>
        <v>#N/A Requesting Data...</v>
      </c>
      <c r="F1359" t="str">
        <f>_xll.BDP("704883NY Muni","DUR_ADJ_MID")</f>
        <v>#N/A Requesting Data...</v>
      </c>
      <c r="G1359" t="str">
        <f>_xll.BDP("704883NY Muni","SPREAD_AT_ISSUANCE_TO_WORST")</f>
        <v>#N/A Requesting Data...</v>
      </c>
      <c r="H1359" t="str">
        <f>_xll.BDP("704883NY Muni","ISSUE_DT")</f>
        <v>#N/A Requesting Data...</v>
      </c>
      <c r="I1359" t="str">
        <f>_xll.BDS("704883NY Muni","MUNI_PURPOSE_SCHED", "aggregate=y")</f>
        <v>#N/A Review</v>
      </c>
      <c r="J1359" t="str">
        <f>_xll.BDP("704883NY Muni","CPN")</f>
        <v>#N/A Requesting Data...</v>
      </c>
      <c r="K1359" t="str">
        <f>_xll.BDP("704883NY Muni","MATURITY")</f>
        <v>#N/A Requesting Data...</v>
      </c>
      <c r="L1359">
        <v>445000</v>
      </c>
      <c r="M1359" t="str">
        <f>_xll.BDP("704883NY Muni","YIELD_ON_ISSUE_DATE")</f>
        <v>#N/A Requesting Data...</v>
      </c>
      <c r="N1359" t="str">
        <f>_xll.BDP("704883NY Muni","YTW_SPREAD_TO_MATURITY_AT_ISSU")</f>
        <v>#N/A Requesting Data...</v>
      </c>
      <c r="O1359" t="str">
        <f>_xll.BDP("704883NY Muni","BVAL_MID_YTM")</f>
        <v>#N/A Requesting Data...</v>
      </c>
      <c r="P1359" t="str">
        <f>_xll.BDP("704883NY Muni","MUNI_TAX_PROV")</f>
        <v>#N/A Requesting Data...</v>
      </c>
      <c r="Q1359" t="str">
        <f>_xll.BDP("704883NY Muni","MUNI_FED_TAX")</f>
        <v>#N/A Requesting Data...</v>
      </c>
      <c r="R1359" t="str">
        <f>_xll.BDP("704883NY Muni","MUNI_MSRB_VOLUME")</f>
        <v>#N/A Requesting Data...</v>
      </c>
      <c r="S1359" t="str">
        <f>_xll.BDP("704883NY Muni","BB_COMPOSITE")</f>
        <v>#N/A Requesting Data...</v>
      </c>
      <c r="T1359" t="str">
        <f>_xll.BDP("704883NY Muni","LQA_LIQUIDITY_SCORE")</f>
        <v>#N/A Requesting Data...</v>
      </c>
    </row>
    <row r="1360" spans="1:20" x14ac:dyDescent="0.25">
      <c r="A1360" t="str">
        <f>_xll.BDP("704883NZ Muni","ID_CUSIP")</f>
        <v>#N/A Requesting Data...</v>
      </c>
      <c r="B1360" t="s">
        <v>437</v>
      </c>
      <c r="C1360" t="str">
        <f>_xll.BDP("704883NZ Muni","INSURANCE_STATUS")</f>
        <v>#N/A Requesting Data...</v>
      </c>
      <c r="D1360" t="str">
        <f>_xll.BDP("704883NZ Muni","STATE_CODE")</f>
        <v>#N/A Requesting Data...</v>
      </c>
      <c r="E1360" t="str">
        <f>_xll.BDP("704883NZ Muni","COUNTY_LOCATION_ISSUER")</f>
        <v>#N/A Requesting Data...</v>
      </c>
      <c r="F1360" t="str">
        <f>_xll.BDP("704883NZ Muni","DUR_ADJ_MID")</f>
        <v>#N/A Requesting Data...</v>
      </c>
      <c r="G1360" t="str">
        <f>_xll.BDP("704883NZ Muni","SPREAD_AT_ISSUANCE_TO_WORST")</f>
        <v>#N/A Requesting Data...</v>
      </c>
      <c r="H1360" t="str">
        <f>_xll.BDP("704883NZ Muni","ISSUE_DT")</f>
        <v>#N/A Requesting Data...</v>
      </c>
      <c r="I1360" t="str">
        <f>_xll.BDS("704883NZ Muni","MUNI_PURPOSE_SCHED", "aggregate=y")</f>
        <v>#N/A Review</v>
      </c>
      <c r="J1360" t="str">
        <f>_xll.BDP("704883NZ Muni","CPN")</f>
        <v>#N/A Requesting Data...</v>
      </c>
      <c r="K1360" t="str">
        <f>_xll.BDP("704883NZ Muni","MATURITY")</f>
        <v>#N/A Requesting Data...</v>
      </c>
      <c r="L1360">
        <v>440000</v>
      </c>
      <c r="M1360" t="str">
        <f>_xll.BDP("704883NZ Muni","YIELD_ON_ISSUE_DATE")</f>
        <v>#N/A Requesting Data...</v>
      </c>
      <c r="N1360" t="str">
        <f>_xll.BDP("704883NZ Muni","YTW_SPREAD_TO_MATURITY_AT_ISSU")</f>
        <v>#N/A Requesting Data...</v>
      </c>
      <c r="O1360" t="str">
        <f>_xll.BDP("704883NZ Muni","BVAL_MID_YTM")</f>
        <v>#N/A Requesting Data...</v>
      </c>
      <c r="P1360" t="str">
        <f>_xll.BDP("704883NZ Muni","MUNI_TAX_PROV")</f>
        <v>#N/A Requesting Data...</v>
      </c>
      <c r="Q1360" t="str">
        <f>_xll.BDP("704883NZ Muni","MUNI_FED_TAX")</f>
        <v>#N/A Requesting Data...</v>
      </c>
      <c r="R1360" t="str">
        <f>_xll.BDP("704883NZ Muni","MUNI_MSRB_VOLUME")</f>
        <v>#N/A Requesting Data...</v>
      </c>
      <c r="S1360" t="str">
        <f>_xll.BDP("704883NZ Muni","BB_COMPOSITE")</f>
        <v>#N/A Requesting Data...</v>
      </c>
      <c r="T1360" t="str">
        <f>_xll.BDP("704883NZ Muni","LQA_LIQUIDITY_SCORE")</f>
        <v>#N/A Requesting Data...</v>
      </c>
    </row>
    <row r="1361" spans="1:20" x14ac:dyDescent="0.25">
      <c r="A1361" t="str">
        <f>_xll.BDP("671765BG Muni","ID_CUSIP")</f>
        <v>#N/A Requesting Data...</v>
      </c>
      <c r="B1361" t="s">
        <v>438</v>
      </c>
      <c r="C1361" t="str">
        <f>_xll.BDP("671765BG Muni","INSURANCE_STATUS")</f>
        <v>#N/A Requesting Data...</v>
      </c>
      <c r="D1361" t="str">
        <f>_xll.BDP("671765BG Muni","STATE_CODE")</f>
        <v>#N/A Requesting Data...</v>
      </c>
      <c r="E1361" t="str">
        <f>_xll.BDP("671765BG Muni","COUNTY_LOCATION_ISSUER")</f>
        <v>#N/A Requesting Data...</v>
      </c>
      <c r="F1361" t="str">
        <f>_xll.BDP("671765BG Muni","DUR_ADJ_MID")</f>
        <v>#N/A Requesting Data...</v>
      </c>
      <c r="G1361" t="str">
        <f>_xll.BDP("671765BG Muni","SPREAD_AT_ISSUANCE_TO_WORST")</f>
        <v>#N/A Requesting Data...</v>
      </c>
      <c r="H1361" t="str">
        <f>_xll.BDP("671765BG Muni","ISSUE_DT")</f>
        <v>#N/A Requesting Data...</v>
      </c>
      <c r="I1361" t="str">
        <f>_xll.BDS("671765BG Muni","MUNI_PURPOSE_SCHED", "aggregate=y")</f>
        <v>#N/A Review</v>
      </c>
      <c r="J1361" t="str">
        <f>_xll.BDP("671765BG Muni","CPN")</f>
        <v>#N/A Requesting Data...</v>
      </c>
      <c r="K1361" t="str">
        <f>_xll.BDP("671765BG Muni","MATURITY")</f>
        <v>#N/A Requesting Data...</v>
      </c>
      <c r="L1361">
        <v>95000</v>
      </c>
      <c r="M1361" t="str">
        <f>_xll.BDP("671765BG Muni","YIELD_ON_ISSUE_DATE")</f>
        <v>#N/A Requesting Data...</v>
      </c>
      <c r="N1361" t="str">
        <f>_xll.BDP("671765BG Muni","YTW_SPREAD_TO_MATURITY_AT_ISSU")</f>
        <v>#N/A Requesting Data...</v>
      </c>
      <c r="O1361" t="str">
        <f>_xll.BDP("671765BG Muni","BVAL_MID_YTM")</f>
        <v>#N/A Requesting Data...</v>
      </c>
      <c r="P1361" t="str">
        <f>_xll.BDP("671765BG Muni","MUNI_TAX_PROV")</f>
        <v>#N/A Requesting Data...</v>
      </c>
      <c r="Q1361" t="str">
        <f>_xll.BDP("671765BG Muni","MUNI_FED_TAX")</f>
        <v>#N/A Requesting Data...</v>
      </c>
      <c r="R1361" t="str">
        <f>_xll.BDP("671765BG Muni","MUNI_MSRB_VOLUME")</f>
        <v>#N/A Requesting Data...</v>
      </c>
      <c r="S1361" t="str">
        <f>_xll.BDP("671765BG Muni","BB_COMPOSITE")</f>
        <v>#N/A Requesting Data...</v>
      </c>
      <c r="T1361" t="str">
        <f>_xll.BDP("671765BG Muni","LQA_LIQUIDITY_SCORE")</f>
        <v>#N/A Requesting Data...</v>
      </c>
    </row>
    <row r="1362" spans="1:20" x14ac:dyDescent="0.25">
      <c r="A1362" t="str">
        <f>_xll.BDP("662903QR Muni","ID_CUSIP")</f>
        <v>#N/A Requesting Data...</v>
      </c>
      <c r="B1362" t="s">
        <v>114</v>
      </c>
      <c r="C1362" t="str">
        <f>_xll.BDP("662903QR Muni","INSURANCE_STATUS")</f>
        <v>#N/A Requesting Data...</v>
      </c>
      <c r="D1362" t="str">
        <f>_xll.BDP("662903QR Muni","STATE_CODE")</f>
        <v>#N/A Requesting Data...</v>
      </c>
      <c r="E1362" t="str">
        <f>_xll.BDP("662903QR Muni","COUNTY_LOCATION_ISSUER")</f>
        <v>#N/A Requesting Data...</v>
      </c>
      <c r="F1362" t="str">
        <f>_xll.BDP("662903QR Muni","DUR_ADJ_MID")</f>
        <v>#N/A Requesting Data...</v>
      </c>
      <c r="G1362" t="str">
        <f>_xll.BDP("662903QR Muni","SPREAD_AT_ISSUANCE_TO_WORST")</f>
        <v>#N/A Requesting Data...</v>
      </c>
      <c r="H1362" t="str">
        <f>_xll.BDP("662903QR Muni","ISSUE_DT")</f>
        <v>#N/A Requesting Data...</v>
      </c>
      <c r="I1362" t="str">
        <f>_xll.BDS("662903QR Muni","MUNI_PURPOSE_SCHED", "aggregate=y")</f>
        <v>#N/A Review</v>
      </c>
      <c r="J1362" t="str">
        <f>_xll.BDP("662903QR Muni","CPN")</f>
        <v>#N/A Requesting Data...</v>
      </c>
      <c r="K1362" t="str">
        <f>_xll.BDP("662903QR Muni","MATURITY")</f>
        <v>#N/A Requesting Data...</v>
      </c>
      <c r="L1362">
        <v>7645000</v>
      </c>
      <c r="M1362" t="str">
        <f>_xll.BDP("662903QR Muni","YIELD_ON_ISSUE_DATE")</f>
        <v>#N/A Requesting Data...</v>
      </c>
      <c r="N1362" t="str">
        <f>_xll.BDP("662903QR Muni","YTW_SPREAD_TO_MATURITY_AT_ISSU")</f>
        <v>#N/A Requesting Data...</v>
      </c>
      <c r="O1362" t="str">
        <f>_xll.BDP("662903QR Muni","BVAL_MID_YTM")</f>
        <v>#N/A Requesting Data...</v>
      </c>
      <c r="P1362" t="str">
        <f>_xll.BDP("662903QR Muni","MUNI_TAX_PROV")</f>
        <v>#N/A Requesting Data...</v>
      </c>
      <c r="Q1362" t="str">
        <f>_xll.BDP("662903QR Muni","MUNI_FED_TAX")</f>
        <v>#N/A Requesting Data...</v>
      </c>
      <c r="R1362" t="str">
        <f>_xll.BDP("662903QR Muni","MUNI_MSRB_VOLUME")</f>
        <v>#N/A Requesting Data...</v>
      </c>
      <c r="S1362" t="str">
        <f>_xll.BDP("662903QR Muni","BB_COMPOSITE")</f>
        <v>#N/A Requesting Data...</v>
      </c>
      <c r="T1362" t="str">
        <f>_xll.BDP("662903QR Muni","LQA_LIQUIDITY_SCORE")</f>
        <v>#N/A Requesting Data...</v>
      </c>
    </row>
    <row r="1363" spans="1:20" x14ac:dyDescent="0.25">
      <c r="A1363" t="str">
        <f>_xll.BDP("662903QU Muni","ID_CUSIP")</f>
        <v>#N/A Requesting Data...</v>
      </c>
      <c r="B1363" t="s">
        <v>114</v>
      </c>
      <c r="C1363" t="str">
        <f>_xll.BDP("662903QU Muni","INSURANCE_STATUS")</f>
        <v>#N/A Requesting Data...</v>
      </c>
      <c r="D1363" t="str">
        <f>_xll.BDP("662903QU Muni","STATE_CODE")</f>
        <v>#N/A Requesting Data...</v>
      </c>
      <c r="E1363" t="str">
        <f>_xll.BDP("662903QU Muni","COUNTY_LOCATION_ISSUER")</f>
        <v>#N/A Requesting Data...</v>
      </c>
      <c r="F1363" t="str">
        <f>_xll.BDP("662903QU Muni","DUR_ADJ_MID")</f>
        <v>#N/A Requesting Data...</v>
      </c>
      <c r="G1363" t="str">
        <f>_xll.BDP("662903QU Muni","SPREAD_AT_ISSUANCE_TO_WORST")</f>
        <v>#N/A Requesting Data...</v>
      </c>
      <c r="H1363" t="str">
        <f>_xll.BDP("662903QU Muni","ISSUE_DT")</f>
        <v>#N/A Requesting Data...</v>
      </c>
      <c r="I1363" t="str">
        <f>_xll.BDS("662903QU Muni","MUNI_PURPOSE_SCHED", "aggregate=y")</f>
        <v>#N/A Review</v>
      </c>
      <c r="J1363" t="str">
        <f>_xll.BDP("662903QU Muni","CPN")</f>
        <v>#N/A Requesting Data...</v>
      </c>
      <c r="K1363" t="str">
        <f>_xll.BDP("662903QU Muni","MATURITY")</f>
        <v>#N/A Requesting Data...</v>
      </c>
      <c r="L1363">
        <v>8850000</v>
      </c>
      <c r="M1363" t="str">
        <f>_xll.BDP("662903QU Muni","YIELD_ON_ISSUE_DATE")</f>
        <v>#N/A Requesting Data...</v>
      </c>
      <c r="N1363" t="str">
        <f>_xll.BDP("662903QU Muni","YTW_SPREAD_TO_MATURITY_AT_ISSU")</f>
        <v>#N/A Requesting Data...</v>
      </c>
      <c r="O1363" t="str">
        <f>_xll.BDP("662903QU Muni","BVAL_MID_YTM")</f>
        <v>#N/A Requesting Data...</v>
      </c>
      <c r="P1363" t="str">
        <f>_xll.BDP("662903QU Muni","MUNI_TAX_PROV")</f>
        <v>#N/A Requesting Data...</v>
      </c>
      <c r="Q1363" t="str">
        <f>_xll.BDP("662903QU Muni","MUNI_FED_TAX")</f>
        <v>#N/A Requesting Data...</v>
      </c>
      <c r="R1363" t="str">
        <f>_xll.BDP("662903QU Muni","MUNI_MSRB_VOLUME")</f>
        <v>#N/A Requesting Data...</v>
      </c>
      <c r="S1363" t="str">
        <f>_xll.BDP("662903QU Muni","BB_COMPOSITE")</f>
        <v>#N/A Requesting Data...</v>
      </c>
      <c r="T1363" t="str">
        <f>_xll.BDP("662903QU Muni","LQA_LIQUIDITY_SCORE")</f>
        <v>#N/A Requesting Data...</v>
      </c>
    </row>
    <row r="1364" spans="1:20" x14ac:dyDescent="0.25">
      <c r="A1364" t="str">
        <f>_xll.BDP("662903QV Muni","ID_CUSIP")</f>
        <v>#N/A Requesting Data...</v>
      </c>
      <c r="B1364" t="s">
        <v>114</v>
      </c>
      <c r="C1364" t="str">
        <f>_xll.BDP("662903QV Muni","INSURANCE_STATUS")</f>
        <v>#N/A Requesting Data...</v>
      </c>
      <c r="D1364" t="str">
        <f>_xll.BDP("662903QV Muni","STATE_CODE")</f>
        <v>#N/A Requesting Data...</v>
      </c>
      <c r="E1364" t="str">
        <f>_xll.BDP("662903QV Muni","COUNTY_LOCATION_ISSUER")</f>
        <v>#N/A Requesting Data...</v>
      </c>
      <c r="F1364" t="str">
        <f>_xll.BDP("662903QV Muni","DUR_ADJ_MID")</f>
        <v>#N/A Requesting Data...</v>
      </c>
      <c r="G1364" t="str">
        <f>_xll.BDP("662903QV Muni","SPREAD_AT_ISSUANCE_TO_WORST")</f>
        <v>#N/A Requesting Data...</v>
      </c>
      <c r="H1364" t="str">
        <f>_xll.BDP("662903QV Muni","ISSUE_DT")</f>
        <v>#N/A Requesting Data...</v>
      </c>
      <c r="I1364" t="str">
        <f>_xll.BDS("662903QV Muni","MUNI_PURPOSE_SCHED", "aggregate=y")</f>
        <v>#N/A Review</v>
      </c>
      <c r="J1364" t="str">
        <f>_xll.BDP("662903QV Muni","CPN")</f>
        <v>#N/A Requesting Data...</v>
      </c>
      <c r="K1364" t="str">
        <f>_xll.BDP("662903QV Muni","MATURITY")</f>
        <v>#N/A Requesting Data...</v>
      </c>
      <c r="L1364">
        <v>9290000</v>
      </c>
      <c r="M1364" t="str">
        <f>_xll.BDP("662903QV Muni","YIELD_ON_ISSUE_DATE")</f>
        <v>#N/A Requesting Data...</v>
      </c>
      <c r="N1364" t="str">
        <f>_xll.BDP("662903QV Muni","YTW_SPREAD_TO_MATURITY_AT_ISSU")</f>
        <v>#N/A Requesting Data...</v>
      </c>
      <c r="O1364" t="str">
        <f>_xll.BDP("662903QV Muni","BVAL_MID_YTM")</f>
        <v>#N/A Requesting Data...</v>
      </c>
      <c r="P1364" t="str">
        <f>_xll.BDP("662903QV Muni","MUNI_TAX_PROV")</f>
        <v>#N/A Requesting Data...</v>
      </c>
      <c r="Q1364" t="str">
        <f>_xll.BDP("662903QV Muni","MUNI_FED_TAX")</f>
        <v>#N/A Requesting Data...</v>
      </c>
      <c r="R1364" t="str">
        <f>_xll.BDP("662903QV Muni","MUNI_MSRB_VOLUME")</f>
        <v>#N/A Requesting Data...</v>
      </c>
      <c r="S1364" t="str">
        <f>_xll.BDP("662903QV Muni","BB_COMPOSITE")</f>
        <v>#N/A Requesting Data...</v>
      </c>
      <c r="T1364" t="str">
        <f>_xll.BDP("662903QV Muni","LQA_LIQUIDITY_SCORE")</f>
        <v>#N/A Requesting Data...</v>
      </c>
    </row>
    <row r="1365" spans="1:20" x14ac:dyDescent="0.25">
      <c r="A1365" t="str">
        <f>_xll.BDP("663662LR Muni","ID_CUSIP")</f>
        <v>#N/A Requesting Data...</v>
      </c>
      <c r="B1365" t="s">
        <v>439</v>
      </c>
      <c r="C1365" t="str">
        <f>_xll.BDP("663662LR Muni","INSURANCE_STATUS")</f>
        <v>#N/A Requesting Data...</v>
      </c>
      <c r="D1365" t="str">
        <f>_xll.BDP("663662LR Muni","STATE_CODE")</f>
        <v>#N/A Requesting Data...</v>
      </c>
      <c r="E1365" t="str">
        <f>_xll.BDP("663662LR Muni","COUNTY_LOCATION_ISSUER")</f>
        <v>#N/A Requesting Data...</v>
      </c>
      <c r="F1365" t="str">
        <f>_xll.BDP("663662LR Muni","DUR_ADJ_MID")</f>
        <v>#N/A Requesting Data...</v>
      </c>
      <c r="G1365" t="str">
        <f>_xll.BDP("663662LR Muni","SPREAD_AT_ISSUANCE_TO_WORST")</f>
        <v>#N/A Requesting Data...</v>
      </c>
      <c r="H1365" t="str">
        <f>_xll.BDP("663662LR Muni","ISSUE_DT")</f>
        <v>#N/A Requesting Data...</v>
      </c>
      <c r="I1365" t="str">
        <f>_xll.BDS("663662LR Muni","MUNI_PURPOSE_SCHED", "aggregate=y")</f>
        <v>#N/A Review</v>
      </c>
      <c r="J1365" t="str">
        <f>_xll.BDP("663662LR Muni","CPN")</f>
        <v>#N/A Requesting Data...</v>
      </c>
      <c r="K1365" t="str">
        <f>_xll.BDP("663662LR Muni","MATURITY")</f>
        <v>#N/A Requesting Data...</v>
      </c>
      <c r="L1365">
        <v>195000</v>
      </c>
      <c r="M1365" t="str">
        <f>_xll.BDP("663662LR Muni","YIELD_ON_ISSUE_DATE")</f>
        <v>#N/A Requesting Data...</v>
      </c>
      <c r="N1365" t="str">
        <f>_xll.BDP("663662LR Muni","YTW_SPREAD_TO_MATURITY_AT_ISSU")</f>
        <v>#N/A Requesting Data...</v>
      </c>
      <c r="O1365" t="str">
        <f>_xll.BDP("663662LR Muni","BVAL_MID_YTM")</f>
        <v>#N/A Requesting Data...</v>
      </c>
      <c r="P1365" t="str">
        <f>_xll.BDP("663662LR Muni","MUNI_TAX_PROV")</f>
        <v>#N/A Requesting Data...</v>
      </c>
      <c r="Q1365" t="str">
        <f>_xll.BDP("663662LR Muni","MUNI_FED_TAX")</f>
        <v>#N/A Requesting Data...</v>
      </c>
      <c r="R1365" t="str">
        <f>_xll.BDP("663662LR Muni","MUNI_MSRB_VOLUME")</f>
        <v>#N/A Requesting Data...</v>
      </c>
      <c r="S1365" t="str">
        <f>_xll.BDP("663662LR Muni","BB_COMPOSITE")</f>
        <v>#N/A Requesting Data...</v>
      </c>
      <c r="T1365" t="str">
        <f>_xll.BDP("663662LR Muni","LQA_LIQUIDITY_SCORE")</f>
        <v>#N/A Requesting Data...</v>
      </c>
    </row>
    <row r="1366" spans="1:20" x14ac:dyDescent="0.25">
      <c r="A1366" t="str">
        <f>_xll.BDP("663662LS Muni","ID_CUSIP")</f>
        <v>#N/A Requesting Data...</v>
      </c>
      <c r="B1366" t="s">
        <v>439</v>
      </c>
      <c r="C1366" t="str">
        <f>_xll.BDP("663662LS Muni","INSURANCE_STATUS")</f>
        <v>#N/A Requesting Data...</v>
      </c>
      <c r="D1366" t="str">
        <f>_xll.BDP("663662LS Muni","STATE_CODE")</f>
        <v>#N/A Requesting Data...</v>
      </c>
      <c r="E1366" t="str">
        <f>_xll.BDP("663662LS Muni","COUNTY_LOCATION_ISSUER")</f>
        <v>#N/A Requesting Data...</v>
      </c>
      <c r="F1366" t="str">
        <f>_xll.BDP("663662LS Muni","DUR_ADJ_MID")</f>
        <v>#N/A Requesting Data...</v>
      </c>
      <c r="G1366" t="str">
        <f>_xll.BDP("663662LS Muni","SPREAD_AT_ISSUANCE_TO_WORST")</f>
        <v>#N/A Requesting Data...</v>
      </c>
      <c r="H1366" t="str">
        <f>_xll.BDP("663662LS Muni","ISSUE_DT")</f>
        <v>#N/A Requesting Data...</v>
      </c>
      <c r="I1366" t="str">
        <f>_xll.BDS("663662LS Muni","MUNI_PURPOSE_SCHED", "aggregate=y")</f>
        <v>#N/A Review</v>
      </c>
      <c r="J1366" t="str">
        <f>_xll.BDP("663662LS Muni","CPN")</f>
        <v>#N/A Requesting Data...</v>
      </c>
      <c r="K1366" t="str">
        <f>_xll.BDP("663662LS Muni","MATURITY")</f>
        <v>#N/A Requesting Data...</v>
      </c>
      <c r="L1366">
        <v>205000</v>
      </c>
      <c r="M1366" t="str">
        <f>_xll.BDP("663662LS Muni","YIELD_ON_ISSUE_DATE")</f>
        <v>#N/A Requesting Data...</v>
      </c>
      <c r="N1366" t="str">
        <f>_xll.BDP("663662LS Muni","YTW_SPREAD_TO_MATURITY_AT_ISSU")</f>
        <v>#N/A Requesting Data...</v>
      </c>
      <c r="O1366" t="str">
        <f>_xll.BDP("663662LS Muni","BVAL_MID_YTM")</f>
        <v>#N/A Requesting Data...</v>
      </c>
      <c r="P1366" t="str">
        <f>_xll.BDP("663662LS Muni","MUNI_TAX_PROV")</f>
        <v>#N/A Requesting Data...</v>
      </c>
      <c r="Q1366" t="str">
        <f>_xll.BDP("663662LS Muni","MUNI_FED_TAX")</f>
        <v>#N/A Requesting Data...</v>
      </c>
      <c r="R1366" t="str">
        <f>_xll.BDP("663662LS Muni","MUNI_MSRB_VOLUME")</f>
        <v>#N/A Requesting Data...</v>
      </c>
      <c r="S1366" t="str">
        <f>_xll.BDP("663662LS Muni","BB_COMPOSITE")</f>
        <v>#N/A Requesting Data...</v>
      </c>
      <c r="T1366" t="str">
        <f>_xll.BDP("663662LS Muni","LQA_LIQUIDITY_SCORE")</f>
        <v>#N/A Requesting Data...</v>
      </c>
    </row>
    <row r="1367" spans="1:20" x14ac:dyDescent="0.25">
      <c r="A1367" t="str">
        <f>_xll.BDP("663662LT Muni","ID_CUSIP")</f>
        <v>#N/A Requesting Data...</v>
      </c>
      <c r="B1367" t="s">
        <v>439</v>
      </c>
      <c r="C1367" t="str">
        <f>_xll.BDP("663662LT Muni","INSURANCE_STATUS")</f>
        <v>#N/A Requesting Data...</v>
      </c>
      <c r="D1367" t="str">
        <f>_xll.BDP("663662LT Muni","STATE_CODE")</f>
        <v>#N/A Requesting Data...</v>
      </c>
      <c r="E1367" t="str">
        <f>_xll.BDP("663662LT Muni","COUNTY_LOCATION_ISSUER")</f>
        <v>#N/A Requesting Data...</v>
      </c>
      <c r="F1367" t="str">
        <f>_xll.BDP("663662LT Muni","DUR_ADJ_MID")</f>
        <v>#N/A Requesting Data...</v>
      </c>
      <c r="G1367" t="str">
        <f>_xll.BDP("663662LT Muni","SPREAD_AT_ISSUANCE_TO_WORST")</f>
        <v>#N/A Requesting Data...</v>
      </c>
      <c r="H1367" t="str">
        <f>_xll.BDP("663662LT Muni","ISSUE_DT")</f>
        <v>#N/A Requesting Data...</v>
      </c>
      <c r="I1367" t="str">
        <f>_xll.BDS("663662LT Muni","MUNI_PURPOSE_SCHED", "aggregate=y")</f>
        <v>#N/A Review</v>
      </c>
      <c r="J1367" t="str">
        <f>_xll.BDP("663662LT Muni","CPN")</f>
        <v>#N/A Requesting Data...</v>
      </c>
      <c r="K1367" t="str">
        <f>_xll.BDP("663662LT Muni","MATURITY")</f>
        <v>#N/A Requesting Data...</v>
      </c>
      <c r="L1367">
        <v>210000</v>
      </c>
      <c r="M1367" t="str">
        <f>_xll.BDP("663662LT Muni","YIELD_ON_ISSUE_DATE")</f>
        <v>#N/A Requesting Data...</v>
      </c>
      <c r="N1367" t="str">
        <f>_xll.BDP("663662LT Muni","YTW_SPREAD_TO_MATURITY_AT_ISSU")</f>
        <v>#N/A Requesting Data...</v>
      </c>
      <c r="O1367" t="str">
        <f>_xll.BDP("663662LT Muni","BVAL_MID_YTM")</f>
        <v>#N/A Requesting Data...</v>
      </c>
      <c r="P1367" t="str">
        <f>_xll.BDP("663662LT Muni","MUNI_TAX_PROV")</f>
        <v>#N/A Requesting Data...</v>
      </c>
      <c r="Q1367" t="str">
        <f>_xll.BDP("663662LT Muni","MUNI_FED_TAX")</f>
        <v>#N/A Requesting Data...</v>
      </c>
      <c r="R1367" t="str">
        <f>_xll.BDP("663662LT Muni","MUNI_MSRB_VOLUME")</f>
        <v>#N/A Requesting Data...</v>
      </c>
      <c r="S1367" t="str">
        <f>_xll.BDP("663662LT Muni","BB_COMPOSITE")</f>
        <v>#N/A Requesting Data...</v>
      </c>
      <c r="T1367" t="str">
        <f>_xll.BDP("663662LT Muni","LQA_LIQUIDITY_SCORE")</f>
        <v>#N/A Requesting Data...</v>
      </c>
    </row>
    <row r="1368" spans="1:20" x14ac:dyDescent="0.25">
      <c r="A1368" t="str">
        <f>_xll.BDP("663662PX Muni","ID_CUSIP")</f>
        <v>#N/A Requesting Data...</v>
      </c>
      <c r="B1368" t="s">
        <v>439</v>
      </c>
      <c r="C1368" t="str">
        <f>_xll.BDP("663662PX Muni","INSURANCE_STATUS")</f>
        <v>#N/A Requesting Data...</v>
      </c>
      <c r="D1368" t="str">
        <f>_xll.BDP("663662PX Muni","STATE_CODE")</f>
        <v>#N/A Requesting Data...</v>
      </c>
      <c r="E1368" t="str">
        <f>_xll.BDP("663662PX Muni","COUNTY_LOCATION_ISSUER")</f>
        <v>#N/A Requesting Data...</v>
      </c>
      <c r="F1368" t="str">
        <f>_xll.BDP("663662PX Muni","DUR_ADJ_MID")</f>
        <v>#N/A Requesting Data...</v>
      </c>
      <c r="G1368" t="str">
        <f>_xll.BDP("663662PX Muni","SPREAD_AT_ISSUANCE_TO_WORST")</f>
        <v>#N/A Requesting Data...</v>
      </c>
      <c r="H1368" t="str">
        <f>_xll.BDP("663662PX Muni","ISSUE_DT")</f>
        <v>#N/A Requesting Data...</v>
      </c>
      <c r="I1368" t="str">
        <f>_xll.BDS("663662PX Muni","MUNI_PURPOSE_SCHED", "aggregate=y")</f>
        <v>#N/A Review</v>
      </c>
      <c r="J1368" t="str">
        <f>_xll.BDP("663662PX Muni","CPN")</f>
        <v>#N/A Requesting Data...</v>
      </c>
      <c r="K1368" t="str">
        <f>_xll.BDP("663662PX Muni","MATURITY")</f>
        <v>#N/A Requesting Data...</v>
      </c>
      <c r="L1368">
        <v>340000</v>
      </c>
      <c r="M1368" t="str">
        <f>_xll.BDP("663662PX Muni","YIELD_ON_ISSUE_DATE")</f>
        <v>#N/A Requesting Data...</v>
      </c>
      <c r="N1368" t="str">
        <f>_xll.BDP("663662PX Muni","YTW_SPREAD_TO_MATURITY_AT_ISSU")</f>
        <v>#N/A Requesting Data...</v>
      </c>
      <c r="O1368" t="str">
        <f>_xll.BDP("663662PX Muni","BVAL_MID_YTM")</f>
        <v>#N/A Requesting Data...</v>
      </c>
      <c r="P1368" t="str">
        <f>_xll.BDP("663662PX Muni","MUNI_TAX_PROV")</f>
        <v>#N/A Requesting Data...</v>
      </c>
      <c r="Q1368" t="str">
        <f>_xll.BDP("663662PX Muni","MUNI_FED_TAX")</f>
        <v>#N/A Requesting Data...</v>
      </c>
      <c r="R1368" t="str">
        <f>_xll.BDP("663662PX Muni","MUNI_MSRB_VOLUME")</f>
        <v>#N/A Requesting Data...</v>
      </c>
      <c r="S1368" t="str">
        <f>_xll.BDP("663662PX Muni","BB_COMPOSITE")</f>
        <v>#N/A Requesting Data...</v>
      </c>
      <c r="T1368" t="str">
        <f>_xll.BDP("663662PX Muni","LQA_LIQUIDITY_SCORE")</f>
        <v>#N/A Requesting Data...</v>
      </c>
    </row>
    <row r="1369" spans="1:20" x14ac:dyDescent="0.25">
      <c r="A1369" t="str">
        <f>_xll.BDP("663662PY Muni","ID_CUSIP")</f>
        <v>#N/A Requesting Data...</v>
      </c>
      <c r="B1369" t="s">
        <v>439</v>
      </c>
      <c r="C1369" t="str">
        <f>_xll.BDP("663662PY Muni","INSURANCE_STATUS")</f>
        <v>#N/A Requesting Data...</v>
      </c>
      <c r="D1369" t="str">
        <f>_xll.BDP("663662PY Muni","STATE_CODE")</f>
        <v>#N/A Requesting Data...</v>
      </c>
      <c r="E1369" t="str">
        <f>_xll.BDP("663662PY Muni","COUNTY_LOCATION_ISSUER")</f>
        <v>#N/A Requesting Data...</v>
      </c>
      <c r="F1369" t="str">
        <f>_xll.BDP("663662PY Muni","DUR_ADJ_MID")</f>
        <v>#N/A Requesting Data...</v>
      </c>
      <c r="G1369" t="str">
        <f>_xll.BDP("663662PY Muni","SPREAD_AT_ISSUANCE_TO_WORST")</f>
        <v>#N/A Requesting Data...</v>
      </c>
      <c r="H1369" t="str">
        <f>_xll.BDP("663662PY Muni","ISSUE_DT")</f>
        <v>#N/A Requesting Data...</v>
      </c>
      <c r="I1369" t="str">
        <f>_xll.BDS("663662PY Muni","MUNI_PURPOSE_SCHED", "aggregate=y")</f>
        <v>#N/A Review</v>
      </c>
      <c r="J1369" t="str">
        <f>_xll.BDP("663662PY Muni","CPN")</f>
        <v>#N/A Requesting Data...</v>
      </c>
      <c r="K1369" t="str">
        <f>_xll.BDP("663662PY Muni","MATURITY")</f>
        <v>#N/A Requesting Data...</v>
      </c>
      <c r="L1369">
        <v>350000</v>
      </c>
      <c r="M1369" t="str">
        <f>_xll.BDP("663662PY Muni","YIELD_ON_ISSUE_DATE")</f>
        <v>#N/A Requesting Data...</v>
      </c>
      <c r="N1369" t="str">
        <f>_xll.BDP("663662PY Muni","YTW_SPREAD_TO_MATURITY_AT_ISSU")</f>
        <v>#N/A Requesting Data...</v>
      </c>
      <c r="O1369" t="str">
        <f>_xll.BDP("663662PY Muni","BVAL_MID_YTM")</f>
        <v>#N/A Requesting Data...</v>
      </c>
      <c r="P1369" t="str">
        <f>_xll.BDP("663662PY Muni","MUNI_TAX_PROV")</f>
        <v>#N/A Requesting Data...</v>
      </c>
      <c r="Q1369" t="str">
        <f>_xll.BDP("663662PY Muni","MUNI_FED_TAX")</f>
        <v>#N/A Requesting Data...</v>
      </c>
      <c r="R1369" t="str">
        <f>_xll.BDP("663662PY Muni","MUNI_MSRB_VOLUME")</f>
        <v>#N/A Requesting Data...</v>
      </c>
      <c r="S1369" t="str">
        <f>_xll.BDP("663662PY Muni","BB_COMPOSITE")</f>
        <v>#N/A Requesting Data...</v>
      </c>
      <c r="T1369" t="str">
        <f>_xll.BDP("663662PY Muni","LQA_LIQUIDITY_SCORE")</f>
        <v>#N/A Requesting Data...</v>
      </c>
    </row>
    <row r="1370" spans="1:20" x14ac:dyDescent="0.25">
      <c r="A1370" t="str">
        <f>_xll.BDP("663662PZ Muni","ID_CUSIP")</f>
        <v>#N/A Requesting Data...</v>
      </c>
      <c r="B1370" t="s">
        <v>439</v>
      </c>
      <c r="C1370" t="str">
        <f>_xll.BDP("663662PZ Muni","INSURANCE_STATUS")</f>
        <v>#N/A Requesting Data...</v>
      </c>
      <c r="D1370" t="str">
        <f>_xll.BDP("663662PZ Muni","STATE_CODE")</f>
        <v>#N/A Requesting Data...</v>
      </c>
      <c r="E1370" t="str">
        <f>_xll.BDP("663662PZ Muni","COUNTY_LOCATION_ISSUER")</f>
        <v>#N/A Requesting Data...</v>
      </c>
      <c r="F1370" t="str">
        <f>_xll.BDP("663662PZ Muni","DUR_ADJ_MID")</f>
        <v>#N/A Requesting Data...</v>
      </c>
      <c r="G1370" t="str">
        <f>_xll.BDP("663662PZ Muni","SPREAD_AT_ISSUANCE_TO_WORST")</f>
        <v>#N/A Requesting Data...</v>
      </c>
      <c r="H1370" t="str">
        <f>_xll.BDP("663662PZ Muni","ISSUE_DT")</f>
        <v>#N/A Requesting Data...</v>
      </c>
      <c r="I1370" t="str">
        <f>_xll.BDS("663662PZ Muni","MUNI_PURPOSE_SCHED", "aggregate=y")</f>
        <v>#N/A Review</v>
      </c>
      <c r="J1370" t="str">
        <f>_xll.BDP("663662PZ Muni","CPN")</f>
        <v>#N/A Requesting Data...</v>
      </c>
      <c r="K1370" t="str">
        <f>_xll.BDP("663662PZ Muni","MATURITY")</f>
        <v>#N/A Requesting Data...</v>
      </c>
      <c r="L1370">
        <v>360000</v>
      </c>
      <c r="M1370" t="str">
        <f>_xll.BDP("663662PZ Muni","YIELD_ON_ISSUE_DATE")</f>
        <v>#N/A Requesting Data...</v>
      </c>
      <c r="N1370" t="str">
        <f>_xll.BDP("663662PZ Muni","YTW_SPREAD_TO_MATURITY_AT_ISSU")</f>
        <v>#N/A Requesting Data...</v>
      </c>
      <c r="O1370" t="str">
        <f>_xll.BDP("663662PZ Muni","BVAL_MID_YTM")</f>
        <v>#N/A Requesting Data...</v>
      </c>
      <c r="P1370" t="str">
        <f>_xll.BDP("663662PZ Muni","MUNI_TAX_PROV")</f>
        <v>#N/A Requesting Data...</v>
      </c>
      <c r="Q1370" t="str">
        <f>_xll.BDP("663662PZ Muni","MUNI_FED_TAX")</f>
        <v>#N/A Requesting Data...</v>
      </c>
      <c r="R1370" t="str">
        <f>_xll.BDP("663662PZ Muni","MUNI_MSRB_VOLUME")</f>
        <v>#N/A Requesting Data...</v>
      </c>
      <c r="S1370" t="str">
        <f>_xll.BDP("663662PZ Muni","BB_COMPOSITE")</f>
        <v>#N/A Requesting Data...</v>
      </c>
      <c r="T1370" t="str">
        <f>_xll.BDP("663662PZ Muni","LQA_LIQUIDITY_SCORE")</f>
        <v>#N/A Requesting Data...</v>
      </c>
    </row>
    <row r="1371" spans="1:20" x14ac:dyDescent="0.25">
      <c r="A1371" t="str">
        <f>_xll.BDP("786795CG Muni","ID_CUSIP")</f>
        <v>#N/A Requesting Data...</v>
      </c>
      <c r="B1371" t="s">
        <v>143</v>
      </c>
      <c r="C1371" t="str">
        <f>_xll.BDP("786795CG Muni","INSURANCE_STATUS")</f>
        <v>#N/A Requesting Data...</v>
      </c>
      <c r="D1371" t="str">
        <f>_xll.BDP("786795CG Muni","STATE_CODE")</f>
        <v>#N/A Requesting Data...</v>
      </c>
      <c r="E1371" t="str">
        <f>_xll.BDP("786795CG Muni","COUNTY_LOCATION_ISSUER")</f>
        <v>#N/A Requesting Data...</v>
      </c>
      <c r="F1371" t="str">
        <f>_xll.BDP("786795CG Muni","DUR_ADJ_MID")</f>
        <v>#N/A Requesting Data...</v>
      </c>
      <c r="G1371" t="str">
        <f>_xll.BDP("786795CG Muni","SPREAD_AT_ISSUANCE_TO_WORST")</f>
        <v>#N/A Requesting Data...</v>
      </c>
      <c r="H1371" t="str">
        <f>_xll.BDP("786795CG Muni","ISSUE_DT")</f>
        <v>#N/A Requesting Data...</v>
      </c>
      <c r="I1371" t="str">
        <f>_xll.BDS("786795CG Muni","MUNI_PURPOSE_SCHED", "aggregate=y")</f>
        <v>#N/A Review</v>
      </c>
      <c r="J1371" t="str">
        <f>_xll.BDP("786795CG Muni","CPN")</f>
        <v>#N/A Requesting Data...</v>
      </c>
      <c r="K1371" t="str">
        <f>_xll.BDP("786795CG Muni","MATURITY")</f>
        <v>#N/A Requesting Data...</v>
      </c>
      <c r="L1371">
        <v>1360000</v>
      </c>
      <c r="M1371" t="str">
        <f>_xll.BDP("786795CG Muni","YIELD_ON_ISSUE_DATE")</f>
        <v>#N/A Requesting Data...</v>
      </c>
      <c r="N1371" t="str">
        <f>_xll.BDP("786795CG Muni","YTW_SPREAD_TO_MATURITY_AT_ISSU")</f>
        <v>#N/A Requesting Data...</v>
      </c>
      <c r="O1371" t="str">
        <f>_xll.BDP("786795CG Muni","BVAL_MID_YTM")</f>
        <v>#N/A Requesting Data...</v>
      </c>
      <c r="P1371" t="str">
        <f>_xll.BDP("786795CG Muni","MUNI_TAX_PROV")</f>
        <v>#N/A Requesting Data...</v>
      </c>
      <c r="Q1371" t="str">
        <f>_xll.BDP("786795CG Muni","MUNI_FED_TAX")</f>
        <v>#N/A Requesting Data...</v>
      </c>
      <c r="R1371" t="str">
        <f>_xll.BDP("786795CG Muni","MUNI_MSRB_VOLUME")</f>
        <v>#N/A Requesting Data...</v>
      </c>
      <c r="S1371" t="str">
        <f>_xll.BDP("786795CG Muni","BB_COMPOSITE")</f>
        <v>#N/A Requesting Data...</v>
      </c>
      <c r="T1371" t="str">
        <f>_xll.BDP("786795CG Muni","LQA_LIQUIDITY_SCORE")</f>
        <v>#N/A Requesting Data...</v>
      </c>
    </row>
    <row r="1372" spans="1:20" x14ac:dyDescent="0.25">
      <c r="A1372" t="str">
        <f>_xll.BDP("786795CH Muni","ID_CUSIP")</f>
        <v>#N/A Requesting Data...</v>
      </c>
      <c r="B1372" t="s">
        <v>143</v>
      </c>
      <c r="C1372" t="str">
        <f>_xll.BDP("786795CH Muni","INSURANCE_STATUS")</f>
        <v>#N/A Requesting Data...</v>
      </c>
      <c r="D1372" t="str">
        <f>_xll.BDP("786795CH Muni","STATE_CODE")</f>
        <v>#N/A Requesting Data...</v>
      </c>
      <c r="E1372" t="str">
        <f>_xll.BDP("786795CH Muni","COUNTY_LOCATION_ISSUER")</f>
        <v>#N/A Requesting Data...</v>
      </c>
      <c r="F1372" t="str">
        <f>_xll.BDP("786795CH Muni","DUR_ADJ_MID")</f>
        <v>#N/A Requesting Data...</v>
      </c>
      <c r="G1372" t="str">
        <f>_xll.BDP("786795CH Muni","SPREAD_AT_ISSUANCE_TO_WORST")</f>
        <v>#N/A Requesting Data...</v>
      </c>
      <c r="H1372" t="str">
        <f>_xll.BDP("786795CH Muni","ISSUE_DT")</f>
        <v>#N/A Requesting Data...</v>
      </c>
      <c r="I1372" t="str">
        <f>_xll.BDS("786795CH Muni","MUNI_PURPOSE_SCHED", "aggregate=y")</f>
        <v>#N/A Review</v>
      </c>
      <c r="J1372" t="str">
        <f>_xll.BDP("786795CH Muni","CPN")</f>
        <v>#N/A Requesting Data...</v>
      </c>
      <c r="K1372" t="str">
        <f>_xll.BDP("786795CH Muni","MATURITY")</f>
        <v>#N/A Requesting Data...</v>
      </c>
      <c r="L1372">
        <v>1380000</v>
      </c>
      <c r="M1372" t="str">
        <f>_xll.BDP("786795CH Muni","YIELD_ON_ISSUE_DATE")</f>
        <v>#N/A Requesting Data...</v>
      </c>
      <c r="N1372" t="str">
        <f>_xll.BDP("786795CH Muni","YTW_SPREAD_TO_MATURITY_AT_ISSU")</f>
        <v>#N/A Requesting Data...</v>
      </c>
      <c r="O1372" t="str">
        <f>_xll.BDP("786795CH Muni","BVAL_MID_YTM")</f>
        <v>#N/A Requesting Data...</v>
      </c>
      <c r="P1372" t="str">
        <f>_xll.BDP("786795CH Muni","MUNI_TAX_PROV")</f>
        <v>#N/A Requesting Data...</v>
      </c>
      <c r="Q1372" t="str">
        <f>_xll.BDP("786795CH Muni","MUNI_FED_TAX")</f>
        <v>#N/A Requesting Data...</v>
      </c>
      <c r="R1372" t="str">
        <f>_xll.BDP("786795CH Muni","MUNI_MSRB_VOLUME")</f>
        <v>#N/A Requesting Data...</v>
      </c>
      <c r="S1372" t="str">
        <f>_xll.BDP("786795CH Muni","BB_COMPOSITE")</f>
        <v>#N/A Requesting Data...</v>
      </c>
      <c r="T1372" t="str">
        <f>_xll.BDP("786795CH Muni","LQA_LIQUIDITY_SCORE")</f>
        <v>#N/A Requesting Data...</v>
      </c>
    </row>
    <row r="1373" spans="1:20" x14ac:dyDescent="0.25">
      <c r="A1373" t="str">
        <f>_xll.BDP("786795CK Muni","ID_CUSIP")</f>
        <v>#N/A Requesting Data...</v>
      </c>
      <c r="B1373" t="s">
        <v>143</v>
      </c>
      <c r="C1373" t="str">
        <f>_xll.BDP("786795CK Muni","INSURANCE_STATUS")</f>
        <v>#N/A Requesting Data...</v>
      </c>
      <c r="D1373" t="str">
        <f>_xll.BDP("786795CK Muni","STATE_CODE")</f>
        <v>#N/A Requesting Data...</v>
      </c>
      <c r="E1373" t="str">
        <f>_xll.BDP("786795CK Muni","COUNTY_LOCATION_ISSUER")</f>
        <v>#N/A Requesting Data...</v>
      </c>
      <c r="F1373" t="str">
        <f>_xll.BDP("786795CK Muni","DUR_ADJ_MID")</f>
        <v>#N/A Requesting Data...</v>
      </c>
      <c r="G1373" t="str">
        <f>_xll.BDP("786795CK Muni","SPREAD_AT_ISSUANCE_TO_WORST")</f>
        <v>#N/A Requesting Data...</v>
      </c>
      <c r="H1373" t="str">
        <f>_xll.BDP("786795CK Muni","ISSUE_DT")</f>
        <v>#N/A Requesting Data...</v>
      </c>
      <c r="I1373" t="str">
        <f>_xll.BDS("786795CK Muni","MUNI_PURPOSE_SCHED", "aggregate=y")</f>
        <v>#N/A Review</v>
      </c>
      <c r="J1373" t="str">
        <f>_xll.BDP("786795CK Muni","CPN")</f>
        <v>#N/A Requesting Data...</v>
      </c>
      <c r="K1373" t="str">
        <f>_xll.BDP("786795CK Muni","MATURITY")</f>
        <v>#N/A Requesting Data...</v>
      </c>
      <c r="L1373">
        <v>1530000</v>
      </c>
      <c r="M1373" t="str">
        <f>_xll.BDP("786795CK Muni","YIELD_ON_ISSUE_DATE")</f>
        <v>#N/A Requesting Data...</v>
      </c>
      <c r="N1373" t="str">
        <f>_xll.BDP("786795CK Muni","YTW_SPREAD_TO_MATURITY_AT_ISSU")</f>
        <v>#N/A Requesting Data...</v>
      </c>
      <c r="O1373" t="str">
        <f>_xll.BDP("786795CK Muni","BVAL_MID_YTM")</f>
        <v>#N/A Requesting Data...</v>
      </c>
      <c r="P1373" t="str">
        <f>_xll.BDP("786795CK Muni","MUNI_TAX_PROV")</f>
        <v>#N/A Requesting Data...</v>
      </c>
      <c r="Q1373" t="str">
        <f>_xll.BDP("786795CK Muni","MUNI_FED_TAX")</f>
        <v>#N/A Requesting Data...</v>
      </c>
      <c r="R1373" t="str">
        <f>_xll.BDP("786795CK Muni","MUNI_MSRB_VOLUME")</f>
        <v>#N/A Requesting Data...</v>
      </c>
      <c r="S1373" t="str">
        <f>_xll.BDP("786795CK Muni","BB_COMPOSITE")</f>
        <v>#N/A Requesting Data...</v>
      </c>
      <c r="T1373" t="str">
        <f>_xll.BDP("786795CK Muni","LQA_LIQUIDITY_SCORE")</f>
        <v>#N/A Requesting Data...</v>
      </c>
    </row>
    <row r="1374" spans="1:20" x14ac:dyDescent="0.25">
      <c r="A1374" t="str">
        <f>_xll.BDP("787260M2 Muni","ID_CUSIP")</f>
        <v>#N/A Requesting Data...</v>
      </c>
      <c r="B1374" t="s">
        <v>440</v>
      </c>
      <c r="C1374" t="str">
        <f>_xll.BDP("787260M2 Muni","INSURANCE_STATUS")</f>
        <v>#N/A Requesting Data...</v>
      </c>
      <c r="D1374" t="str">
        <f>_xll.BDP("787260M2 Muni","STATE_CODE")</f>
        <v>#N/A Requesting Data...</v>
      </c>
      <c r="E1374" t="str">
        <f>_xll.BDP("787260M2 Muni","COUNTY_LOCATION_ISSUER")</f>
        <v>#N/A Requesting Data...</v>
      </c>
      <c r="F1374" t="str">
        <f>_xll.BDP("787260M2 Muni","DUR_ADJ_MID")</f>
        <v>#N/A Requesting Data...</v>
      </c>
      <c r="G1374" t="str">
        <f>_xll.BDP("787260M2 Muni","SPREAD_AT_ISSUANCE_TO_WORST")</f>
        <v>#N/A Requesting Data...</v>
      </c>
      <c r="H1374" t="str">
        <f>_xll.BDP("787260M2 Muni","ISSUE_DT")</f>
        <v>#N/A Requesting Data...</v>
      </c>
      <c r="I1374" t="str">
        <f>_xll.BDS("787260M2 Muni","MUNI_PURPOSE_SCHED", "aggregate=y")</f>
        <v>#N/A Review</v>
      </c>
      <c r="J1374" t="str">
        <f>_xll.BDP("787260M2 Muni","CPN")</f>
        <v>#N/A Requesting Data...</v>
      </c>
      <c r="K1374" t="str">
        <f>_xll.BDP("787260M2 Muni","MATURITY")</f>
        <v>#N/A Requesting Data...</v>
      </c>
      <c r="L1374">
        <v>90000</v>
      </c>
      <c r="M1374" t="str">
        <f>_xll.BDP("787260M2 Muni","YIELD_ON_ISSUE_DATE")</f>
        <v>#N/A Requesting Data...</v>
      </c>
      <c r="N1374" t="str">
        <f>_xll.BDP("787260M2 Muni","YTW_SPREAD_TO_MATURITY_AT_ISSU")</f>
        <v>#N/A Requesting Data...</v>
      </c>
      <c r="O1374" t="str">
        <f>_xll.BDP("787260M2 Muni","BVAL_MID_YTM")</f>
        <v>#N/A Requesting Data...</v>
      </c>
      <c r="P1374" t="str">
        <f>_xll.BDP("787260M2 Muni","MUNI_TAX_PROV")</f>
        <v>#N/A Requesting Data...</v>
      </c>
      <c r="Q1374" t="str">
        <f>_xll.BDP("787260M2 Muni","MUNI_FED_TAX")</f>
        <v>#N/A Requesting Data...</v>
      </c>
      <c r="R1374" t="str">
        <f>_xll.BDP("787260M2 Muni","MUNI_MSRB_VOLUME")</f>
        <v>#N/A Requesting Data...</v>
      </c>
      <c r="S1374" t="str">
        <f>_xll.BDP("787260M2 Muni","BB_COMPOSITE")</f>
        <v>#N/A Requesting Data...</v>
      </c>
      <c r="T1374" t="str">
        <f>_xll.BDP("787260M2 Muni","LQA_LIQUIDITY_SCORE")</f>
        <v>#N/A Requesting Data...</v>
      </c>
    </row>
    <row r="1375" spans="1:20" x14ac:dyDescent="0.25">
      <c r="A1375" t="str">
        <f>_xll.BDP("787260M3 Muni","ID_CUSIP")</f>
        <v>#N/A Requesting Data...</v>
      </c>
      <c r="B1375" t="s">
        <v>440</v>
      </c>
      <c r="C1375" t="str">
        <f>_xll.BDP("787260M3 Muni","INSURANCE_STATUS")</f>
        <v>#N/A Requesting Data...</v>
      </c>
      <c r="D1375" t="str">
        <f>_xll.BDP("787260M3 Muni","STATE_CODE")</f>
        <v>#N/A Requesting Data...</v>
      </c>
      <c r="E1375" t="str">
        <f>_xll.BDP("787260M3 Muni","COUNTY_LOCATION_ISSUER")</f>
        <v>#N/A Requesting Data...</v>
      </c>
      <c r="F1375" t="str">
        <f>_xll.BDP("787260M3 Muni","DUR_ADJ_MID")</f>
        <v>#N/A Requesting Data...</v>
      </c>
      <c r="G1375" t="str">
        <f>_xll.BDP("787260M3 Muni","SPREAD_AT_ISSUANCE_TO_WORST")</f>
        <v>#N/A Requesting Data...</v>
      </c>
      <c r="H1375" t="str">
        <f>_xll.BDP("787260M3 Muni","ISSUE_DT")</f>
        <v>#N/A Requesting Data...</v>
      </c>
      <c r="I1375" t="str">
        <f>_xll.BDS("787260M3 Muni","MUNI_PURPOSE_SCHED", "aggregate=y")</f>
        <v>#N/A Review</v>
      </c>
      <c r="J1375" t="str">
        <f>_xll.BDP("787260M3 Muni","CPN")</f>
        <v>#N/A Requesting Data...</v>
      </c>
      <c r="K1375" t="str">
        <f>_xll.BDP("787260M3 Muni","MATURITY")</f>
        <v>#N/A Requesting Data...</v>
      </c>
      <c r="L1375">
        <v>95000</v>
      </c>
      <c r="M1375" t="str">
        <f>_xll.BDP("787260M3 Muni","YIELD_ON_ISSUE_DATE")</f>
        <v>#N/A Requesting Data...</v>
      </c>
      <c r="N1375" t="str">
        <f>_xll.BDP("787260M3 Muni","YTW_SPREAD_TO_MATURITY_AT_ISSU")</f>
        <v>#N/A Requesting Data...</v>
      </c>
      <c r="O1375" t="str">
        <f>_xll.BDP("787260M3 Muni","BVAL_MID_YTM")</f>
        <v>#N/A Requesting Data...</v>
      </c>
      <c r="P1375" t="str">
        <f>_xll.BDP("787260M3 Muni","MUNI_TAX_PROV")</f>
        <v>#N/A Requesting Data...</v>
      </c>
      <c r="Q1375" t="str">
        <f>_xll.BDP("787260M3 Muni","MUNI_FED_TAX")</f>
        <v>#N/A Requesting Data...</v>
      </c>
      <c r="R1375" t="str">
        <f>_xll.BDP("787260M3 Muni","MUNI_MSRB_VOLUME")</f>
        <v>#N/A Requesting Data...</v>
      </c>
      <c r="S1375" t="str">
        <f>_xll.BDP("787260M3 Muni","BB_COMPOSITE")</f>
        <v>#N/A Requesting Data...</v>
      </c>
      <c r="T1375" t="str">
        <f>_xll.BDP("787260M3 Muni","LQA_LIQUIDITY_SCORE")</f>
        <v>#N/A Requesting Data...</v>
      </c>
    </row>
    <row r="1376" spans="1:20" x14ac:dyDescent="0.25">
      <c r="A1376" t="str">
        <f>_xll.BDP("78916B2N Muni","ID_CUSIP")</f>
        <v>#N/A Requesting Data...</v>
      </c>
      <c r="B1376" t="s">
        <v>441</v>
      </c>
      <c r="C1376" t="str">
        <f>_xll.BDP("78916B2N Muni","INSURANCE_STATUS")</f>
        <v>#N/A Requesting Data...</v>
      </c>
      <c r="D1376" t="str">
        <f>_xll.BDP("78916B2N Muni","STATE_CODE")</f>
        <v>#N/A Requesting Data...</v>
      </c>
      <c r="E1376" t="str">
        <f>_xll.BDP("78916B2N Muni","COUNTY_LOCATION_ISSUER")</f>
        <v>#N/A Requesting Data...</v>
      </c>
      <c r="F1376" t="str">
        <f>_xll.BDP("78916B2N Muni","DUR_ADJ_MID")</f>
        <v>#N/A Requesting Data...</v>
      </c>
      <c r="G1376" t="str">
        <f>_xll.BDP("78916B2N Muni","SPREAD_AT_ISSUANCE_TO_WORST")</f>
        <v>#N/A Requesting Data...</v>
      </c>
      <c r="H1376" t="str">
        <f>_xll.BDP("78916B2N Muni","ISSUE_DT")</f>
        <v>#N/A Requesting Data...</v>
      </c>
      <c r="I1376" t="str">
        <f>_xll.BDS("78916B2N Muni","MUNI_PURPOSE_SCHED", "aggregate=y")</f>
        <v>#N/A Review</v>
      </c>
      <c r="J1376" t="str">
        <f>_xll.BDP("78916B2N Muni","CPN")</f>
        <v>#N/A Requesting Data...</v>
      </c>
      <c r="K1376" t="str">
        <f>_xll.BDP("78916B2N Muni","MATURITY")</f>
        <v>#N/A Requesting Data...</v>
      </c>
      <c r="L1376">
        <v>625000</v>
      </c>
      <c r="M1376" t="str">
        <f>_xll.BDP("78916B2N Muni","YIELD_ON_ISSUE_DATE")</f>
        <v>#N/A Requesting Data...</v>
      </c>
      <c r="N1376" t="str">
        <f>_xll.BDP("78916B2N Muni","YTW_SPREAD_TO_MATURITY_AT_ISSU")</f>
        <v>#N/A Requesting Data...</v>
      </c>
      <c r="O1376" t="str">
        <f>_xll.BDP("78916B2N Muni","BVAL_MID_YTM")</f>
        <v>#N/A Requesting Data...</v>
      </c>
      <c r="P1376" t="str">
        <f>_xll.BDP("78916B2N Muni","MUNI_TAX_PROV")</f>
        <v>#N/A Requesting Data...</v>
      </c>
      <c r="Q1376" t="str">
        <f>_xll.BDP("78916B2N Muni","MUNI_FED_TAX")</f>
        <v>#N/A Requesting Data...</v>
      </c>
      <c r="R1376" t="str">
        <f>_xll.BDP("78916B2N Muni","MUNI_MSRB_VOLUME")</f>
        <v>#N/A Requesting Data...</v>
      </c>
      <c r="S1376" t="str">
        <f>_xll.BDP("78916B2N Muni","BB_COMPOSITE")</f>
        <v>#N/A Requesting Data...</v>
      </c>
      <c r="T1376" t="str">
        <f>_xll.BDP("78916B2N Muni","LQA_LIQUIDITY_SCORE")</f>
        <v>#N/A Requesting Data...</v>
      </c>
    </row>
    <row r="1377" spans="1:20" x14ac:dyDescent="0.25">
      <c r="A1377" t="str">
        <f>_xll.BDP("78916B2P Muni","ID_CUSIP")</f>
        <v>#N/A Requesting Data...</v>
      </c>
      <c r="B1377" t="s">
        <v>441</v>
      </c>
      <c r="C1377" t="str">
        <f>_xll.BDP("78916B2P Muni","INSURANCE_STATUS")</f>
        <v>#N/A Requesting Data...</v>
      </c>
      <c r="D1377" t="str">
        <f>_xll.BDP("78916B2P Muni","STATE_CODE")</f>
        <v>#N/A Requesting Data...</v>
      </c>
      <c r="E1377" t="str">
        <f>_xll.BDP("78916B2P Muni","COUNTY_LOCATION_ISSUER")</f>
        <v>#N/A Requesting Data...</v>
      </c>
      <c r="F1377" t="str">
        <f>_xll.BDP("78916B2P Muni","DUR_ADJ_MID")</f>
        <v>#N/A Requesting Data...</v>
      </c>
      <c r="G1377" t="str">
        <f>_xll.BDP("78916B2P Muni","SPREAD_AT_ISSUANCE_TO_WORST")</f>
        <v>#N/A Requesting Data...</v>
      </c>
      <c r="H1377" t="str">
        <f>_xll.BDP("78916B2P Muni","ISSUE_DT")</f>
        <v>#N/A Requesting Data...</v>
      </c>
      <c r="I1377" t="str">
        <f>_xll.BDS("78916B2P Muni","MUNI_PURPOSE_SCHED", "aggregate=y")</f>
        <v>#N/A Review</v>
      </c>
      <c r="J1377" t="str">
        <f>_xll.BDP("78916B2P Muni","CPN")</f>
        <v>#N/A Requesting Data...</v>
      </c>
      <c r="K1377" t="str">
        <f>_xll.BDP("78916B2P Muni","MATURITY")</f>
        <v>#N/A Requesting Data...</v>
      </c>
      <c r="L1377">
        <v>645000</v>
      </c>
      <c r="M1377" t="str">
        <f>_xll.BDP("78916B2P Muni","YIELD_ON_ISSUE_DATE")</f>
        <v>#N/A Requesting Data...</v>
      </c>
      <c r="N1377" t="str">
        <f>_xll.BDP("78916B2P Muni","YTW_SPREAD_TO_MATURITY_AT_ISSU")</f>
        <v>#N/A Requesting Data...</v>
      </c>
      <c r="O1377" t="str">
        <f>_xll.BDP("78916B2P Muni","BVAL_MID_YTM")</f>
        <v>#N/A Requesting Data...</v>
      </c>
      <c r="P1377" t="str">
        <f>_xll.BDP("78916B2P Muni","MUNI_TAX_PROV")</f>
        <v>#N/A Requesting Data...</v>
      </c>
      <c r="Q1377" t="str">
        <f>_xll.BDP("78916B2P Muni","MUNI_FED_TAX")</f>
        <v>#N/A Requesting Data...</v>
      </c>
      <c r="R1377" t="str">
        <f>_xll.BDP("78916B2P Muni","MUNI_MSRB_VOLUME")</f>
        <v>#N/A Requesting Data...</v>
      </c>
      <c r="S1377" t="str">
        <f>_xll.BDP("78916B2P Muni","BB_COMPOSITE")</f>
        <v>#N/A Requesting Data...</v>
      </c>
      <c r="T1377" t="str">
        <f>_xll.BDP("78916B2P Muni","LQA_LIQUIDITY_SCORE")</f>
        <v>#N/A Requesting Data...</v>
      </c>
    </row>
    <row r="1378" spans="1:20" x14ac:dyDescent="0.25">
      <c r="A1378" t="str">
        <f>_xll.BDP("78916B2Q Muni","ID_CUSIP")</f>
        <v>#N/A Requesting Data...</v>
      </c>
      <c r="B1378" t="s">
        <v>441</v>
      </c>
      <c r="C1378" t="str">
        <f>_xll.BDP("78916B2Q Muni","INSURANCE_STATUS")</f>
        <v>#N/A Requesting Data...</v>
      </c>
      <c r="D1378" t="str">
        <f>_xll.BDP("78916B2Q Muni","STATE_CODE")</f>
        <v>#N/A Requesting Data...</v>
      </c>
      <c r="E1378" t="str">
        <f>_xll.BDP("78916B2Q Muni","COUNTY_LOCATION_ISSUER")</f>
        <v>#N/A Requesting Data...</v>
      </c>
      <c r="F1378" t="str">
        <f>_xll.BDP("78916B2Q Muni","DUR_ADJ_MID")</f>
        <v>#N/A Requesting Data...</v>
      </c>
      <c r="G1378" t="str">
        <f>_xll.BDP("78916B2Q Muni","SPREAD_AT_ISSUANCE_TO_WORST")</f>
        <v>#N/A Requesting Data...</v>
      </c>
      <c r="H1378" t="str">
        <f>_xll.BDP("78916B2Q Muni","ISSUE_DT")</f>
        <v>#N/A Requesting Data...</v>
      </c>
      <c r="I1378" t="str">
        <f>_xll.BDS("78916B2Q Muni","MUNI_PURPOSE_SCHED", "aggregate=y")</f>
        <v>#N/A Review</v>
      </c>
      <c r="J1378" t="str">
        <f>_xll.BDP("78916B2Q Muni","CPN")</f>
        <v>#N/A Requesting Data...</v>
      </c>
      <c r="K1378" t="str">
        <f>_xll.BDP("78916B2Q Muni","MATURITY")</f>
        <v>#N/A Requesting Data...</v>
      </c>
      <c r="L1378">
        <v>680000</v>
      </c>
      <c r="M1378" t="str">
        <f>_xll.BDP("78916B2Q Muni","YIELD_ON_ISSUE_DATE")</f>
        <v>#N/A Requesting Data...</v>
      </c>
      <c r="N1378" t="str">
        <f>_xll.BDP("78916B2Q Muni","YTW_SPREAD_TO_MATURITY_AT_ISSU")</f>
        <v>#N/A Requesting Data...</v>
      </c>
      <c r="O1378" t="str">
        <f>_xll.BDP("78916B2Q Muni","BVAL_MID_YTM")</f>
        <v>#N/A Requesting Data...</v>
      </c>
      <c r="P1378" t="str">
        <f>_xll.BDP("78916B2Q Muni","MUNI_TAX_PROV")</f>
        <v>#N/A Requesting Data...</v>
      </c>
      <c r="Q1378" t="str">
        <f>_xll.BDP("78916B2Q Muni","MUNI_FED_TAX")</f>
        <v>#N/A Requesting Data...</v>
      </c>
      <c r="R1378" t="str">
        <f>_xll.BDP("78916B2Q Muni","MUNI_MSRB_VOLUME")</f>
        <v>#N/A Requesting Data...</v>
      </c>
      <c r="S1378" t="str">
        <f>_xll.BDP("78916B2Q Muni","BB_COMPOSITE")</f>
        <v>#N/A Requesting Data...</v>
      </c>
      <c r="T1378" t="str">
        <f>_xll.BDP("78916B2Q Muni","LQA_LIQUIDITY_SCORE")</f>
        <v>#N/A Requesting Data...</v>
      </c>
    </row>
    <row r="1379" spans="1:20" x14ac:dyDescent="0.25">
      <c r="A1379" t="str">
        <f>_xll.BDP("789457KY Muni","ID_CUSIP")</f>
        <v>#N/A Requesting Data...</v>
      </c>
      <c r="B1379" t="s">
        <v>442</v>
      </c>
      <c r="C1379" t="str">
        <f>_xll.BDP("789457KY Muni","INSURANCE_STATUS")</f>
        <v>#N/A Requesting Data...</v>
      </c>
      <c r="D1379" t="str">
        <f>_xll.BDP("789457KY Muni","STATE_CODE")</f>
        <v>#N/A Requesting Data...</v>
      </c>
      <c r="E1379" t="str">
        <f>_xll.BDP("789457KY Muni","COUNTY_LOCATION_ISSUER")</f>
        <v>#N/A Requesting Data...</v>
      </c>
      <c r="F1379" t="str">
        <f>_xll.BDP("789457KY Muni","DUR_ADJ_MID")</f>
        <v>#N/A Requesting Data...</v>
      </c>
      <c r="G1379" t="str">
        <f>_xll.BDP("789457KY Muni","SPREAD_AT_ISSUANCE_TO_WORST")</f>
        <v>#N/A Requesting Data...</v>
      </c>
      <c r="H1379" t="str">
        <f>_xll.BDP("789457KY Muni","ISSUE_DT")</f>
        <v>#N/A Requesting Data...</v>
      </c>
      <c r="I1379" t="str">
        <f>_xll.BDS("789457KY Muni","MUNI_PURPOSE_SCHED", "aggregate=y")</f>
        <v>#N/A Review</v>
      </c>
      <c r="J1379" t="str">
        <f>_xll.BDP("789457KY Muni","CPN")</f>
        <v>#N/A Requesting Data...</v>
      </c>
      <c r="K1379" t="str">
        <f>_xll.BDP("789457KY Muni","MATURITY")</f>
        <v>#N/A Requesting Data...</v>
      </c>
      <c r="L1379">
        <v>85000</v>
      </c>
      <c r="M1379" t="str">
        <f>_xll.BDP("789457KY Muni","YIELD_ON_ISSUE_DATE")</f>
        <v>#N/A Requesting Data...</v>
      </c>
      <c r="N1379" t="str">
        <f>_xll.BDP("789457KY Muni","YTW_SPREAD_TO_MATURITY_AT_ISSU")</f>
        <v>#N/A Requesting Data...</v>
      </c>
      <c r="O1379" t="str">
        <f>_xll.BDP("789457KY Muni","BVAL_MID_YTM")</f>
        <v>#N/A Requesting Data...</v>
      </c>
      <c r="P1379" t="str">
        <f>_xll.BDP("789457KY Muni","MUNI_TAX_PROV")</f>
        <v>#N/A Requesting Data...</v>
      </c>
      <c r="Q1379" t="str">
        <f>_xll.BDP("789457KY Muni","MUNI_FED_TAX")</f>
        <v>#N/A Requesting Data...</v>
      </c>
      <c r="R1379" t="str">
        <f>_xll.BDP("789457KY Muni","MUNI_MSRB_VOLUME")</f>
        <v>#N/A Requesting Data...</v>
      </c>
      <c r="S1379" t="str">
        <f>_xll.BDP("789457KY Muni","BB_COMPOSITE")</f>
        <v>#N/A Requesting Data...</v>
      </c>
      <c r="T1379" t="str">
        <f>_xll.BDP("789457KY Muni","LQA_LIQUIDITY_SCORE")</f>
        <v>#N/A Requesting Data...</v>
      </c>
    </row>
    <row r="1380" spans="1:20" x14ac:dyDescent="0.25">
      <c r="A1380" t="str">
        <f>_xll.BDP("790008NU Muni","ID_CUSIP")</f>
        <v>#N/A Requesting Data...</v>
      </c>
      <c r="B1380" t="s">
        <v>443</v>
      </c>
      <c r="C1380" t="str">
        <f>_xll.BDP("790008NU Muni","INSURANCE_STATUS")</f>
        <v>#N/A Requesting Data...</v>
      </c>
      <c r="D1380" t="str">
        <f>_xll.BDP("790008NU Muni","STATE_CODE")</f>
        <v>#N/A Requesting Data...</v>
      </c>
      <c r="E1380" t="str">
        <f>_xll.BDP("790008NU Muni","COUNTY_LOCATION_ISSUER")</f>
        <v>#N/A Requesting Data...</v>
      </c>
      <c r="F1380" t="str">
        <f>_xll.BDP("790008NU Muni","DUR_ADJ_MID")</f>
        <v>#N/A Requesting Data...</v>
      </c>
      <c r="G1380" t="str">
        <f>_xll.BDP("790008NU Muni","SPREAD_AT_ISSUANCE_TO_WORST")</f>
        <v>#N/A Requesting Data...</v>
      </c>
      <c r="H1380" t="str">
        <f>_xll.BDP("790008NU Muni","ISSUE_DT")</f>
        <v>#N/A Requesting Data...</v>
      </c>
      <c r="I1380" t="str">
        <f>_xll.BDS("790008NU Muni","MUNI_PURPOSE_SCHED", "aggregate=y")</f>
        <v>#N/A Review</v>
      </c>
      <c r="J1380" t="str">
        <f>_xll.BDP("790008NU Muni","CPN")</f>
        <v>#N/A Requesting Data...</v>
      </c>
      <c r="K1380" t="str">
        <f>_xll.BDP("790008NU Muni","MATURITY")</f>
        <v>#N/A Requesting Data...</v>
      </c>
      <c r="L1380">
        <v>180000</v>
      </c>
      <c r="M1380" t="str">
        <f>_xll.BDP("790008NU Muni","YIELD_ON_ISSUE_DATE")</f>
        <v>#N/A Requesting Data...</v>
      </c>
      <c r="N1380" t="str">
        <f>_xll.BDP("790008NU Muni","YTW_SPREAD_TO_MATURITY_AT_ISSU")</f>
        <v>#N/A Requesting Data...</v>
      </c>
      <c r="O1380" t="str">
        <f>_xll.BDP("790008NU Muni","BVAL_MID_YTM")</f>
        <v>#N/A Requesting Data...</v>
      </c>
      <c r="P1380" t="str">
        <f>_xll.BDP("790008NU Muni","MUNI_TAX_PROV")</f>
        <v>#N/A Requesting Data...</v>
      </c>
      <c r="Q1380" t="str">
        <f>_xll.BDP("790008NU Muni","MUNI_FED_TAX")</f>
        <v>#N/A Requesting Data...</v>
      </c>
      <c r="R1380" t="str">
        <f>_xll.BDP("790008NU Muni","MUNI_MSRB_VOLUME")</f>
        <v>#N/A Requesting Data...</v>
      </c>
      <c r="S1380" t="str">
        <f>_xll.BDP("790008NU Muni","BB_COMPOSITE")</f>
        <v>#N/A Requesting Data...</v>
      </c>
      <c r="T1380" t="str">
        <f>_xll.BDP("790008NU Muni","LQA_LIQUIDITY_SCORE")</f>
        <v>#N/A Requesting Data...</v>
      </c>
    </row>
    <row r="1381" spans="1:20" x14ac:dyDescent="0.25">
      <c r="A1381" t="str">
        <f>_xll.BDP("790008NV Muni","ID_CUSIP")</f>
        <v>#N/A Requesting Data...</v>
      </c>
      <c r="B1381" t="s">
        <v>443</v>
      </c>
      <c r="C1381" t="str">
        <f>_xll.BDP("790008NV Muni","INSURANCE_STATUS")</f>
        <v>#N/A Requesting Data...</v>
      </c>
      <c r="D1381" t="str">
        <f>_xll.BDP("790008NV Muni","STATE_CODE")</f>
        <v>#N/A Requesting Data...</v>
      </c>
      <c r="E1381" t="str">
        <f>_xll.BDP("790008NV Muni","COUNTY_LOCATION_ISSUER")</f>
        <v>#N/A Requesting Data...</v>
      </c>
      <c r="F1381" t="str">
        <f>_xll.BDP("790008NV Muni","DUR_ADJ_MID")</f>
        <v>#N/A Requesting Data...</v>
      </c>
      <c r="G1381" t="str">
        <f>_xll.BDP("790008NV Muni","SPREAD_AT_ISSUANCE_TO_WORST")</f>
        <v>#N/A Requesting Data...</v>
      </c>
      <c r="H1381" t="str">
        <f>_xll.BDP("790008NV Muni","ISSUE_DT")</f>
        <v>#N/A Requesting Data...</v>
      </c>
      <c r="I1381" t="str">
        <f>_xll.BDS("790008NV Muni","MUNI_PURPOSE_SCHED", "aggregate=y")</f>
        <v>#N/A Review</v>
      </c>
      <c r="J1381" t="str">
        <f>_xll.BDP("790008NV Muni","CPN")</f>
        <v>#N/A Requesting Data...</v>
      </c>
      <c r="K1381" t="str">
        <f>_xll.BDP("790008NV Muni","MATURITY")</f>
        <v>#N/A Requesting Data...</v>
      </c>
      <c r="L1381">
        <v>115000</v>
      </c>
      <c r="M1381" t="str">
        <f>_xll.BDP("790008NV Muni","YIELD_ON_ISSUE_DATE")</f>
        <v>#N/A Requesting Data...</v>
      </c>
      <c r="N1381" t="str">
        <f>_xll.BDP("790008NV Muni","YTW_SPREAD_TO_MATURITY_AT_ISSU")</f>
        <v>#N/A Requesting Data...</v>
      </c>
      <c r="O1381" t="str">
        <f>_xll.BDP("790008NV Muni","BVAL_MID_YTM")</f>
        <v>#N/A Requesting Data...</v>
      </c>
      <c r="P1381" t="str">
        <f>_xll.BDP("790008NV Muni","MUNI_TAX_PROV")</f>
        <v>#N/A Requesting Data...</v>
      </c>
      <c r="Q1381" t="str">
        <f>_xll.BDP("790008NV Muni","MUNI_FED_TAX")</f>
        <v>#N/A Requesting Data...</v>
      </c>
      <c r="R1381" t="str">
        <f>_xll.BDP("790008NV Muni","MUNI_MSRB_VOLUME")</f>
        <v>#N/A Requesting Data...</v>
      </c>
      <c r="S1381" t="str">
        <f>_xll.BDP("790008NV Muni","BB_COMPOSITE")</f>
        <v>#N/A Requesting Data...</v>
      </c>
      <c r="T1381" t="str">
        <f>_xll.BDP("790008NV Muni","LQA_LIQUIDITY_SCORE")</f>
        <v>#N/A Requesting Data...</v>
      </c>
    </row>
    <row r="1382" spans="1:20" x14ac:dyDescent="0.25">
      <c r="A1382" t="str">
        <f>_xll.BDP("790420NE Muni","ID_CUSIP")</f>
        <v>#N/A Requesting Data...</v>
      </c>
      <c r="B1382" t="s">
        <v>444</v>
      </c>
      <c r="C1382" t="str">
        <f>_xll.BDP("790420NE Muni","INSURANCE_STATUS")</f>
        <v>#N/A Requesting Data...</v>
      </c>
      <c r="D1382" t="str">
        <f>_xll.BDP("790420NE Muni","STATE_CODE")</f>
        <v>#N/A Requesting Data...</v>
      </c>
      <c r="E1382" t="str">
        <f>_xll.BDP("790420NE Muni","COUNTY_LOCATION_ISSUER")</f>
        <v>#N/A Requesting Data...</v>
      </c>
      <c r="F1382" t="str">
        <f>_xll.BDP("790420NE Muni","DUR_ADJ_MID")</f>
        <v>#N/A Requesting Data...</v>
      </c>
      <c r="G1382" t="str">
        <f>_xll.BDP("790420NE Muni","SPREAD_AT_ISSUANCE_TO_WORST")</f>
        <v>#N/A Requesting Data...</v>
      </c>
      <c r="H1382" t="str">
        <f>_xll.BDP("790420NE Muni","ISSUE_DT")</f>
        <v>#N/A Requesting Data...</v>
      </c>
      <c r="I1382" t="str">
        <f>_xll.BDS("790420NE Muni","MUNI_PURPOSE_SCHED", "aggregate=y")</f>
        <v>#N/A Review</v>
      </c>
      <c r="J1382" t="str">
        <f>_xll.BDP("790420NE Muni","CPN")</f>
        <v>#N/A Requesting Data...</v>
      </c>
      <c r="K1382" t="str">
        <f>_xll.BDP("790420NE Muni","MATURITY")</f>
        <v>#N/A Requesting Data...</v>
      </c>
      <c r="L1382">
        <v>2510000</v>
      </c>
      <c r="M1382" t="str">
        <f>_xll.BDP("790420NE Muni","YIELD_ON_ISSUE_DATE")</f>
        <v>#N/A Requesting Data...</v>
      </c>
      <c r="N1382" t="str">
        <f>_xll.BDP("790420NE Muni","YTW_SPREAD_TO_MATURITY_AT_ISSU")</f>
        <v>#N/A Requesting Data...</v>
      </c>
      <c r="O1382" t="str">
        <f>_xll.BDP("790420NE Muni","BVAL_MID_YTM")</f>
        <v>#N/A Requesting Data...</v>
      </c>
      <c r="P1382" t="str">
        <f>_xll.BDP("790420NE Muni","MUNI_TAX_PROV")</f>
        <v>#N/A Requesting Data...</v>
      </c>
      <c r="Q1382" t="str">
        <f>_xll.BDP("790420NE Muni","MUNI_FED_TAX")</f>
        <v>#N/A Requesting Data...</v>
      </c>
      <c r="R1382" t="str">
        <f>_xll.BDP("790420NE Muni","MUNI_MSRB_VOLUME")</f>
        <v>#N/A Requesting Data...</v>
      </c>
      <c r="S1382" t="str">
        <f>_xll.BDP("790420NE Muni","BB_COMPOSITE")</f>
        <v>#N/A Requesting Data...</v>
      </c>
      <c r="T1382" t="str">
        <f>_xll.BDP("790420NE Muni","LQA_LIQUIDITY_SCORE")</f>
        <v>#N/A Requesting Data...</v>
      </c>
    </row>
    <row r="1383" spans="1:20" x14ac:dyDescent="0.25">
      <c r="A1383" t="str">
        <f>_xll.BDP("790420NF Muni","ID_CUSIP")</f>
        <v>#N/A Requesting Data...</v>
      </c>
      <c r="B1383" t="s">
        <v>444</v>
      </c>
      <c r="C1383" t="str">
        <f>_xll.BDP("790420NF Muni","INSURANCE_STATUS")</f>
        <v>#N/A Requesting Data...</v>
      </c>
      <c r="D1383" t="str">
        <f>_xll.BDP("790420NF Muni","STATE_CODE")</f>
        <v>#N/A Requesting Data...</v>
      </c>
      <c r="E1383" t="str">
        <f>_xll.BDP("790420NF Muni","COUNTY_LOCATION_ISSUER")</f>
        <v>#N/A Requesting Data...</v>
      </c>
      <c r="F1383" t="str">
        <f>_xll.BDP("790420NF Muni","DUR_ADJ_MID")</f>
        <v>#N/A Requesting Data...</v>
      </c>
      <c r="G1383" t="str">
        <f>_xll.BDP("790420NF Muni","SPREAD_AT_ISSUANCE_TO_WORST")</f>
        <v>#N/A Requesting Data...</v>
      </c>
      <c r="H1383" t="str">
        <f>_xll.BDP("790420NF Muni","ISSUE_DT")</f>
        <v>#N/A Requesting Data...</v>
      </c>
      <c r="I1383" t="str">
        <f>_xll.BDS("790420NF Muni","MUNI_PURPOSE_SCHED", "aggregate=y")</f>
        <v>#N/A Review</v>
      </c>
      <c r="J1383" t="str">
        <f>_xll.BDP("790420NF Muni","CPN")</f>
        <v>#N/A Requesting Data...</v>
      </c>
      <c r="K1383" t="str">
        <f>_xll.BDP("790420NF Muni","MATURITY")</f>
        <v>#N/A Requesting Data...</v>
      </c>
      <c r="L1383">
        <v>2625000</v>
      </c>
      <c r="M1383" t="str">
        <f>_xll.BDP("790420NF Muni","YIELD_ON_ISSUE_DATE")</f>
        <v>#N/A Requesting Data...</v>
      </c>
      <c r="N1383" t="str">
        <f>_xll.BDP("790420NF Muni","YTW_SPREAD_TO_MATURITY_AT_ISSU")</f>
        <v>#N/A Requesting Data...</v>
      </c>
      <c r="O1383" t="str">
        <f>_xll.BDP("790420NF Muni","BVAL_MID_YTM")</f>
        <v>#N/A Requesting Data...</v>
      </c>
      <c r="P1383" t="str">
        <f>_xll.BDP("790420NF Muni","MUNI_TAX_PROV")</f>
        <v>#N/A Requesting Data...</v>
      </c>
      <c r="Q1383" t="str">
        <f>_xll.BDP("790420NF Muni","MUNI_FED_TAX")</f>
        <v>#N/A Requesting Data...</v>
      </c>
      <c r="R1383" t="str">
        <f>_xll.BDP("790420NF Muni","MUNI_MSRB_VOLUME")</f>
        <v>#N/A Requesting Data...</v>
      </c>
      <c r="S1383" t="str">
        <f>_xll.BDP("790420NF Muni","BB_COMPOSITE")</f>
        <v>#N/A Requesting Data...</v>
      </c>
      <c r="T1383" t="str">
        <f>_xll.BDP("790420NF Muni","LQA_LIQUIDITY_SCORE")</f>
        <v>#N/A Requesting Data...</v>
      </c>
    </row>
    <row r="1384" spans="1:20" x14ac:dyDescent="0.25">
      <c r="A1384" t="str">
        <f>_xll.BDP("790420NG Muni","ID_CUSIP")</f>
        <v>#N/A Requesting Data...</v>
      </c>
      <c r="B1384" t="s">
        <v>444</v>
      </c>
      <c r="C1384" t="str">
        <f>_xll.BDP("790420NG Muni","INSURANCE_STATUS")</f>
        <v>#N/A Requesting Data...</v>
      </c>
      <c r="D1384" t="str">
        <f>_xll.BDP("790420NG Muni","STATE_CODE")</f>
        <v>#N/A Requesting Data...</v>
      </c>
      <c r="E1384" t="str">
        <f>_xll.BDP("790420NG Muni","COUNTY_LOCATION_ISSUER")</f>
        <v>#N/A Requesting Data...</v>
      </c>
      <c r="F1384" t="str">
        <f>_xll.BDP("790420NG Muni","DUR_ADJ_MID")</f>
        <v>#N/A Requesting Data...</v>
      </c>
      <c r="G1384" t="str">
        <f>_xll.BDP("790420NG Muni","SPREAD_AT_ISSUANCE_TO_WORST")</f>
        <v>#N/A Requesting Data...</v>
      </c>
      <c r="H1384" t="str">
        <f>_xll.BDP("790420NG Muni","ISSUE_DT")</f>
        <v>#N/A Requesting Data...</v>
      </c>
      <c r="I1384" t="str">
        <f>_xll.BDS("790420NG Muni","MUNI_PURPOSE_SCHED", "aggregate=y")</f>
        <v>#N/A Review</v>
      </c>
      <c r="J1384" t="str">
        <f>_xll.BDP("790420NG Muni","CPN")</f>
        <v>#N/A Requesting Data...</v>
      </c>
      <c r="K1384" t="str">
        <f>_xll.BDP("790420NG Muni","MATURITY")</f>
        <v>#N/A Requesting Data...</v>
      </c>
      <c r="L1384">
        <v>2760000</v>
      </c>
      <c r="M1384" t="str">
        <f>_xll.BDP("790420NG Muni","YIELD_ON_ISSUE_DATE")</f>
        <v>#N/A Requesting Data...</v>
      </c>
      <c r="N1384" t="str">
        <f>_xll.BDP("790420NG Muni","YTW_SPREAD_TO_MATURITY_AT_ISSU")</f>
        <v>#N/A Requesting Data...</v>
      </c>
      <c r="O1384" t="str">
        <f>_xll.BDP("790420NG Muni","BVAL_MID_YTM")</f>
        <v>#N/A Requesting Data...</v>
      </c>
      <c r="P1384" t="str">
        <f>_xll.BDP("790420NG Muni","MUNI_TAX_PROV")</f>
        <v>#N/A Requesting Data...</v>
      </c>
      <c r="Q1384" t="str">
        <f>_xll.BDP("790420NG Muni","MUNI_FED_TAX")</f>
        <v>#N/A Requesting Data...</v>
      </c>
      <c r="R1384" t="str">
        <f>_xll.BDP("790420NG Muni","MUNI_MSRB_VOLUME")</f>
        <v>#N/A Requesting Data...</v>
      </c>
      <c r="S1384" t="str">
        <f>_xll.BDP("790420NG Muni","BB_COMPOSITE")</f>
        <v>#N/A Requesting Data...</v>
      </c>
      <c r="T1384" t="str">
        <f>_xll.BDP("790420NG Muni","LQA_LIQUIDITY_SCORE")</f>
        <v>#N/A Requesting Data...</v>
      </c>
    </row>
    <row r="1385" spans="1:20" x14ac:dyDescent="0.25">
      <c r="A1385" t="str">
        <f>_xll.BDP("790420NH Muni","ID_CUSIP")</f>
        <v>#N/A Requesting Data...</v>
      </c>
      <c r="B1385" t="s">
        <v>444</v>
      </c>
      <c r="C1385" t="str">
        <f>_xll.BDP("790420NH Muni","INSURANCE_STATUS")</f>
        <v>#N/A Requesting Data...</v>
      </c>
      <c r="D1385" t="str">
        <f>_xll.BDP("790420NH Muni","STATE_CODE")</f>
        <v>#N/A Requesting Data...</v>
      </c>
      <c r="E1385" t="str">
        <f>_xll.BDP("790420NH Muni","COUNTY_LOCATION_ISSUER")</f>
        <v>#N/A Requesting Data...</v>
      </c>
      <c r="F1385" t="str">
        <f>_xll.BDP("790420NH Muni","DUR_ADJ_MID")</f>
        <v>#N/A Requesting Data...</v>
      </c>
      <c r="G1385" t="str">
        <f>_xll.BDP("790420NH Muni","SPREAD_AT_ISSUANCE_TO_WORST")</f>
        <v>#N/A Requesting Data...</v>
      </c>
      <c r="H1385" t="str">
        <f>_xll.BDP("790420NH Muni","ISSUE_DT")</f>
        <v>#N/A Requesting Data...</v>
      </c>
      <c r="I1385" t="str">
        <f>_xll.BDS("790420NH Muni","MUNI_PURPOSE_SCHED", "aggregate=y")</f>
        <v>#N/A Review</v>
      </c>
      <c r="J1385" t="str">
        <f>_xll.BDP("790420NH Muni","CPN")</f>
        <v>#N/A Requesting Data...</v>
      </c>
      <c r="K1385" t="str">
        <f>_xll.BDP("790420NH Muni","MATURITY")</f>
        <v>#N/A Requesting Data...</v>
      </c>
      <c r="L1385">
        <v>2910000</v>
      </c>
      <c r="M1385" t="str">
        <f>_xll.BDP("790420NH Muni","YIELD_ON_ISSUE_DATE")</f>
        <v>#N/A Requesting Data...</v>
      </c>
      <c r="N1385" t="str">
        <f>_xll.BDP("790420NH Muni","YTW_SPREAD_TO_MATURITY_AT_ISSU")</f>
        <v>#N/A Requesting Data...</v>
      </c>
      <c r="O1385" t="str">
        <f>_xll.BDP("790420NH Muni","BVAL_MID_YTM")</f>
        <v>#N/A Requesting Data...</v>
      </c>
      <c r="P1385" t="str">
        <f>_xll.BDP("790420NH Muni","MUNI_TAX_PROV")</f>
        <v>#N/A Requesting Data...</v>
      </c>
      <c r="Q1385" t="str">
        <f>_xll.BDP("790420NH Muni","MUNI_FED_TAX")</f>
        <v>#N/A Requesting Data...</v>
      </c>
      <c r="R1385" t="str">
        <f>_xll.BDP("790420NH Muni","MUNI_MSRB_VOLUME")</f>
        <v>#N/A Requesting Data...</v>
      </c>
      <c r="S1385" t="str">
        <f>_xll.BDP("790420NH Muni","BB_COMPOSITE")</f>
        <v>#N/A Requesting Data...</v>
      </c>
      <c r="T1385" t="str">
        <f>_xll.BDP("790420NH Muni","LQA_LIQUIDITY_SCORE")</f>
        <v>#N/A Requesting Data...</v>
      </c>
    </row>
    <row r="1386" spans="1:20" x14ac:dyDescent="0.25">
      <c r="A1386" t="str">
        <f>_xll.BDP("79062MBS Muni","ID_CUSIP")</f>
        <v>#N/A Requesting Data...</v>
      </c>
      <c r="B1386" t="s">
        <v>445</v>
      </c>
      <c r="C1386" t="str">
        <f>_xll.BDP("79062MBS Muni","INSURANCE_STATUS")</f>
        <v>#N/A Requesting Data...</v>
      </c>
      <c r="D1386" t="str">
        <f>_xll.BDP("79062MBS Muni","STATE_CODE")</f>
        <v>#N/A Requesting Data...</v>
      </c>
      <c r="E1386" t="str">
        <f>_xll.BDP("79062MBS Muni","COUNTY_LOCATION_ISSUER")</f>
        <v>#N/A Requesting Data...</v>
      </c>
      <c r="F1386" t="str">
        <f>_xll.BDP("79062MBS Muni","DUR_ADJ_MID")</f>
        <v>#N/A Requesting Data...</v>
      </c>
      <c r="G1386" t="str">
        <f>_xll.BDP("79062MBS Muni","SPREAD_AT_ISSUANCE_TO_WORST")</f>
        <v>#N/A Requesting Data...</v>
      </c>
      <c r="H1386" t="str">
        <f>_xll.BDP("79062MBS Muni","ISSUE_DT")</f>
        <v>#N/A Requesting Data...</v>
      </c>
      <c r="I1386" t="str">
        <f>_xll.BDS("79062MBS Muni","MUNI_PURPOSE_SCHED", "aggregate=y")</f>
        <v>#N/A Review</v>
      </c>
      <c r="J1386" t="str">
        <f>_xll.BDP("79062MBS Muni","CPN")</f>
        <v>#N/A Requesting Data...</v>
      </c>
      <c r="K1386" t="str">
        <f>_xll.BDP("79062MBS Muni","MATURITY")</f>
        <v>#N/A Requesting Data...</v>
      </c>
      <c r="L1386">
        <v>535000</v>
      </c>
      <c r="M1386" t="str">
        <f>_xll.BDP("79062MBS Muni","YIELD_ON_ISSUE_DATE")</f>
        <v>#N/A Requesting Data...</v>
      </c>
      <c r="N1386" t="str">
        <f>_xll.BDP("79062MBS Muni","YTW_SPREAD_TO_MATURITY_AT_ISSU")</f>
        <v>#N/A Requesting Data...</v>
      </c>
      <c r="O1386" t="str">
        <f>_xll.BDP("79062MBS Muni","BVAL_MID_YTM")</f>
        <v>#N/A Requesting Data...</v>
      </c>
      <c r="P1386" t="str">
        <f>_xll.BDP("79062MBS Muni","MUNI_TAX_PROV")</f>
        <v>#N/A Requesting Data...</v>
      </c>
      <c r="Q1386" t="str">
        <f>_xll.BDP("79062MBS Muni","MUNI_FED_TAX")</f>
        <v>#N/A Requesting Data...</v>
      </c>
      <c r="R1386" t="str">
        <f>_xll.BDP("79062MBS Muni","MUNI_MSRB_VOLUME")</f>
        <v>#N/A Requesting Data...</v>
      </c>
      <c r="S1386" t="str">
        <f>_xll.BDP("79062MBS Muni","BB_COMPOSITE")</f>
        <v>#N/A Requesting Data...</v>
      </c>
      <c r="T1386" t="str">
        <f>_xll.BDP("79062MBS Muni","LQA_LIQUIDITY_SCORE")</f>
        <v>#N/A Requesting Data...</v>
      </c>
    </row>
    <row r="1387" spans="1:20" x14ac:dyDescent="0.25">
      <c r="A1387" t="str">
        <f>_xll.BDP("79062MBT Muni","ID_CUSIP")</f>
        <v>#N/A Requesting Data...</v>
      </c>
      <c r="B1387" t="s">
        <v>445</v>
      </c>
      <c r="C1387" t="str">
        <f>_xll.BDP("79062MBT Muni","INSURANCE_STATUS")</f>
        <v>#N/A Requesting Data...</v>
      </c>
      <c r="D1387" t="str">
        <f>_xll.BDP("79062MBT Muni","STATE_CODE")</f>
        <v>#N/A Requesting Data...</v>
      </c>
      <c r="E1387" t="str">
        <f>_xll.BDP("79062MBT Muni","COUNTY_LOCATION_ISSUER")</f>
        <v>#N/A Requesting Data...</v>
      </c>
      <c r="F1387" t="str">
        <f>_xll.BDP("79062MBT Muni","DUR_ADJ_MID")</f>
        <v>#N/A Requesting Data...</v>
      </c>
      <c r="G1387" t="str">
        <f>_xll.BDP("79062MBT Muni","SPREAD_AT_ISSUANCE_TO_WORST")</f>
        <v>#N/A Requesting Data...</v>
      </c>
      <c r="H1387" t="str">
        <f>_xll.BDP("79062MBT Muni","ISSUE_DT")</f>
        <v>#N/A Requesting Data...</v>
      </c>
      <c r="I1387" t="str">
        <f>_xll.BDS("79062MBT Muni","MUNI_PURPOSE_SCHED", "aggregate=y")</f>
        <v>#N/A Review</v>
      </c>
      <c r="J1387" t="str">
        <f>_xll.BDP("79062MBT Muni","CPN")</f>
        <v>#N/A Requesting Data...</v>
      </c>
      <c r="K1387" t="str">
        <f>_xll.BDP("79062MBT Muni","MATURITY")</f>
        <v>#N/A Requesting Data...</v>
      </c>
      <c r="L1387">
        <v>550000</v>
      </c>
      <c r="M1387" t="str">
        <f>_xll.BDP("79062MBT Muni","YIELD_ON_ISSUE_DATE")</f>
        <v>#N/A Requesting Data...</v>
      </c>
      <c r="N1387" t="str">
        <f>_xll.BDP("79062MBT Muni","YTW_SPREAD_TO_MATURITY_AT_ISSU")</f>
        <v>#N/A Requesting Data...</v>
      </c>
      <c r="O1387" t="str">
        <f>_xll.BDP("79062MBT Muni","BVAL_MID_YTM")</f>
        <v>#N/A Requesting Data...</v>
      </c>
      <c r="P1387" t="str">
        <f>_xll.BDP("79062MBT Muni","MUNI_TAX_PROV")</f>
        <v>#N/A Requesting Data...</v>
      </c>
      <c r="Q1387" t="str">
        <f>_xll.BDP("79062MBT Muni","MUNI_FED_TAX")</f>
        <v>#N/A Requesting Data...</v>
      </c>
      <c r="R1387" t="str">
        <f>_xll.BDP("79062MBT Muni","MUNI_MSRB_VOLUME")</f>
        <v>#N/A Requesting Data...</v>
      </c>
      <c r="S1387" t="str">
        <f>_xll.BDP("79062MBT Muni","BB_COMPOSITE")</f>
        <v>#N/A Requesting Data...</v>
      </c>
      <c r="T1387" t="str">
        <f>_xll.BDP("79062MBT Muni","LQA_LIQUIDITY_SCORE")</f>
        <v>#N/A Requesting Data...</v>
      </c>
    </row>
    <row r="1388" spans="1:20" x14ac:dyDescent="0.25">
      <c r="A1388" t="str">
        <f>_xll.BDP("79062MBU Muni","ID_CUSIP")</f>
        <v>#N/A Requesting Data...</v>
      </c>
      <c r="B1388" t="s">
        <v>445</v>
      </c>
      <c r="C1388" t="str">
        <f>_xll.BDP("79062MBU Muni","INSURANCE_STATUS")</f>
        <v>#N/A Requesting Data...</v>
      </c>
      <c r="D1388" t="str">
        <f>_xll.BDP("79062MBU Muni","STATE_CODE")</f>
        <v>#N/A Requesting Data...</v>
      </c>
      <c r="E1388" t="str">
        <f>_xll.BDP("79062MBU Muni","COUNTY_LOCATION_ISSUER")</f>
        <v>#N/A Requesting Data...</v>
      </c>
      <c r="F1388" t="str">
        <f>_xll.BDP("79062MBU Muni","DUR_ADJ_MID")</f>
        <v>#N/A Requesting Data...</v>
      </c>
      <c r="G1388" t="str">
        <f>_xll.BDP("79062MBU Muni","SPREAD_AT_ISSUANCE_TO_WORST")</f>
        <v>#N/A Requesting Data...</v>
      </c>
      <c r="H1388" t="str">
        <f>_xll.BDP("79062MBU Muni","ISSUE_DT")</f>
        <v>#N/A Requesting Data...</v>
      </c>
      <c r="I1388" t="str">
        <f>_xll.BDS("79062MBU Muni","MUNI_PURPOSE_SCHED", "aggregate=y")</f>
        <v>#N/A Review</v>
      </c>
      <c r="J1388" t="str">
        <f>_xll.BDP("79062MBU Muni","CPN")</f>
        <v>#N/A Requesting Data...</v>
      </c>
      <c r="K1388" t="str">
        <f>_xll.BDP("79062MBU Muni","MATURITY")</f>
        <v>#N/A Requesting Data...</v>
      </c>
      <c r="L1388">
        <v>565000</v>
      </c>
      <c r="M1388" t="str">
        <f>_xll.BDP("79062MBU Muni","YIELD_ON_ISSUE_DATE")</f>
        <v>#N/A Requesting Data...</v>
      </c>
      <c r="N1388" t="str">
        <f>_xll.BDP("79062MBU Muni","YTW_SPREAD_TO_MATURITY_AT_ISSU")</f>
        <v>#N/A Requesting Data...</v>
      </c>
      <c r="O1388" t="str">
        <f>_xll.BDP("79062MBU Muni","BVAL_MID_YTM")</f>
        <v>#N/A Requesting Data...</v>
      </c>
      <c r="P1388" t="str">
        <f>_xll.BDP("79062MBU Muni","MUNI_TAX_PROV")</f>
        <v>#N/A Requesting Data...</v>
      </c>
      <c r="Q1388" t="str">
        <f>_xll.BDP("79062MBU Muni","MUNI_FED_TAX")</f>
        <v>#N/A Requesting Data...</v>
      </c>
      <c r="R1388" t="str">
        <f>_xll.BDP("79062MBU Muni","MUNI_MSRB_VOLUME")</f>
        <v>#N/A Requesting Data...</v>
      </c>
      <c r="S1388" t="str">
        <f>_xll.BDP("79062MBU Muni","BB_COMPOSITE")</f>
        <v>#N/A Requesting Data...</v>
      </c>
      <c r="T1388" t="str">
        <f>_xll.BDP("79062MBU Muni","LQA_LIQUIDITY_SCORE")</f>
        <v>#N/A Requesting Data...</v>
      </c>
    </row>
    <row r="1389" spans="1:20" x14ac:dyDescent="0.25">
      <c r="A1389" t="str">
        <f>_xll.BDP("79062MBV Muni","ID_CUSIP")</f>
        <v>#N/A Requesting Data...</v>
      </c>
      <c r="B1389" t="s">
        <v>445</v>
      </c>
      <c r="C1389" t="str">
        <f>_xll.BDP("79062MBV Muni","INSURANCE_STATUS")</f>
        <v>#N/A Requesting Data...</v>
      </c>
      <c r="D1389" t="str">
        <f>_xll.BDP("79062MBV Muni","STATE_CODE")</f>
        <v>#N/A Requesting Data...</v>
      </c>
      <c r="E1389" t="str">
        <f>_xll.BDP("79062MBV Muni","COUNTY_LOCATION_ISSUER")</f>
        <v>#N/A Requesting Data...</v>
      </c>
      <c r="F1389" t="str">
        <f>_xll.BDP("79062MBV Muni","DUR_ADJ_MID")</f>
        <v>#N/A Requesting Data...</v>
      </c>
      <c r="G1389" t="str">
        <f>_xll.BDP("79062MBV Muni","SPREAD_AT_ISSUANCE_TO_WORST")</f>
        <v>#N/A Requesting Data...</v>
      </c>
      <c r="H1389" t="str">
        <f>_xll.BDP("79062MBV Muni","ISSUE_DT")</f>
        <v>#N/A Requesting Data...</v>
      </c>
      <c r="I1389" t="str">
        <f>_xll.BDS("79062MBV Muni","MUNI_PURPOSE_SCHED", "aggregate=y")</f>
        <v>#N/A Review</v>
      </c>
      <c r="J1389" t="str">
        <f>_xll.BDP("79062MBV Muni","CPN")</f>
        <v>#N/A Requesting Data...</v>
      </c>
      <c r="K1389" t="str">
        <f>_xll.BDP("79062MBV Muni","MATURITY")</f>
        <v>#N/A Requesting Data...</v>
      </c>
      <c r="L1389">
        <v>585000</v>
      </c>
      <c r="M1389" t="str">
        <f>_xll.BDP("79062MBV Muni","YIELD_ON_ISSUE_DATE")</f>
        <v>#N/A Requesting Data...</v>
      </c>
      <c r="N1389" t="str">
        <f>_xll.BDP("79062MBV Muni","YTW_SPREAD_TO_MATURITY_AT_ISSU")</f>
        <v>#N/A Requesting Data...</v>
      </c>
      <c r="O1389" t="str">
        <f>_xll.BDP("79062MBV Muni","BVAL_MID_YTM")</f>
        <v>#N/A Requesting Data...</v>
      </c>
      <c r="P1389" t="str">
        <f>_xll.BDP("79062MBV Muni","MUNI_TAX_PROV")</f>
        <v>#N/A Requesting Data...</v>
      </c>
      <c r="Q1389" t="str">
        <f>_xll.BDP("79062MBV Muni","MUNI_FED_TAX")</f>
        <v>#N/A Requesting Data...</v>
      </c>
      <c r="R1389" t="str">
        <f>_xll.BDP("79062MBV Muni","MUNI_MSRB_VOLUME")</f>
        <v>#N/A Requesting Data...</v>
      </c>
      <c r="S1389" t="str">
        <f>_xll.BDP("79062MBV Muni","BB_COMPOSITE")</f>
        <v>#N/A Requesting Data...</v>
      </c>
      <c r="T1389" t="str">
        <f>_xll.BDP("79062MBV Muni","LQA_LIQUIDITY_SCORE")</f>
        <v>#N/A Requesting Data...</v>
      </c>
    </row>
    <row r="1390" spans="1:20" x14ac:dyDescent="0.25">
      <c r="A1390" t="str">
        <f>_xll.BDP("769595BY Muni","ID_CUSIP")</f>
        <v>#N/A Requesting Data...</v>
      </c>
      <c r="B1390" t="s">
        <v>125</v>
      </c>
      <c r="C1390" t="str">
        <f>_xll.BDP("769595BY Muni","INSURANCE_STATUS")</f>
        <v>#N/A Requesting Data...</v>
      </c>
      <c r="D1390" t="str">
        <f>_xll.BDP("769595BY Muni","STATE_CODE")</f>
        <v>#N/A Requesting Data...</v>
      </c>
      <c r="E1390" t="str">
        <f>_xll.BDP("769595BY Muni","COUNTY_LOCATION_ISSUER")</f>
        <v>#N/A Requesting Data...</v>
      </c>
      <c r="F1390" t="str">
        <f>_xll.BDP("769595BY Muni","DUR_ADJ_MID")</f>
        <v>#N/A Requesting Data...</v>
      </c>
      <c r="G1390" t="str">
        <f>_xll.BDP("769595BY Muni","SPREAD_AT_ISSUANCE_TO_WORST")</f>
        <v>#N/A Requesting Data...</v>
      </c>
      <c r="H1390" t="str">
        <f>_xll.BDP("769595BY Muni","ISSUE_DT")</f>
        <v>#N/A Requesting Data...</v>
      </c>
      <c r="I1390" t="str">
        <f>_xll.BDS("769595BY Muni","MUNI_PURPOSE_SCHED", "aggregate=y")</f>
        <v>#N/A Review</v>
      </c>
      <c r="J1390" t="str">
        <f>_xll.BDP("769595BY Muni","CPN")</f>
        <v>#N/A Requesting Data...</v>
      </c>
      <c r="K1390" t="str">
        <f>_xll.BDP("769595BY Muni","MATURITY")</f>
        <v>#N/A Requesting Data...</v>
      </c>
      <c r="L1390">
        <v>1250000</v>
      </c>
      <c r="M1390" t="str">
        <f>_xll.BDP("769595BY Muni","YIELD_ON_ISSUE_DATE")</f>
        <v>#N/A Requesting Data...</v>
      </c>
      <c r="N1390" t="str">
        <f>_xll.BDP("769595BY Muni","YTW_SPREAD_TO_MATURITY_AT_ISSU")</f>
        <v>#N/A Requesting Data...</v>
      </c>
      <c r="O1390" t="str">
        <f>_xll.BDP("769595BY Muni","BVAL_MID_YTM")</f>
        <v>#N/A Requesting Data...</v>
      </c>
      <c r="P1390" t="str">
        <f>_xll.BDP("769595BY Muni","MUNI_TAX_PROV")</f>
        <v>#N/A Requesting Data...</v>
      </c>
      <c r="Q1390" t="str">
        <f>_xll.BDP("769595BY Muni","MUNI_FED_TAX")</f>
        <v>#N/A Requesting Data...</v>
      </c>
      <c r="R1390" t="str">
        <f>_xll.BDP("769595BY Muni","MUNI_MSRB_VOLUME")</f>
        <v>#N/A Requesting Data...</v>
      </c>
      <c r="S1390" t="str">
        <f>_xll.BDP("769595BY Muni","BB_COMPOSITE")</f>
        <v>#N/A Requesting Data...</v>
      </c>
      <c r="T1390" t="str">
        <f>_xll.BDP("769595BY Muni","LQA_LIQUIDITY_SCORE")</f>
        <v>#N/A Requesting Data...</v>
      </c>
    </row>
    <row r="1391" spans="1:20" x14ac:dyDescent="0.25">
      <c r="A1391" t="str">
        <f>_xll.BDP("769595BZ Muni","ID_CUSIP")</f>
        <v>#N/A Requesting Data...</v>
      </c>
      <c r="B1391" t="s">
        <v>125</v>
      </c>
      <c r="C1391" t="str">
        <f>_xll.BDP("769595BZ Muni","INSURANCE_STATUS")</f>
        <v>#N/A Requesting Data...</v>
      </c>
      <c r="D1391" t="str">
        <f>_xll.BDP("769595BZ Muni","STATE_CODE")</f>
        <v>#N/A Requesting Data...</v>
      </c>
      <c r="E1391" t="str">
        <f>_xll.BDP("769595BZ Muni","COUNTY_LOCATION_ISSUER")</f>
        <v>#N/A Requesting Data...</v>
      </c>
      <c r="F1391" t="str">
        <f>_xll.BDP("769595BZ Muni","DUR_ADJ_MID")</f>
        <v>#N/A Requesting Data...</v>
      </c>
      <c r="G1391" t="str">
        <f>_xll.BDP("769595BZ Muni","SPREAD_AT_ISSUANCE_TO_WORST")</f>
        <v>#N/A Requesting Data...</v>
      </c>
      <c r="H1391" t="str">
        <f>_xll.BDP("769595BZ Muni","ISSUE_DT")</f>
        <v>#N/A Requesting Data...</v>
      </c>
      <c r="I1391" t="str">
        <f>_xll.BDS("769595BZ Muni","MUNI_PURPOSE_SCHED", "aggregate=y")</f>
        <v>#N/A Review</v>
      </c>
      <c r="J1391" t="str">
        <f>_xll.BDP("769595BZ Muni","CPN")</f>
        <v>#N/A Requesting Data...</v>
      </c>
      <c r="K1391" t="str">
        <f>_xll.BDP("769595BZ Muni","MATURITY")</f>
        <v>#N/A Requesting Data...</v>
      </c>
      <c r="L1391">
        <v>1315000</v>
      </c>
      <c r="M1391" t="str">
        <f>_xll.BDP("769595BZ Muni","YIELD_ON_ISSUE_DATE")</f>
        <v>#N/A Requesting Data...</v>
      </c>
      <c r="N1391" t="str">
        <f>_xll.BDP("769595BZ Muni","YTW_SPREAD_TO_MATURITY_AT_ISSU")</f>
        <v>#N/A Requesting Data...</v>
      </c>
      <c r="O1391" t="str">
        <f>_xll.BDP("769595BZ Muni","BVAL_MID_YTM")</f>
        <v>#N/A Requesting Data...</v>
      </c>
      <c r="P1391" t="str">
        <f>_xll.BDP("769595BZ Muni","MUNI_TAX_PROV")</f>
        <v>#N/A Requesting Data...</v>
      </c>
      <c r="Q1391" t="str">
        <f>_xll.BDP("769595BZ Muni","MUNI_FED_TAX")</f>
        <v>#N/A Requesting Data...</v>
      </c>
      <c r="R1391" t="str">
        <f>_xll.BDP("769595BZ Muni","MUNI_MSRB_VOLUME")</f>
        <v>#N/A Requesting Data...</v>
      </c>
      <c r="S1391" t="str">
        <f>_xll.BDP("769595BZ Muni","BB_COMPOSITE")</f>
        <v>#N/A Requesting Data...</v>
      </c>
      <c r="T1391" t="str">
        <f>_xll.BDP("769595BZ Muni","LQA_LIQUIDITY_SCORE")</f>
        <v>#N/A Requesting Data...</v>
      </c>
    </row>
    <row r="1392" spans="1:20" x14ac:dyDescent="0.25">
      <c r="A1392" t="str">
        <f>_xll.BDP("769595CA Muni","ID_CUSIP")</f>
        <v>#N/A Requesting Data...</v>
      </c>
      <c r="B1392" t="s">
        <v>125</v>
      </c>
      <c r="C1392" t="str">
        <f>_xll.BDP("769595CA Muni","INSURANCE_STATUS")</f>
        <v>#N/A Requesting Data...</v>
      </c>
      <c r="D1392" t="str">
        <f>_xll.BDP("769595CA Muni","STATE_CODE")</f>
        <v>#N/A Requesting Data...</v>
      </c>
      <c r="E1392" t="str">
        <f>_xll.BDP("769595CA Muni","COUNTY_LOCATION_ISSUER")</f>
        <v>#N/A Requesting Data...</v>
      </c>
      <c r="F1392" t="str">
        <f>_xll.BDP("769595CA Muni","DUR_ADJ_MID")</f>
        <v>#N/A Requesting Data...</v>
      </c>
      <c r="G1392" t="str">
        <f>_xll.BDP("769595CA Muni","SPREAD_AT_ISSUANCE_TO_WORST")</f>
        <v>#N/A Requesting Data...</v>
      </c>
      <c r="H1392" t="str">
        <f>_xll.BDP("769595CA Muni","ISSUE_DT")</f>
        <v>#N/A Requesting Data...</v>
      </c>
      <c r="I1392" t="str">
        <f>_xll.BDS("769595CA Muni","MUNI_PURPOSE_SCHED", "aggregate=y")</f>
        <v>#N/A Review</v>
      </c>
      <c r="J1392" t="str">
        <f>_xll.BDP("769595CA Muni","CPN")</f>
        <v>#N/A Requesting Data...</v>
      </c>
      <c r="K1392" t="str">
        <f>_xll.BDP("769595CA Muni","MATURITY")</f>
        <v>#N/A Requesting Data...</v>
      </c>
      <c r="L1392">
        <v>1380000</v>
      </c>
      <c r="M1392" t="str">
        <f>_xll.BDP("769595CA Muni","YIELD_ON_ISSUE_DATE")</f>
        <v>#N/A Requesting Data...</v>
      </c>
      <c r="N1392" t="str">
        <f>_xll.BDP("769595CA Muni","YTW_SPREAD_TO_MATURITY_AT_ISSU")</f>
        <v>#N/A Requesting Data...</v>
      </c>
      <c r="O1392" t="str">
        <f>_xll.BDP("769595CA Muni","BVAL_MID_YTM")</f>
        <v>#N/A Requesting Data...</v>
      </c>
      <c r="P1392" t="str">
        <f>_xll.BDP("769595CA Muni","MUNI_TAX_PROV")</f>
        <v>#N/A Requesting Data...</v>
      </c>
      <c r="Q1392" t="str">
        <f>_xll.BDP("769595CA Muni","MUNI_FED_TAX")</f>
        <v>#N/A Requesting Data...</v>
      </c>
      <c r="R1392" t="str">
        <f>_xll.BDP("769595CA Muni","MUNI_MSRB_VOLUME")</f>
        <v>#N/A Requesting Data...</v>
      </c>
      <c r="S1392" t="str">
        <f>_xll.BDP("769595CA Muni","BB_COMPOSITE")</f>
        <v>#N/A Requesting Data...</v>
      </c>
      <c r="T1392" t="str">
        <f>_xll.BDP("769595CA Muni","LQA_LIQUIDITY_SCORE")</f>
        <v>#N/A Requesting Data...</v>
      </c>
    </row>
    <row r="1393" spans="1:20" x14ac:dyDescent="0.25">
      <c r="A1393" t="str">
        <f>_xll.BDP("65956NGK Muni","ID_CUSIP")</f>
        <v>#N/A Requesting Data...</v>
      </c>
      <c r="B1393" t="s">
        <v>120</v>
      </c>
      <c r="C1393" t="str">
        <f>_xll.BDP("65956NGK Muni","INSURANCE_STATUS")</f>
        <v>#N/A Requesting Data...</v>
      </c>
      <c r="D1393" t="str">
        <f>_xll.BDP("65956NGK Muni","STATE_CODE")</f>
        <v>#N/A Requesting Data...</v>
      </c>
      <c r="E1393" t="str">
        <f>_xll.BDP("65956NGK Muni","COUNTY_LOCATION_ISSUER")</f>
        <v>#N/A Requesting Data...</v>
      </c>
      <c r="F1393" t="str">
        <f>_xll.BDP("65956NGK Muni","DUR_ADJ_MID")</f>
        <v>#N/A Requesting Data...</v>
      </c>
      <c r="G1393" t="str">
        <f>_xll.BDP("65956NGK Muni","SPREAD_AT_ISSUANCE_TO_WORST")</f>
        <v>#N/A Requesting Data...</v>
      </c>
      <c r="H1393" t="str">
        <f>_xll.BDP("65956NGK Muni","ISSUE_DT")</f>
        <v>#N/A Requesting Data...</v>
      </c>
      <c r="I1393" t="str">
        <f>_xll.BDS("65956NGK Muni","MUNI_PURPOSE_SCHED", "aggregate=y")</f>
        <v>#N/A Review</v>
      </c>
      <c r="J1393" t="str">
        <f>_xll.BDP("65956NGK Muni","CPN")</f>
        <v>#N/A Requesting Data...</v>
      </c>
      <c r="K1393" t="str">
        <f>_xll.BDP("65956NGK Muni","MATURITY")</f>
        <v>#N/A Requesting Data...</v>
      </c>
      <c r="L1393">
        <v>8295000</v>
      </c>
      <c r="M1393" t="str">
        <f>_xll.BDP("65956NGK Muni","YIELD_ON_ISSUE_DATE")</f>
        <v>#N/A Requesting Data...</v>
      </c>
      <c r="N1393" t="str">
        <f>_xll.BDP("65956NGK Muni","YTW_SPREAD_TO_MATURITY_AT_ISSU")</f>
        <v>#N/A Requesting Data...</v>
      </c>
      <c r="O1393" t="str">
        <f>_xll.BDP("65956NGK Muni","BVAL_MID_YTM")</f>
        <v>#N/A Requesting Data...</v>
      </c>
      <c r="P1393" t="str">
        <f>_xll.BDP("65956NGK Muni","MUNI_TAX_PROV")</f>
        <v>#N/A Requesting Data...</v>
      </c>
      <c r="Q1393" t="str">
        <f>_xll.BDP("65956NGK Muni","MUNI_FED_TAX")</f>
        <v>#N/A Requesting Data...</v>
      </c>
      <c r="R1393" t="str">
        <f>_xll.BDP("65956NGK Muni","MUNI_MSRB_VOLUME")</f>
        <v>#N/A Requesting Data...</v>
      </c>
      <c r="S1393" t="str">
        <f>_xll.BDP("65956NGK Muni","BB_COMPOSITE")</f>
        <v>#N/A Requesting Data...</v>
      </c>
      <c r="T1393" t="str">
        <f>_xll.BDP("65956NGK Muni","LQA_LIQUIDITY_SCORE")</f>
        <v>#N/A Requesting Data...</v>
      </c>
    </row>
    <row r="1394" spans="1:20" x14ac:dyDescent="0.25">
      <c r="A1394" t="str">
        <f>_xll.BDP("65956NGL Muni","ID_CUSIP")</f>
        <v>#N/A Requesting Data...</v>
      </c>
      <c r="B1394" t="s">
        <v>120</v>
      </c>
      <c r="C1394" t="str">
        <f>_xll.BDP("65956NGL Muni","INSURANCE_STATUS")</f>
        <v>#N/A Requesting Data...</v>
      </c>
      <c r="D1394" t="str">
        <f>_xll.BDP("65956NGL Muni","STATE_CODE")</f>
        <v>#N/A Requesting Data...</v>
      </c>
      <c r="E1394" t="str">
        <f>_xll.BDP("65956NGL Muni","COUNTY_LOCATION_ISSUER")</f>
        <v>#N/A Requesting Data...</v>
      </c>
      <c r="F1394" t="str">
        <f>_xll.BDP("65956NGL Muni","DUR_ADJ_MID")</f>
        <v>#N/A Requesting Data...</v>
      </c>
      <c r="G1394" t="str">
        <f>_xll.BDP("65956NGL Muni","SPREAD_AT_ISSUANCE_TO_WORST")</f>
        <v>#N/A Requesting Data...</v>
      </c>
      <c r="H1394" t="str">
        <f>_xll.BDP("65956NGL Muni","ISSUE_DT")</f>
        <v>#N/A Requesting Data...</v>
      </c>
      <c r="I1394" t="str">
        <f>_xll.BDS("65956NGL Muni","MUNI_PURPOSE_SCHED", "aggregate=y")</f>
        <v>#N/A Review</v>
      </c>
      <c r="J1394" t="str">
        <f>_xll.BDP("65956NGL Muni","CPN")</f>
        <v>#N/A Requesting Data...</v>
      </c>
      <c r="K1394" t="str">
        <f>_xll.BDP("65956NGL Muni","MATURITY")</f>
        <v>#N/A Requesting Data...</v>
      </c>
      <c r="L1394">
        <v>8710000</v>
      </c>
      <c r="M1394" t="str">
        <f>_xll.BDP("65956NGL Muni","YIELD_ON_ISSUE_DATE")</f>
        <v>#N/A Requesting Data...</v>
      </c>
      <c r="N1394" t="str">
        <f>_xll.BDP("65956NGL Muni","YTW_SPREAD_TO_MATURITY_AT_ISSU")</f>
        <v>#N/A Requesting Data...</v>
      </c>
      <c r="O1394" t="str">
        <f>_xll.BDP("65956NGL Muni","BVAL_MID_YTM")</f>
        <v>#N/A Requesting Data...</v>
      </c>
      <c r="P1394" t="str">
        <f>_xll.BDP("65956NGL Muni","MUNI_TAX_PROV")</f>
        <v>#N/A Requesting Data...</v>
      </c>
      <c r="Q1394" t="str">
        <f>_xll.BDP("65956NGL Muni","MUNI_FED_TAX")</f>
        <v>#N/A Requesting Data...</v>
      </c>
      <c r="R1394" t="str">
        <f>_xll.BDP("65956NGL Muni","MUNI_MSRB_VOLUME")</f>
        <v>#N/A Requesting Data...</v>
      </c>
      <c r="S1394" t="str">
        <f>_xll.BDP("65956NGL Muni","BB_COMPOSITE")</f>
        <v>#N/A Requesting Data...</v>
      </c>
      <c r="T1394" t="str">
        <f>_xll.BDP("65956NGL Muni","LQA_LIQUIDITY_SCORE")</f>
        <v>#N/A Requesting Data...</v>
      </c>
    </row>
    <row r="1395" spans="1:20" x14ac:dyDescent="0.25">
      <c r="A1395" t="str">
        <f>_xll.BDP("65956NGM Muni","ID_CUSIP")</f>
        <v>#N/A Requesting Data...</v>
      </c>
      <c r="B1395" t="s">
        <v>120</v>
      </c>
      <c r="C1395" t="str">
        <f>_xll.BDP("65956NGM Muni","INSURANCE_STATUS")</f>
        <v>#N/A Requesting Data...</v>
      </c>
      <c r="D1395" t="str">
        <f>_xll.BDP("65956NGM Muni","STATE_CODE")</f>
        <v>#N/A Requesting Data...</v>
      </c>
      <c r="E1395" t="str">
        <f>_xll.BDP("65956NGM Muni","COUNTY_LOCATION_ISSUER")</f>
        <v>#N/A Requesting Data...</v>
      </c>
      <c r="F1395" t="str">
        <f>_xll.BDP("65956NGM Muni","DUR_ADJ_MID")</f>
        <v>#N/A Requesting Data...</v>
      </c>
      <c r="G1395" t="str">
        <f>_xll.BDP("65956NGM Muni","SPREAD_AT_ISSUANCE_TO_WORST")</f>
        <v>#N/A Requesting Data...</v>
      </c>
      <c r="H1395" t="str">
        <f>_xll.BDP("65956NGM Muni","ISSUE_DT")</f>
        <v>#N/A Requesting Data...</v>
      </c>
      <c r="I1395" t="str">
        <f>_xll.BDS("65956NGM Muni","MUNI_PURPOSE_SCHED", "aggregate=y")</f>
        <v>#N/A Review</v>
      </c>
      <c r="J1395" t="str">
        <f>_xll.BDP("65956NGM Muni","CPN")</f>
        <v>#N/A Requesting Data...</v>
      </c>
      <c r="K1395" t="str">
        <f>_xll.BDP("65956NGM Muni","MATURITY")</f>
        <v>#N/A Requesting Data...</v>
      </c>
      <c r="L1395">
        <v>9140000</v>
      </c>
      <c r="M1395" t="str">
        <f>_xll.BDP("65956NGM Muni","YIELD_ON_ISSUE_DATE")</f>
        <v>#N/A Requesting Data...</v>
      </c>
      <c r="N1395" t="str">
        <f>_xll.BDP("65956NGM Muni","YTW_SPREAD_TO_MATURITY_AT_ISSU")</f>
        <v>#N/A Requesting Data...</v>
      </c>
      <c r="O1395" t="str">
        <f>_xll.BDP("65956NGM Muni","BVAL_MID_YTM")</f>
        <v>#N/A Requesting Data...</v>
      </c>
      <c r="P1395" t="str">
        <f>_xll.BDP("65956NGM Muni","MUNI_TAX_PROV")</f>
        <v>#N/A Requesting Data...</v>
      </c>
      <c r="Q1395" t="str">
        <f>_xll.BDP("65956NGM Muni","MUNI_FED_TAX")</f>
        <v>#N/A Requesting Data...</v>
      </c>
      <c r="R1395" t="str">
        <f>_xll.BDP("65956NGM Muni","MUNI_MSRB_VOLUME")</f>
        <v>#N/A Requesting Data...</v>
      </c>
      <c r="S1395" t="str">
        <f>_xll.BDP("65956NGM Muni","BB_COMPOSITE")</f>
        <v>#N/A Requesting Data...</v>
      </c>
      <c r="T1395" t="str">
        <f>_xll.BDP("65956NGM Muni","LQA_LIQUIDITY_SCORE")</f>
        <v>#N/A Requesting Data...</v>
      </c>
    </row>
    <row r="1396" spans="1:20" x14ac:dyDescent="0.25">
      <c r="A1396" t="str">
        <f>_xll.BDP("659666SN Muni","ID_CUSIP")</f>
        <v>#N/A Requesting Data...</v>
      </c>
      <c r="B1396" t="s">
        <v>446</v>
      </c>
      <c r="C1396" t="str">
        <f>_xll.BDP("659666SN Muni","INSURANCE_STATUS")</f>
        <v>#N/A Requesting Data...</v>
      </c>
      <c r="D1396" t="str">
        <f>_xll.BDP("659666SN Muni","STATE_CODE")</f>
        <v>#N/A Requesting Data...</v>
      </c>
      <c r="E1396" t="str">
        <f>_xll.BDP("659666SN Muni","COUNTY_LOCATION_ISSUER")</f>
        <v>#N/A Requesting Data...</v>
      </c>
      <c r="F1396" t="str">
        <f>_xll.BDP("659666SN Muni","DUR_ADJ_MID")</f>
        <v>#N/A Requesting Data...</v>
      </c>
      <c r="G1396" t="str">
        <f>_xll.BDP("659666SN Muni","SPREAD_AT_ISSUANCE_TO_WORST")</f>
        <v>#N/A Requesting Data...</v>
      </c>
      <c r="H1396" t="str">
        <f>_xll.BDP("659666SN Muni","ISSUE_DT")</f>
        <v>#N/A Requesting Data...</v>
      </c>
      <c r="I1396" t="str">
        <f>_xll.BDS("659666SN Muni","MUNI_PURPOSE_SCHED", "aggregate=y")</f>
        <v>#N/A Review</v>
      </c>
      <c r="J1396" t="str">
        <f>_xll.BDP("659666SN Muni","CPN")</f>
        <v>#N/A Requesting Data...</v>
      </c>
      <c r="K1396" t="str">
        <f>_xll.BDP("659666SN Muni","MATURITY")</f>
        <v>#N/A Requesting Data...</v>
      </c>
      <c r="L1396">
        <v>525000</v>
      </c>
      <c r="M1396" t="str">
        <f>_xll.BDP("659666SN Muni","YIELD_ON_ISSUE_DATE")</f>
        <v>#N/A Requesting Data...</v>
      </c>
      <c r="N1396" t="str">
        <f>_xll.BDP("659666SN Muni","YTW_SPREAD_TO_MATURITY_AT_ISSU")</f>
        <v>#N/A Requesting Data...</v>
      </c>
      <c r="O1396" t="str">
        <f>_xll.BDP("659666SN Muni","BVAL_MID_YTM")</f>
        <v>#N/A Requesting Data...</v>
      </c>
      <c r="P1396" t="str">
        <f>_xll.BDP("659666SN Muni","MUNI_TAX_PROV")</f>
        <v>#N/A Requesting Data...</v>
      </c>
      <c r="Q1396" t="str">
        <f>_xll.BDP("659666SN Muni","MUNI_FED_TAX")</f>
        <v>#N/A Requesting Data...</v>
      </c>
      <c r="R1396" t="str">
        <f>_xll.BDP("659666SN Muni","MUNI_MSRB_VOLUME")</f>
        <v>#N/A Requesting Data...</v>
      </c>
      <c r="S1396" t="str">
        <f>_xll.BDP("659666SN Muni","BB_COMPOSITE")</f>
        <v>#N/A Requesting Data...</v>
      </c>
      <c r="T1396" t="str">
        <f>_xll.BDP("659666SN Muni","LQA_LIQUIDITY_SCORE")</f>
        <v>#N/A Requesting Data...</v>
      </c>
    </row>
    <row r="1397" spans="1:20" x14ac:dyDescent="0.25">
      <c r="A1397" t="str">
        <f>_xll.BDP("659666SP Muni","ID_CUSIP")</f>
        <v>#N/A Requesting Data...</v>
      </c>
      <c r="B1397" t="s">
        <v>446</v>
      </c>
      <c r="C1397" t="str">
        <f>_xll.BDP("659666SP Muni","INSURANCE_STATUS")</f>
        <v>#N/A Requesting Data...</v>
      </c>
      <c r="D1397" t="str">
        <f>_xll.BDP("659666SP Muni","STATE_CODE")</f>
        <v>#N/A Requesting Data...</v>
      </c>
      <c r="E1397" t="str">
        <f>_xll.BDP("659666SP Muni","COUNTY_LOCATION_ISSUER")</f>
        <v>#N/A Requesting Data...</v>
      </c>
      <c r="F1397" t="str">
        <f>_xll.BDP("659666SP Muni","DUR_ADJ_MID")</f>
        <v>#N/A Requesting Data...</v>
      </c>
      <c r="G1397" t="str">
        <f>_xll.BDP("659666SP Muni","SPREAD_AT_ISSUANCE_TO_WORST")</f>
        <v>#N/A Requesting Data...</v>
      </c>
      <c r="H1397" t="str">
        <f>_xll.BDP("659666SP Muni","ISSUE_DT")</f>
        <v>#N/A Requesting Data...</v>
      </c>
      <c r="I1397" t="str">
        <f>_xll.BDS("659666SP Muni","MUNI_PURPOSE_SCHED", "aggregate=y")</f>
        <v>#N/A Review</v>
      </c>
      <c r="J1397" t="str">
        <f>_xll.BDP("659666SP Muni","CPN")</f>
        <v>#N/A Requesting Data...</v>
      </c>
      <c r="K1397" t="str">
        <f>_xll.BDP("659666SP Muni","MATURITY")</f>
        <v>#N/A Requesting Data...</v>
      </c>
      <c r="L1397">
        <v>530000</v>
      </c>
      <c r="M1397" t="str">
        <f>_xll.BDP("659666SP Muni","YIELD_ON_ISSUE_DATE")</f>
        <v>#N/A Requesting Data...</v>
      </c>
      <c r="N1397" t="str">
        <f>_xll.BDP("659666SP Muni","YTW_SPREAD_TO_MATURITY_AT_ISSU")</f>
        <v>#N/A Requesting Data...</v>
      </c>
      <c r="O1397" t="str">
        <f>_xll.BDP("659666SP Muni","BVAL_MID_YTM")</f>
        <v>#N/A Requesting Data...</v>
      </c>
      <c r="P1397" t="str">
        <f>_xll.BDP("659666SP Muni","MUNI_TAX_PROV")</f>
        <v>#N/A Requesting Data...</v>
      </c>
      <c r="Q1397" t="str">
        <f>_xll.BDP("659666SP Muni","MUNI_FED_TAX")</f>
        <v>#N/A Requesting Data...</v>
      </c>
      <c r="R1397" t="str">
        <f>_xll.BDP("659666SP Muni","MUNI_MSRB_VOLUME")</f>
        <v>#N/A Requesting Data...</v>
      </c>
      <c r="S1397" t="str">
        <f>_xll.BDP("659666SP Muni","BB_COMPOSITE")</f>
        <v>#N/A Requesting Data...</v>
      </c>
      <c r="T1397" t="str">
        <f>_xll.BDP("659666SP Muni","LQA_LIQUIDITY_SCORE")</f>
        <v>#N/A Requesting Data...</v>
      </c>
    </row>
    <row r="1398" spans="1:20" x14ac:dyDescent="0.25">
      <c r="A1398" t="str">
        <f>_xll.BDP("659666SQ Muni","ID_CUSIP")</f>
        <v>#N/A Requesting Data...</v>
      </c>
      <c r="B1398" t="s">
        <v>446</v>
      </c>
      <c r="C1398" t="str">
        <f>_xll.BDP("659666SQ Muni","INSURANCE_STATUS")</f>
        <v>#N/A Requesting Data...</v>
      </c>
      <c r="D1398" t="str">
        <f>_xll.BDP("659666SQ Muni","STATE_CODE")</f>
        <v>#N/A Requesting Data...</v>
      </c>
      <c r="E1398" t="str">
        <f>_xll.BDP("659666SQ Muni","COUNTY_LOCATION_ISSUER")</f>
        <v>#N/A Requesting Data...</v>
      </c>
      <c r="F1398" t="str">
        <f>_xll.BDP("659666SQ Muni","DUR_ADJ_MID")</f>
        <v>#N/A Requesting Data...</v>
      </c>
      <c r="G1398" t="str">
        <f>_xll.BDP("659666SQ Muni","SPREAD_AT_ISSUANCE_TO_WORST")</f>
        <v>#N/A Requesting Data...</v>
      </c>
      <c r="H1398" t="str">
        <f>_xll.BDP("659666SQ Muni","ISSUE_DT")</f>
        <v>#N/A Requesting Data...</v>
      </c>
      <c r="I1398" t="str">
        <f>_xll.BDS("659666SQ Muni","MUNI_PURPOSE_SCHED", "aggregate=y")</f>
        <v>#N/A Review</v>
      </c>
      <c r="J1398" t="str">
        <f>_xll.BDP("659666SQ Muni","CPN")</f>
        <v>#N/A Requesting Data...</v>
      </c>
      <c r="K1398" t="str">
        <f>_xll.BDP("659666SQ Muni","MATURITY")</f>
        <v>#N/A Requesting Data...</v>
      </c>
      <c r="L1398">
        <v>540000</v>
      </c>
      <c r="M1398" t="str">
        <f>_xll.BDP("659666SQ Muni","YIELD_ON_ISSUE_DATE")</f>
        <v>#N/A Requesting Data...</v>
      </c>
      <c r="N1398" t="str">
        <f>_xll.BDP("659666SQ Muni","YTW_SPREAD_TO_MATURITY_AT_ISSU")</f>
        <v>#N/A Requesting Data...</v>
      </c>
      <c r="O1398" t="str">
        <f>_xll.BDP("659666SQ Muni","BVAL_MID_YTM")</f>
        <v>#N/A Requesting Data...</v>
      </c>
      <c r="P1398" t="str">
        <f>_xll.BDP("659666SQ Muni","MUNI_TAX_PROV")</f>
        <v>#N/A Requesting Data...</v>
      </c>
      <c r="Q1398" t="str">
        <f>_xll.BDP("659666SQ Muni","MUNI_FED_TAX")</f>
        <v>#N/A Requesting Data...</v>
      </c>
      <c r="R1398" t="str">
        <f>_xll.BDP("659666SQ Muni","MUNI_MSRB_VOLUME")</f>
        <v>#N/A Requesting Data...</v>
      </c>
      <c r="S1398" t="str">
        <f>_xll.BDP("659666SQ Muni","BB_COMPOSITE")</f>
        <v>#N/A Requesting Data...</v>
      </c>
      <c r="T1398" t="str">
        <f>_xll.BDP("659666SQ Muni","LQA_LIQUIDITY_SCORE")</f>
        <v>#N/A Requesting Data...</v>
      </c>
    </row>
    <row r="1399" spans="1:20" x14ac:dyDescent="0.25">
      <c r="A1399" t="str">
        <f>_xll.BDP("66416DEQ Muni","ID_CUSIP")</f>
        <v>#N/A Requesting Data...</v>
      </c>
      <c r="B1399" t="s">
        <v>447</v>
      </c>
      <c r="C1399" t="str">
        <f>_xll.BDP("66416DEQ Muni","INSURANCE_STATUS")</f>
        <v>#N/A Requesting Data...</v>
      </c>
      <c r="D1399" t="str">
        <f>_xll.BDP("66416DEQ Muni","STATE_CODE")</f>
        <v>#N/A Requesting Data...</v>
      </c>
      <c r="E1399" t="str">
        <f>_xll.BDP("66416DEQ Muni","COUNTY_LOCATION_ISSUER")</f>
        <v>#N/A Requesting Data...</v>
      </c>
      <c r="F1399" t="str">
        <f>_xll.BDP("66416DEQ Muni","DUR_ADJ_MID")</f>
        <v>#N/A Requesting Data...</v>
      </c>
      <c r="G1399" t="str">
        <f>_xll.BDP("66416DEQ Muni","SPREAD_AT_ISSUANCE_TO_WORST")</f>
        <v>#N/A Requesting Data...</v>
      </c>
      <c r="H1399" t="str">
        <f>_xll.BDP("66416DEQ Muni","ISSUE_DT")</f>
        <v>#N/A Requesting Data...</v>
      </c>
      <c r="I1399" t="str">
        <f>_xll.BDS("66416DEQ Muni","MUNI_PURPOSE_SCHED", "aggregate=y")</f>
        <v>#N/A Review</v>
      </c>
      <c r="J1399" t="str">
        <f>_xll.BDP("66416DEQ Muni","CPN")</f>
        <v>#N/A Requesting Data...</v>
      </c>
      <c r="K1399" t="str">
        <f>_xll.BDP("66416DEQ Muni","MATURITY")</f>
        <v>#N/A Requesting Data...</v>
      </c>
      <c r="L1399">
        <v>25000</v>
      </c>
      <c r="M1399" t="str">
        <f>_xll.BDP("66416DEQ Muni","YIELD_ON_ISSUE_DATE")</f>
        <v>#N/A Requesting Data...</v>
      </c>
      <c r="N1399" t="str">
        <f>_xll.BDP("66416DEQ Muni","YTW_SPREAD_TO_MATURITY_AT_ISSU")</f>
        <v>#N/A Requesting Data...</v>
      </c>
      <c r="O1399" t="str">
        <f>_xll.BDP("66416DEQ Muni","BVAL_MID_YTM")</f>
        <v>#N/A Requesting Data...</v>
      </c>
      <c r="P1399" t="str">
        <f>_xll.BDP("66416DEQ Muni","MUNI_TAX_PROV")</f>
        <v>#N/A Requesting Data...</v>
      </c>
      <c r="Q1399" t="str">
        <f>_xll.BDP("66416DEQ Muni","MUNI_FED_TAX")</f>
        <v>#N/A Requesting Data...</v>
      </c>
      <c r="R1399" t="str">
        <f>_xll.BDP("66416DEQ Muni","MUNI_MSRB_VOLUME")</f>
        <v>#N/A Requesting Data...</v>
      </c>
      <c r="S1399" t="str">
        <f>_xll.BDP("66416DEQ Muni","BB_COMPOSITE")</f>
        <v>#N/A Requesting Data...</v>
      </c>
      <c r="T1399" t="str">
        <f>_xll.BDP("66416DEQ Muni","LQA_LIQUIDITY_SCORE")</f>
        <v>#N/A Requesting Data...</v>
      </c>
    </row>
    <row r="1400" spans="1:20" x14ac:dyDescent="0.25">
      <c r="A1400" t="str">
        <f>_xll.BDP("66416DER Muni","ID_CUSIP")</f>
        <v>#N/A Requesting Data...</v>
      </c>
      <c r="B1400" t="s">
        <v>447</v>
      </c>
      <c r="C1400" t="str">
        <f>_xll.BDP("66416DER Muni","INSURANCE_STATUS")</f>
        <v>#N/A Requesting Data...</v>
      </c>
      <c r="D1400" t="str">
        <f>_xll.BDP("66416DER Muni","STATE_CODE")</f>
        <v>#N/A Requesting Data...</v>
      </c>
      <c r="E1400" t="str">
        <f>_xll.BDP("66416DER Muni","COUNTY_LOCATION_ISSUER")</f>
        <v>#N/A Requesting Data...</v>
      </c>
      <c r="F1400" t="str">
        <f>_xll.BDP("66416DER Muni","DUR_ADJ_MID")</f>
        <v>#N/A Requesting Data...</v>
      </c>
      <c r="G1400" t="str">
        <f>_xll.BDP("66416DER Muni","SPREAD_AT_ISSUANCE_TO_WORST")</f>
        <v>#N/A Requesting Data...</v>
      </c>
      <c r="H1400" t="str">
        <f>_xll.BDP("66416DER Muni","ISSUE_DT")</f>
        <v>#N/A Requesting Data...</v>
      </c>
      <c r="I1400" t="str">
        <f>_xll.BDS("66416DER Muni","MUNI_PURPOSE_SCHED", "aggregate=y")</f>
        <v>#N/A Review</v>
      </c>
      <c r="J1400" t="str">
        <f>_xll.BDP("66416DER Muni","CPN")</f>
        <v>#N/A Requesting Data...</v>
      </c>
      <c r="K1400" t="str">
        <f>_xll.BDP("66416DER Muni","MATURITY")</f>
        <v>#N/A Requesting Data...</v>
      </c>
      <c r="L1400">
        <v>25000</v>
      </c>
      <c r="M1400" t="str">
        <f>_xll.BDP("66416DER Muni","YIELD_ON_ISSUE_DATE")</f>
        <v>#N/A Requesting Data...</v>
      </c>
      <c r="N1400" t="str">
        <f>_xll.BDP("66416DER Muni","YTW_SPREAD_TO_MATURITY_AT_ISSU")</f>
        <v>#N/A Requesting Data...</v>
      </c>
      <c r="O1400" t="str">
        <f>_xll.BDP("66416DER Muni","BVAL_MID_YTM")</f>
        <v>#N/A Requesting Data...</v>
      </c>
      <c r="P1400" t="str">
        <f>_xll.BDP("66416DER Muni","MUNI_TAX_PROV")</f>
        <v>#N/A Requesting Data...</v>
      </c>
      <c r="Q1400" t="str">
        <f>_xll.BDP("66416DER Muni","MUNI_FED_TAX")</f>
        <v>#N/A Requesting Data...</v>
      </c>
      <c r="R1400" t="str">
        <f>_xll.BDP("66416DER Muni","MUNI_MSRB_VOLUME")</f>
        <v>#N/A Requesting Data...</v>
      </c>
      <c r="S1400" t="str">
        <f>_xll.BDP("66416DER Muni","BB_COMPOSITE")</f>
        <v>#N/A Requesting Data...</v>
      </c>
      <c r="T1400" t="str">
        <f>_xll.BDP("66416DER Muni","LQA_LIQUIDITY_SCORE")</f>
        <v>#N/A Requesting Data...</v>
      </c>
    </row>
    <row r="1401" spans="1:20" x14ac:dyDescent="0.25">
      <c r="A1401" t="str">
        <f>_xll.BDP("666495CR Muni","ID_CUSIP")</f>
        <v>#N/A Requesting Data...</v>
      </c>
      <c r="B1401" t="s">
        <v>448</v>
      </c>
      <c r="C1401" t="str">
        <f>_xll.BDP("666495CR Muni","INSURANCE_STATUS")</f>
        <v>#N/A Requesting Data...</v>
      </c>
      <c r="D1401" t="str">
        <f>_xll.BDP("666495CR Muni","STATE_CODE")</f>
        <v>#N/A Requesting Data...</v>
      </c>
      <c r="E1401" t="str">
        <f>_xll.BDP("666495CR Muni","COUNTY_LOCATION_ISSUER")</f>
        <v>#N/A Requesting Data...</v>
      </c>
      <c r="F1401" t="str">
        <f>_xll.BDP("666495CR Muni","DUR_ADJ_MID")</f>
        <v>#N/A Requesting Data...</v>
      </c>
      <c r="G1401" t="str">
        <f>_xll.BDP("666495CR Muni","SPREAD_AT_ISSUANCE_TO_WORST")</f>
        <v>#N/A Requesting Data...</v>
      </c>
      <c r="H1401" t="str">
        <f>_xll.BDP("666495CR Muni","ISSUE_DT")</f>
        <v>#N/A Requesting Data...</v>
      </c>
      <c r="I1401" t="str">
        <f>_xll.BDS("666495CR Muni","MUNI_PURPOSE_SCHED", "aggregate=y")</f>
        <v>#N/A Review</v>
      </c>
      <c r="J1401" t="str">
        <f>_xll.BDP("666495CR Muni","CPN")</f>
        <v>#N/A Requesting Data...</v>
      </c>
      <c r="K1401" t="str">
        <f>_xll.BDP("666495CR Muni","MATURITY")</f>
        <v>#N/A Requesting Data...</v>
      </c>
      <c r="L1401">
        <v>345000</v>
      </c>
      <c r="M1401" t="str">
        <f>_xll.BDP("666495CR Muni","YIELD_ON_ISSUE_DATE")</f>
        <v>#N/A Requesting Data...</v>
      </c>
      <c r="N1401" t="str">
        <f>_xll.BDP("666495CR Muni","YTW_SPREAD_TO_MATURITY_AT_ISSU")</f>
        <v>#N/A Requesting Data...</v>
      </c>
      <c r="O1401" t="str">
        <f>_xll.BDP("666495CR Muni","BVAL_MID_YTM")</f>
        <v>#N/A Requesting Data...</v>
      </c>
      <c r="P1401" t="str">
        <f>_xll.BDP("666495CR Muni","MUNI_TAX_PROV")</f>
        <v>#N/A Requesting Data...</v>
      </c>
      <c r="Q1401" t="str">
        <f>_xll.BDP("666495CR Muni","MUNI_FED_TAX")</f>
        <v>#N/A Requesting Data...</v>
      </c>
      <c r="R1401" t="str">
        <f>_xll.BDP("666495CR Muni","MUNI_MSRB_VOLUME")</f>
        <v>#N/A Requesting Data...</v>
      </c>
      <c r="S1401" t="str">
        <f>_xll.BDP("666495CR Muni","BB_COMPOSITE")</f>
        <v>#N/A Requesting Data...</v>
      </c>
      <c r="T1401" t="str">
        <f>_xll.BDP("666495CR Muni","LQA_LIQUIDITY_SCORE")</f>
        <v>#N/A Requesting Data...</v>
      </c>
    </row>
    <row r="1402" spans="1:20" x14ac:dyDescent="0.25">
      <c r="A1402" t="str">
        <f>_xll.BDP("666495CS Muni","ID_CUSIP")</f>
        <v>#N/A Requesting Data...</v>
      </c>
      <c r="B1402" t="s">
        <v>448</v>
      </c>
      <c r="C1402" t="str">
        <f>_xll.BDP("666495CS Muni","INSURANCE_STATUS")</f>
        <v>#N/A Requesting Data...</v>
      </c>
      <c r="D1402" t="str">
        <f>_xll.BDP("666495CS Muni","STATE_CODE")</f>
        <v>#N/A Requesting Data...</v>
      </c>
      <c r="E1402" t="str">
        <f>_xll.BDP("666495CS Muni","COUNTY_LOCATION_ISSUER")</f>
        <v>#N/A Requesting Data...</v>
      </c>
      <c r="F1402" t="str">
        <f>_xll.BDP("666495CS Muni","DUR_ADJ_MID")</f>
        <v>#N/A Requesting Data...</v>
      </c>
      <c r="G1402" t="str">
        <f>_xll.BDP("666495CS Muni","SPREAD_AT_ISSUANCE_TO_WORST")</f>
        <v>#N/A Requesting Data...</v>
      </c>
      <c r="H1402" t="str">
        <f>_xll.BDP("666495CS Muni","ISSUE_DT")</f>
        <v>#N/A Requesting Data...</v>
      </c>
      <c r="I1402" t="str">
        <f>_xll.BDS("666495CS Muni","MUNI_PURPOSE_SCHED", "aggregate=y")</f>
        <v>#N/A Review</v>
      </c>
      <c r="J1402" t="str">
        <f>_xll.BDP("666495CS Muni","CPN")</f>
        <v>#N/A Requesting Data...</v>
      </c>
      <c r="K1402" t="str">
        <f>_xll.BDP("666495CS Muni","MATURITY")</f>
        <v>#N/A Requesting Data...</v>
      </c>
      <c r="L1402">
        <v>345000</v>
      </c>
      <c r="M1402" t="str">
        <f>_xll.BDP("666495CS Muni","YIELD_ON_ISSUE_DATE")</f>
        <v>#N/A Requesting Data...</v>
      </c>
      <c r="N1402" t="str">
        <f>_xll.BDP("666495CS Muni","YTW_SPREAD_TO_MATURITY_AT_ISSU")</f>
        <v>#N/A Requesting Data...</v>
      </c>
      <c r="O1402" t="str">
        <f>_xll.BDP("666495CS Muni","BVAL_MID_YTM")</f>
        <v>#N/A Requesting Data...</v>
      </c>
      <c r="P1402" t="str">
        <f>_xll.BDP("666495CS Muni","MUNI_TAX_PROV")</f>
        <v>#N/A Requesting Data...</v>
      </c>
      <c r="Q1402" t="str">
        <f>_xll.BDP("666495CS Muni","MUNI_FED_TAX")</f>
        <v>#N/A Requesting Data...</v>
      </c>
      <c r="R1402" t="str">
        <f>_xll.BDP("666495CS Muni","MUNI_MSRB_VOLUME")</f>
        <v>#N/A Requesting Data...</v>
      </c>
      <c r="S1402" t="str">
        <f>_xll.BDP("666495CS Muni","BB_COMPOSITE")</f>
        <v>#N/A Requesting Data...</v>
      </c>
      <c r="T1402" t="str">
        <f>_xll.BDP("666495CS Muni","LQA_LIQUIDITY_SCORE")</f>
        <v>#N/A Requesting Data...</v>
      </c>
    </row>
    <row r="1403" spans="1:20" x14ac:dyDescent="0.25">
      <c r="A1403" t="str">
        <f>_xll.BDP("666495CT Muni","ID_CUSIP")</f>
        <v>#N/A Requesting Data...</v>
      </c>
      <c r="B1403" t="s">
        <v>448</v>
      </c>
      <c r="C1403" t="str">
        <f>_xll.BDP("666495CT Muni","INSURANCE_STATUS")</f>
        <v>#N/A Requesting Data...</v>
      </c>
      <c r="D1403" t="str">
        <f>_xll.BDP("666495CT Muni","STATE_CODE")</f>
        <v>#N/A Requesting Data...</v>
      </c>
      <c r="E1403" t="str">
        <f>_xll.BDP("666495CT Muni","COUNTY_LOCATION_ISSUER")</f>
        <v>#N/A Requesting Data...</v>
      </c>
      <c r="F1403" t="str">
        <f>_xll.BDP("666495CT Muni","DUR_ADJ_MID")</f>
        <v>#N/A Requesting Data...</v>
      </c>
      <c r="G1403" t="str">
        <f>_xll.BDP("666495CT Muni","SPREAD_AT_ISSUANCE_TO_WORST")</f>
        <v>#N/A Requesting Data...</v>
      </c>
      <c r="H1403" t="str">
        <f>_xll.BDP("666495CT Muni","ISSUE_DT")</f>
        <v>#N/A Requesting Data...</v>
      </c>
      <c r="I1403" t="str">
        <f>_xll.BDS("666495CT Muni","MUNI_PURPOSE_SCHED", "aggregate=y")</f>
        <v>#N/A Review</v>
      </c>
      <c r="J1403" t="str">
        <f>_xll.BDP("666495CT Muni","CPN")</f>
        <v>#N/A Requesting Data...</v>
      </c>
      <c r="K1403" t="str">
        <f>_xll.BDP("666495CT Muni","MATURITY")</f>
        <v>#N/A Requesting Data...</v>
      </c>
      <c r="L1403">
        <v>310000</v>
      </c>
      <c r="M1403" t="str">
        <f>_xll.BDP("666495CT Muni","YIELD_ON_ISSUE_DATE")</f>
        <v>#N/A Requesting Data...</v>
      </c>
      <c r="N1403" t="str">
        <f>_xll.BDP("666495CT Muni","YTW_SPREAD_TO_MATURITY_AT_ISSU")</f>
        <v>#N/A Requesting Data...</v>
      </c>
      <c r="O1403" t="str">
        <f>_xll.BDP("666495CT Muni","BVAL_MID_YTM")</f>
        <v>#N/A Requesting Data...</v>
      </c>
      <c r="P1403" t="str">
        <f>_xll.BDP("666495CT Muni","MUNI_TAX_PROV")</f>
        <v>#N/A Requesting Data...</v>
      </c>
      <c r="Q1403" t="str">
        <f>_xll.BDP("666495CT Muni","MUNI_FED_TAX")</f>
        <v>#N/A Requesting Data...</v>
      </c>
      <c r="R1403" t="str">
        <f>_xll.BDP("666495CT Muni","MUNI_MSRB_VOLUME")</f>
        <v>#N/A Requesting Data...</v>
      </c>
      <c r="S1403" t="str">
        <f>_xll.BDP("666495CT Muni","BB_COMPOSITE")</f>
        <v>#N/A Requesting Data...</v>
      </c>
      <c r="T1403" t="str">
        <f>_xll.BDP("666495CT Muni","LQA_LIQUIDITY_SCORE")</f>
        <v>#N/A Requesting Data...</v>
      </c>
    </row>
    <row r="1404" spans="1:20" x14ac:dyDescent="0.25">
      <c r="A1404" t="str">
        <f>_xll.BDP("666495CU Muni","ID_CUSIP")</f>
        <v>#N/A Requesting Data...</v>
      </c>
      <c r="B1404" t="s">
        <v>448</v>
      </c>
      <c r="C1404" t="str">
        <f>_xll.BDP("666495CU Muni","INSURANCE_STATUS")</f>
        <v>#N/A Requesting Data...</v>
      </c>
      <c r="D1404" t="str">
        <f>_xll.BDP("666495CU Muni","STATE_CODE")</f>
        <v>#N/A Requesting Data...</v>
      </c>
      <c r="E1404" t="str">
        <f>_xll.BDP("666495CU Muni","COUNTY_LOCATION_ISSUER")</f>
        <v>#N/A Requesting Data...</v>
      </c>
      <c r="F1404" t="str">
        <f>_xll.BDP("666495CU Muni","DUR_ADJ_MID")</f>
        <v>#N/A Requesting Data...</v>
      </c>
      <c r="G1404" t="str">
        <f>_xll.BDP("666495CU Muni","SPREAD_AT_ISSUANCE_TO_WORST")</f>
        <v>#N/A Requesting Data...</v>
      </c>
      <c r="H1404" t="str">
        <f>_xll.BDP("666495CU Muni","ISSUE_DT")</f>
        <v>#N/A Requesting Data...</v>
      </c>
      <c r="I1404" t="str">
        <f>_xll.BDS("666495CU Muni","MUNI_PURPOSE_SCHED", "aggregate=y")</f>
        <v>#N/A Review</v>
      </c>
      <c r="J1404" t="str">
        <f>_xll.BDP("666495CU Muni","CPN")</f>
        <v>#N/A Requesting Data...</v>
      </c>
      <c r="K1404" t="str">
        <f>_xll.BDP("666495CU Muni","MATURITY")</f>
        <v>#N/A Requesting Data...</v>
      </c>
      <c r="L1404">
        <v>315000</v>
      </c>
      <c r="M1404" t="str">
        <f>_xll.BDP("666495CU Muni","YIELD_ON_ISSUE_DATE")</f>
        <v>#N/A Requesting Data...</v>
      </c>
      <c r="N1404" t="str">
        <f>_xll.BDP("666495CU Muni","YTW_SPREAD_TO_MATURITY_AT_ISSU")</f>
        <v>#N/A Requesting Data...</v>
      </c>
      <c r="O1404" t="str">
        <f>_xll.BDP("666495CU Muni","BVAL_MID_YTM")</f>
        <v>#N/A Requesting Data...</v>
      </c>
      <c r="P1404" t="str">
        <f>_xll.BDP("666495CU Muni","MUNI_TAX_PROV")</f>
        <v>#N/A Requesting Data...</v>
      </c>
      <c r="Q1404" t="str">
        <f>_xll.BDP("666495CU Muni","MUNI_FED_TAX")</f>
        <v>#N/A Requesting Data...</v>
      </c>
      <c r="R1404" t="str">
        <f>_xll.BDP("666495CU Muni","MUNI_MSRB_VOLUME")</f>
        <v>#N/A Requesting Data...</v>
      </c>
      <c r="S1404" t="str">
        <f>_xll.BDP("666495CU Muni","BB_COMPOSITE")</f>
        <v>#N/A Requesting Data...</v>
      </c>
      <c r="T1404" t="str">
        <f>_xll.BDP("666495CU Muni","LQA_LIQUIDITY_SCORE")</f>
        <v>#N/A Requesting Data...</v>
      </c>
    </row>
    <row r="1405" spans="1:20" x14ac:dyDescent="0.25">
      <c r="A1405" t="str">
        <f>_xll.BDP("666495CV Muni","ID_CUSIP")</f>
        <v>#N/A Requesting Data...</v>
      </c>
      <c r="B1405" t="s">
        <v>448</v>
      </c>
      <c r="C1405" t="str">
        <f>_xll.BDP("666495CV Muni","INSURANCE_STATUS")</f>
        <v>#N/A Requesting Data...</v>
      </c>
      <c r="D1405" t="str">
        <f>_xll.BDP("666495CV Muni","STATE_CODE")</f>
        <v>#N/A Requesting Data...</v>
      </c>
      <c r="E1405" t="str">
        <f>_xll.BDP("666495CV Muni","COUNTY_LOCATION_ISSUER")</f>
        <v>#N/A Requesting Data...</v>
      </c>
      <c r="F1405" t="str">
        <f>_xll.BDP("666495CV Muni","DUR_ADJ_MID")</f>
        <v>#N/A Requesting Data...</v>
      </c>
      <c r="G1405" t="str">
        <f>_xll.BDP("666495CV Muni","SPREAD_AT_ISSUANCE_TO_WORST")</f>
        <v>#N/A Requesting Data...</v>
      </c>
      <c r="H1405" t="str">
        <f>_xll.BDP("666495CV Muni","ISSUE_DT")</f>
        <v>#N/A Requesting Data...</v>
      </c>
      <c r="I1405" t="str">
        <f>_xll.BDS("666495CV Muni","MUNI_PURPOSE_SCHED", "aggregate=y")</f>
        <v>#N/A Review</v>
      </c>
      <c r="J1405" t="str">
        <f>_xll.BDP("666495CV Muni","CPN")</f>
        <v>#N/A Requesting Data...</v>
      </c>
      <c r="K1405" t="str">
        <f>_xll.BDP("666495CV Muni","MATURITY")</f>
        <v>#N/A Requesting Data...</v>
      </c>
      <c r="L1405">
        <v>355000</v>
      </c>
      <c r="M1405" t="str">
        <f>_xll.BDP("666495CV Muni","YIELD_ON_ISSUE_DATE")</f>
        <v>#N/A Requesting Data...</v>
      </c>
      <c r="N1405" t="str">
        <f>_xll.BDP("666495CV Muni","YTW_SPREAD_TO_MATURITY_AT_ISSU")</f>
        <v>#N/A Requesting Data...</v>
      </c>
      <c r="O1405" t="str">
        <f>_xll.BDP("666495CV Muni","BVAL_MID_YTM")</f>
        <v>#N/A Requesting Data...</v>
      </c>
      <c r="P1405" t="str">
        <f>_xll.BDP("666495CV Muni","MUNI_TAX_PROV")</f>
        <v>#N/A Requesting Data...</v>
      </c>
      <c r="Q1405" t="str">
        <f>_xll.BDP("666495CV Muni","MUNI_FED_TAX")</f>
        <v>#N/A Requesting Data...</v>
      </c>
      <c r="R1405" t="str">
        <f>_xll.BDP("666495CV Muni","MUNI_MSRB_VOLUME")</f>
        <v>#N/A Requesting Data...</v>
      </c>
      <c r="S1405" t="str">
        <f>_xll.BDP("666495CV Muni","BB_COMPOSITE")</f>
        <v>#N/A Requesting Data...</v>
      </c>
      <c r="T1405" t="str">
        <f>_xll.BDP("666495CV Muni","LQA_LIQUIDITY_SCORE")</f>
        <v>#N/A Requesting Data...</v>
      </c>
    </row>
    <row r="1406" spans="1:20" x14ac:dyDescent="0.25">
      <c r="A1406" t="str">
        <f>_xll.BDP("66661QME Muni","ID_CUSIP")</f>
        <v>#N/A Requesting Data...</v>
      </c>
      <c r="B1406" t="s">
        <v>449</v>
      </c>
      <c r="C1406" t="str">
        <f>_xll.BDP("66661QME Muni","INSURANCE_STATUS")</f>
        <v>#N/A Requesting Data...</v>
      </c>
      <c r="D1406" t="str">
        <f>_xll.BDP("66661QME Muni","STATE_CODE")</f>
        <v>#N/A Requesting Data...</v>
      </c>
      <c r="E1406" t="str">
        <f>_xll.BDP("66661QME Muni","COUNTY_LOCATION_ISSUER")</f>
        <v>#N/A Requesting Data...</v>
      </c>
      <c r="F1406" t="str">
        <f>_xll.BDP("66661QME Muni","DUR_ADJ_MID")</f>
        <v>#N/A Requesting Data...</v>
      </c>
      <c r="G1406" t="str">
        <f>_xll.BDP("66661QME Muni","SPREAD_AT_ISSUANCE_TO_WORST")</f>
        <v>#N/A Requesting Data...</v>
      </c>
      <c r="H1406" t="str">
        <f>_xll.BDP("66661QME Muni","ISSUE_DT")</f>
        <v>#N/A Requesting Data...</v>
      </c>
      <c r="I1406" t="str">
        <f>_xll.BDS("66661QME Muni","MUNI_PURPOSE_SCHED", "aggregate=y")</f>
        <v>#N/A Review</v>
      </c>
      <c r="J1406" t="str">
        <f>_xll.BDP("66661QME Muni","CPN")</f>
        <v>#N/A Requesting Data...</v>
      </c>
      <c r="K1406" t="str">
        <f>_xll.BDP("66661QME Muni","MATURITY")</f>
        <v>#N/A Requesting Data...</v>
      </c>
      <c r="L1406">
        <v>250000</v>
      </c>
      <c r="M1406" t="str">
        <f>_xll.BDP("66661QME Muni","YIELD_ON_ISSUE_DATE")</f>
        <v>#N/A Requesting Data...</v>
      </c>
      <c r="N1406" t="str">
        <f>_xll.BDP("66661QME Muni","YTW_SPREAD_TO_MATURITY_AT_ISSU")</f>
        <v>#N/A Requesting Data...</v>
      </c>
      <c r="O1406" t="str">
        <f>_xll.BDP("66661QME Muni","BVAL_MID_YTM")</f>
        <v>#N/A Requesting Data...</v>
      </c>
      <c r="P1406" t="str">
        <f>_xll.BDP("66661QME Muni","MUNI_TAX_PROV")</f>
        <v>#N/A Requesting Data...</v>
      </c>
      <c r="Q1406" t="str">
        <f>_xll.BDP("66661QME Muni","MUNI_FED_TAX")</f>
        <v>#N/A Requesting Data...</v>
      </c>
      <c r="R1406" t="str">
        <f>_xll.BDP("66661QME Muni","MUNI_MSRB_VOLUME")</f>
        <v>#N/A Requesting Data...</v>
      </c>
      <c r="S1406" t="str">
        <f>_xll.BDP("66661QME Muni","BB_COMPOSITE")</f>
        <v>#N/A Requesting Data...</v>
      </c>
      <c r="T1406" t="str">
        <f>_xll.BDP("66661QME Muni","LQA_LIQUIDITY_SCORE")</f>
        <v>#N/A Requesting Data...</v>
      </c>
    </row>
    <row r="1407" spans="1:20" x14ac:dyDescent="0.25">
      <c r="A1407" t="str">
        <f>_xll.BDP("66661QMF Muni","ID_CUSIP")</f>
        <v>#N/A Requesting Data...</v>
      </c>
      <c r="B1407" t="s">
        <v>449</v>
      </c>
      <c r="C1407" t="str">
        <f>_xll.BDP("66661QMF Muni","INSURANCE_STATUS")</f>
        <v>#N/A Requesting Data...</v>
      </c>
      <c r="D1407" t="str">
        <f>_xll.BDP("66661QMF Muni","STATE_CODE")</f>
        <v>#N/A Requesting Data...</v>
      </c>
      <c r="E1407" t="str">
        <f>_xll.BDP("66661QMF Muni","COUNTY_LOCATION_ISSUER")</f>
        <v>#N/A Requesting Data...</v>
      </c>
      <c r="F1407" t="str">
        <f>_xll.BDP("66661QMF Muni","DUR_ADJ_MID")</f>
        <v>#N/A Requesting Data...</v>
      </c>
      <c r="G1407" t="str">
        <f>_xll.BDP("66661QMF Muni","SPREAD_AT_ISSUANCE_TO_WORST")</f>
        <v>#N/A Requesting Data...</v>
      </c>
      <c r="H1407" t="str">
        <f>_xll.BDP("66661QMF Muni","ISSUE_DT")</f>
        <v>#N/A Requesting Data...</v>
      </c>
      <c r="I1407" t="str">
        <f>_xll.BDS("66661QMF Muni","MUNI_PURPOSE_SCHED", "aggregate=y")</f>
        <v>#N/A Review</v>
      </c>
      <c r="J1407" t="str">
        <f>_xll.BDP("66661QMF Muni","CPN")</f>
        <v>#N/A Requesting Data...</v>
      </c>
      <c r="K1407" t="str">
        <f>_xll.BDP("66661QMF Muni","MATURITY")</f>
        <v>#N/A Requesting Data...</v>
      </c>
      <c r="L1407">
        <v>250000</v>
      </c>
      <c r="M1407" t="str">
        <f>_xll.BDP("66661QMF Muni","YIELD_ON_ISSUE_DATE")</f>
        <v>#N/A Requesting Data...</v>
      </c>
      <c r="N1407" t="str">
        <f>_xll.BDP("66661QMF Muni","YTW_SPREAD_TO_MATURITY_AT_ISSU")</f>
        <v>#N/A Requesting Data...</v>
      </c>
      <c r="O1407" t="str">
        <f>_xll.BDP("66661QMF Muni","BVAL_MID_YTM")</f>
        <v>#N/A Requesting Data...</v>
      </c>
      <c r="P1407" t="str">
        <f>_xll.BDP("66661QMF Muni","MUNI_TAX_PROV")</f>
        <v>#N/A Requesting Data...</v>
      </c>
      <c r="Q1407" t="str">
        <f>_xll.BDP("66661QMF Muni","MUNI_FED_TAX")</f>
        <v>#N/A Requesting Data...</v>
      </c>
      <c r="R1407" t="str">
        <f>_xll.BDP("66661QMF Muni","MUNI_MSRB_VOLUME")</f>
        <v>#N/A Requesting Data...</v>
      </c>
      <c r="S1407" t="str">
        <f>_xll.BDP("66661QMF Muni","BB_COMPOSITE")</f>
        <v>#N/A Requesting Data...</v>
      </c>
      <c r="T1407" t="str">
        <f>_xll.BDP("66661QMF Muni","LQA_LIQUIDITY_SCORE")</f>
        <v>#N/A Requesting Data...</v>
      </c>
    </row>
    <row r="1408" spans="1:20" x14ac:dyDescent="0.25">
      <c r="A1408" t="str">
        <f>_xll.BDP("66661QMG Muni","ID_CUSIP")</f>
        <v>#N/A Requesting Data...</v>
      </c>
      <c r="B1408" t="s">
        <v>449</v>
      </c>
      <c r="C1408" t="str">
        <f>_xll.BDP("66661QMG Muni","INSURANCE_STATUS")</f>
        <v>#N/A Requesting Data...</v>
      </c>
      <c r="D1408" t="str">
        <f>_xll.BDP("66661QMG Muni","STATE_CODE")</f>
        <v>#N/A Requesting Data...</v>
      </c>
      <c r="E1408" t="str">
        <f>_xll.BDP("66661QMG Muni","COUNTY_LOCATION_ISSUER")</f>
        <v>#N/A Requesting Data...</v>
      </c>
      <c r="F1408" t="str">
        <f>_xll.BDP("66661QMG Muni","DUR_ADJ_MID")</f>
        <v>#N/A Requesting Data...</v>
      </c>
      <c r="G1408" t="str">
        <f>_xll.BDP("66661QMG Muni","SPREAD_AT_ISSUANCE_TO_WORST")</f>
        <v>#N/A Requesting Data...</v>
      </c>
      <c r="H1408" t="str">
        <f>_xll.BDP("66661QMG Muni","ISSUE_DT")</f>
        <v>#N/A Requesting Data...</v>
      </c>
      <c r="I1408" t="str">
        <f>_xll.BDS("66661QMG Muni","MUNI_PURPOSE_SCHED", "aggregate=y")</f>
        <v>#N/A Review</v>
      </c>
      <c r="J1408" t="str">
        <f>_xll.BDP("66661QMG Muni","CPN")</f>
        <v>#N/A Requesting Data...</v>
      </c>
      <c r="K1408" t="str">
        <f>_xll.BDP("66661QMG Muni","MATURITY")</f>
        <v>#N/A Requesting Data...</v>
      </c>
      <c r="L1408">
        <v>250000</v>
      </c>
      <c r="M1408" t="str">
        <f>_xll.BDP("66661QMG Muni","YIELD_ON_ISSUE_DATE")</f>
        <v>#N/A Requesting Data...</v>
      </c>
      <c r="N1408" t="str">
        <f>_xll.BDP("66661QMG Muni","YTW_SPREAD_TO_MATURITY_AT_ISSU")</f>
        <v>#N/A Requesting Data...</v>
      </c>
      <c r="O1408" t="str">
        <f>_xll.BDP("66661QMG Muni","BVAL_MID_YTM")</f>
        <v>#N/A Requesting Data...</v>
      </c>
      <c r="P1408" t="str">
        <f>_xll.BDP("66661QMG Muni","MUNI_TAX_PROV")</f>
        <v>#N/A Requesting Data...</v>
      </c>
      <c r="Q1408" t="str">
        <f>_xll.BDP("66661QMG Muni","MUNI_FED_TAX")</f>
        <v>#N/A Requesting Data...</v>
      </c>
      <c r="R1408" t="str">
        <f>_xll.BDP("66661QMG Muni","MUNI_MSRB_VOLUME")</f>
        <v>#N/A Requesting Data...</v>
      </c>
      <c r="S1408" t="str">
        <f>_xll.BDP("66661QMG Muni","BB_COMPOSITE")</f>
        <v>#N/A Requesting Data...</v>
      </c>
      <c r="T1408" t="str">
        <f>_xll.BDP("66661QMG Muni","LQA_LIQUIDITY_SCORE")</f>
        <v>#N/A Requesting Data...</v>
      </c>
    </row>
    <row r="1409" spans="1:20" x14ac:dyDescent="0.25">
      <c r="A1409" t="str">
        <f>_xll.BDP("736754NX Muni","ID_CUSIP")</f>
        <v>#N/A Requesting Data...</v>
      </c>
      <c r="B1409" t="s">
        <v>88</v>
      </c>
      <c r="C1409" t="str">
        <f>_xll.BDP("736754NX Muni","INSURANCE_STATUS")</f>
        <v>#N/A Requesting Data...</v>
      </c>
      <c r="D1409" t="str">
        <f>_xll.BDP("736754NX Muni","STATE_CODE")</f>
        <v>#N/A Requesting Data...</v>
      </c>
      <c r="E1409" t="str">
        <f>_xll.BDP("736754NX Muni","COUNTY_LOCATION_ISSUER")</f>
        <v>#N/A Requesting Data...</v>
      </c>
      <c r="F1409" t="str">
        <f>_xll.BDP("736754NX Muni","DUR_ADJ_MID")</f>
        <v>#N/A Requesting Data...</v>
      </c>
      <c r="G1409" t="str">
        <f>_xll.BDP("736754NX Muni","SPREAD_AT_ISSUANCE_TO_WORST")</f>
        <v>#N/A Requesting Data...</v>
      </c>
      <c r="H1409" t="str">
        <f>_xll.BDP("736754NX Muni","ISSUE_DT")</f>
        <v>#N/A Requesting Data...</v>
      </c>
      <c r="I1409" t="str">
        <f>_xll.BDS("736754NX Muni","MUNI_PURPOSE_SCHED", "aggregate=y")</f>
        <v>#N/A Review</v>
      </c>
      <c r="J1409" t="str">
        <f>_xll.BDP("736754NX Muni","CPN")</f>
        <v>#N/A Requesting Data...</v>
      </c>
      <c r="K1409" t="str">
        <f>_xll.BDP("736754NX Muni","MATURITY")</f>
        <v>#N/A Requesting Data...</v>
      </c>
      <c r="L1409">
        <v>5665000</v>
      </c>
      <c r="M1409" t="str">
        <f>_xll.BDP("736754NX Muni","YIELD_ON_ISSUE_DATE")</f>
        <v>#N/A Requesting Data...</v>
      </c>
      <c r="N1409" t="str">
        <f>_xll.BDP("736754NX Muni","YTW_SPREAD_TO_MATURITY_AT_ISSU")</f>
        <v>#N/A Requesting Data...</v>
      </c>
      <c r="O1409" t="str">
        <f>_xll.BDP("736754NX Muni","BVAL_MID_YTM")</f>
        <v>#N/A Requesting Data...</v>
      </c>
      <c r="P1409" t="str">
        <f>_xll.BDP("736754NX Muni","MUNI_TAX_PROV")</f>
        <v>#N/A Requesting Data...</v>
      </c>
      <c r="Q1409" t="str">
        <f>_xll.BDP("736754NX Muni","MUNI_FED_TAX")</f>
        <v>#N/A Requesting Data...</v>
      </c>
      <c r="R1409" t="str">
        <f>_xll.BDP("736754NX Muni","MUNI_MSRB_VOLUME")</f>
        <v>#N/A Requesting Data...</v>
      </c>
      <c r="S1409" t="str">
        <f>_xll.BDP("736754NX Muni","BB_COMPOSITE")</f>
        <v>#N/A Requesting Data...</v>
      </c>
      <c r="T1409" t="str">
        <f>_xll.BDP("736754NX Muni","LQA_LIQUIDITY_SCORE")</f>
        <v>#N/A Requesting Data...</v>
      </c>
    </row>
    <row r="1410" spans="1:20" x14ac:dyDescent="0.25">
      <c r="A1410" t="str">
        <f>_xll.BDP("736754NY Muni","ID_CUSIP")</f>
        <v>#N/A Requesting Data...</v>
      </c>
      <c r="B1410" t="s">
        <v>88</v>
      </c>
      <c r="C1410" t="str">
        <f>_xll.BDP("736754NY Muni","INSURANCE_STATUS")</f>
        <v>#N/A Requesting Data...</v>
      </c>
      <c r="D1410" t="str">
        <f>_xll.BDP("736754NY Muni","STATE_CODE")</f>
        <v>#N/A Requesting Data...</v>
      </c>
      <c r="E1410" t="str">
        <f>_xll.BDP("736754NY Muni","COUNTY_LOCATION_ISSUER")</f>
        <v>#N/A Requesting Data...</v>
      </c>
      <c r="F1410" t="str">
        <f>_xll.BDP("736754NY Muni","DUR_ADJ_MID")</f>
        <v>#N/A Requesting Data...</v>
      </c>
      <c r="G1410" t="str">
        <f>_xll.BDP("736754NY Muni","SPREAD_AT_ISSUANCE_TO_WORST")</f>
        <v>#N/A Requesting Data...</v>
      </c>
      <c r="H1410" t="str">
        <f>_xll.BDP("736754NY Muni","ISSUE_DT")</f>
        <v>#N/A Requesting Data...</v>
      </c>
      <c r="I1410" t="str">
        <f>_xll.BDS("736754NY Muni","MUNI_PURPOSE_SCHED", "aggregate=y")</f>
        <v>#N/A Review</v>
      </c>
      <c r="J1410" t="str">
        <f>_xll.BDP("736754NY Muni","CPN")</f>
        <v>#N/A Requesting Data...</v>
      </c>
      <c r="K1410" t="str">
        <f>_xll.BDP("736754NY Muni","MATURITY")</f>
        <v>#N/A Requesting Data...</v>
      </c>
      <c r="L1410">
        <v>5945000</v>
      </c>
      <c r="M1410" t="str">
        <f>_xll.BDP("736754NY Muni","YIELD_ON_ISSUE_DATE")</f>
        <v>#N/A Requesting Data...</v>
      </c>
      <c r="N1410" t="str">
        <f>_xll.BDP("736754NY Muni","YTW_SPREAD_TO_MATURITY_AT_ISSU")</f>
        <v>#N/A Requesting Data...</v>
      </c>
      <c r="O1410" t="str">
        <f>_xll.BDP("736754NY Muni","BVAL_MID_YTM")</f>
        <v>#N/A Requesting Data...</v>
      </c>
      <c r="P1410" t="str">
        <f>_xll.BDP("736754NY Muni","MUNI_TAX_PROV")</f>
        <v>#N/A Requesting Data...</v>
      </c>
      <c r="Q1410" t="str">
        <f>_xll.BDP("736754NY Muni","MUNI_FED_TAX")</f>
        <v>#N/A Requesting Data...</v>
      </c>
      <c r="R1410" t="str">
        <f>_xll.BDP("736754NY Muni","MUNI_MSRB_VOLUME")</f>
        <v>#N/A Requesting Data...</v>
      </c>
      <c r="S1410" t="str">
        <f>_xll.BDP("736754NY Muni","BB_COMPOSITE")</f>
        <v>#N/A Requesting Data...</v>
      </c>
      <c r="T1410" t="str">
        <f>_xll.BDP("736754NY Muni","LQA_LIQUIDITY_SCORE")</f>
        <v>#N/A Requesting Data...</v>
      </c>
    </row>
    <row r="1411" spans="1:20" x14ac:dyDescent="0.25">
      <c r="A1411" t="str">
        <f>_xll.BDP("736754NZ Muni","ID_CUSIP")</f>
        <v>#N/A Requesting Data...</v>
      </c>
      <c r="B1411" t="s">
        <v>88</v>
      </c>
      <c r="C1411" t="str">
        <f>_xll.BDP("736754NZ Muni","INSURANCE_STATUS")</f>
        <v>#N/A Requesting Data...</v>
      </c>
      <c r="D1411" t="str">
        <f>_xll.BDP("736754NZ Muni","STATE_CODE")</f>
        <v>#N/A Requesting Data...</v>
      </c>
      <c r="E1411" t="str">
        <f>_xll.BDP("736754NZ Muni","COUNTY_LOCATION_ISSUER")</f>
        <v>#N/A Requesting Data...</v>
      </c>
      <c r="F1411" t="str">
        <f>_xll.BDP("736754NZ Muni","DUR_ADJ_MID")</f>
        <v>#N/A Requesting Data...</v>
      </c>
      <c r="G1411" t="str">
        <f>_xll.BDP("736754NZ Muni","SPREAD_AT_ISSUANCE_TO_WORST")</f>
        <v>#N/A Requesting Data...</v>
      </c>
      <c r="H1411" t="str">
        <f>_xll.BDP("736754NZ Muni","ISSUE_DT")</f>
        <v>#N/A Requesting Data...</v>
      </c>
      <c r="I1411" t="str">
        <f>_xll.BDS("736754NZ Muni","MUNI_PURPOSE_SCHED", "aggregate=y")</f>
        <v>#N/A Review</v>
      </c>
      <c r="J1411" t="str">
        <f>_xll.BDP("736754NZ Muni","CPN")</f>
        <v>#N/A Requesting Data...</v>
      </c>
      <c r="K1411" t="str">
        <f>_xll.BDP("736754NZ Muni","MATURITY")</f>
        <v>#N/A Requesting Data...</v>
      </c>
      <c r="L1411">
        <v>6240000</v>
      </c>
      <c r="M1411" t="str">
        <f>_xll.BDP("736754NZ Muni","YIELD_ON_ISSUE_DATE")</f>
        <v>#N/A Requesting Data...</v>
      </c>
      <c r="N1411" t="str">
        <f>_xll.BDP("736754NZ Muni","YTW_SPREAD_TO_MATURITY_AT_ISSU")</f>
        <v>#N/A Requesting Data...</v>
      </c>
      <c r="O1411" t="str">
        <f>_xll.BDP("736754NZ Muni","BVAL_MID_YTM")</f>
        <v>#N/A Requesting Data...</v>
      </c>
      <c r="P1411" t="str">
        <f>_xll.BDP("736754NZ Muni","MUNI_TAX_PROV")</f>
        <v>#N/A Requesting Data...</v>
      </c>
      <c r="Q1411" t="str">
        <f>_xll.BDP("736754NZ Muni","MUNI_FED_TAX")</f>
        <v>#N/A Requesting Data...</v>
      </c>
      <c r="R1411" t="str">
        <f>_xll.BDP("736754NZ Muni","MUNI_MSRB_VOLUME")</f>
        <v>#N/A Requesting Data...</v>
      </c>
      <c r="S1411" t="str">
        <f>_xll.BDP("736754NZ Muni","BB_COMPOSITE")</f>
        <v>#N/A Requesting Data...</v>
      </c>
      <c r="T1411" t="str">
        <f>_xll.BDP("736754NZ Muni","LQA_LIQUIDITY_SCORE")</f>
        <v>#N/A Requesting Data...</v>
      </c>
    </row>
    <row r="1412" spans="1:20" x14ac:dyDescent="0.25">
      <c r="A1412" t="str">
        <f>_xll.BDP("736806BB Muni","ID_CUSIP")</f>
        <v>#N/A Requesting Data...</v>
      </c>
      <c r="B1412" t="s">
        <v>450</v>
      </c>
      <c r="C1412" t="str">
        <f>_xll.BDP("736806BB Muni","INSURANCE_STATUS")</f>
        <v>#N/A Requesting Data...</v>
      </c>
      <c r="D1412" t="str">
        <f>_xll.BDP("736806BB Muni","STATE_CODE")</f>
        <v>#N/A Requesting Data...</v>
      </c>
      <c r="E1412" t="str">
        <f>_xll.BDP("736806BB Muni","COUNTY_LOCATION_ISSUER")</f>
        <v>#N/A Requesting Data...</v>
      </c>
      <c r="F1412" t="str">
        <f>_xll.BDP("736806BB Muni","DUR_ADJ_MID")</f>
        <v>#N/A Requesting Data...</v>
      </c>
      <c r="G1412" t="str">
        <f>_xll.BDP("736806BB Muni","SPREAD_AT_ISSUANCE_TO_WORST")</f>
        <v>#N/A Requesting Data...</v>
      </c>
      <c r="H1412" t="str">
        <f>_xll.BDP("736806BB Muni","ISSUE_DT")</f>
        <v>#N/A Requesting Data...</v>
      </c>
      <c r="I1412" t="str">
        <f>_xll.BDS("736806BB Muni","MUNI_PURPOSE_SCHED", "aggregate=y")</f>
        <v>#N/A Review</v>
      </c>
      <c r="J1412" t="str">
        <f>_xll.BDP("736806BB Muni","CPN")</f>
        <v>#N/A Requesting Data...</v>
      </c>
      <c r="K1412" t="str">
        <f>_xll.BDP("736806BB Muni","MATURITY")</f>
        <v>#N/A Requesting Data...</v>
      </c>
      <c r="L1412">
        <v>475000</v>
      </c>
      <c r="M1412" t="str">
        <f>_xll.BDP("736806BB Muni","YIELD_ON_ISSUE_DATE")</f>
        <v>#N/A Requesting Data...</v>
      </c>
      <c r="N1412" t="str">
        <f>_xll.BDP("736806BB Muni","YTW_SPREAD_TO_MATURITY_AT_ISSU")</f>
        <v>#N/A Requesting Data...</v>
      </c>
      <c r="O1412" t="str">
        <f>_xll.BDP("736806BB Muni","BVAL_MID_YTM")</f>
        <v>#N/A Requesting Data...</v>
      </c>
      <c r="P1412" t="str">
        <f>_xll.BDP("736806BB Muni","MUNI_TAX_PROV")</f>
        <v>#N/A Requesting Data...</v>
      </c>
      <c r="Q1412" t="str">
        <f>_xll.BDP("736806BB Muni","MUNI_FED_TAX")</f>
        <v>#N/A Requesting Data...</v>
      </c>
      <c r="R1412" t="str">
        <f>_xll.BDP("736806BB Muni","MUNI_MSRB_VOLUME")</f>
        <v>#N/A Requesting Data...</v>
      </c>
      <c r="S1412" t="str">
        <f>_xll.BDP("736806BB Muni","BB_COMPOSITE")</f>
        <v>#N/A Requesting Data...</v>
      </c>
      <c r="T1412" t="str">
        <f>_xll.BDP("736806BB Muni","LQA_LIQUIDITY_SCORE")</f>
        <v>#N/A Requesting Data...</v>
      </c>
    </row>
    <row r="1413" spans="1:20" x14ac:dyDescent="0.25">
      <c r="A1413" t="str">
        <f>_xll.BDP("736806BC Muni","ID_CUSIP")</f>
        <v>#N/A Requesting Data...</v>
      </c>
      <c r="B1413" t="s">
        <v>450</v>
      </c>
      <c r="C1413" t="str">
        <f>_xll.BDP("736806BC Muni","INSURANCE_STATUS")</f>
        <v>#N/A Requesting Data...</v>
      </c>
      <c r="D1413" t="str">
        <f>_xll.BDP("736806BC Muni","STATE_CODE")</f>
        <v>#N/A Requesting Data...</v>
      </c>
      <c r="E1413" t="str">
        <f>_xll.BDP("736806BC Muni","COUNTY_LOCATION_ISSUER")</f>
        <v>#N/A Requesting Data...</v>
      </c>
      <c r="F1413" t="str">
        <f>_xll.BDP("736806BC Muni","DUR_ADJ_MID")</f>
        <v>#N/A Requesting Data...</v>
      </c>
      <c r="G1413" t="str">
        <f>_xll.BDP("736806BC Muni","SPREAD_AT_ISSUANCE_TO_WORST")</f>
        <v>#N/A Requesting Data...</v>
      </c>
      <c r="H1413" t="str">
        <f>_xll.BDP("736806BC Muni","ISSUE_DT")</f>
        <v>#N/A Requesting Data...</v>
      </c>
      <c r="I1413" t="str">
        <f>_xll.BDS("736806BC Muni","MUNI_PURPOSE_SCHED", "aggregate=y")</f>
        <v>#N/A Review</v>
      </c>
      <c r="J1413" t="str">
        <f>_xll.BDP("736806BC Muni","CPN")</f>
        <v>#N/A Requesting Data...</v>
      </c>
      <c r="K1413" t="str">
        <f>_xll.BDP("736806BC Muni","MATURITY")</f>
        <v>#N/A Requesting Data...</v>
      </c>
      <c r="L1413">
        <v>480000</v>
      </c>
      <c r="M1413" t="str">
        <f>_xll.BDP("736806BC Muni","YIELD_ON_ISSUE_DATE")</f>
        <v>#N/A Requesting Data...</v>
      </c>
      <c r="N1413" t="str">
        <f>_xll.BDP("736806BC Muni","YTW_SPREAD_TO_MATURITY_AT_ISSU")</f>
        <v>#N/A Requesting Data...</v>
      </c>
      <c r="O1413" t="str">
        <f>_xll.BDP("736806BC Muni","BVAL_MID_YTM")</f>
        <v>#N/A Requesting Data...</v>
      </c>
      <c r="P1413" t="str">
        <f>_xll.BDP("736806BC Muni","MUNI_TAX_PROV")</f>
        <v>#N/A Requesting Data...</v>
      </c>
      <c r="Q1413" t="str">
        <f>_xll.BDP("736806BC Muni","MUNI_FED_TAX")</f>
        <v>#N/A Requesting Data...</v>
      </c>
      <c r="R1413" t="str">
        <f>_xll.BDP("736806BC Muni","MUNI_MSRB_VOLUME")</f>
        <v>#N/A Requesting Data...</v>
      </c>
      <c r="S1413" t="str">
        <f>_xll.BDP("736806BC Muni","BB_COMPOSITE")</f>
        <v>#N/A Requesting Data...</v>
      </c>
      <c r="T1413" t="str">
        <f>_xll.BDP("736806BC Muni","LQA_LIQUIDITY_SCORE")</f>
        <v>#N/A Requesting Data...</v>
      </c>
    </row>
    <row r="1414" spans="1:20" x14ac:dyDescent="0.25">
      <c r="A1414" t="str">
        <f>_xll.BDP("736806BD Muni","ID_CUSIP")</f>
        <v>#N/A Requesting Data...</v>
      </c>
      <c r="B1414" t="s">
        <v>450</v>
      </c>
      <c r="C1414" t="str">
        <f>_xll.BDP("736806BD Muni","INSURANCE_STATUS")</f>
        <v>#N/A Requesting Data...</v>
      </c>
      <c r="D1414" t="str">
        <f>_xll.BDP("736806BD Muni","STATE_CODE")</f>
        <v>#N/A Requesting Data...</v>
      </c>
      <c r="E1414" t="str">
        <f>_xll.BDP("736806BD Muni","COUNTY_LOCATION_ISSUER")</f>
        <v>#N/A Requesting Data...</v>
      </c>
      <c r="F1414" t="str">
        <f>_xll.BDP("736806BD Muni","DUR_ADJ_MID")</f>
        <v>#N/A Requesting Data...</v>
      </c>
      <c r="G1414" t="str">
        <f>_xll.BDP("736806BD Muni","SPREAD_AT_ISSUANCE_TO_WORST")</f>
        <v>#N/A Requesting Data...</v>
      </c>
      <c r="H1414" t="str">
        <f>_xll.BDP("736806BD Muni","ISSUE_DT")</f>
        <v>#N/A Requesting Data...</v>
      </c>
      <c r="I1414" t="str">
        <f>_xll.BDS("736806BD Muni","MUNI_PURPOSE_SCHED", "aggregate=y")</f>
        <v>#N/A Review</v>
      </c>
      <c r="J1414" t="str">
        <f>_xll.BDP("736806BD Muni","CPN")</f>
        <v>#N/A Requesting Data...</v>
      </c>
      <c r="K1414" t="str">
        <f>_xll.BDP("736806BD Muni","MATURITY")</f>
        <v>#N/A Requesting Data...</v>
      </c>
      <c r="L1414">
        <v>490000</v>
      </c>
      <c r="M1414" t="str">
        <f>_xll.BDP("736806BD Muni","YIELD_ON_ISSUE_DATE")</f>
        <v>#N/A Requesting Data...</v>
      </c>
      <c r="N1414" t="str">
        <f>_xll.BDP("736806BD Muni","YTW_SPREAD_TO_MATURITY_AT_ISSU")</f>
        <v>#N/A Requesting Data...</v>
      </c>
      <c r="O1414" t="str">
        <f>_xll.BDP("736806BD Muni","BVAL_MID_YTM")</f>
        <v>#N/A Requesting Data...</v>
      </c>
      <c r="P1414" t="str">
        <f>_xll.BDP("736806BD Muni","MUNI_TAX_PROV")</f>
        <v>#N/A Requesting Data...</v>
      </c>
      <c r="Q1414" t="str">
        <f>_xll.BDP("736806BD Muni","MUNI_FED_TAX")</f>
        <v>#N/A Requesting Data...</v>
      </c>
      <c r="R1414" t="str">
        <f>_xll.BDP("736806BD Muni","MUNI_MSRB_VOLUME")</f>
        <v>#N/A Requesting Data...</v>
      </c>
      <c r="S1414" t="str">
        <f>_xll.BDP("736806BD Muni","BB_COMPOSITE")</f>
        <v>#N/A Requesting Data...</v>
      </c>
      <c r="T1414" t="str">
        <f>_xll.BDP("736806BD Muni","LQA_LIQUIDITY_SCORE")</f>
        <v>#N/A Requesting Data...</v>
      </c>
    </row>
    <row r="1415" spans="1:20" x14ac:dyDescent="0.25">
      <c r="A1415" t="str">
        <f>_xll.BDP("67556HCJ Muni","ID_CUSIP")</f>
        <v>#N/A Requesting Data...</v>
      </c>
      <c r="B1415" t="s">
        <v>85</v>
      </c>
      <c r="C1415" t="str">
        <f>_xll.BDP("67556HCJ Muni","INSURANCE_STATUS")</f>
        <v>#N/A Requesting Data...</v>
      </c>
      <c r="D1415" t="str">
        <f>_xll.BDP("67556HCJ Muni","STATE_CODE")</f>
        <v>#N/A Requesting Data...</v>
      </c>
      <c r="E1415" t="str">
        <f>_xll.BDP("67556HCJ Muni","COUNTY_LOCATION_ISSUER")</f>
        <v>#N/A Requesting Data...</v>
      </c>
      <c r="F1415" t="str">
        <f>_xll.BDP("67556HCJ Muni","DUR_ADJ_MID")</f>
        <v>#N/A Requesting Data...</v>
      </c>
      <c r="G1415" t="str">
        <f>_xll.BDP("67556HCJ Muni","SPREAD_AT_ISSUANCE_TO_WORST")</f>
        <v>#N/A Requesting Data...</v>
      </c>
      <c r="H1415" t="str">
        <f>_xll.BDP("67556HCJ Muni","ISSUE_DT")</f>
        <v>#N/A Requesting Data...</v>
      </c>
      <c r="I1415" t="str">
        <f>_xll.BDS("67556HCJ Muni","MUNI_PURPOSE_SCHED", "aggregate=y")</f>
        <v>#N/A Review</v>
      </c>
      <c r="J1415" t="str">
        <f>_xll.BDP("67556HCJ Muni","CPN")</f>
        <v>#N/A Requesting Data...</v>
      </c>
      <c r="K1415" t="str">
        <f>_xll.BDP("67556HCJ Muni","MATURITY")</f>
        <v>#N/A Requesting Data...</v>
      </c>
      <c r="L1415">
        <v>1015000</v>
      </c>
      <c r="M1415" t="str">
        <f>_xll.BDP("67556HCJ Muni","YIELD_ON_ISSUE_DATE")</f>
        <v>#N/A Requesting Data...</v>
      </c>
      <c r="N1415" t="str">
        <f>_xll.BDP("67556HCJ Muni","YTW_SPREAD_TO_MATURITY_AT_ISSU")</f>
        <v>#N/A Requesting Data...</v>
      </c>
      <c r="O1415" t="str">
        <f>_xll.BDP("67556HCJ Muni","BVAL_MID_YTM")</f>
        <v>#N/A Requesting Data...</v>
      </c>
      <c r="P1415" t="str">
        <f>_xll.BDP("67556HCJ Muni","MUNI_TAX_PROV")</f>
        <v>#N/A Requesting Data...</v>
      </c>
      <c r="Q1415" t="str">
        <f>_xll.BDP("67556HCJ Muni","MUNI_FED_TAX")</f>
        <v>#N/A Requesting Data...</v>
      </c>
      <c r="R1415" t="str">
        <f>_xll.BDP("67556HCJ Muni","MUNI_MSRB_VOLUME")</f>
        <v>#N/A Requesting Data...</v>
      </c>
      <c r="S1415" t="str">
        <f>_xll.BDP("67556HCJ Muni","BB_COMPOSITE")</f>
        <v>#N/A Requesting Data...</v>
      </c>
      <c r="T1415" t="str">
        <f>_xll.BDP("67556HCJ Muni","LQA_LIQUIDITY_SCORE")</f>
        <v>#N/A Requesting Data...</v>
      </c>
    </row>
    <row r="1416" spans="1:20" x14ac:dyDescent="0.25">
      <c r="A1416" t="str">
        <f>_xll.BDP("67556HCL Muni","ID_CUSIP")</f>
        <v>#N/A Requesting Data...</v>
      </c>
      <c r="B1416" t="s">
        <v>85</v>
      </c>
      <c r="C1416" t="str">
        <f>_xll.BDP("67556HCL Muni","INSURANCE_STATUS")</f>
        <v>#N/A Requesting Data...</v>
      </c>
      <c r="D1416" t="str">
        <f>_xll.BDP("67556HCL Muni","STATE_CODE")</f>
        <v>#N/A Requesting Data...</v>
      </c>
      <c r="E1416" t="str">
        <f>_xll.BDP("67556HCL Muni","COUNTY_LOCATION_ISSUER")</f>
        <v>#N/A Requesting Data...</v>
      </c>
      <c r="F1416" t="str">
        <f>_xll.BDP("67556HCL Muni","DUR_ADJ_MID")</f>
        <v>#N/A Requesting Data...</v>
      </c>
      <c r="G1416" t="str">
        <f>_xll.BDP("67556HCL Muni","SPREAD_AT_ISSUANCE_TO_WORST")</f>
        <v>#N/A Requesting Data...</v>
      </c>
      <c r="H1416" t="str">
        <f>_xll.BDP("67556HCL Muni","ISSUE_DT")</f>
        <v>#N/A Requesting Data...</v>
      </c>
      <c r="I1416" t="str">
        <f>_xll.BDS("67556HCL Muni","MUNI_PURPOSE_SCHED", "aggregate=y")</f>
        <v>#N/A Review</v>
      </c>
      <c r="J1416" t="str">
        <f>_xll.BDP("67556HCL Muni","CPN")</f>
        <v>#N/A Requesting Data...</v>
      </c>
      <c r="K1416" t="str">
        <f>_xll.BDP("67556HCL Muni","MATURITY")</f>
        <v>#N/A Requesting Data...</v>
      </c>
      <c r="L1416">
        <v>1125000</v>
      </c>
      <c r="M1416" t="str">
        <f>_xll.BDP("67556HCL Muni","YIELD_ON_ISSUE_DATE")</f>
        <v>#N/A Requesting Data...</v>
      </c>
      <c r="N1416" t="str">
        <f>_xll.BDP("67556HCL Muni","YTW_SPREAD_TO_MATURITY_AT_ISSU")</f>
        <v>#N/A Requesting Data...</v>
      </c>
      <c r="O1416" t="str">
        <f>_xll.BDP("67556HCL Muni","BVAL_MID_YTM")</f>
        <v>#N/A Requesting Data...</v>
      </c>
      <c r="P1416" t="str">
        <f>_xll.BDP("67556HCL Muni","MUNI_TAX_PROV")</f>
        <v>#N/A Requesting Data...</v>
      </c>
      <c r="Q1416" t="str">
        <f>_xll.BDP("67556HCL Muni","MUNI_FED_TAX")</f>
        <v>#N/A Requesting Data...</v>
      </c>
      <c r="R1416" t="str">
        <f>_xll.BDP("67556HCL Muni","MUNI_MSRB_VOLUME")</f>
        <v>#N/A Requesting Data...</v>
      </c>
      <c r="S1416" t="str">
        <f>_xll.BDP("67556HCL Muni","BB_COMPOSITE")</f>
        <v>#N/A Requesting Data...</v>
      </c>
      <c r="T1416" t="str">
        <f>_xll.BDP("67556HCL Muni","LQA_LIQUIDITY_SCORE")</f>
        <v>#N/A Requesting Data...</v>
      </c>
    </row>
    <row r="1417" spans="1:20" x14ac:dyDescent="0.25">
      <c r="A1417" t="str">
        <f>_xll.BDP("67556HCM Muni","ID_CUSIP")</f>
        <v>#N/A Requesting Data...</v>
      </c>
      <c r="B1417" t="s">
        <v>85</v>
      </c>
      <c r="C1417" t="str">
        <f>_xll.BDP("67556HCM Muni","INSURANCE_STATUS")</f>
        <v>#N/A Requesting Data...</v>
      </c>
      <c r="D1417" t="str">
        <f>_xll.BDP("67556HCM Muni","STATE_CODE")</f>
        <v>#N/A Requesting Data...</v>
      </c>
      <c r="E1417" t="str">
        <f>_xll.BDP("67556HCM Muni","COUNTY_LOCATION_ISSUER")</f>
        <v>#N/A Requesting Data...</v>
      </c>
      <c r="F1417" t="str">
        <f>_xll.BDP("67556HCM Muni","DUR_ADJ_MID")</f>
        <v>#N/A Requesting Data...</v>
      </c>
      <c r="G1417" t="str">
        <f>_xll.BDP("67556HCM Muni","SPREAD_AT_ISSUANCE_TO_WORST")</f>
        <v>#N/A Requesting Data...</v>
      </c>
      <c r="H1417" t="str">
        <f>_xll.BDP("67556HCM Muni","ISSUE_DT")</f>
        <v>#N/A Requesting Data...</v>
      </c>
      <c r="I1417" t="str">
        <f>_xll.BDS("67556HCM Muni","MUNI_PURPOSE_SCHED", "aggregate=y")</f>
        <v>#N/A Review</v>
      </c>
      <c r="J1417" t="str">
        <f>_xll.BDP("67556HCM Muni","CPN")</f>
        <v>#N/A Requesting Data...</v>
      </c>
      <c r="K1417" t="str">
        <f>_xll.BDP("67556HCM Muni","MATURITY")</f>
        <v>#N/A Requesting Data...</v>
      </c>
      <c r="L1417">
        <v>1175000</v>
      </c>
      <c r="M1417" t="str">
        <f>_xll.BDP("67556HCM Muni","YIELD_ON_ISSUE_DATE")</f>
        <v>#N/A Requesting Data...</v>
      </c>
      <c r="N1417" t="str">
        <f>_xll.BDP("67556HCM Muni","YTW_SPREAD_TO_MATURITY_AT_ISSU")</f>
        <v>#N/A Requesting Data...</v>
      </c>
      <c r="O1417" t="str">
        <f>_xll.BDP("67556HCM Muni","BVAL_MID_YTM")</f>
        <v>#N/A Requesting Data...</v>
      </c>
      <c r="P1417" t="str">
        <f>_xll.BDP("67556HCM Muni","MUNI_TAX_PROV")</f>
        <v>#N/A Requesting Data...</v>
      </c>
      <c r="Q1417" t="str">
        <f>_xll.BDP("67556HCM Muni","MUNI_FED_TAX")</f>
        <v>#N/A Requesting Data...</v>
      </c>
      <c r="R1417" t="str">
        <f>_xll.BDP("67556HCM Muni","MUNI_MSRB_VOLUME")</f>
        <v>#N/A Requesting Data...</v>
      </c>
      <c r="S1417" t="str">
        <f>_xll.BDP("67556HCM Muni","BB_COMPOSITE")</f>
        <v>#N/A Requesting Data...</v>
      </c>
      <c r="T1417" t="str">
        <f>_xll.BDP("67556HCM Muni","LQA_LIQUIDITY_SCORE")</f>
        <v>#N/A Requesting Data...</v>
      </c>
    </row>
    <row r="1418" spans="1:20" x14ac:dyDescent="0.25">
      <c r="A1418" t="str">
        <f>_xll.BDP("67556HCN Muni","ID_CUSIP")</f>
        <v>#N/A Requesting Data...</v>
      </c>
      <c r="B1418" t="s">
        <v>85</v>
      </c>
      <c r="C1418" t="str">
        <f>_xll.BDP("67556HCN Muni","INSURANCE_STATUS")</f>
        <v>#N/A Requesting Data...</v>
      </c>
      <c r="D1418" t="str">
        <f>_xll.BDP("67556HCN Muni","STATE_CODE")</f>
        <v>#N/A Requesting Data...</v>
      </c>
      <c r="E1418" t="str">
        <f>_xll.BDP("67556HCN Muni","COUNTY_LOCATION_ISSUER")</f>
        <v>#N/A Requesting Data...</v>
      </c>
      <c r="F1418" t="str">
        <f>_xll.BDP("67556HCN Muni","DUR_ADJ_MID")</f>
        <v>#N/A Requesting Data...</v>
      </c>
      <c r="G1418" t="str">
        <f>_xll.BDP("67556HCN Muni","SPREAD_AT_ISSUANCE_TO_WORST")</f>
        <v>#N/A Requesting Data...</v>
      </c>
      <c r="H1418" t="str">
        <f>_xll.BDP("67556HCN Muni","ISSUE_DT")</f>
        <v>#N/A Requesting Data...</v>
      </c>
      <c r="I1418" t="str">
        <f>_xll.BDS("67556HCN Muni","MUNI_PURPOSE_SCHED", "aggregate=y")</f>
        <v>#N/A Review</v>
      </c>
      <c r="J1418" t="str">
        <f>_xll.BDP("67556HCN Muni","CPN")</f>
        <v>#N/A Requesting Data...</v>
      </c>
      <c r="K1418" t="str">
        <f>_xll.BDP("67556HCN Muni","MATURITY")</f>
        <v>#N/A Requesting Data...</v>
      </c>
      <c r="L1418">
        <v>1235000</v>
      </c>
      <c r="M1418" t="str">
        <f>_xll.BDP("67556HCN Muni","YIELD_ON_ISSUE_DATE")</f>
        <v>#N/A Requesting Data...</v>
      </c>
      <c r="N1418" t="str">
        <f>_xll.BDP("67556HCN Muni","YTW_SPREAD_TO_MATURITY_AT_ISSU")</f>
        <v>#N/A Requesting Data...</v>
      </c>
      <c r="O1418" t="str">
        <f>_xll.BDP("67556HCN Muni","BVAL_MID_YTM")</f>
        <v>#N/A Requesting Data...</v>
      </c>
      <c r="P1418" t="str">
        <f>_xll.BDP("67556HCN Muni","MUNI_TAX_PROV")</f>
        <v>#N/A Requesting Data...</v>
      </c>
      <c r="Q1418" t="str">
        <f>_xll.BDP("67556HCN Muni","MUNI_FED_TAX")</f>
        <v>#N/A Requesting Data...</v>
      </c>
      <c r="R1418" t="str">
        <f>_xll.BDP("67556HCN Muni","MUNI_MSRB_VOLUME")</f>
        <v>#N/A Requesting Data...</v>
      </c>
      <c r="S1418" t="str">
        <f>_xll.BDP("67556HCN Muni","BB_COMPOSITE")</f>
        <v>#N/A Requesting Data...</v>
      </c>
      <c r="T1418" t="str">
        <f>_xll.BDP("67556HCN Muni","LQA_LIQUIDITY_SCORE")</f>
        <v>#N/A Requesting Data...</v>
      </c>
    </row>
    <row r="1419" spans="1:20" x14ac:dyDescent="0.25">
      <c r="A1419" t="str">
        <f>_xll.BDP("676125HA Muni","ID_CUSIP")</f>
        <v>#N/A Requesting Data...</v>
      </c>
      <c r="B1419" t="s">
        <v>451</v>
      </c>
      <c r="C1419" t="str">
        <f>_xll.BDP("676125HA Muni","INSURANCE_STATUS")</f>
        <v>#N/A Requesting Data...</v>
      </c>
      <c r="D1419" t="str">
        <f>_xll.BDP("676125HA Muni","STATE_CODE")</f>
        <v>#N/A Requesting Data...</v>
      </c>
      <c r="E1419" t="str">
        <f>_xll.BDP("676125HA Muni","COUNTY_LOCATION_ISSUER")</f>
        <v>#N/A Requesting Data...</v>
      </c>
      <c r="F1419" t="str">
        <f>_xll.BDP("676125HA Muni","DUR_ADJ_MID")</f>
        <v>#N/A Requesting Data...</v>
      </c>
      <c r="G1419" t="str">
        <f>_xll.BDP("676125HA Muni","SPREAD_AT_ISSUANCE_TO_WORST")</f>
        <v>#N/A Requesting Data...</v>
      </c>
      <c r="H1419" t="str">
        <f>_xll.BDP("676125HA Muni","ISSUE_DT")</f>
        <v>#N/A Requesting Data...</v>
      </c>
      <c r="I1419" t="str">
        <f>_xll.BDS("676125HA Muni","MUNI_PURPOSE_SCHED", "aggregate=y")</f>
        <v>#N/A Review</v>
      </c>
      <c r="J1419" t="str">
        <f>_xll.BDP("676125HA Muni","CPN")</f>
        <v>#N/A Requesting Data...</v>
      </c>
      <c r="K1419" t="str">
        <f>_xll.BDP("676125HA Muni","MATURITY")</f>
        <v>#N/A Requesting Data...</v>
      </c>
      <c r="L1419">
        <v>135000</v>
      </c>
      <c r="M1419" t="str">
        <f>_xll.BDP("676125HA Muni","YIELD_ON_ISSUE_DATE")</f>
        <v>#N/A Requesting Data...</v>
      </c>
      <c r="N1419" t="str">
        <f>_xll.BDP("676125HA Muni","YTW_SPREAD_TO_MATURITY_AT_ISSU")</f>
        <v>#N/A Requesting Data...</v>
      </c>
      <c r="O1419" t="str">
        <f>_xll.BDP("676125HA Muni","BVAL_MID_YTM")</f>
        <v>#N/A Requesting Data...</v>
      </c>
      <c r="P1419" t="str">
        <f>_xll.BDP("676125HA Muni","MUNI_TAX_PROV")</f>
        <v>#N/A Requesting Data...</v>
      </c>
      <c r="Q1419" t="str">
        <f>_xll.BDP("676125HA Muni","MUNI_FED_TAX")</f>
        <v>#N/A Requesting Data...</v>
      </c>
      <c r="R1419" t="str">
        <f>_xll.BDP("676125HA Muni","MUNI_MSRB_VOLUME")</f>
        <v>#N/A Requesting Data...</v>
      </c>
      <c r="S1419" t="str">
        <f>_xll.BDP("676125HA Muni","BB_COMPOSITE")</f>
        <v>#N/A Requesting Data...</v>
      </c>
      <c r="T1419" t="str">
        <f>_xll.BDP("676125HA Muni","LQA_LIQUIDITY_SCORE")</f>
        <v>#N/A Requesting Data...</v>
      </c>
    </row>
    <row r="1420" spans="1:20" x14ac:dyDescent="0.25">
      <c r="A1420" t="str">
        <f>_xll.BDP("676306DJ Muni","ID_CUSIP")</f>
        <v>#N/A Requesting Data...</v>
      </c>
      <c r="B1420" t="s">
        <v>77</v>
      </c>
      <c r="C1420" t="str">
        <f>_xll.BDP("676306DJ Muni","INSURANCE_STATUS")</f>
        <v>#N/A Requesting Data...</v>
      </c>
      <c r="D1420" t="str">
        <f>_xll.BDP("676306DJ Muni","STATE_CODE")</f>
        <v>#N/A Requesting Data...</v>
      </c>
      <c r="E1420" t="str">
        <f>_xll.BDP("676306DJ Muni","COUNTY_LOCATION_ISSUER")</f>
        <v>#N/A Requesting Data...</v>
      </c>
      <c r="F1420" t="str">
        <f>_xll.BDP("676306DJ Muni","DUR_ADJ_MID")</f>
        <v>#N/A Requesting Data...</v>
      </c>
      <c r="G1420" t="str">
        <f>_xll.BDP("676306DJ Muni","SPREAD_AT_ISSUANCE_TO_WORST")</f>
        <v>#N/A Requesting Data...</v>
      </c>
      <c r="H1420" t="str">
        <f>_xll.BDP("676306DJ Muni","ISSUE_DT")</f>
        <v>#N/A Requesting Data...</v>
      </c>
      <c r="I1420" t="str">
        <f>_xll.BDS("676306DJ Muni","MUNI_PURPOSE_SCHED", "aggregate=y")</f>
        <v>#N/A Review</v>
      </c>
      <c r="J1420" t="str">
        <f>_xll.BDP("676306DJ Muni","CPN")</f>
        <v>#N/A Requesting Data...</v>
      </c>
      <c r="K1420" t="str">
        <f>_xll.BDP("676306DJ Muni","MATURITY")</f>
        <v>#N/A Requesting Data...</v>
      </c>
      <c r="L1420">
        <v>2140000</v>
      </c>
      <c r="M1420" t="str">
        <f>_xll.BDP("676306DJ Muni","YIELD_ON_ISSUE_DATE")</f>
        <v>#N/A Requesting Data...</v>
      </c>
      <c r="N1420" t="str">
        <f>_xll.BDP("676306DJ Muni","YTW_SPREAD_TO_MATURITY_AT_ISSU")</f>
        <v>#N/A Requesting Data...</v>
      </c>
      <c r="O1420" t="str">
        <f>_xll.BDP("676306DJ Muni","BVAL_MID_YTM")</f>
        <v>#N/A Requesting Data...</v>
      </c>
      <c r="P1420" t="str">
        <f>_xll.BDP("676306DJ Muni","MUNI_TAX_PROV")</f>
        <v>#N/A Requesting Data...</v>
      </c>
      <c r="Q1420" t="str">
        <f>_xll.BDP("676306DJ Muni","MUNI_FED_TAX")</f>
        <v>#N/A Requesting Data...</v>
      </c>
      <c r="R1420" t="str">
        <f>_xll.BDP("676306DJ Muni","MUNI_MSRB_VOLUME")</f>
        <v>#N/A Requesting Data...</v>
      </c>
      <c r="S1420" t="str">
        <f>_xll.BDP("676306DJ Muni","BB_COMPOSITE")</f>
        <v>#N/A Requesting Data...</v>
      </c>
      <c r="T1420" t="str">
        <f>_xll.BDP("676306DJ Muni","LQA_LIQUIDITY_SCORE")</f>
        <v>#N/A Requesting Data...</v>
      </c>
    </row>
    <row r="1421" spans="1:20" x14ac:dyDescent="0.25">
      <c r="A1421" t="str">
        <f>_xll.BDP("676306DM Muni","ID_CUSIP")</f>
        <v>#N/A Requesting Data...</v>
      </c>
      <c r="B1421" t="s">
        <v>77</v>
      </c>
      <c r="C1421" t="str">
        <f>_xll.BDP("676306DM Muni","INSURANCE_STATUS")</f>
        <v>#N/A Requesting Data...</v>
      </c>
      <c r="D1421" t="str">
        <f>_xll.BDP("676306DM Muni","STATE_CODE")</f>
        <v>#N/A Requesting Data...</v>
      </c>
      <c r="E1421" t="str">
        <f>_xll.BDP("676306DM Muni","COUNTY_LOCATION_ISSUER")</f>
        <v>#N/A Requesting Data...</v>
      </c>
      <c r="F1421" t="str">
        <f>_xll.BDP("676306DM Muni","DUR_ADJ_MID")</f>
        <v>#N/A Requesting Data...</v>
      </c>
      <c r="G1421" t="str">
        <f>_xll.BDP("676306DM Muni","SPREAD_AT_ISSUANCE_TO_WORST")</f>
        <v>#N/A Requesting Data...</v>
      </c>
      <c r="H1421" t="str">
        <f>_xll.BDP("676306DM Muni","ISSUE_DT")</f>
        <v>#N/A Requesting Data...</v>
      </c>
      <c r="I1421" t="str">
        <f>_xll.BDS("676306DM Muni","MUNI_PURPOSE_SCHED", "aggregate=y")</f>
        <v>#N/A Review</v>
      </c>
      <c r="J1421" t="str">
        <f>_xll.BDP("676306DM Muni","CPN")</f>
        <v>#N/A Requesting Data...</v>
      </c>
      <c r="K1421" t="str">
        <f>_xll.BDP("676306DM Muni","MATURITY")</f>
        <v>#N/A Requesting Data...</v>
      </c>
      <c r="L1421">
        <v>2000000</v>
      </c>
      <c r="M1421" t="str">
        <f>_xll.BDP("676306DM Muni","YIELD_ON_ISSUE_DATE")</f>
        <v>#N/A Requesting Data...</v>
      </c>
      <c r="N1421" t="str">
        <f>_xll.BDP("676306DM Muni","YTW_SPREAD_TO_MATURITY_AT_ISSU")</f>
        <v>#N/A Requesting Data...</v>
      </c>
      <c r="O1421" t="str">
        <f>_xll.BDP("676306DM Muni","BVAL_MID_YTM")</f>
        <v>#N/A Requesting Data...</v>
      </c>
      <c r="P1421" t="str">
        <f>_xll.BDP("676306DM Muni","MUNI_TAX_PROV")</f>
        <v>#N/A Requesting Data...</v>
      </c>
      <c r="Q1421" t="str">
        <f>_xll.BDP("676306DM Muni","MUNI_FED_TAX")</f>
        <v>#N/A Requesting Data...</v>
      </c>
      <c r="R1421" t="str">
        <f>_xll.BDP("676306DM Muni","MUNI_MSRB_VOLUME")</f>
        <v>#N/A Requesting Data...</v>
      </c>
      <c r="S1421" t="str">
        <f>_xll.BDP("676306DM Muni","BB_COMPOSITE")</f>
        <v>#N/A Requesting Data...</v>
      </c>
      <c r="T1421" t="str">
        <f>_xll.BDP("676306DM Muni","LQA_LIQUIDITY_SCORE")</f>
        <v>#N/A Requesting Data...</v>
      </c>
    </row>
    <row r="1422" spans="1:20" x14ac:dyDescent="0.25">
      <c r="A1422" t="str">
        <f>_xll.BDP("67765QCF Muni","ID_CUSIP")</f>
        <v>#N/A Requesting Data...</v>
      </c>
      <c r="B1422" t="s">
        <v>32</v>
      </c>
      <c r="C1422" t="str">
        <f>_xll.BDP("67765QCF Muni","INSURANCE_STATUS")</f>
        <v>#N/A Requesting Data...</v>
      </c>
      <c r="D1422" t="str">
        <f>_xll.BDP("67765QCF Muni","STATE_CODE")</f>
        <v>#N/A Requesting Data...</v>
      </c>
      <c r="E1422" t="str">
        <f>_xll.BDP("67765QCF Muni","COUNTY_LOCATION_ISSUER")</f>
        <v>#N/A Requesting Data...</v>
      </c>
      <c r="F1422" t="str">
        <f>_xll.BDP("67765QCF Muni","DUR_ADJ_MID")</f>
        <v>#N/A Requesting Data...</v>
      </c>
      <c r="G1422" t="str">
        <f>_xll.BDP("67765QCF Muni","SPREAD_AT_ISSUANCE_TO_WORST")</f>
        <v>#N/A Requesting Data...</v>
      </c>
      <c r="H1422" t="str">
        <f>_xll.BDP("67765QCF Muni","ISSUE_DT")</f>
        <v>#N/A Requesting Data...</v>
      </c>
      <c r="I1422" t="str">
        <f>_xll.BDS("67765QCF Muni","MUNI_PURPOSE_SCHED", "aggregate=y")</f>
        <v>#N/A Review</v>
      </c>
      <c r="J1422" t="str">
        <f>_xll.BDP("67765QCF Muni","CPN")</f>
        <v>#N/A Requesting Data...</v>
      </c>
      <c r="K1422" t="str">
        <f>_xll.BDP("67765QCF Muni","MATURITY")</f>
        <v>#N/A Requesting Data...</v>
      </c>
      <c r="L1422">
        <v>10000000</v>
      </c>
      <c r="M1422" t="str">
        <f>_xll.BDP("67765QCF Muni","YIELD_ON_ISSUE_DATE")</f>
        <v>#N/A Requesting Data...</v>
      </c>
      <c r="N1422" t="str">
        <f>_xll.BDP("67765QCF Muni","YTW_SPREAD_TO_MATURITY_AT_ISSU")</f>
        <v>#N/A Requesting Data...</v>
      </c>
      <c r="O1422" t="str">
        <f>_xll.BDP("67765QCF Muni","BVAL_MID_YTM")</f>
        <v>#N/A Requesting Data...</v>
      </c>
      <c r="P1422" t="str">
        <f>_xll.BDP("67765QCF Muni","MUNI_TAX_PROV")</f>
        <v>#N/A Requesting Data...</v>
      </c>
      <c r="Q1422" t="str">
        <f>_xll.BDP("67765QCF Muni","MUNI_FED_TAX")</f>
        <v>#N/A Requesting Data...</v>
      </c>
      <c r="R1422" t="str">
        <f>_xll.BDP("67765QCF Muni","MUNI_MSRB_VOLUME")</f>
        <v>#N/A Requesting Data...</v>
      </c>
      <c r="S1422" t="str">
        <f>_xll.BDP("67765QCF Muni","BB_COMPOSITE")</f>
        <v>#N/A Requesting Data...</v>
      </c>
      <c r="T1422" t="str">
        <f>_xll.BDP("67765QCF Muni","LQA_LIQUIDITY_SCORE")</f>
        <v>#N/A Requesting Data...</v>
      </c>
    </row>
    <row r="1423" spans="1:20" x14ac:dyDescent="0.25">
      <c r="A1423" t="str">
        <f>_xll.BDP("67765QCH Muni","ID_CUSIP")</f>
        <v>#N/A Requesting Data...</v>
      </c>
      <c r="B1423" t="s">
        <v>32</v>
      </c>
      <c r="C1423" t="str">
        <f>_xll.BDP("67765QCH Muni","INSURANCE_STATUS")</f>
        <v>#N/A Requesting Data...</v>
      </c>
      <c r="D1423" t="str">
        <f>_xll.BDP("67765QCH Muni","STATE_CODE")</f>
        <v>#N/A Requesting Data...</v>
      </c>
      <c r="E1423" t="str">
        <f>_xll.BDP("67765QCH Muni","COUNTY_LOCATION_ISSUER")</f>
        <v>#N/A Requesting Data...</v>
      </c>
      <c r="F1423" t="str">
        <f>_xll.BDP("67765QCH Muni","DUR_ADJ_MID")</f>
        <v>#N/A Requesting Data...</v>
      </c>
      <c r="G1423" t="str">
        <f>_xll.BDP("67765QCH Muni","SPREAD_AT_ISSUANCE_TO_WORST")</f>
        <v>#N/A Requesting Data...</v>
      </c>
      <c r="H1423" t="str">
        <f>_xll.BDP("67765QCH Muni","ISSUE_DT")</f>
        <v>#N/A Requesting Data...</v>
      </c>
      <c r="I1423" t="str">
        <f>_xll.BDS("67765QCH Muni","MUNI_PURPOSE_SCHED", "aggregate=y")</f>
        <v>#N/A Review</v>
      </c>
      <c r="J1423" t="str">
        <f>_xll.BDP("67765QCH Muni","CPN")</f>
        <v>#N/A Requesting Data...</v>
      </c>
      <c r="K1423" t="str">
        <f>_xll.BDP("67765QCH Muni","MATURITY")</f>
        <v>#N/A Requesting Data...</v>
      </c>
      <c r="L1423">
        <v>10000000</v>
      </c>
      <c r="M1423" t="str">
        <f>_xll.BDP("67765QCH Muni","YIELD_ON_ISSUE_DATE")</f>
        <v>#N/A Requesting Data...</v>
      </c>
      <c r="N1423" t="str">
        <f>_xll.BDP("67765QCH Muni","YTW_SPREAD_TO_MATURITY_AT_ISSU")</f>
        <v>#N/A Requesting Data...</v>
      </c>
      <c r="O1423" t="str">
        <f>_xll.BDP("67765QCH Muni","BVAL_MID_YTM")</f>
        <v>#N/A Requesting Data...</v>
      </c>
      <c r="P1423" t="str">
        <f>_xll.BDP("67765QCH Muni","MUNI_TAX_PROV")</f>
        <v>#N/A Requesting Data...</v>
      </c>
      <c r="Q1423" t="str">
        <f>_xll.BDP("67765QCH Muni","MUNI_FED_TAX")</f>
        <v>#N/A Requesting Data...</v>
      </c>
      <c r="R1423" t="str">
        <f>_xll.BDP("67765QCH Muni","MUNI_MSRB_VOLUME")</f>
        <v>#N/A Requesting Data...</v>
      </c>
      <c r="S1423" t="str">
        <f>_xll.BDP("67765QCH Muni","BB_COMPOSITE")</f>
        <v>#N/A Requesting Data...</v>
      </c>
      <c r="T1423" t="str">
        <f>_xll.BDP("67765QCH Muni","LQA_LIQUIDITY_SCORE")</f>
        <v>#N/A Requesting Data...</v>
      </c>
    </row>
    <row r="1424" spans="1:20" x14ac:dyDescent="0.25">
      <c r="A1424" t="str">
        <f>_xll.BDP("67765QCJ Muni","ID_CUSIP")</f>
        <v>#N/A Requesting Data...</v>
      </c>
      <c r="B1424" t="s">
        <v>32</v>
      </c>
      <c r="C1424" t="str">
        <f>_xll.BDP("67765QCJ Muni","INSURANCE_STATUS")</f>
        <v>#N/A Requesting Data...</v>
      </c>
      <c r="D1424" t="str">
        <f>_xll.BDP("67765QCJ Muni","STATE_CODE")</f>
        <v>#N/A Requesting Data...</v>
      </c>
      <c r="E1424" t="str">
        <f>_xll.BDP("67765QCJ Muni","COUNTY_LOCATION_ISSUER")</f>
        <v>#N/A Requesting Data...</v>
      </c>
      <c r="F1424" t="str">
        <f>_xll.BDP("67765QCJ Muni","DUR_ADJ_MID")</f>
        <v>#N/A Requesting Data...</v>
      </c>
      <c r="G1424" t="str">
        <f>_xll.BDP("67765QCJ Muni","SPREAD_AT_ISSUANCE_TO_WORST")</f>
        <v>#N/A Requesting Data...</v>
      </c>
      <c r="H1424" t="str">
        <f>_xll.BDP("67765QCJ Muni","ISSUE_DT")</f>
        <v>#N/A Requesting Data...</v>
      </c>
      <c r="I1424" t="str">
        <f>_xll.BDS("67765QCJ Muni","MUNI_PURPOSE_SCHED", "aggregate=y")</f>
        <v>#N/A Review</v>
      </c>
      <c r="J1424" t="str">
        <f>_xll.BDP("67765QCJ Muni","CPN")</f>
        <v>#N/A Requesting Data...</v>
      </c>
      <c r="K1424" t="str">
        <f>_xll.BDP("67765QCJ Muni","MATURITY")</f>
        <v>#N/A Requesting Data...</v>
      </c>
      <c r="L1424">
        <v>10000000</v>
      </c>
      <c r="M1424" t="str">
        <f>_xll.BDP("67765QCJ Muni","YIELD_ON_ISSUE_DATE")</f>
        <v>#N/A Requesting Data...</v>
      </c>
      <c r="N1424" t="str">
        <f>_xll.BDP("67765QCJ Muni","YTW_SPREAD_TO_MATURITY_AT_ISSU")</f>
        <v>#N/A Requesting Data...</v>
      </c>
      <c r="O1424" t="str">
        <f>_xll.BDP("67765QCJ Muni","BVAL_MID_YTM")</f>
        <v>#N/A Requesting Data...</v>
      </c>
      <c r="P1424" t="str">
        <f>_xll.BDP("67765QCJ Muni","MUNI_TAX_PROV")</f>
        <v>#N/A Requesting Data...</v>
      </c>
      <c r="Q1424" t="str">
        <f>_xll.BDP("67765QCJ Muni","MUNI_FED_TAX")</f>
        <v>#N/A Requesting Data...</v>
      </c>
      <c r="R1424" t="str">
        <f>_xll.BDP("67765QCJ Muni","MUNI_MSRB_VOLUME")</f>
        <v>#N/A Requesting Data...</v>
      </c>
      <c r="S1424" t="str">
        <f>_xll.BDP("67765QCJ Muni","BB_COMPOSITE")</f>
        <v>#N/A Requesting Data...</v>
      </c>
      <c r="T1424" t="str">
        <f>_xll.BDP("67765QCJ Muni","LQA_LIQUIDITY_SCORE")</f>
        <v>#N/A Requesting Data...</v>
      </c>
    </row>
    <row r="1425" spans="1:20" x14ac:dyDescent="0.25">
      <c r="A1425" t="str">
        <f>_xll.BDP("67765QCK Muni","ID_CUSIP")</f>
        <v>#N/A Requesting Data...</v>
      </c>
      <c r="B1425" t="s">
        <v>32</v>
      </c>
      <c r="C1425" t="str">
        <f>_xll.BDP("67765QCK Muni","INSURANCE_STATUS")</f>
        <v>#N/A Requesting Data...</v>
      </c>
      <c r="D1425" t="str">
        <f>_xll.BDP("67765QCK Muni","STATE_CODE")</f>
        <v>#N/A Requesting Data...</v>
      </c>
      <c r="E1425" t="str">
        <f>_xll.BDP("67765QCK Muni","COUNTY_LOCATION_ISSUER")</f>
        <v>#N/A Requesting Data...</v>
      </c>
      <c r="F1425" t="str">
        <f>_xll.BDP("67765QCK Muni","DUR_ADJ_MID")</f>
        <v>#N/A Requesting Data...</v>
      </c>
      <c r="G1425" t="str">
        <f>_xll.BDP("67765QCK Muni","SPREAD_AT_ISSUANCE_TO_WORST")</f>
        <v>#N/A Requesting Data...</v>
      </c>
      <c r="H1425" t="str">
        <f>_xll.BDP("67765QCK Muni","ISSUE_DT")</f>
        <v>#N/A Requesting Data...</v>
      </c>
      <c r="I1425" t="str">
        <f>_xll.BDS("67765QCK Muni","MUNI_PURPOSE_SCHED", "aggregate=y")</f>
        <v>#N/A Review</v>
      </c>
      <c r="J1425" t="str">
        <f>_xll.BDP("67765QCK Muni","CPN")</f>
        <v>#N/A Requesting Data...</v>
      </c>
      <c r="K1425" t="str">
        <f>_xll.BDP("67765QCK Muni","MATURITY")</f>
        <v>#N/A Requesting Data...</v>
      </c>
      <c r="L1425">
        <v>10000000</v>
      </c>
      <c r="M1425" t="str">
        <f>_xll.BDP("67765QCK Muni","YIELD_ON_ISSUE_DATE")</f>
        <v>#N/A Requesting Data...</v>
      </c>
      <c r="N1425" t="str">
        <f>_xll.BDP("67765QCK Muni","YTW_SPREAD_TO_MATURITY_AT_ISSU")</f>
        <v>#N/A Requesting Data...</v>
      </c>
      <c r="O1425" t="str">
        <f>_xll.BDP("67765QCK Muni","BVAL_MID_YTM")</f>
        <v>#N/A Requesting Data...</v>
      </c>
      <c r="P1425" t="str">
        <f>_xll.BDP("67765QCK Muni","MUNI_TAX_PROV")</f>
        <v>#N/A Requesting Data...</v>
      </c>
      <c r="Q1425" t="str">
        <f>_xll.BDP("67765QCK Muni","MUNI_FED_TAX")</f>
        <v>#N/A Requesting Data...</v>
      </c>
      <c r="R1425" t="str">
        <f>_xll.BDP("67765QCK Muni","MUNI_MSRB_VOLUME")</f>
        <v>#N/A Requesting Data...</v>
      </c>
      <c r="S1425" t="str">
        <f>_xll.BDP("67765QCK Muni","BB_COMPOSITE")</f>
        <v>#N/A Requesting Data...</v>
      </c>
      <c r="T1425" t="str">
        <f>_xll.BDP("67765QCK Muni","LQA_LIQUIDITY_SCORE")</f>
        <v>#N/A Requesting Data...</v>
      </c>
    </row>
    <row r="1426" spans="1:20" x14ac:dyDescent="0.25">
      <c r="A1426" t="str">
        <f>_xll.BDP("67765QDF Muni","ID_CUSIP")</f>
        <v>#N/A Requesting Data...</v>
      </c>
      <c r="B1426" t="s">
        <v>32</v>
      </c>
      <c r="C1426" t="str">
        <f>_xll.BDP("67765QDF Muni","INSURANCE_STATUS")</f>
        <v>#N/A Requesting Data...</v>
      </c>
      <c r="D1426" t="str">
        <f>_xll.BDP("67765QDF Muni","STATE_CODE")</f>
        <v>#N/A Requesting Data...</v>
      </c>
      <c r="E1426" t="str">
        <f>_xll.BDP("67765QDF Muni","COUNTY_LOCATION_ISSUER")</f>
        <v>#N/A Requesting Data...</v>
      </c>
      <c r="F1426" t="str">
        <f>_xll.BDP("67765QDF Muni","DUR_ADJ_MID")</f>
        <v>#N/A Requesting Data...</v>
      </c>
      <c r="G1426" t="str">
        <f>_xll.BDP("67765QDF Muni","SPREAD_AT_ISSUANCE_TO_WORST")</f>
        <v>#N/A Requesting Data...</v>
      </c>
      <c r="H1426" t="str">
        <f>_xll.BDP("67765QDF Muni","ISSUE_DT")</f>
        <v>#N/A Requesting Data...</v>
      </c>
      <c r="I1426" t="str">
        <f>_xll.BDS("67765QDF Muni","MUNI_PURPOSE_SCHED", "aggregate=y")</f>
        <v>#N/A Review</v>
      </c>
      <c r="J1426" t="str">
        <f>_xll.BDP("67765QDF Muni","CPN")</f>
        <v>#N/A Requesting Data...</v>
      </c>
      <c r="K1426" t="str">
        <f>_xll.BDP("67765QDF Muni","MATURITY")</f>
        <v>#N/A Requesting Data...</v>
      </c>
      <c r="L1426">
        <v>4000000</v>
      </c>
      <c r="M1426" t="str">
        <f>_xll.BDP("67765QDF Muni","YIELD_ON_ISSUE_DATE")</f>
        <v>#N/A Requesting Data...</v>
      </c>
      <c r="N1426" t="str">
        <f>_xll.BDP("67765QDF Muni","YTW_SPREAD_TO_MATURITY_AT_ISSU")</f>
        <v>#N/A Requesting Data...</v>
      </c>
      <c r="O1426" t="str">
        <f>_xll.BDP("67765QDF Muni","BVAL_MID_YTM")</f>
        <v>#N/A Requesting Data...</v>
      </c>
      <c r="P1426" t="str">
        <f>_xll.BDP("67765QDF Muni","MUNI_TAX_PROV")</f>
        <v>#N/A Requesting Data...</v>
      </c>
      <c r="Q1426" t="str">
        <f>_xll.BDP("67765QDF Muni","MUNI_FED_TAX")</f>
        <v>#N/A Requesting Data...</v>
      </c>
      <c r="R1426" t="str">
        <f>_xll.BDP("67765QDF Muni","MUNI_MSRB_VOLUME")</f>
        <v>#N/A Requesting Data...</v>
      </c>
      <c r="S1426" t="str">
        <f>_xll.BDP("67765QDF Muni","BB_COMPOSITE")</f>
        <v>#N/A Requesting Data...</v>
      </c>
      <c r="T1426" t="str">
        <f>_xll.BDP("67765QDF Muni","LQA_LIQUIDITY_SCORE")</f>
        <v>#N/A Requesting Data...</v>
      </c>
    </row>
    <row r="1427" spans="1:20" x14ac:dyDescent="0.25">
      <c r="A1427" t="str">
        <f>_xll.BDP("67765QDH Muni","ID_CUSIP")</f>
        <v>#N/A Requesting Data...</v>
      </c>
      <c r="B1427" t="s">
        <v>32</v>
      </c>
      <c r="C1427" t="str">
        <f>_xll.BDP("67765QDH Muni","INSURANCE_STATUS")</f>
        <v>#N/A Requesting Data...</v>
      </c>
      <c r="D1427" t="str">
        <f>_xll.BDP("67765QDH Muni","STATE_CODE")</f>
        <v>#N/A Requesting Data...</v>
      </c>
      <c r="E1427" t="str">
        <f>_xll.BDP("67765QDH Muni","COUNTY_LOCATION_ISSUER")</f>
        <v>#N/A Requesting Data...</v>
      </c>
      <c r="F1427" t="str">
        <f>_xll.BDP("67765QDH Muni","DUR_ADJ_MID")</f>
        <v>#N/A Requesting Data...</v>
      </c>
      <c r="G1427" t="str">
        <f>_xll.BDP("67765QDH Muni","SPREAD_AT_ISSUANCE_TO_WORST")</f>
        <v>#N/A Requesting Data...</v>
      </c>
      <c r="H1427" t="str">
        <f>_xll.BDP("67765QDH Muni","ISSUE_DT")</f>
        <v>#N/A Requesting Data...</v>
      </c>
      <c r="I1427" t="str">
        <f>_xll.BDS("67765QDH Muni","MUNI_PURPOSE_SCHED", "aggregate=y")</f>
        <v>#N/A Review</v>
      </c>
      <c r="J1427" t="str">
        <f>_xll.BDP("67765QDH Muni","CPN")</f>
        <v>#N/A Requesting Data...</v>
      </c>
      <c r="K1427" t="str">
        <f>_xll.BDP("67765QDH Muni","MATURITY")</f>
        <v>#N/A Requesting Data...</v>
      </c>
      <c r="L1427">
        <v>6500000</v>
      </c>
      <c r="M1427" t="str">
        <f>_xll.BDP("67765QDH Muni","YIELD_ON_ISSUE_DATE")</f>
        <v>#N/A Requesting Data...</v>
      </c>
      <c r="N1427" t="str">
        <f>_xll.BDP("67765QDH Muni","YTW_SPREAD_TO_MATURITY_AT_ISSU")</f>
        <v>#N/A Requesting Data...</v>
      </c>
      <c r="O1427" t="str">
        <f>_xll.BDP("67765QDH Muni","BVAL_MID_YTM")</f>
        <v>#N/A Requesting Data...</v>
      </c>
      <c r="P1427" t="str">
        <f>_xll.BDP("67765QDH Muni","MUNI_TAX_PROV")</f>
        <v>#N/A Requesting Data...</v>
      </c>
      <c r="Q1427" t="str">
        <f>_xll.BDP("67765QDH Muni","MUNI_FED_TAX")</f>
        <v>#N/A Requesting Data...</v>
      </c>
      <c r="R1427" t="str">
        <f>_xll.BDP("67765QDH Muni","MUNI_MSRB_VOLUME")</f>
        <v>#N/A Requesting Data...</v>
      </c>
      <c r="S1427" t="str">
        <f>_xll.BDP("67765QDH Muni","BB_COMPOSITE")</f>
        <v>#N/A Requesting Data...</v>
      </c>
      <c r="T1427" t="str">
        <f>_xll.BDP("67765QDH Muni","LQA_LIQUIDITY_SCORE")</f>
        <v>#N/A Requesting Data...</v>
      </c>
    </row>
    <row r="1428" spans="1:20" x14ac:dyDescent="0.25">
      <c r="A1428" t="str">
        <f>_xll.BDP("67765QDM Muni","ID_CUSIP")</f>
        <v>#N/A Requesting Data...</v>
      </c>
      <c r="B1428" t="s">
        <v>32</v>
      </c>
      <c r="C1428" t="str">
        <f>_xll.BDP("67765QDM Muni","INSURANCE_STATUS")</f>
        <v>#N/A Requesting Data...</v>
      </c>
      <c r="D1428" t="str">
        <f>_xll.BDP("67765QDM Muni","STATE_CODE")</f>
        <v>#N/A Requesting Data...</v>
      </c>
      <c r="E1428" t="str">
        <f>_xll.BDP("67765QDM Muni","COUNTY_LOCATION_ISSUER")</f>
        <v>#N/A Requesting Data...</v>
      </c>
      <c r="F1428" t="str">
        <f>_xll.BDP("67765QDM Muni","DUR_ADJ_MID")</f>
        <v>#N/A Requesting Data...</v>
      </c>
      <c r="G1428" t="str">
        <f>_xll.BDP("67765QDM Muni","SPREAD_AT_ISSUANCE_TO_WORST")</f>
        <v>#N/A Requesting Data...</v>
      </c>
      <c r="H1428" t="str">
        <f>_xll.BDP("67765QDM Muni","ISSUE_DT")</f>
        <v>#N/A Requesting Data...</v>
      </c>
      <c r="I1428" t="str">
        <f>_xll.BDS("67765QDM Muni","MUNI_PURPOSE_SCHED", "aggregate=y")</f>
        <v>#N/A Review</v>
      </c>
      <c r="J1428" t="str">
        <f>_xll.BDP("67765QDM Muni","CPN")</f>
        <v>#N/A Requesting Data...</v>
      </c>
      <c r="K1428" t="str">
        <f>_xll.BDP("67765QDM Muni","MATURITY")</f>
        <v>#N/A Requesting Data...</v>
      </c>
      <c r="L1428">
        <v>6500000</v>
      </c>
      <c r="M1428" t="str">
        <f>_xll.BDP("67765QDM Muni","YIELD_ON_ISSUE_DATE")</f>
        <v>#N/A Requesting Data...</v>
      </c>
      <c r="N1428" t="str">
        <f>_xll.BDP("67765QDM Muni","YTW_SPREAD_TO_MATURITY_AT_ISSU")</f>
        <v>#N/A Requesting Data...</v>
      </c>
      <c r="O1428" t="str">
        <f>_xll.BDP("67765QDM Muni","BVAL_MID_YTM")</f>
        <v>#N/A Requesting Data...</v>
      </c>
      <c r="P1428" t="str">
        <f>_xll.BDP("67765QDM Muni","MUNI_TAX_PROV")</f>
        <v>#N/A Requesting Data...</v>
      </c>
      <c r="Q1428" t="str">
        <f>_xll.BDP("67765QDM Muni","MUNI_FED_TAX")</f>
        <v>#N/A Requesting Data...</v>
      </c>
      <c r="R1428" t="str">
        <f>_xll.BDP("67765QDM Muni","MUNI_MSRB_VOLUME")</f>
        <v>#N/A Requesting Data...</v>
      </c>
      <c r="S1428" t="str">
        <f>_xll.BDP("67765QDM Muni","BB_COMPOSITE")</f>
        <v>#N/A Requesting Data...</v>
      </c>
      <c r="T1428" t="str">
        <f>_xll.BDP("67765QDM Muni","LQA_LIQUIDITY_SCORE")</f>
        <v>#N/A Requesting Data...</v>
      </c>
    </row>
    <row r="1429" spans="1:20" x14ac:dyDescent="0.25">
      <c r="A1429" t="str">
        <f>_xll.BDP("67765QDP Muni","ID_CUSIP")</f>
        <v>#N/A Requesting Data...</v>
      </c>
      <c r="B1429" t="s">
        <v>32</v>
      </c>
      <c r="C1429" t="str">
        <f>_xll.BDP("67765QDP Muni","INSURANCE_STATUS")</f>
        <v>#N/A Requesting Data...</v>
      </c>
      <c r="D1429" t="str">
        <f>_xll.BDP("67765QDP Muni","STATE_CODE")</f>
        <v>#N/A Requesting Data...</v>
      </c>
      <c r="E1429" t="str">
        <f>_xll.BDP("67765QDP Muni","COUNTY_LOCATION_ISSUER")</f>
        <v>#N/A Requesting Data...</v>
      </c>
      <c r="F1429" t="str">
        <f>_xll.BDP("67765QDP Muni","DUR_ADJ_MID")</f>
        <v>#N/A Requesting Data...</v>
      </c>
      <c r="G1429" t="str">
        <f>_xll.BDP("67765QDP Muni","SPREAD_AT_ISSUANCE_TO_WORST")</f>
        <v>#N/A Requesting Data...</v>
      </c>
      <c r="H1429" t="str">
        <f>_xll.BDP("67765QDP Muni","ISSUE_DT")</f>
        <v>#N/A Requesting Data...</v>
      </c>
      <c r="I1429" t="str">
        <f>_xll.BDS("67765QDP Muni","MUNI_PURPOSE_SCHED", "aggregate=y")</f>
        <v>#N/A Review</v>
      </c>
      <c r="J1429" t="str">
        <f>_xll.BDP("67765QDP Muni","CPN")</f>
        <v>#N/A Requesting Data...</v>
      </c>
      <c r="K1429" t="str">
        <f>_xll.BDP("67765QDP Muni","MATURITY")</f>
        <v>#N/A Requesting Data...</v>
      </c>
      <c r="L1429">
        <v>5500000</v>
      </c>
      <c r="M1429" t="str">
        <f>_xll.BDP("67765QDP Muni","YIELD_ON_ISSUE_DATE")</f>
        <v>#N/A Requesting Data...</v>
      </c>
      <c r="N1429" t="str">
        <f>_xll.BDP("67765QDP Muni","YTW_SPREAD_TO_MATURITY_AT_ISSU")</f>
        <v>#N/A Requesting Data...</v>
      </c>
      <c r="O1429" t="str">
        <f>_xll.BDP("67765QDP Muni","BVAL_MID_YTM")</f>
        <v>#N/A Requesting Data...</v>
      </c>
      <c r="P1429" t="str">
        <f>_xll.BDP("67765QDP Muni","MUNI_TAX_PROV")</f>
        <v>#N/A Requesting Data...</v>
      </c>
      <c r="Q1429" t="str">
        <f>_xll.BDP("67765QDP Muni","MUNI_FED_TAX")</f>
        <v>#N/A Requesting Data...</v>
      </c>
      <c r="R1429" t="str">
        <f>_xll.BDP("67765QDP Muni","MUNI_MSRB_VOLUME")</f>
        <v>#N/A Requesting Data...</v>
      </c>
      <c r="S1429" t="str">
        <f>_xll.BDP("67765QDP Muni","BB_COMPOSITE")</f>
        <v>#N/A Requesting Data...</v>
      </c>
      <c r="T1429" t="str">
        <f>_xll.BDP("67765QDP Muni","LQA_LIQUIDITY_SCORE")</f>
        <v>#N/A Requesting Data...</v>
      </c>
    </row>
    <row r="1430" spans="1:20" x14ac:dyDescent="0.25">
      <c r="A1430" t="str">
        <f>_xll.BDP("688259KR Muni","ID_CUSIP")</f>
        <v>#N/A Requesting Data...</v>
      </c>
      <c r="B1430" t="s">
        <v>452</v>
      </c>
      <c r="C1430" t="str">
        <f>_xll.BDP("688259KR Muni","INSURANCE_STATUS")</f>
        <v>#N/A Requesting Data...</v>
      </c>
      <c r="D1430" t="str">
        <f>_xll.BDP("688259KR Muni","STATE_CODE")</f>
        <v>#N/A Requesting Data...</v>
      </c>
      <c r="E1430" t="str">
        <f>_xll.BDP("688259KR Muni","COUNTY_LOCATION_ISSUER")</f>
        <v>#N/A Requesting Data...</v>
      </c>
      <c r="F1430" t="str">
        <f>_xll.BDP("688259KR Muni","DUR_ADJ_MID")</f>
        <v>#N/A Requesting Data...</v>
      </c>
      <c r="G1430" t="str">
        <f>_xll.BDP("688259KR Muni","SPREAD_AT_ISSUANCE_TO_WORST")</f>
        <v>#N/A Requesting Data...</v>
      </c>
      <c r="H1430" t="str">
        <f>_xll.BDP("688259KR Muni","ISSUE_DT")</f>
        <v>#N/A Requesting Data...</v>
      </c>
      <c r="I1430" t="str">
        <f>_xll.BDS("688259KR Muni","MUNI_PURPOSE_SCHED", "aggregate=y")</f>
        <v>#N/A Review</v>
      </c>
      <c r="J1430" t="str">
        <f>_xll.BDP("688259KR Muni","CPN")</f>
        <v>#N/A Requesting Data...</v>
      </c>
      <c r="K1430" t="str">
        <f>_xll.BDP("688259KR Muni","MATURITY")</f>
        <v>#N/A Requesting Data...</v>
      </c>
      <c r="L1430">
        <v>310000</v>
      </c>
      <c r="M1430" t="str">
        <f>_xll.BDP("688259KR Muni","YIELD_ON_ISSUE_DATE")</f>
        <v>#N/A Requesting Data...</v>
      </c>
      <c r="N1430" t="str">
        <f>_xll.BDP("688259KR Muni","YTW_SPREAD_TO_MATURITY_AT_ISSU")</f>
        <v>#N/A Requesting Data...</v>
      </c>
      <c r="O1430" t="str">
        <f>_xll.BDP("688259KR Muni","BVAL_MID_YTM")</f>
        <v>#N/A Requesting Data...</v>
      </c>
      <c r="P1430" t="str">
        <f>_xll.BDP("688259KR Muni","MUNI_TAX_PROV")</f>
        <v>#N/A Requesting Data...</v>
      </c>
      <c r="Q1430" t="str">
        <f>_xll.BDP("688259KR Muni","MUNI_FED_TAX")</f>
        <v>#N/A Requesting Data...</v>
      </c>
      <c r="R1430" t="str">
        <f>_xll.BDP("688259KR Muni","MUNI_MSRB_VOLUME")</f>
        <v>#N/A Requesting Data...</v>
      </c>
      <c r="S1430" t="str">
        <f>_xll.BDP("688259KR Muni","BB_COMPOSITE")</f>
        <v>#N/A Requesting Data...</v>
      </c>
      <c r="T1430" t="str">
        <f>_xll.BDP("688259KR Muni","LQA_LIQUIDITY_SCORE")</f>
        <v>#N/A Requesting Data...</v>
      </c>
    </row>
    <row r="1431" spans="1:20" x14ac:dyDescent="0.25">
      <c r="A1431" t="str">
        <f>_xll.BDP("688259KS Muni","ID_CUSIP")</f>
        <v>#N/A Requesting Data...</v>
      </c>
      <c r="B1431" t="s">
        <v>452</v>
      </c>
      <c r="C1431" t="str">
        <f>_xll.BDP("688259KS Muni","INSURANCE_STATUS")</f>
        <v>#N/A Requesting Data...</v>
      </c>
      <c r="D1431" t="str">
        <f>_xll.BDP("688259KS Muni","STATE_CODE")</f>
        <v>#N/A Requesting Data...</v>
      </c>
      <c r="E1431" t="str">
        <f>_xll.BDP("688259KS Muni","COUNTY_LOCATION_ISSUER")</f>
        <v>#N/A Requesting Data...</v>
      </c>
      <c r="F1431" t="str">
        <f>_xll.BDP("688259KS Muni","DUR_ADJ_MID")</f>
        <v>#N/A Requesting Data...</v>
      </c>
      <c r="G1431" t="str">
        <f>_xll.BDP("688259KS Muni","SPREAD_AT_ISSUANCE_TO_WORST")</f>
        <v>#N/A Requesting Data...</v>
      </c>
      <c r="H1431" t="str">
        <f>_xll.BDP("688259KS Muni","ISSUE_DT")</f>
        <v>#N/A Requesting Data...</v>
      </c>
      <c r="I1431" t="str">
        <f>_xll.BDS("688259KS Muni","MUNI_PURPOSE_SCHED", "aggregate=y")</f>
        <v>#N/A Review</v>
      </c>
      <c r="J1431" t="str">
        <f>_xll.BDP("688259KS Muni","CPN")</f>
        <v>#N/A Requesting Data...</v>
      </c>
      <c r="K1431" t="str">
        <f>_xll.BDP("688259KS Muni","MATURITY")</f>
        <v>#N/A Requesting Data...</v>
      </c>
      <c r="L1431">
        <v>320000</v>
      </c>
      <c r="M1431" t="str">
        <f>_xll.BDP("688259KS Muni","YIELD_ON_ISSUE_DATE")</f>
        <v>#N/A Requesting Data...</v>
      </c>
      <c r="N1431" t="str">
        <f>_xll.BDP("688259KS Muni","YTW_SPREAD_TO_MATURITY_AT_ISSU")</f>
        <v>#N/A Requesting Data...</v>
      </c>
      <c r="O1431" t="str">
        <f>_xll.BDP("688259KS Muni","BVAL_MID_YTM")</f>
        <v>#N/A Requesting Data...</v>
      </c>
      <c r="P1431" t="str">
        <f>_xll.BDP("688259KS Muni","MUNI_TAX_PROV")</f>
        <v>#N/A Requesting Data...</v>
      </c>
      <c r="Q1431" t="str">
        <f>_xll.BDP("688259KS Muni","MUNI_FED_TAX")</f>
        <v>#N/A Requesting Data...</v>
      </c>
      <c r="R1431" t="str">
        <f>_xll.BDP("688259KS Muni","MUNI_MSRB_VOLUME")</f>
        <v>#N/A Requesting Data...</v>
      </c>
      <c r="S1431" t="str">
        <f>_xll.BDP("688259KS Muni","BB_COMPOSITE")</f>
        <v>#N/A Requesting Data...</v>
      </c>
      <c r="T1431" t="str">
        <f>_xll.BDP("688259KS Muni","LQA_LIQUIDITY_SCORE")</f>
        <v>#N/A Requesting Data...</v>
      </c>
    </row>
    <row r="1432" spans="1:20" x14ac:dyDescent="0.25">
      <c r="A1432" t="str">
        <f>_xll.BDP("68825RFG Muni","ID_CUSIP")</f>
        <v>#N/A Requesting Data...</v>
      </c>
      <c r="B1432" t="s">
        <v>453</v>
      </c>
      <c r="C1432" t="str">
        <f>_xll.BDP("68825RFG Muni","INSURANCE_STATUS")</f>
        <v>#N/A Requesting Data...</v>
      </c>
      <c r="D1432" t="str">
        <f>_xll.BDP("68825RFG Muni","STATE_CODE")</f>
        <v>#N/A Requesting Data...</v>
      </c>
      <c r="E1432" t="str">
        <f>_xll.BDP("68825RFG Muni","COUNTY_LOCATION_ISSUER")</f>
        <v>#N/A Requesting Data...</v>
      </c>
      <c r="F1432" t="str">
        <f>_xll.BDP("68825RFG Muni","DUR_ADJ_MID")</f>
        <v>#N/A Requesting Data...</v>
      </c>
      <c r="G1432" t="str">
        <f>_xll.BDP("68825RFG Muni","SPREAD_AT_ISSUANCE_TO_WORST")</f>
        <v>#N/A Requesting Data...</v>
      </c>
      <c r="H1432" t="str">
        <f>_xll.BDP("68825RFG Muni","ISSUE_DT")</f>
        <v>#N/A Requesting Data...</v>
      </c>
      <c r="I1432" t="str">
        <f>_xll.BDS("68825RFG Muni","MUNI_PURPOSE_SCHED", "aggregate=y")</f>
        <v>#N/A Review</v>
      </c>
      <c r="J1432" t="str">
        <f>_xll.BDP("68825RFG Muni","CPN")</f>
        <v>#N/A Requesting Data...</v>
      </c>
      <c r="K1432" t="str">
        <f>_xll.BDP("68825RFG Muni","MATURITY")</f>
        <v>#N/A Requesting Data...</v>
      </c>
      <c r="L1432">
        <v>240000</v>
      </c>
      <c r="M1432" t="str">
        <f>_xll.BDP("68825RFG Muni","YIELD_ON_ISSUE_DATE")</f>
        <v>#N/A Requesting Data...</v>
      </c>
      <c r="N1432" t="str">
        <f>_xll.BDP("68825RFG Muni","YTW_SPREAD_TO_MATURITY_AT_ISSU")</f>
        <v>#N/A Requesting Data...</v>
      </c>
      <c r="O1432" t="str">
        <f>_xll.BDP("68825RFG Muni","BVAL_MID_YTM")</f>
        <v>#N/A Requesting Data...</v>
      </c>
      <c r="P1432" t="str">
        <f>_xll.BDP("68825RFG Muni","MUNI_TAX_PROV")</f>
        <v>#N/A Requesting Data...</v>
      </c>
      <c r="Q1432" t="str">
        <f>_xll.BDP("68825RFG Muni","MUNI_FED_TAX")</f>
        <v>#N/A Requesting Data...</v>
      </c>
      <c r="R1432" t="str">
        <f>_xll.BDP("68825RFG Muni","MUNI_MSRB_VOLUME")</f>
        <v>#N/A Requesting Data...</v>
      </c>
      <c r="S1432" t="str">
        <f>_xll.BDP("68825RFG Muni","BB_COMPOSITE")</f>
        <v>#N/A Requesting Data...</v>
      </c>
      <c r="T1432" t="str">
        <f>_xll.BDP("68825RFG Muni","LQA_LIQUIDITY_SCORE")</f>
        <v>#N/A Requesting Data...</v>
      </c>
    </row>
    <row r="1433" spans="1:20" x14ac:dyDescent="0.25">
      <c r="A1433" t="str">
        <f>_xll.BDP("68825RFH Muni","ID_CUSIP")</f>
        <v>#N/A Requesting Data...</v>
      </c>
      <c r="B1433" t="s">
        <v>453</v>
      </c>
      <c r="C1433" t="str">
        <f>_xll.BDP("68825RFH Muni","INSURANCE_STATUS")</f>
        <v>#N/A Requesting Data...</v>
      </c>
      <c r="D1433" t="str">
        <f>_xll.BDP("68825RFH Muni","STATE_CODE")</f>
        <v>#N/A Requesting Data...</v>
      </c>
      <c r="E1433" t="str">
        <f>_xll.BDP("68825RFH Muni","COUNTY_LOCATION_ISSUER")</f>
        <v>#N/A Requesting Data...</v>
      </c>
      <c r="F1433" t="str">
        <f>_xll.BDP("68825RFH Muni","DUR_ADJ_MID")</f>
        <v>#N/A Requesting Data...</v>
      </c>
      <c r="G1433" t="str">
        <f>_xll.BDP("68825RFH Muni","SPREAD_AT_ISSUANCE_TO_WORST")</f>
        <v>#N/A Requesting Data...</v>
      </c>
      <c r="H1433" t="str">
        <f>_xll.BDP("68825RFH Muni","ISSUE_DT")</f>
        <v>#N/A Requesting Data...</v>
      </c>
      <c r="I1433" t="str">
        <f>_xll.BDS("68825RFH Muni","MUNI_PURPOSE_SCHED", "aggregate=y")</f>
        <v>#N/A Review</v>
      </c>
      <c r="J1433" t="str">
        <f>_xll.BDP("68825RFH Muni","CPN")</f>
        <v>#N/A Requesting Data...</v>
      </c>
      <c r="K1433" t="str">
        <f>_xll.BDP("68825RFH Muni","MATURITY")</f>
        <v>#N/A Requesting Data...</v>
      </c>
      <c r="L1433">
        <v>245000</v>
      </c>
      <c r="M1433" t="str">
        <f>_xll.BDP("68825RFH Muni","YIELD_ON_ISSUE_DATE")</f>
        <v>#N/A Requesting Data...</v>
      </c>
      <c r="N1433" t="str">
        <f>_xll.BDP("68825RFH Muni","YTW_SPREAD_TO_MATURITY_AT_ISSU")</f>
        <v>#N/A Requesting Data...</v>
      </c>
      <c r="O1433" t="str">
        <f>_xll.BDP("68825RFH Muni","BVAL_MID_YTM")</f>
        <v>#N/A Requesting Data...</v>
      </c>
      <c r="P1433" t="str">
        <f>_xll.BDP("68825RFH Muni","MUNI_TAX_PROV")</f>
        <v>#N/A Requesting Data...</v>
      </c>
      <c r="Q1433" t="str">
        <f>_xll.BDP("68825RFH Muni","MUNI_FED_TAX")</f>
        <v>#N/A Requesting Data...</v>
      </c>
      <c r="R1433" t="str">
        <f>_xll.BDP("68825RFH Muni","MUNI_MSRB_VOLUME")</f>
        <v>#N/A Requesting Data...</v>
      </c>
      <c r="S1433" t="str">
        <f>_xll.BDP("68825RFH Muni","BB_COMPOSITE")</f>
        <v>#N/A Requesting Data...</v>
      </c>
      <c r="T1433" t="str">
        <f>_xll.BDP("68825RFH Muni","LQA_LIQUIDITY_SCORE")</f>
        <v>#N/A Requesting Data...</v>
      </c>
    </row>
    <row r="1434" spans="1:20" x14ac:dyDescent="0.25">
      <c r="A1434" t="str">
        <f>_xll.BDP("688426VN Muni","ID_CUSIP")</f>
        <v>#N/A Requesting Data...</v>
      </c>
      <c r="B1434" t="s">
        <v>454</v>
      </c>
      <c r="C1434" t="str">
        <f>_xll.BDP("688426VN Muni","INSURANCE_STATUS")</f>
        <v>#N/A Requesting Data...</v>
      </c>
      <c r="D1434" t="str">
        <f>_xll.BDP("688426VN Muni","STATE_CODE")</f>
        <v>#N/A Requesting Data...</v>
      </c>
      <c r="E1434" t="str">
        <f>_xll.BDP("688426VN Muni","COUNTY_LOCATION_ISSUER")</f>
        <v>#N/A Requesting Data...</v>
      </c>
      <c r="F1434" t="str">
        <f>_xll.BDP("688426VN Muni","DUR_ADJ_MID")</f>
        <v>#N/A Requesting Data...</v>
      </c>
      <c r="G1434" t="str">
        <f>_xll.BDP("688426VN Muni","SPREAD_AT_ISSUANCE_TO_WORST")</f>
        <v>#N/A Requesting Data...</v>
      </c>
      <c r="H1434" t="str">
        <f>_xll.BDP("688426VN Muni","ISSUE_DT")</f>
        <v>#N/A Requesting Data...</v>
      </c>
      <c r="I1434" t="str">
        <f>_xll.BDS("688426VN Muni","MUNI_PURPOSE_SCHED", "aggregate=y")</f>
        <v>#N/A Review</v>
      </c>
      <c r="J1434" t="str">
        <f>_xll.BDP("688426VN Muni","CPN")</f>
        <v>#N/A Requesting Data...</v>
      </c>
      <c r="K1434" t="str">
        <f>_xll.BDP("688426VN Muni","MATURITY")</f>
        <v>#N/A Requesting Data...</v>
      </c>
      <c r="L1434">
        <v>80000</v>
      </c>
      <c r="M1434" t="str">
        <f>_xll.BDP("688426VN Muni","YIELD_ON_ISSUE_DATE")</f>
        <v>#N/A Requesting Data...</v>
      </c>
      <c r="N1434" t="str">
        <f>_xll.BDP("688426VN Muni","YTW_SPREAD_TO_MATURITY_AT_ISSU")</f>
        <v>#N/A Requesting Data...</v>
      </c>
      <c r="O1434" t="str">
        <f>_xll.BDP("688426VN Muni","BVAL_MID_YTM")</f>
        <v>#N/A Requesting Data...</v>
      </c>
      <c r="P1434" t="str">
        <f>_xll.BDP("688426VN Muni","MUNI_TAX_PROV")</f>
        <v>#N/A Requesting Data...</v>
      </c>
      <c r="Q1434" t="str">
        <f>_xll.BDP("688426VN Muni","MUNI_FED_TAX")</f>
        <v>#N/A Requesting Data...</v>
      </c>
      <c r="R1434" t="str">
        <f>_xll.BDP("688426VN Muni","MUNI_MSRB_VOLUME")</f>
        <v>#N/A Requesting Data...</v>
      </c>
      <c r="S1434" t="str">
        <f>_xll.BDP("688426VN Muni","BB_COMPOSITE")</f>
        <v>#N/A Requesting Data...</v>
      </c>
      <c r="T1434" t="str">
        <f>_xll.BDP("688426VN Muni","LQA_LIQUIDITY_SCORE")</f>
        <v>#N/A Requesting Data...</v>
      </c>
    </row>
    <row r="1435" spans="1:20" x14ac:dyDescent="0.25">
      <c r="A1435" t="str">
        <f>_xll.BDP("688426VP Muni","ID_CUSIP")</f>
        <v>#N/A Requesting Data...</v>
      </c>
      <c r="B1435" t="s">
        <v>454</v>
      </c>
      <c r="C1435" t="str">
        <f>_xll.BDP("688426VP Muni","INSURANCE_STATUS")</f>
        <v>#N/A Requesting Data...</v>
      </c>
      <c r="D1435" t="str">
        <f>_xll.BDP("688426VP Muni","STATE_CODE")</f>
        <v>#N/A Requesting Data...</v>
      </c>
      <c r="E1435" t="str">
        <f>_xll.BDP("688426VP Muni","COUNTY_LOCATION_ISSUER")</f>
        <v>#N/A Requesting Data...</v>
      </c>
      <c r="F1435" t="str">
        <f>_xll.BDP("688426VP Muni","DUR_ADJ_MID")</f>
        <v>#N/A Requesting Data...</v>
      </c>
      <c r="G1435" t="str">
        <f>_xll.BDP("688426VP Muni","SPREAD_AT_ISSUANCE_TO_WORST")</f>
        <v>#N/A Requesting Data...</v>
      </c>
      <c r="H1435" t="str">
        <f>_xll.BDP("688426VP Muni","ISSUE_DT")</f>
        <v>#N/A Requesting Data...</v>
      </c>
      <c r="I1435" t="str">
        <f>_xll.BDS("688426VP Muni","MUNI_PURPOSE_SCHED", "aggregate=y")</f>
        <v>#N/A Review</v>
      </c>
      <c r="J1435" t="str">
        <f>_xll.BDP("688426VP Muni","CPN")</f>
        <v>#N/A Requesting Data...</v>
      </c>
      <c r="K1435" t="str">
        <f>_xll.BDP("688426VP Muni","MATURITY")</f>
        <v>#N/A Requesting Data...</v>
      </c>
      <c r="L1435">
        <v>80000</v>
      </c>
      <c r="M1435" t="str">
        <f>_xll.BDP("688426VP Muni","YIELD_ON_ISSUE_DATE")</f>
        <v>#N/A Requesting Data...</v>
      </c>
      <c r="N1435" t="str">
        <f>_xll.BDP("688426VP Muni","YTW_SPREAD_TO_MATURITY_AT_ISSU")</f>
        <v>#N/A Requesting Data...</v>
      </c>
      <c r="O1435" t="str">
        <f>_xll.BDP("688426VP Muni","BVAL_MID_YTM")</f>
        <v>#N/A Requesting Data...</v>
      </c>
      <c r="P1435" t="str">
        <f>_xll.BDP("688426VP Muni","MUNI_TAX_PROV")</f>
        <v>#N/A Requesting Data...</v>
      </c>
      <c r="Q1435" t="str">
        <f>_xll.BDP("688426VP Muni","MUNI_FED_TAX")</f>
        <v>#N/A Requesting Data...</v>
      </c>
      <c r="R1435" t="str">
        <f>_xll.BDP("688426VP Muni","MUNI_MSRB_VOLUME")</f>
        <v>#N/A Requesting Data...</v>
      </c>
      <c r="S1435" t="str">
        <f>_xll.BDP("688426VP Muni","BB_COMPOSITE")</f>
        <v>#N/A Requesting Data...</v>
      </c>
      <c r="T1435" t="str">
        <f>_xll.BDP("688426VP Muni","LQA_LIQUIDITY_SCORE")</f>
        <v>#N/A Requesting Data...</v>
      </c>
    </row>
    <row r="1436" spans="1:20" x14ac:dyDescent="0.25">
      <c r="A1436" t="str">
        <f>_xll.BDP("688426VQ Muni","ID_CUSIP")</f>
        <v>#N/A Requesting Data...</v>
      </c>
      <c r="B1436" t="s">
        <v>454</v>
      </c>
      <c r="C1436" t="str">
        <f>_xll.BDP("688426VQ Muni","INSURANCE_STATUS")</f>
        <v>#N/A Requesting Data...</v>
      </c>
      <c r="D1436" t="str">
        <f>_xll.BDP("688426VQ Muni","STATE_CODE")</f>
        <v>#N/A Requesting Data...</v>
      </c>
      <c r="E1436" t="str">
        <f>_xll.BDP("688426VQ Muni","COUNTY_LOCATION_ISSUER")</f>
        <v>#N/A Requesting Data...</v>
      </c>
      <c r="F1436" t="str">
        <f>_xll.BDP("688426VQ Muni","DUR_ADJ_MID")</f>
        <v>#N/A Requesting Data...</v>
      </c>
      <c r="G1436" t="str">
        <f>_xll.BDP("688426VQ Muni","SPREAD_AT_ISSUANCE_TO_WORST")</f>
        <v>#N/A Requesting Data...</v>
      </c>
      <c r="H1436" t="str">
        <f>_xll.BDP("688426VQ Muni","ISSUE_DT")</f>
        <v>#N/A Requesting Data...</v>
      </c>
      <c r="I1436" t="str">
        <f>_xll.BDS("688426VQ Muni","MUNI_PURPOSE_SCHED", "aggregate=y")</f>
        <v>#N/A Review</v>
      </c>
      <c r="J1436" t="str">
        <f>_xll.BDP("688426VQ Muni","CPN")</f>
        <v>#N/A Requesting Data...</v>
      </c>
      <c r="K1436" t="str">
        <f>_xll.BDP("688426VQ Muni","MATURITY")</f>
        <v>#N/A Requesting Data...</v>
      </c>
      <c r="L1436">
        <v>85000</v>
      </c>
      <c r="M1436" t="str">
        <f>_xll.BDP("688426VQ Muni","YIELD_ON_ISSUE_DATE")</f>
        <v>#N/A Requesting Data...</v>
      </c>
      <c r="N1436" t="str">
        <f>_xll.BDP("688426VQ Muni","YTW_SPREAD_TO_MATURITY_AT_ISSU")</f>
        <v>#N/A Requesting Data...</v>
      </c>
      <c r="O1436" t="str">
        <f>_xll.BDP("688426VQ Muni","BVAL_MID_YTM")</f>
        <v>#N/A Requesting Data...</v>
      </c>
      <c r="P1436" t="str">
        <f>_xll.BDP("688426VQ Muni","MUNI_TAX_PROV")</f>
        <v>#N/A Requesting Data...</v>
      </c>
      <c r="Q1436" t="str">
        <f>_xll.BDP("688426VQ Muni","MUNI_FED_TAX")</f>
        <v>#N/A Requesting Data...</v>
      </c>
      <c r="R1436" t="str">
        <f>_xll.BDP("688426VQ Muni","MUNI_MSRB_VOLUME")</f>
        <v>#N/A Requesting Data...</v>
      </c>
      <c r="S1436" t="str">
        <f>_xll.BDP("688426VQ Muni","BB_COMPOSITE")</f>
        <v>#N/A Requesting Data...</v>
      </c>
      <c r="T1436" t="str">
        <f>_xll.BDP("688426VQ Muni","LQA_LIQUIDITY_SCORE")</f>
        <v>#N/A Requesting Data...</v>
      </c>
    </row>
    <row r="1437" spans="1:20" x14ac:dyDescent="0.25">
      <c r="A1437" t="str">
        <f>_xll.BDP("783116AG Muni","ID_CUSIP")</f>
        <v>#N/A Requesting Data...</v>
      </c>
      <c r="B1437" t="s">
        <v>151</v>
      </c>
      <c r="C1437" t="str">
        <f>_xll.BDP("783116AG Muni","INSURANCE_STATUS")</f>
        <v>#N/A Requesting Data...</v>
      </c>
      <c r="D1437" t="str">
        <f>_xll.BDP("783116AG Muni","STATE_CODE")</f>
        <v>#N/A Requesting Data...</v>
      </c>
      <c r="E1437" t="str">
        <f>_xll.BDP("783116AG Muni","COUNTY_LOCATION_ISSUER")</f>
        <v>#N/A Requesting Data...</v>
      </c>
      <c r="F1437" t="str">
        <f>_xll.BDP("783116AG Muni","DUR_ADJ_MID")</f>
        <v>#N/A Requesting Data...</v>
      </c>
      <c r="G1437" t="str">
        <f>_xll.BDP("783116AG Muni","SPREAD_AT_ISSUANCE_TO_WORST")</f>
        <v>#N/A Requesting Data...</v>
      </c>
      <c r="H1437" t="str">
        <f>_xll.BDP("783116AG Muni","ISSUE_DT")</f>
        <v>#N/A Requesting Data...</v>
      </c>
      <c r="I1437" t="str">
        <f>_xll.BDS("783116AG Muni","MUNI_PURPOSE_SCHED", "aggregate=y")</f>
        <v>#N/A Review</v>
      </c>
      <c r="J1437" t="str">
        <f>_xll.BDP("783116AG Muni","CPN")</f>
        <v>#N/A Requesting Data...</v>
      </c>
      <c r="K1437" t="str">
        <f>_xll.BDP("783116AG Muni","MATURITY")</f>
        <v>#N/A Requesting Data...</v>
      </c>
      <c r="L1437">
        <v>1585000</v>
      </c>
      <c r="M1437" t="str">
        <f>_xll.BDP("783116AG Muni","YIELD_ON_ISSUE_DATE")</f>
        <v>#N/A Requesting Data...</v>
      </c>
      <c r="N1437" t="str">
        <f>_xll.BDP("783116AG Muni","YTW_SPREAD_TO_MATURITY_AT_ISSU")</f>
        <v>#N/A Requesting Data...</v>
      </c>
      <c r="O1437" t="str">
        <f>_xll.BDP("783116AG Muni","BVAL_MID_YTM")</f>
        <v>#N/A Requesting Data...</v>
      </c>
      <c r="P1437" t="str">
        <f>_xll.BDP("783116AG Muni","MUNI_TAX_PROV")</f>
        <v>#N/A Requesting Data...</v>
      </c>
      <c r="Q1437" t="str">
        <f>_xll.BDP("783116AG Muni","MUNI_FED_TAX")</f>
        <v>#N/A Requesting Data...</v>
      </c>
      <c r="R1437" t="str">
        <f>_xll.BDP("783116AG Muni","MUNI_MSRB_VOLUME")</f>
        <v>#N/A Requesting Data...</v>
      </c>
      <c r="S1437" t="str">
        <f>_xll.BDP("783116AG Muni","BB_COMPOSITE")</f>
        <v>#N/A Requesting Data...</v>
      </c>
      <c r="T1437" t="str">
        <f>_xll.BDP("783116AG Muni","LQA_LIQUIDITY_SCORE")</f>
        <v>#N/A Requesting Data...</v>
      </c>
    </row>
    <row r="1438" spans="1:20" x14ac:dyDescent="0.25">
      <c r="A1438" t="str">
        <f>_xll.BDP("783116AH Muni","ID_CUSIP")</f>
        <v>#N/A Requesting Data...</v>
      </c>
      <c r="B1438" t="s">
        <v>151</v>
      </c>
      <c r="C1438" t="str">
        <f>_xll.BDP("783116AH Muni","INSURANCE_STATUS")</f>
        <v>#N/A Requesting Data...</v>
      </c>
      <c r="D1438" t="str">
        <f>_xll.BDP("783116AH Muni","STATE_CODE")</f>
        <v>#N/A Requesting Data...</v>
      </c>
      <c r="E1438" t="str">
        <f>_xll.BDP("783116AH Muni","COUNTY_LOCATION_ISSUER")</f>
        <v>#N/A Requesting Data...</v>
      </c>
      <c r="F1438" t="str">
        <f>_xll.BDP("783116AH Muni","DUR_ADJ_MID")</f>
        <v>#N/A Requesting Data...</v>
      </c>
      <c r="G1438" t="str">
        <f>_xll.BDP("783116AH Muni","SPREAD_AT_ISSUANCE_TO_WORST")</f>
        <v>#N/A Requesting Data...</v>
      </c>
      <c r="H1438" t="str">
        <f>_xll.BDP("783116AH Muni","ISSUE_DT")</f>
        <v>#N/A Requesting Data...</v>
      </c>
      <c r="I1438" t="str">
        <f>_xll.BDS("783116AH Muni","MUNI_PURPOSE_SCHED", "aggregate=y")</f>
        <v>#N/A Review</v>
      </c>
      <c r="J1438" t="str">
        <f>_xll.BDP("783116AH Muni","CPN")</f>
        <v>#N/A Requesting Data...</v>
      </c>
      <c r="K1438" t="str">
        <f>_xll.BDP("783116AH Muni","MATURITY")</f>
        <v>#N/A Requesting Data...</v>
      </c>
      <c r="L1438">
        <v>1660000</v>
      </c>
      <c r="M1438" t="str">
        <f>_xll.BDP("783116AH Muni","YIELD_ON_ISSUE_DATE")</f>
        <v>#N/A Requesting Data...</v>
      </c>
      <c r="N1438" t="str">
        <f>_xll.BDP("783116AH Muni","YTW_SPREAD_TO_MATURITY_AT_ISSU")</f>
        <v>#N/A Requesting Data...</v>
      </c>
      <c r="O1438" t="str">
        <f>_xll.BDP("783116AH Muni","BVAL_MID_YTM")</f>
        <v>#N/A Requesting Data...</v>
      </c>
      <c r="P1438" t="str">
        <f>_xll.BDP("783116AH Muni","MUNI_TAX_PROV")</f>
        <v>#N/A Requesting Data...</v>
      </c>
      <c r="Q1438" t="str">
        <f>_xll.BDP("783116AH Muni","MUNI_FED_TAX")</f>
        <v>#N/A Requesting Data...</v>
      </c>
      <c r="R1438" t="str">
        <f>_xll.BDP("783116AH Muni","MUNI_MSRB_VOLUME")</f>
        <v>#N/A Requesting Data...</v>
      </c>
      <c r="S1438" t="str">
        <f>_xll.BDP("783116AH Muni","BB_COMPOSITE")</f>
        <v>#N/A Requesting Data...</v>
      </c>
      <c r="T1438" t="str">
        <f>_xll.BDP("783116AH Muni","LQA_LIQUIDITY_SCORE")</f>
        <v>#N/A Requesting Data...</v>
      </c>
    </row>
    <row r="1439" spans="1:20" x14ac:dyDescent="0.25">
      <c r="A1439" t="str">
        <f>_xll.BDP("783116AJ Muni","ID_CUSIP")</f>
        <v>#N/A Requesting Data...</v>
      </c>
      <c r="B1439" t="s">
        <v>151</v>
      </c>
      <c r="C1439" t="str">
        <f>_xll.BDP("783116AJ Muni","INSURANCE_STATUS")</f>
        <v>#N/A Requesting Data...</v>
      </c>
      <c r="D1439" t="str">
        <f>_xll.BDP("783116AJ Muni","STATE_CODE")</f>
        <v>#N/A Requesting Data...</v>
      </c>
      <c r="E1439" t="str">
        <f>_xll.BDP("783116AJ Muni","COUNTY_LOCATION_ISSUER")</f>
        <v>#N/A Requesting Data...</v>
      </c>
      <c r="F1439" t="str">
        <f>_xll.BDP("783116AJ Muni","DUR_ADJ_MID")</f>
        <v>#N/A Requesting Data...</v>
      </c>
      <c r="G1439" t="str">
        <f>_xll.BDP("783116AJ Muni","SPREAD_AT_ISSUANCE_TO_WORST")</f>
        <v>#N/A Requesting Data...</v>
      </c>
      <c r="H1439" t="str">
        <f>_xll.BDP("783116AJ Muni","ISSUE_DT")</f>
        <v>#N/A Requesting Data...</v>
      </c>
      <c r="I1439" t="str">
        <f>_xll.BDS("783116AJ Muni","MUNI_PURPOSE_SCHED", "aggregate=y")</f>
        <v>#N/A Review</v>
      </c>
      <c r="J1439" t="str">
        <f>_xll.BDP("783116AJ Muni","CPN")</f>
        <v>#N/A Requesting Data...</v>
      </c>
      <c r="K1439" t="str">
        <f>_xll.BDP("783116AJ Muni","MATURITY")</f>
        <v>#N/A Requesting Data...</v>
      </c>
      <c r="L1439">
        <v>1745000</v>
      </c>
      <c r="M1439" t="str">
        <f>_xll.BDP("783116AJ Muni","YIELD_ON_ISSUE_DATE")</f>
        <v>#N/A Requesting Data...</v>
      </c>
      <c r="N1439" t="str">
        <f>_xll.BDP("783116AJ Muni","YTW_SPREAD_TO_MATURITY_AT_ISSU")</f>
        <v>#N/A Requesting Data...</v>
      </c>
      <c r="O1439" t="str">
        <f>_xll.BDP("783116AJ Muni","BVAL_MID_YTM")</f>
        <v>#N/A Requesting Data...</v>
      </c>
      <c r="P1439" t="str">
        <f>_xll.BDP("783116AJ Muni","MUNI_TAX_PROV")</f>
        <v>#N/A Requesting Data...</v>
      </c>
      <c r="Q1439" t="str">
        <f>_xll.BDP("783116AJ Muni","MUNI_FED_TAX")</f>
        <v>#N/A Requesting Data...</v>
      </c>
      <c r="R1439" t="str">
        <f>_xll.BDP("783116AJ Muni","MUNI_MSRB_VOLUME")</f>
        <v>#N/A Requesting Data...</v>
      </c>
      <c r="S1439" t="str">
        <f>_xll.BDP("783116AJ Muni","BB_COMPOSITE")</f>
        <v>#N/A Requesting Data...</v>
      </c>
      <c r="T1439" t="str">
        <f>_xll.BDP("783116AJ Muni","LQA_LIQUIDITY_SCORE")</f>
        <v>#N/A Requesting Data...</v>
      </c>
    </row>
    <row r="1440" spans="1:20" x14ac:dyDescent="0.25">
      <c r="A1440" t="str">
        <f>_xll.BDP("718780EZ Muni","ID_CUSIP")</f>
        <v>#N/A Requesting Data...</v>
      </c>
      <c r="B1440" t="s">
        <v>455</v>
      </c>
      <c r="C1440" t="str">
        <f>_xll.BDP("718780EZ Muni","INSURANCE_STATUS")</f>
        <v>#N/A Requesting Data...</v>
      </c>
      <c r="D1440" t="str">
        <f>_xll.BDP("718780EZ Muni","STATE_CODE")</f>
        <v>#N/A Requesting Data...</v>
      </c>
      <c r="E1440" t="str">
        <f>_xll.BDP("718780EZ Muni","COUNTY_LOCATION_ISSUER")</f>
        <v>#N/A Requesting Data...</v>
      </c>
      <c r="F1440" t="str">
        <f>_xll.BDP("718780EZ Muni","DUR_ADJ_MID")</f>
        <v>#N/A Requesting Data...</v>
      </c>
      <c r="G1440" t="str">
        <f>_xll.BDP("718780EZ Muni","SPREAD_AT_ISSUANCE_TO_WORST")</f>
        <v>#N/A Requesting Data...</v>
      </c>
      <c r="H1440" t="str">
        <f>_xll.BDP("718780EZ Muni","ISSUE_DT")</f>
        <v>#N/A Requesting Data...</v>
      </c>
      <c r="I1440" t="str">
        <f>_xll.BDS("718780EZ Muni","MUNI_PURPOSE_SCHED", "aggregate=y")</f>
        <v>#N/A Review</v>
      </c>
      <c r="J1440" t="str">
        <f>_xll.BDP("718780EZ Muni","CPN")</f>
        <v>#N/A Requesting Data...</v>
      </c>
      <c r="K1440" t="str">
        <f>_xll.BDP("718780EZ Muni","MATURITY")</f>
        <v>#N/A Requesting Data...</v>
      </c>
      <c r="L1440">
        <v>370000</v>
      </c>
      <c r="M1440" t="str">
        <f>_xll.BDP("718780EZ Muni","YIELD_ON_ISSUE_DATE")</f>
        <v>#N/A Requesting Data...</v>
      </c>
      <c r="N1440" t="str">
        <f>_xll.BDP("718780EZ Muni","YTW_SPREAD_TO_MATURITY_AT_ISSU")</f>
        <v>#N/A Requesting Data...</v>
      </c>
      <c r="O1440" t="str">
        <f>_xll.BDP("718780EZ Muni","BVAL_MID_YTM")</f>
        <v>#N/A Requesting Data...</v>
      </c>
      <c r="P1440" t="str">
        <f>_xll.BDP("718780EZ Muni","MUNI_TAX_PROV")</f>
        <v>#N/A Requesting Data...</v>
      </c>
      <c r="Q1440" t="str">
        <f>_xll.BDP("718780EZ Muni","MUNI_FED_TAX")</f>
        <v>#N/A Requesting Data...</v>
      </c>
      <c r="R1440" t="str">
        <f>_xll.BDP("718780EZ Muni","MUNI_MSRB_VOLUME")</f>
        <v>#N/A Requesting Data...</v>
      </c>
      <c r="S1440" t="str">
        <f>_xll.BDP("718780EZ Muni","BB_COMPOSITE")</f>
        <v>#N/A Requesting Data...</v>
      </c>
      <c r="T1440" t="str">
        <f>_xll.BDP("718780EZ Muni","LQA_LIQUIDITY_SCORE")</f>
        <v>#N/A Requesting Data...</v>
      </c>
    </row>
    <row r="1441" spans="1:20" x14ac:dyDescent="0.25">
      <c r="A1441" t="str">
        <f>_xll.BDP("718780FA Muni","ID_CUSIP")</f>
        <v>#N/A Requesting Data...</v>
      </c>
      <c r="B1441" t="s">
        <v>455</v>
      </c>
      <c r="C1441" t="str">
        <f>_xll.BDP("718780FA Muni","INSURANCE_STATUS")</f>
        <v>#N/A Requesting Data...</v>
      </c>
      <c r="D1441" t="str">
        <f>_xll.BDP("718780FA Muni","STATE_CODE")</f>
        <v>#N/A Requesting Data...</v>
      </c>
      <c r="E1441" t="str">
        <f>_xll.BDP("718780FA Muni","COUNTY_LOCATION_ISSUER")</f>
        <v>#N/A Requesting Data...</v>
      </c>
      <c r="F1441" t="str">
        <f>_xll.BDP("718780FA Muni","DUR_ADJ_MID")</f>
        <v>#N/A Requesting Data...</v>
      </c>
      <c r="G1441" t="str">
        <f>_xll.BDP("718780FA Muni","SPREAD_AT_ISSUANCE_TO_WORST")</f>
        <v>#N/A Requesting Data...</v>
      </c>
      <c r="H1441" t="str">
        <f>_xll.BDP("718780FA Muni","ISSUE_DT")</f>
        <v>#N/A Requesting Data...</v>
      </c>
      <c r="I1441" t="str">
        <f>_xll.BDS("718780FA Muni","MUNI_PURPOSE_SCHED", "aggregate=y")</f>
        <v>#N/A Review</v>
      </c>
      <c r="J1441" t="str">
        <f>_xll.BDP("718780FA Muni","CPN")</f>
        <v>#N/A Requesting Data...</v>
      </c>
      <c r="K1441" t="str">
        <f>_xll.BDP("718780FA Muni","MATURITY")</f>
        <v>#N/A Requesting Data...</v>
      </c>
      <c r="L1441">
        <v>400000</v>
      </c>
      <c r="M1441" t="str">
        <f>_xll.BDP("718780FA Muni","YIELD_ON_ISSUE_DATE")</f>
        <v>#N/A Requesting Data...</v>
      </c>
      <c r="N1441" t="str">
        <f>_xll.BDP("718780FA Muni","YTW_SPREAD_TO_MATURITY_AT_ISSU")</f>
        <v>#N/A Requesting Data...</v>
      </c>
      <c r="O1441" t="str">
        <f>_xll.BDP("718780FA Muni","BVAL_MID_YTM")</f>
        <v>#N/A Requesting Data...</v>
      </c>
      <c r="P1441" t="str">
        <f>_xll.BDP("718780FA Muni","MUNI_TAX_PROV")</f>
        <v>#N/A Requesting Data...</v>
      </c>
      <c r="Q1441" t="str">
        <f>_xll.BDP("718780FA Muni","MUNI_FED_TAX")</f>
        <v>#N/A Requesting Data...</v>
      </c>
      <c r="R1441" t="str">
        <f>_xll.BDP("718780FA Muni","MUNI_MSRB_VOLUME")</f>
        <v>#N/A Requesting Data...</v>
      </c>
      <c r="S1441" t="str">
        <f>_xll.BDP("718780FA Muni","BB_COMPOSITE")</f>
        <v>#N/A Requesting Data...</v>
      </c>
      <c r="T1441" t="str">
        <f>_xll.BDP("718780FA Muni","LQA_LIQUIDITY_SCORE")</f>
        <v>#N/A Requesting Data...</v>
      </c>
    </row>
    <row r="1442" spans="1:20" x14ac:dyDescent="0.25">
      <c r="A1442" t="str">
        <f>_xll.BDP("718780FB Muni","ID_CUSIP")</f>
        <v>#N/A Requesting Data...</v>
      </c>
      <c r="B1442" t="s">
        <v>455</v>
      </c>
      <c r="C1442" t="str">
        <f>_xll.BDP("718780FB Muni","INSURANCE_STATUS")</f>
        <v>#N/A Requesting Data...</v>
      </c>
      <c r="D1442" t="str">
        <f>_xll.BDP("718780FB Muni","STATE_CODE")</f>
        <v>#N/A Requesting Data...</v>
      </c>
      <c r="E1442" t="str">
        <f>_xll.BDP("718780FB Muni","COUNTY_LOCATION_ISSUER")</f>
        <v>#N/A Requesting Data...</v>
      </c>
      <c r="F1442" t="str">
        <f>_xll.BDP("718780FB Muni","DUR_ADJ_MID")</f>
        <v>#N/A Requesting Data...</v>
      </c>
      <c r="G1442" t="str">
        <f>_xll.BDP("718780FB Muni","SPREAD_AT_ISSUANCE_TO_WORST")</f>
        <v>#N/A Requesting Data...</v>
      </c>
      <c r="H1442" t="str">
        <f>_xll.BDP("718780FB Muni","ISSUE_DT")</f>
        <v>#N/A Requesting Data...</v>
      </c>
      <c r="I1442" t="str">
        <f>_xll.BDS("718780FB Muni","MUNI_PURPOSE_SCHED", "aggregate=y")</f>
        <v>#N/A Review</v>
      </c>
      <c r="J1442" t="str">
        <f>_xll.BDP("718780FB Muni","CPN")</f>
        <v>#N/A Requesting Data...</v>
      </c>
      <c r="K1442" t="str">
        <f>_xll.BDP("718780FB Muni","MATURITY")</f>
        <v>#N/A Requesting Data...</v>
      </c>
      <c r="L1442">
        <v>430000</v>
      </c>
      <c r="M1442" t="str">
        <f>_xll.BDP("718780FB Muni","YIELD_ON_ISSUE_DATE")</f>
        <v>#N/A Requesting Data...</v>
      </c>
      <c r="N1442" t="str">
        <f>_xll.BDP("718780FB Muni","YTW_SPREAD_TO_MATURITY_AT_ISSU")</f>
        <v>#N/A Requesting Data...</v>
      </c>
      <c r="O1442" t="str">
        <f>_xll.BDP("718780FB Muni","BVAL_MID_YTM")</f>
        <v>#N/A Requesting Data...</v>
      </c>
      <c r="P1442" t="str">
        <f>_xll.BDP("718780FB Muni","MUNI_TAX_PROV")</f>
        <v>#N/A Requesting Data...</v>
      </c>
      <c r="Q1442" t="str">
        <f>_xll.BDP("718780FB Muni","MUNI_FED_TAX")</f>
        <v>#N/A Requesting Data...</v>
      </c>
      <c r="R1442" t="str">
        <f>_xll.BDP("718780FB Muni","MUNI_MSRB_VOLUME")</f>
        <v>#N/A Requesting Data...</v>
      </c>
      <c r="S1442" t="str">
        <f>_xll.BDP("718780FB Muni","BB_COMPOSITE")</f>
        <v>#N/A Requesting Data...</v>
      </c>
      <c r="T1442" t="str">
        <f>_xll.BDP("718780FB Muni","LQA_LIQUIDITY_SCORE")</f>
        <v>#N/A Requesting Data...</v>
      </c>
    </row>
    <row r="1443" spans="1:20" x14ac:dyDescent="0.25">
      <c r="A1443" t="str">
        <f>_xll.BDP("718780FC Muni","ID_CUSIP")</f>
        <v>#N/A Requesting Data...</v>
      </c>
      <c r="B1443" t="s">
        <v>455</v>
      </c>
      <c r="C1443" t="str">
        <f>_xll.BDP("718780FC Muni","INSURANCE_STATUS")</f>
        <v>#N/A Requesting Data...</v>
      </c>
      <c r="D1443" t="str">
        <f>_xll.BDP("718780FC Muni","STATE_CODE")</f>
        <v>#N/A Requesting Data...</v>
      </c>
      <c r="E1443" t="str">
        <f>_xll.BDP("718780FC Muni","COUNTY_LOCATION_ISSUER")</f>
        <v>#N/A Requesting Data...</v>
      </c>
      <c r="F1443" t="str">
        <f>_xll.BDP("718780FC Muni","DUR_ADJ_MID")</f>
        <v>#N/A Requesting Data...</v>
      </c>
      <c r="G1443" t="str">
        <f>_xll.BDP("718780FC Muni","SPREAD_AT_ISSUANCE_TO_WORST")</f>
        <v>#N/A Requesting Data...</v>
      </c>
      <c r="H1443" t="str">
        <f>_xll.BDP("718780FC Muni","ISSUE_DT")</f>
        <v>#N/A Requesting Data...</v>
      </c>
      <c r="I1443" t="str">
        <f>_xll.BDS("718780FC Muni","MUNI_PURPOSE_SCHED", "aggregate=y")</f>
        <v>#N/A Review</v>
      </c>
      <c r="J1443" t="str">
        <f>_xll.BDP("718780FC Muni","CPN")</f>
        <v>#N/A Requesting Data...</v>
      </c>
      <c r="K1443" t="str">
        <f>_xll.BDP("718780FC Muni","MATURITY")</f>
        <v>#N/A Requesting Data...</v>
      </c>
      <c r="L1443">
        <v>455000</v>
      </c>
      <c r="M1443" t="str">
        <f>_xll.BDP("718780FC Muni","YIELD_ON_ISSUE_DATE")</f>
        <v>#N/A Requesting Data...</v>
      </c>
      <c r="N1443" t="str">
        <f>_xll.BDP("718780FC Muni","YTW_SPREAD_TO_MATURITY_AT_ISSU")</f>
        <v>#N/A Requesting Data...</v>
      </c>
      <c r="O1443" t="str">
        <f>_xll.BDP("718780FC Muni","BVAL_MID_YTM")</f>
        <v>#N/A Requesting Data...</v>
      </c>
      <c r="P1443" t="str">
        <f>_xll.BDP("718780FC Muni","MUNI_TAX_PROV")</f>
        <v>#N/A Requesting Data...</v>
      </c>
      <c r="Q1443" t="str">
        <f>_xll.BDP("718780FC Muni","MUNI_FED_TAX")</f>
        <v>#N/A Requesting Data...</v>
      </c>
      <c r="R1443" t="str">
        <f>_xll.BDP("718780FC Muni","MUNI_MSRB_VOLUME")</f>
        <v>#N/A Requesting Data...</v>
      </c>
      <c r="S1443" t="str">
        <f>_xll.BDP("718780FC Muni","BB_COMPOSITE")</f>
        <v>#N/A Requesting Data...</v>
      </c>
      <c r="T1443" t="str">
        <f>_xll.BDP("718780FC Muni","LQA_LIQUIDITY_SCORE")</f>
        <v>#N/A Requesting Data...</v>
      </c>
    </row>
    <row r="1444" spans="1:20" x14ac:dyDescent="0.25">
      <c r="A1444" t="str">
        <f>_xll.BDP("721187SE Muni","ID_CUSIP")</f>
        <v>#N/A Requesting Data...</v>
      </c>
      <c r="B1444" t="s">
        <v>456</v>
      </c>
      <c r="C1444" t="str">
        <f>_xll.BDP("721187SE Muni","INSURANCE_STATUS")</f>
        <v>#N/A Requesting Data...</v>
      </c>
      <c r="D1444" t="str">
        <f>_xll.BDP("721187SE Muni","STATE_CODE")</f>
        <v>#N/A Requesting Data...</v>
      </c>
      <c r="E1444" t="str">
        <f>_xll.BDP("721187SE Muni","COUNTY_LOCATION_ISSUER")</f>
        <v>#N/A Requesting Data...</v>
      </c>
      <c r="F1444" t="str">
        <f>_xll.BDP("721187SE Muni","DUR_ADJ_MID")</f>
        <v>#N/A Requesting Data...</v>
      </c>
      <c r="G1444" t="str">
        <f>_xll.BDP("721187SE Muni","SPREAD_AT_ISSUANCE_TO_WORST")</f>
        <v>#N/A Requesting Data...</v>
      </c>
      <c r="H1444" t="str">
        <f>_xll.BDP("721187SE Muni","ISSUE_DT")</f>
        <v>#N/A Requesting Data...</v>
      </c>
      <c r="I1444" t="str">
        <f>_xll.BDS("721187SE Muni","MUNI_PURPOSE_SCHED", "aggregate=y")</f>
        <v>#N/A Review</v>
      </c>
      <c r="J1444" t="str">
        <f>_xll.BDP("721187SE Muni","CPN")</f>
        <v>#N/A Requesting Data...</v>
      </c>
      <c r="K1444" t="str">
        <f>_xll.BDP("721187SE Muni","MATURITY")</f>
        <v>#N/A Requesting Data...</v>
      </c>
      <c r="L1444">
        <v>75000</v>
      </c>
      <c r="M1444" t="str">
        <f>_xll.BDP("721187SE Muni","YIELD_ON_ISSUE_DATE")</f>
        <v>#N/A Requesting Data...</v>
      </c>
      <c r="N1444" t="str">
        <f>_xll.BDP("721187SE Muni","YTW_SPREAD_TO_MATURITY_AT_ISSU")</f>
        <v>#N/A Requesting Data...</v>
      </c>
      <c r="O1444" t="str">
        <f>_xll.BDP("721187SE Muni","BVAL_MID_YTM")</f>
        <v>#N/A Requesting Data...</v>
      </c>
      <c r="P1444" t="str">
        <f>_xll.BDP("721187SE Muni","MUNI_TAX_PROV")</f>
        <v>#N/A Requesting Data...</v>
      </c>
      <c r="Q1444" t="str">
        <f>_xll.BDP("721187SE Muni","MUNI_FED_TAX")</f>
        <v>#N/A Requesting Data...</v>
      </c>
      <c r="R1444" t="str">
        <f>_xll.BDP("721187SE Muni","MUNI_MSRB_VOLUME")</f>
        <v>#N/A Requesting Data...</v>
      </c>
      <c r="S1444" t="str">
        <f>_xll.BDP("721187SE Muni","BB_COMPOSITE")</f>
        <v>#N/A Requesting Data...</v>
      </c>
      <c r="T1444" t="str">
        <f>_xll.BDP("721187SE Muni","LQA_LIQUIDITY_SCORE")</f>
        <v>#N/A Requesting Data...</v>
      </c>
    </row>
    <row r="1445" spans="1:20" x14ac:dyDescent="0.25">
      <c r="A1445" t="str">
        <f>_xll.BDP("721187SF Muni","ID_CUSIP")</f>
        <v>#N/A Requesting Data...</v>
      </c>
      <c r="B1445" t="s">
        <v>456</v>
      </c>
      <c r="C1445" t="str">
        <f>_xll.BDP("721187SF Muni","INSURANCE_STATUS")</f>
        <v>#N/A Requesting Data...</v>
      </c>
      <c r="D1445" t="str">
        <f>_xll.BDP("721187SF Muni","STATE_CODE")</f>
        <v>#N/A Requesting Data...</v>
      </c>
      <c r="E1445" t="str">
        <f>_xll.BDP("721187SF Muni","COUNTY_LOCATION_ISSUER")</f>
        <v>#N/A Requesting Data...</v>
      </c>
      <c r="F1445" t="str">
        <f>_xll.BDP("721187SF Muni","DUR_ADJ_MID")</f>
        <v>#N/A Requesting Data...</v>
      </c>
      <c r="G1445" t="str">
        <f>_xll.BDP("721187SF Muni","SPREAD_AT_ISSUANCE_TO_WORST")</f>
        <v>#N/A Requesting Data...</v>
      </c>
      <c r="H1445" t="str">
        <f>_xll.BDP("721187SF Muni","ISSUE_DT")</f>
        <v>#N/A Requesting Data...</v>
      </c>
      <c r="I1445" t="str">
        <f>_xll.BDS("721187SF Muni","MUNI_PURPOSE_SCHED", "aggregate=y")</f>
        <v>#N/A Review</v>
      </c>
      <c r="J1445" t="str">
        <f>_xll.BDP("721187SF Muni","CPN")</f>
        <v>#N/A Requesting Data...</v>
      </c>
      <c r="K1445" t="str">
        <f>_xll.BDP("721187SF Muni","MATURITY")</f>
        <v>#N/A Requesting Data...</v>
      </c>
      <c r="L1445">
        <v>75000</v>
      </c>
      <c r="M1445" t="str">
        <f>_xll.BDP("721187SF Muni","YIELD_ON_ISSUE_DATE")</f>
        <v>#N/A Requesting Data...</v>
      </c>
      <c r="N1445" t="str">
        <f>_xll.BDP("721187SF Muni","YTW_SPREAD_TO_MATURITY_AT_ISSU")</f>
        <v>#N/A Requesting Data...</v>
      </c>
      <c r="O1445" t="str">
        <f>_xll.BDP("721187SF Muni","BVAL_MID_YTM")</f>
        <v>#N/A Requesting Data...</v>
      </c>
      <c r="P1445" t="str">
        <f>_xll.BDP("721187SF Muni","MUNI_TAX_PROV")</f>
        <v>#N/A Requesting Data...</v>
      </c>
      <c r="Q1445" t="str">
        <f>_xll.BDP("721187SF Muni","MUNI_FED_TAX")</f>
        <v>#N/A Requesting Data...</v>
      </c>
      <c r="R1445" t="str">
        <f>_xll.BDP("721187SF Muni","MUNI_MSRB_VOLUME")</f>
        <v>#N/A Requesting Data...</v>
      </c>
      <c r="S1445" t="str">
        <f>_xll.BDP("721187SF Muni","BB_COMPOSITE")</f>
        <v>#N/A Requesting Data...</v>
      </c>
      <c r="T1445" t="str">
        <f>_xll.BDP("721187SF Muni","LQA_LIQUIDITY_SCORE")</f>
        <v>#N/A Requesting Data...</v>
      </c>
    </row>
    <row r="1446" spans="1:20" x14ac:dyDescent="0.25">
      <c r="A1446" t="str">
        <f>_xll.BDP("721187SG Muni","ID_CUSIP")</f>
        <v>#N/A Requesting Data...</v>
      </c>
      <c r="B1446" t="s">
        <v>456</v>
      </c>
      <c r="C1446" t="str">
        <f>_xll.BDP("721187SG Muni","INSURANCE_STATUS")</f>
        <v>#N/A Requesting Data...</v>
      </c>
      <c r="D1446" t="str">
        <f>_xll.BDP("721187SG Muni","STATE_CODE")</f>
        <v>#N/A Requesting Data...</v>
      </c>
      <c r="E1446" t="str">
        <f>_xll.BDP("721187SG Muni","COUNTY_LOCATION_ISSUER")</f>
        <v>#N/A Requesting Data...</v>
      </c>
      <c r="F1446" t="str">
        <f>_xll.BDP("721187SG Muni","DUR_ADJ_MID")</f>
        <v>#N/A Requesting Data...</v>
      </c>
      <c r="G1446" t="str">
        <f>_xll.BDP("721187SG Muni","SPREAD_AT_ISSUANCE_TO_WORST")</f>
        <v>#N/A Requesting Data...</v>
      </c>
      <c r="H1446" t="str">
        <f>_xll.BDP("721187SG Muni","ISSUE_DT")</f>
        <v>#N/A Requesting Data...</v>
      </c>
      <c r="I1446" t="str">
        <f>_xll.BDS("721187SG Muni","MUNI_PURPOSE_SCHED", "aggregate=y")</f>
        <v>#N/A Review</v>
      </c>
      <c r="J1446" t="str">
        <f>_xll.BDP("721187SG Muni","CPN")</f>
        <v>#N/A Requesting Data...</v>
      </c>
      <c r="K1446" t="str">
        <f>_xll.BDP("721187SG Muni","MATURITY")</f>
        <v>#N/A Requesting Data...</v>
      </c>
      <c r="L1446">
        <v>85000</v>
      </c>
      <c r="M1446" t="str">
        <f>_xll.BDP("721187SG Muni","YIELD_ON_ISSUE_DATE")</f>
        <v>#N/A Requesting Data...</v>
      </c>
      <c r="N1446" t="str">
        <f>_xll.BDP("721187SG Muni","YTW_SPREAD_TO_MATURITY_AT_ISSU")</f>
        <v>#N/A Requesting Data...</v>
      </c>
      <c r="O1446" t="str">
        <f>_xll.BDP("721187SG Muni","BVAL_MID_YTM")</f>
        <v>#N/A Requesting Data...</v>
      </c>
      <c r="P1446" t="str">
        <f>_xll.BDP("721187SG Muni","MUNI_TAX_PROV")</f>
        <v>#N/A Requesting Data...</v>
      </c>
      <c r="Q1446" t="str">
        <f>_xll.BDP("721187SG Muni","MUNI_FED_TAX")</f>
        <v>#N/A Requesting Data...</v>
      </c>
      <c r="R1446" t="str">
        <f>_xll.BDP("721187SG Muni","MUNI_MSRB_VOLUME")</f>
        <v>#N/A Requesting Data...</v>
      </c>
      <c r="S1446" t="str">
        <f>_xll.BDP("721187SG Muni","BB_COMPOSITE")</f>
        <v>#N/A Requesting Data...</v>
      </c>
      <c r="T1446" t="str">
        <f>_xll.BDP("721187SG Muni","LQA_LIQUIDITY_SCORE")</f>
        <v>#N/A Requesting Data...</v>
      </c>
    </row>
    <row r="1447" spans="1:20" x14ac:dyDescent="0.25">
      <c r="A1447" t="str">
        <f>_xll.BDP("721187SH Muni","ID_CUSIP")</f>
        <v>#N/A Requesting Data...</v>
      </c>
      <c r="B1447" t="s">
        <v>456</v>
      </c>
      <c r="C1447" t="str">
        <f>_xll.BDP("721187SH Muni","INSURANCE_STATUS")</f>
        <v>#N/A Requesting Data...</v>
      </c>
      <c r="D1447" t="str">
        <f>_xll.BDP("721187SH Muni","STATE_CODE")</f>
        <v>#N/A Requesting Data...</v>
      </c>
      <c r="E1447" t="str">
        <f>_xll.BDP("721187SH Muni","COUNTY_LOCATION_ISSUER")</f>
        <v>#N/A Requesting Data...</v>
      </c>
      <c r="F1447" t="str">
        <f>_xll.BDP("721187SH Muni","DUR_ADJ_MID")</f>
        <v>#N/A Requesting Data...</v>
      </c>
      <c r="G1447" t="str">
        <f>_xll.BDP("721187SH Muni","SPREAD_AT_ISSUANCE_TO_WORST")</f>
        <v>#N/A Requesting Data...</v>
      </c>
      <c r="H1447" t="str">
        <f>_xll.BDP("721187SH Muni","ISSUE_DT")</f>
        <v>#N/A Requesting Data...</v>
      </c>
      <c r="I1447" t="str">
        <f>_xll.BDS("721187SH Muni","MUNI_PURPOSE_SCHED", "aggregate=y")</f>
        <v>#N/A Review</v>
      </c>
      <c r="J1447" t="str">
        <f>_xll.BDP("721187SH Muni","CPN")</f>
        <v>#N/A Requesting Data...</v>
      </c>
      <c r="K1447" t="str">
        <f>_xll.BDP("721187SH Muni","MATURITY")</f>
        <v>#N/A Requesting Data...</v>
      </c>
      <c r="L1447">
        <v>85000</v>
      </c>
      <c r="M1447" t="str">
        <f>_xll.BDP("721187SH Muni","YIELD_ON_ISSUE_DATE")</f>
        <v>#N/A Requesting Data...</v>
      </c>
      <c r="N1447" t="str">
        <f>_xll.BDP("721187SH Muni","YTW_SPREAD_TO_MATURITY_AT_ISSU")</f>
        <v>#N/A Requesting Data...</v>
      </c>
      <c r="O1447" t="str">
        <f>_xll.BDP("721187SH Muni","BVAL_MID_YTM")</f>
        <v>#N/A Requesting Data...</v>
      </c>
      <c r="P1447" t="str">
        <f>_xll.BDP("721187SH Muni","MUNI_TAX_PROV")</f>
        <v>#N/A Requesting Data...</v>
      </c>
      <c r="Q1447" t="str">
        <f>_xll.BDP("721187SH Muni","MUNI_FED_TAX")</f>
        <v>#N/A Requesting Data...</v>
      </c>
      <c r="R1447" t="str">
        <f>_xll.BDP("721187SH Muni","MUNI_MSRB_VOLUME")</f>
        <v>#N/A Requesting Data...</v>
      </c>
      <c r="S1447" t="str">
        <f>_xll.BDP("721187SH Muni","BB_COMPOSITE")</f>
        <v>#N/A Requesting Data...</v>
      </c>
      <c r="T1447" t="str">
        <f>_xll.BDP("721187SH Muni","LQA_LIQUIDITY_SCORE")</f>
        <v>#N/A Requesting Data...</v>
      </c>
    </row>
    <row r="1448" spans="1:20" x14ac:dyDescent="0.25">
      <c r="A1448" t="str">
        <f>_xll.BDP("721187SJ Muni","ID_CUSIP")</f>
        <v>#N/A Requesting Data...</v>
      </c>
      <c r="B1448" t="s">
        <v>456</v>
      </c>
      <c r="C1448" t="str">
        <f>_xll.BDP("721187SJ Muni","INSURANCE_STATUS")</f>
        <v>#N/A Requesting Data...</v>
      </c>
      <c r="D1448" t="str">
        <f>_xll.BDP("721187SJ Muni","STATE_CODE")</f>
        <v>#N/A Requesting Data...</v>
      </c>
      <c r="E1448" t="str">
        <f>_xll.BDP("721187SJ Muni","COUNTY_LOCATION_ISSUER")</f>
        <v>#N/A Requesting Data...</v>
      </c>
      <c r="F1448" t="str">
        <f>_xll.BDP("721187SJ Muni","DUR_ADJ_MID")</f>
        <v>#N/A Requesting Data...</v>
      </c>
      <c r="G1448" t="str">
        <f>_xll.BDP("721187SJ Muni","SPREAD_AT_ISSUANCE_TO_WORST")</f>
        <v>#N/A Requesting Data...</v>
      </c>
      <c r="H1448" t="str">
        <f>_xll.BDP("721187SJ Muni","ISSUE_DT")</f>
        <v>#N/A Requesting Data...</v>
      </c>
      <c r="I1448" t="str">
        <f>_xll.BDS("721187SJ Muni","MUNI_PURPOSE_SCHED", "aggregate=y")</f>
        <v>#N/A Review</v>
      </c>
      <c r="J1448" t="str">
        <f>_xll.BDP("721187SJ Muni","CPN")</f>
        <v>#N/A Requesting Data...</v>
      </c>
      <c r="K1448" t="str">
        <f>_xll.BDP("721187SJ Muni","MATURITY")</f>
        <v>#N/A Requesting Data...</v>
      </c>
      <c r="L1448">
        <v>95000</v>
      </c>
      <c r="M1448" t="str">
        <f>_xll.BDP("721187SJ Muni","YIELD_ON_ISSUE_DATE")</f>
        <v>#N/A Requesting Data...</v>
      </c>
      <c r="N1448" t="str">
        <f>_xll.BDP("721187SJ Muni","YTW_SPREAD_TO_MATURITY_AT_ISSU")</f>
        <v>#N/A Requesting Data...</v>
      </c>
      <c r="O1448" t="str">
        <f>_xll.BDP("721187SJ Muni","BVAL_MID_YTM")</f>
        <v>#N/A Requesting Data...</v>
      </c>
      <c r="P1448" t="str">
        <f>_xll.BDP("721187SJ Muni","MUNI_TAX_PROV")</f>
        <v>#N/A Requesting Data...</v>
      </c>
      <c r="Q1448" t="str">
        <f>_xll.BDP("721187SJ Muni","MUNI_FED_TAX")</f>
        <v>#N/A Requesting Data...</v>
      </c>
      <c r="R1448" t="str">
        <f>_xll.BDP("721187SJ Muni","MUNI_MSRB_VOLUME")</f>
        <v>#N/A Requesting Data...</v>
      </c>
      <c r="S1448" t="str">
        <f>_xll.BDP("721187SJ Muni","BB_COMPOSITE")</f>
        <v>#N/A Requesting Data...</v>
      </c>
      <c r="T1448" t="str">
        <f>_xll.BDP("721187SJ Muni","LQA_LIQUIDITY_SCORE")</f>
        <v>#N/A Requesting Data...</v>
      </c>
    </row>
    <row r="1449" spans="1:20" x14ac:dyDescent="0.25">
      <c r="A1449" t="str">
        <f>_xll.BDP("721595GC Muni","ID_CUSIP")</f>
        <v>#N/A Requesting Data...</v>
      </c>
      <c r="B1449" t="s">
        <v>457</v>
      </c>
      <c r="C1449" t="str">
        <f>_xll.BDP("721595GC Muni","INSURANCE_STATUS")</f>
        <v>#N/A Requesting Data...</v>
      </c>
      <c r="D1449" t="str">
        <f>_xll.BDP("721595GC Muni","STATE_CODE")</f>
        <v>#N/A Requesting Data...</v>
      </c>
      <c r="E1449" t="str">
        <f>_xll.BDP("721595GC Muni","COUNTY_LOCATION_ISSUER")</f>
        <v>#N/A Requesting Data...</v>
      </c>
      <c r="F1449" t="str">
        <f>_xll.BDP("721595GC Muni","DUR_ADJ_MID")</f>
        <v>#N/A Requesting Data...</v>
      </c>
      <c r="G1449" t="str">
        <f>_xll.BDP("721595GC Muni","SPREAD_AT_ISSUANCE_TO_WORST")</f>
        <v>#N/A Requesting Data...</v>
      </c>
      <c r="H1449" t="str">
        <f>_xll.BDP("721595GC Muni","ISSUE_DT")</f>
        <v>#N/A Requesting Data...</v>
      </c>
      <c r="I1449" t="str">
        <f>_xll.BDS("721595GC Muni","MUNI_PURPOSE_SCHED", "aggregate=y")</f>
        <v>#N/A Review</v>
      </c>
      <c r="J1449" t="str">
        <f>_xll.BDP("721595GC Muni","CPN")</f>
        <v>#N/A Requesting Data...</v>
      </c>
      <c r="K1449" t="str">
        <f>_xll.BDP("721595GC Muni","MATURITY")</f>
        <v>#N/A Requesting Data...</v>
      </c>
      <c r="L1449">
        <v>115000</v>
      </c>
      <c r="M1449" t="str">
        <f>_xll.BDP("721595GC Muni","YIELD_ON_ISSUE_DATE")</f>
        <v>#N/A Requesting Data...</v>
      </c>
      <c r="N1449" t="str">
        <f>_xll.BDP("721595GC Muni","YTW_SPREAD_TO_MATURITY_AT_ISSU")</f>
        <v>#N/A Requesting Data...</v>
      </c>
      <c r="O1449" t="str">
        <f>_xll.BDP("721595GC Muni","BVAL_MID_YTM")</f>
        <v>#N/A Requesting Data...</v>
      </c>
      <c r="P1449" t="str">
        <f>_xll.BDP("721595GC Muni","MUNI_TAX_PROV")</f>
        <v>#N/A Requesting Data...</v>
      </c>
      <c r="Q1449" t="str">
        <f>_xll.BDP("721595GC Muni","MUNI_FED_TAX")</f>
        <v>#N/A Requesting Data...</v>
      </c>
      <c r="R1449" t="str">
        <f>_xll.BDP("721595GC Muni","MUNI_MSRB_VOLUME")</f>
        <v>#N/A Requesting Data...</v>
      </c>
      <c r="S1449" t="str">
        <f>_xll.BDP("721595GC Muni","BB_COMPOSITE")</f>
        <v>#N/A Requesting Data...</v>
      </c>
      <c r="T1449" t="str">
        <f>_xll.BDP("721595GC Muni","LQA_LIQUIDITY_SCORE")</f>
        <v>#N/A Requesting Data...</v>
      </c>
    </row>
    <row r="1450" spans="1:20" x14ac:dyDescent="0.25">
      <c r="A1450" t="str">
        <f>_xll.BDP("721595GD Muni","ID_CUSIP")</f>
        <v>#N/A Requesting Data...</v>
      </c>
      <c r="B1450" t="s">
        <v>457</v>
      </c>
      <c r="C1450" t="str">
        <f>_xll.BDP("721595GD Muni","INSURANCE_STATUS")</f>
        <v>#N/A Requesting Data...</v>
      </c>
      <c r="D1450" t="str">
        <f>_xll.BDP("721595GD Muni","STATE_CODE")</f>
        <v>#N/A Requesting Data...</v>
      </c>
      <c r="E1450" t="str">
        <f>_xll.BDP("721595GD Muni","COUNTY_LOCATION_ISSUER")</f>
        <v>#N/A Requesting Data...</v>
      </c>
      <c r="F1450" t="str">
        <f>_xll.BDP("721595GD Muni","DUR_ADJ_MID")</f>
        <v>#N/A Requesting Data...</v>
      </c>
      <c r="G1450" t="str">
        <f>_xll.BDP("721595GD Muni","SPREAD_AT_ISSUANCE_TO_WORST")</f>
        <v>#N/A Requesting Data...</v>
      </c>
      <c r="H1450" t="str">
        <f>_xll.BDP("721595GD Muni","ISSUE_DT")</f>
        <v>#N/A Requesting Data...</v>
      </c>
      <c r="I1450" t="str">
        <f>_xll.BDS("721595GD Muni","MUNI_PURPOSE_SCHED", "aggregate=y")</f>
        <v>#N/A Review</v>
      </c>
      <c r="J1450" t="str">
        <f>_xll.BDP("721595GD Muni","CPN")</f>
        <v>#N/A Requesting Data...</v>
      </c>
      <c r="K1450" t="str">
        <f>_xll.BDP("721595GD Muni","MATURITY")</f>
        <v>#N/A Requesting Data...</v>
      </c>
      <c r="L1450">
        <v>120000</v>
      </c>
      <c r="M1450" t="str">
        <f>_xll.BDP("721595GD Muni","YIELD_ON_ISSUE_DATE")</f>
        <v>#N/A Requesting Data...</v>
      </c>
      <c r="N1450" t="str">
        <f>_xll.BDP("721595GD Muni","YTW_SPREAD_TO_MATURITY_AT_ISSU")</f>
        <v>#N/A Requesting Data...</v>
      </c>
      <c r="O1450" t="str">
        <f>_xll.BDP("721595GD Muni","BVAL_MID_YTM")</f>
        <v>#N/A Requesting Data...</v>
      </c>
      <c r="P1450" t="str">
        <f>_xll.BDP("721595GD Muni","MUNI_TAX_PROV")</f>
        <v>#N/A Requesting Data...</v>
      </c>
      <c r="Q1450" t="str">
        <f>_xll.BDP("721595GD Muni","MUNI_FED_TAX")</f>
        <v>#N/A Requesting Data...</v>
      </c>
      <c r="R1450" t="str">
        <f>_xll.BDP("721595GD Muni","MUNI_MSRB_VOLUME")</f>
        <v>#N/A Requesting Data...</v>
      </c>
      <c r="S1450" t="str">
        <f>_xll.BDP("721595GD Muni","BB_COMPOSITE")</f>
        <v>#N/A Requesting Data...</v>
      </c>
      <c r="T1450" t="str">
        <f>_xll.BDP("721595GD Muni","LQA_LIQUIDITY_SCORE")</f>
        <v>#N/A Requesting Data...</v>
      </c>
    </row>
    <row r="1451" spans="1:20" x14ac:dyDescent="0.25">
      <c r="A1451" t="str">
        <f>_xll.BDP("721595GE Muni","ID_CUSIP")</f>
        <v>#N/A Requesting Data...</v>
      </c>
      <c r="B1451" t="s">
        <v>457</v>
      </c>
      <c r="C1451" t="str">
        <f>_xll.BDP("721595GE Muni","INSURANCE_STATUS")</f>
        <v>#N/A Requesting Data...</v>
      </c>
      <c r="D1451" t="str">
        <f>_xll.BDP("721595GE Muni","STATE_CODE")</f>
        <v>#N/A Requesting Data...</v>
      </c>
      <c r="E1451" t="str">
        <f>_xll.BDP("721595GE Muni","COUNTY_LOCATION_ISSUER")</f>
        <v>#N/A Requesting Data...</v>
      </c>
      <c r="F1451" t="str">
        <f>_xll.BDP("721595GE Muni","DUR_ADJ_MID")</f>
        <v>#N/A Requesting Data...</v>
      </c>
      <c r="G1451" t="str">
        <f>_xll.BDP("721595GE Muni","SPREAD_AT_ISSUANCE_TO_WORST")</f>
        <v>#N/A Requesting Data...</v>
      </c>
      <c r="H1451" t="str">
        <f>_xll.BDP("721595GE Muni","ISSUE_DT")</f>
        <v>#N/A Requesting Data...</v>
      </c>
      <c r="I1451" t="str">
        <f>_xll.BDS("721595GE Muni","MUNI_PURPOSE_SCHED", "aggregate=y")</f>
        <v>#N/A Review</v>
      </c>
      <c r="J1451" t="str">
        <f>_xll.BDP("721595GE Muni","CPN")</f>
        <v>#N/A Requesting Data...</v>
      </c>
      <c r="K1451" t="str">
        <f>_xll.BDP("721595GE Muni","MATURITY")</f>
        <v>#N/A Requesting Data...</v>
      </c>
      <c r="L1451">
        <v>125000</v>
      </c>
      <c r="M1451" t="str">
        <f>_xll.BDP("721595GE Muni","YIELD_ON_ISSUE_DATE")</f>
        <v>#N/A Requesting Data...</v>
      </c>
      <c r="N1451" t="str">
        <f>_xll.BDP("721595GE Muni","YTW_SPREAD_TO_MATURITY_AT_ISSU")</f>
        <v>#N/A Requesting Data...</v>
      </c>
      <c r="O1451" t="str">
        <f>_xll.BDP("721595GE Muni","BVAL_MID_YTM")</f>
        <v>#N/A Requesting Data...</v>
      </c>
      <c r="P1451" t="str">
        <f>_xll.BDP("721595GE Muni","MUNI_TAX_PROV")</f>
        <v>#N/A Requesting Data...</v>
      </c>
      <c r="Q1451" t="str">
        <f>_xll.BDP("721595GE Muni","MUNI_FED_TAX")</f>
        <v>#N/A Requesting Data...</v>
      </c>
      <c r="R1451" t="str">
        <f>_xll.BDP("721595GE Muni","MUNI_MSRB_VOLUME")</f>
        <v>#N/A Requesting Data...</v>
      </c>
      <c r="S1451" t="str">
        <f>_xll.BDP("721595GE Muni","BB_COMPOSITE")</f>
        <v>#N/A Requesting Data...</v>
      </c>
      <c r="T1451" t="str">
        <f>_xll.BDP("721595GE Muni","LQA_LIQUIDITY_SCORE")</f>
        <v>#N/A Requesting Data...</v>
      </c>
    </row>
    <row r="1452" spans="1:20" x14ac:dyDescent="0.25">
      <c r="A1452" t="str">
        <f>_xll.BDP("604399RJ Muni","ID_CUSIP")</f>
        <v>#N/A Requesting Data...</v>
      </c>
      <c r="B1452" t="s">
        <v>458</v>
      </c>
      <c r="C1452" t="str">
        <f>_xll.BDP("604399RJ Muni","INSURANCE_STATUS")</f>
        <v>#N/A Requesting Data...</v>
      </c>
      <c r="D1452" t="str">
        <f>_xll.BDP("604399RJ Muni","STATE_CODE")</f>
        <v>#N/A Requesting Data...</v>
      </c>
      <c r="E1452" t="str">
        <f>_xll.BDP("604399RJ Muni","COUNTY_LOCATION_ISSUER")</f>
        <v>#N/A Requesting Data...</v>
      </c>
      <c r="F1452" t="str">
        <f>_xll.BDP("604399RJ Muni","DUR_ADJ_MID")</f>
        <v>#N/A Requesting Data...</v>
      </c>
      <c r="G1452" t="str">
        <f>_xll.BDP("604399RJ Muni","SPREAD_AT_ISSUANCE_TO_WORST")</f>
        <v>#N/A Requesting Data...</v>
      </c>
      <c r="H1452" t="str">
        <f>_xll.BDP("604399RJ Muni","ISSUE_DT")</f>
        <v>#N/A Requesting Data...</v>
      </c>
      <c r="I1452" t="str">
        <f>_xll.BDS("604399RJ Muni","MUNI_PURPOSE_SCHED", "aggregate=y")</f>
        <v>#N/A Review</v>
      </c>
      <c r="J1452" t="str">
        <f>_xll.BDP("604399RJ Muni","CPN")</f>
        <v>#N/A Requesting Data...</v>
      </c>
      <c r="K1452" t="str">
        <f>_xll.BDP("604399RJ Muni","MATURITY")</f>
        <v>#N/A Requesting Data...</v>
      </c>
      <c r="L1452">
        <v>305000</v>
      </c>
      <c r="M1452" t="str">
        <f>_xll.BDP("604399RJ Muni","YIELD_ON_ISSUE_DATE")</f>
        <v>#N/A Requesting Data...</v>
      </c>
      <c r="N1452" t="str">
        <f>_xll.BDP("604399RJ Muni","YTW_SPREAD_TO_MATURITY_AT_ISSU")</f>
        <v>#N/A Requesting Data...</v>
      </c>
      <c r="O1452" t="str">
        <f>_xll.BDP("604399RJ Muni","BVAL_MID_YTM")</f>
        <v>#N/A Requesting Data...</v>
      </c>
      <c r="P1452" t="str">
        <f>_xll.BDP("604399RJ Muni","MUNI_TAX_PROV")</f>
        <v>#N/A Requesting Data...</v>
      </c>
      <c r="Q1452" t="str">
        <f>_xll.BDP("604399RJ Muni","MUNI_FED_TAX")</f>
        <v>#N/A Requesting Data...</v>
      </c>
      <c r="R1452" t="str">
        <f>_xll.BDP("604399RJ Muni","MUNI_MSRB_VOLUME")</f>
        <v>#N/A Requesting Data...</v>
      </c>
      <c r="S1452" t="str">
        <f>_xll.BDP("604399RJ Muni","BB_COMPOSITE")</f>
        <v>#N/A Requesting Data...</v>
      </c>
      <c r="T1452" t="str">
        <f>_xll.BDP("604399RJ Muni","LQA_LIQUIDITY_SCORE")</f>
        <v>#N/A Requesting Data...</v>
      </c>
    </row>
    <row r="1453" spans="1:20" x14ac:dyDescent="0.25">
      <c r="A1453" t="str">
        <f>_xll.BDP("604399RL Muni","ID_CUSIP")</f>
        <v>#N/A Requesting Data...</v>
      </c>
      <c r="B1453" t="s">
        <v>458</v>
      </c>
      <c r="C1453" t="str">
        <f>_xll.BDP("604399RL Muni","INSURANCE_STATUS")</f>
        <v>#N/A Requesting Data...</v>
      </c>
      <c r="D1453" t="str">
        <f>_xll.BDP("604399RL Muni","STATE_CODE")</f>
        <v>#N/A Requesting Data...</v>
      </c>
      <c r="E1453" t="str">
        <f>_xll.BDP("604399RL Muni","COUNTY_LOCATION_ISSUER")</f>
        <v>#N/A Requesting Data...</v>
      </c>
      <c r="F1453" t="str">
        <f>_xll.BDP("604399RL Muni","DUR_ADJ_MID")</f>
        <v>#N/A Requesting Data...</v>
      </c>
      <c r="G1453" t="str">
        <f>_xll.BDP("604399RL Muni","SPREAD_AT_ISSUANCE_TO_WORST")</f>
        <v>#N/A Requesting Data...</v>
      </c>
      <c r="H1453" t="str">
        <f>_xll.BDP("604399RL Muni","ISSUE_DT")</f>
        <v>#N/A Requesting Data...</v>
      </c>
      <c r="I1453" t="str">
        <f>_xll.BDS("604399RL Muni","MUNI_PURPOSE_SCHED", "aggregate=y")</f>
        <v>#N/A Review</v>
      </c>
      <c r="J1453" t="str">
        <f>_xll.BDP("604399RL Muni","CPN")</f>
        <v>#N/A Requesting Data...</v>
      </c>
      <c r="K1453" t="str">
        <f>_xll.BDP("604399RL Muni","MATURITY")</f>
        <v>#N/A Requesting Data...</v>
      </c>
      <c r="L1453">
        <v>330000</v>
      </c>
      <c r="M1453" t="str">
        <f>_xll.BDP("604399RL Muni","YIELD_ON_ISSUE_DATE")</f>
        <v>#N/A Requesting Data...</v>
      </c>
      <c r="N1453" t="str">
        <f>_xll.BDP("604399RL Muni","YTW_SPREAD_TO_MATURITY_AT_ISSU")</f>
        <v>#N/A Requesting Data...</v>
      </c>
      <c r="O1453" t="str">
        <f>_xll.BDP("604399RL Muni","BVAL_MID_YTM")</f>
        <v>#N/A Requesting Data...</v>
      </c>
      <c r="P1453" t="str">
        <f>_xll.BDP("604399RL Muni","MUNI_TAX_PROV")</f>
        <v>#N/A Requesting Data...</v>
      </c>
      <c r="Q1453" t="str">
        <f>_xll.BDP("604399RL Muni","MUNI_FED_TAX")</f>
        <v>#N/A Requesting Data...</v>
      </c>
      <c r="R1453" t="str">
        <f>_xll.BDP("604399RL Muni","MUNI_MSRB_VOLUME")</f>
        <v>#N/A Requesting Data...</v>
      </c>
      <c r="S1453" t="str">
        <f>_xll.BDP("604399RL Muni","BB_COMPOSITE")</f>
        <v>#N/A Requesting Data...</v>
      </c>
      <c r="T1453" t="str">
        <f>_xll.BDP("604399RL Muni","LQA_LIQUIDITY_SCORE")</f>
        <v>#N/A Requesting Data...</v>
      </c>
    </row>
    <row r="1454" spans="1:20" x14ac:dyDescent="0.25">
      <c r="A1454" t="str">
        <f>_xll.BDP("6060202F Muni","ID_CUSIP")</f>
        <v>#N/A Requesting Data...</v>
      </c>
      <c r="B1454" t="s">
        <v>459</v>
      </c>
      <c r="C1454" t="str">
        <f>_xll.BDP("6060202F Muni","INSURANCE_STATUS")</f>
        <v>#N/A Requesting Data...</v>
      </c>
      <c r="D1454" t="str">
        <f>_xll.BDP("6060202F Muni","STATE_CODE")</f>
        <v>#N/A Requesting Data...</v>
      </c>
      <c r="E1454" t="str">
        <f>_xll.BDP("6060202F Muni","COUNTY_LOCATION_ISSUER")</f>
        <v>#N/A Requesting Data...</v>
      </c>
      <c r="F1454" t="str">
        <f>_xll.BDP("6060202F Muni","DUR_ADJ_MID")</f>
        <v>#N/A Requesting Data...</v>
      </c>
      <c r="G1454" t="str">
        <f>_xll.BDP("6060202F Muni","SPREAD_AT_ISSUANCE_TO_WORST")</f>
        <v>#N/A Requesting Data...</v>
      </c>
      <c r="H1454" t="str">
        <f>_xll.BDP("6060202F Muni","ISSUE_DT")</f>
        <v>#N/A Requesting Data...</v>
      </c>
      <c r="I1454" t="str">
        <f>_xll.BDS("6060202F Muni","MUNI_PURPOSE_SCHED", "aggregate=y")</f>
        <v>#N/A Review</v>
      </c>
      <c r="J1454" t="str">
        <f>_xll.BDP("6060202F Muni","CPN")</f>
        <v>#N/A Requesting Data...</v>
      </c>
      <c r="K1454" t="str">
        <f>_xll.BDP("6060202F Muni","MATURITY")</f>
        <v>#N/A Requesting Data...</v>
      </c>
      <c r="L1454">
        <v>195000</v>
      </c>
      <c r="M1454" t="str">
        <f>_xll.BDP("6060202F Muni","YIELD_ON_ISSUE_DATE")</f>
        <v>#N/A Requesting Data...</v>
      </c>
      <c r="N1454" t="str">
        <f>_xll.BDP("6060202F Muni","YTW_SPREAD_TO_MATURITY_AT_ISSU")</f>
        <v>#N/A Requesting Data...</v>
      </c>
      <c r="O1454" t="str">
        <f>_xll.BDP("6060202F Muni","BVAL_MID_YTM")</f>
        <v>#N/A Requesting Data...</v>
      </c>
      <c r="P1454" t="str">
        <f>_xll.BDP("6060202F Muni","MUNI_TAX_PROV")</f>
        <v>#N/A Requesting Data...</v>
      </c>
      <c r="Q1454" t="str">
        <f>_xll.BDP("6060202F Muni","MUNI_FED_TAX")</f>
        <v>#N/A Requesting Data...</v>
      </c>
      <c r="R1454" t="str">
        <f>_xll.BDP("6060202F Muni","MUNI_MSRB_VOLUME")</f>
        <v>#N/A Requesting Data...</v>
      </c>
      <c r="S1454" t="str">
        <f>_xll.BDP("6060202F Muni","BB_COMPOSITE")</f>
        <v>#N/A Requesting Data...</v>
      </c>
      <c r="T1454" t="str">
        <f>_xll.BDP("6060202F Muni","LQA_LIQUIDITY_SCORE")</f>
        <v>#N/A Requesting Data...</v>
      </c>
    </row>
    <row r="1455" spans="1:20" x14ac:dyDescent="0.25">
      <c r="A1455" t="str">
        <f>_xll.BDP("6060202G Muni","ID_CUSIP")</f>
        <v>#N/A Requesting Data...</v>
      </c>
      <c r="B1455" t="s">
        <v>459</v>
      </c>
      <c r="C1455" t="str">
        <f>_xll.BDP("6060202G Muni","INSURANCE_STATUS")</f>
        <v>#N/A Requesting Data...</v>
      </c>
      <c r="D1455" t="str">
        <f>_xll.BDP("6060202G Muni","STATE_CODE")</f>
        <v>#N/A Requesting Data...</v>
      </c>
      <c r="E1455" t="str">
        <f>_xll.BDP("6060202G Muni","COUNTY_LOCATION_ISSUER")</f>
        <v>#N/A Requesting Data...</v>
      </c>
      <c r="F1455" t="str">
        <f>_xll.BDP("6060202G Muni","DUR_ADJ_MID")</f>
        <v>#N/A Requesting Data...</v>
      </c>
      <c r="G1455" t="str">
        <f>_xll.BDP("6060202G Muni","SPREAD_AT_ISSUANCE_TO_WORST")</f>
        <v>#N/A Requesting Data...</v>
      </c>
      <c r="H1455" t="str">
        <f>_xll.BDP("6060202G Muni","ISSUE_DT")</f>
        <v>#N/A Requesting Data...</v>
      </c>
      <c r="I1455" t="str">
        <f>_xll.BDS("6060202G Muni","MUNI_PURPOSE_SCHED", "aggregate=y")</f>
        <v>#N/A Review</v>
      </c>
      <c r="J1455" t="str">
        <f>_xll.BDP("6060202G Muni","CPN")</f>
        <v>#N/A Requesting Data...</v>
      </c>
      <c r="K1455" t="str">
        <f>_xll.BDP("6060202G Muni","MATURITY")</f>
        <v>#N/A Requesting Data...</v>
      </c>
      <c r="L1455">
        <v>200000</v>
      </c>
      <c r="M1455" t="str">
        <f>_xll.BDP("6060202G Muni","YIELD_ON_ISSUE_DATE")</f>
        <v>#N/A Requesting Data...</v>
      </c>
      <c r="N1455" t="str">
        <f>_xll.BDP("6060202G Muni","YTW_SPREAD_TO_MATURITY_AT_ISSU")</f>
        <v>#N/A Requesting Data...</v>
      </c>
      <c r="O1455" t="str">
        <f>_xll.BDP("6060202G Muni","BVAL_MID_YTM")</f>
        <v>#N/A Requesting Data...</v>
      </c>
      <c r="P1455" t="str">
        <f>_xll.BDP("6060202G Muni","MUNI_TAX_PROV")</f>
        <v>#N/A Requesting Data...</v>
      </c>
      <c r="Q1455" t="str">
        <f>_xll.BDP("6060202G Muni","MUNI_FED_TAX")</f>
        <v>#N/A Requesting Data...</v>
      </c>
      <c r="R1455" t="str">
        <f>_xll.BDP("6060202G Muni","MUNI_MSRB_VOLUME")</f>
        <v>#N/A Requesting Data...</v>
      </c>
      <c r="S1455" t="str">
        <f>_xll.BDP("6060202G Muni","BB_COMPOSITE")</f>
        <v>#N/A Requesting Data...</v>
      </c>
      <c r="T1455" t="str">
        <f>_xll.BDP("6060202G Muni","LQA_LIQUIDITY_SCORE")</f>
        <v>#N/A Requesting Data...</v>
      </c>
    </row>
    <row r="1456" spans="1:20" x14ac:dyDescent="0.25">
      <c r="A1456" t="str">
        <f>_xll.BDP("6060202D Muni","ID_CUSIP")</f>
        <v>#N/A Requesting Data...</v>
      </c>
      <c r="B1456" t="s">
        <v>459</v>
      </c>
      <c r="C1456" t="str">
        <f>_xll.BDP("6060202D Muni","INSURANCE_STATUS")</f>
        <v>#N/A Requesting Data...</v>
      </c>
      <c r="D1456" t="str">
        <f>_xll.BDP("6060202D Muni","STATE_CODE")</f>
        <v>#N/A Requesting Data...</v>
      </c>
      <c r="E1456" t="str">
        <f>_xll.BDP("6060202D Muni","COUNTY_LOCATION_ISSUER")</f>
        <v>#N/A Requesting Data...</v>
      </c>
      <c r="F1456" t="str">
        <f>_xll.BDP("6060202D Muni","DUR_ADJ_MID")</f>
        <v>#N/A Requesting Data...</v>
      </c>
      <c r="G1456" t="str">
        <f>_xll.BDP("6060202D Muni","SPREAD_AT_ISSUANCE_TO_WORST")</f>
        <v>#N/A Requesting Data...</v>
      </c>
      <c r="H1456" t="str">
        <f>_xll.BDP("6060202D Muni","ISSUE_DT")</f>
        <v>#N/A Requesting Data...</v>
      </c>
      <c r="I1456" t="str">
        <f>_xll.BDS("6060202D Muni","MUNI_PURPOSE_SCHED", "aggregate=y")</f>
        <v>#N/A Review</v>
      </c>
      <c r="J1456" t="str">
        <f>_xll.BDP("6060202D Muni","CPN")</f>
        <v>#N/A Requesting Data...</v>
      </c>
      <c r="K1456" t="str">
        <f>_xll.BDP("6060202D Muni","MATURITY")</f>
        <v>#N/A Requesting Data...</v>
      </c>
      <c r="L1456">
        <v>180000</v>
      </c>
      <c r="M1456" t="str">
        <f>_xll.BDP("6060202D Muni","YIELD_ON_ISSUE_DATE")</f>
        <v>#N/A Requesting Data...</v>
      </c>
      <c r="N1456" t="str">
        <f>_xll.BDP("6060202D Muni","YTW_SPREAD_TO_MATURITY_AT_ISSU")</f>
        <v>#N/A Requesting Data...</v>
      </c>
      <c r="O1456" t="str">
        <f>_xll.BDP("6060202D Muni","BVAL_MID_YTM")</f>
        <v>#N/A Requesting Data...</v>
      </c>
      <c r="P1456" t="str">
        <f>_xll.BDP("6060202D Muni","MUNI_TAX_PROV")</f>
        <v>#N/A Requesting Data...</v>
      </c>
      <c r="Q1456" t="str">
        <f>_xll.BDP("6060202D Muni","MUNI_FED_TAX")</f>
        <v>#N/A Requesting Data...</v>
      </c>
      <c r="R1456" t="str">
        <f>_xll.BDP("6060202D Muni","MUNI_MSRB_VOLUME")</f>
        <v>#N/A Requesting Data...</v>
      </c>
      <c r="S1456" t="str">
        <f>_xll.BDP("6060202D Muni","BB_COMPOSITE")</f>
        <v>#N/A Requesting Data...</v>
      </c>
      <c r="T1456" t="str">
        <f>_xll.BDP("6060202D Muni","LQA_LIQUIDITY_SCORE")</f>
        <v>#N/A Requesting Data...</v>
      </c>
    </row>
    <row r="1457" spans="1:20" x14ac:dyDescent="0.25">
      <c r="A1457" t="str">
        <f>_xll.BDP("6060202E Muni","ID_CUSIP")</f>
        <v>#N/A Requesting Data...</v>
      </c>
      <c r="B1457" t="s">
        <v>459</v>
      </c>
      <c r="C1457" t="str">
        <f>_xll.BDP("6060202E Muni","INSURANCE_STATUS")</f>
        <v>#N/A Requesting Data...</v>
      </c>
      <c r="D1457" t="str">
        <f>_xll.BDP("6060202E Muni","STATE_CODE")</f>
        <v>#N/A Requesting Data...</v>
      </c>
      <c r="E1457" t="str">
        <f>_xll.BDP("6060202E Muni","COUNTY_LOCATION_ISSUER")</f>
        <v>#N/A Requesting Data...</v>
      </c>
      <c r="F1457" t="str">
        <f>_xll.BDP("6060202E Muni","DUR_ADJ_MID")</f>
        <v>#N/A Requesting Data...</v>
      </c>
      <c r="G1457" t="str">
        <f>_xll.BDP("6060202E Muni","SPREAD_AT_ISSUANCE_TO_WORST")</f>
        <v>#N/A Requesting Data...</v>
      </c>
      <c r="H1457" t="str">
        <f>_xll.BDP("6060202E Muni","ISSUE_DT")</f>
        <v>#N/A Requesting Data...</v>
      </c>
      <c r="I1457" t="str">
        <f>_xll.BDS("6060202E Muni","MUNI_PURPOSE_SCHED", "aggregate=y")</f>
        <v>#N/A Review</v>
      </c>
      <c r="J1457" t="str">
        <f>_xll.BDP("6060202E Muni","CPN")</f>
        <v>#N/A Requesting Data...</v>
      </c>
      <c r="K1457" t="str">
        <f>_xll.BDP("6060202E Muni","MATURITY")</f>
        <v>#N/A Requesting Data...</v>
      </c>
      <c r="L1457">
        <v>190000</v>
      </c>
      <c r="M1457" t="str">
        <f>_xll.BDP("6060202E Muni","YIELD_ON_ISSUE_DATE")</f>
        <v>#N/A Requesting Data...</v>
      </c>
      <c r="N1457" t="str">
        <f>_xll.BDP("6060202E Muni","YTW_SPREAD_TO_MATURITY_AT_ISSU")</f>
        <v>#N/A Requesting Data...</v>
      </c>
      <c r="O1457" t="str">
        <f>_xll.BDP("6060202E Muni","BVAL_MID_YTM")</f>
        <v>#N/A Requesting Data...</v>
      </c>
      <c r="P1457" t="str">
        <f>_xll.BDP("6060202E Muni","MUNI_TAX_PROV")</f>
        <v>#N/A Requesting Data...</v>
      </c>
      <c r="Q1457" t="str">
        <f>_xll.BDP("6060202E Muni","MUNI_FED_TAX")</f>
        <v>#N/A Requesting Data...</v>
      </c>
      <c r="R1457" t="str">
        <f>_xll.BDP("6060202E Muni","MUNI_MSRB_VOLUME")</f>
        <v>#N/A Requesting Data...</v>
      </c>
      <c r="S1457" t="str">
        <f>_xll.BDP("6060202E Muni","BB_COMPOSITE")</f>
        <v>#N/A Requesting Data...</v>
      </c>
      <c r="T1457" t="str">
        <f>_xll.BDP("6060202E Muni","LQA_LIQUIDITY_SCORE")</f>
        <v>#N/A Requesting Data...</v>
      </c>
    </row>
    <row r="1458" spans="1:20" x14ac:dyDescent="0.25">
      <c r="A1458" t="str">
        <f>_xll.BDP("7776283D Muni","ID_CUSIP")</f>
        <v>#N/A Requesting Data...</v>
      </c>
      <c r="B1458" t="s">
        <v>460</v>
      </c>
      <c r="C1458" t="str">
        <f>_xll.BDP("7776283D Muni","INSURANCE_STATUS")</f>
        <v>#N/A Requesting Data...</v>
      </c>
      <c r="D1458" t="str">
        <f>_xll.BDP("7776283D Muni","STATE_CODE")</f>
        <v>#N/A Requesting Data...</v>
      </c>
      <c r="E1458" t="str">
        <f>_xll.BDP("7776283D Muni","COUNTY_LOCATION_ISSUER")</f>
        <v>#N/A Requesting Data...</v>
      </c>
      <c r="F1458" t="str">
        <f>_xll.BDP("7776283D Muni","DUR_ADJ_MID")</f>
        <v>#N/A Requesting Data...</v>
      </c>
      <c r="G1458" t="str">
        <f>_xll.BDP("7776283D Muni","SPREAD_AT_ISSUANCE_TO_WORST")</f>
        <v>#N/A Requesting Data...</v>
      </c>
      <c r="H1458" t="str">
        <f>_xll.BDP("7776283D Muni","ISSUE_DT")</f>
        <v>#N/A Requesting Data...</v>
      </c>
      <c r="I1458" t="str">
        <f>_xll.BDS("7776283D Muni","MUNI_PURPOSE_SCHED", "aggregate=y")</f>
        <v>#N/A Review</v>
      </c>
      <c r="J1458" t="str">
        <f>_xll.BDP("7776283D Muni","CPN")</f>
        <v>#N/A Requesting Data...</v>
      </c>
      <c r="K1458" t="str">
        <f>_xll.BDP("7776283D Muni","MATURITY")</f>
        <v>#N/A Requesting Data...</v>
      </c>
      <c r="L1458">
        <v>475000</v>
      </c>
      <c r="M1458" t="str">
        <f>_xll.BDP("7776283D Muni","YIELD_ON_ISSUE_DATE")</f>
        <v>#N/A Requesting Data...</v>
      </c>
      <c r="N1458" t="str">
        <f>_xll.BDP("7776283D Muni","YTW_SPREAD_TO_MATURITY_AT_ISSU")</f>
        <v>#N/A Requesting Data...</v>
      </c>
      <c r="O1458" t="str">
        <f>_xll.BDP("7776283D Muni","BVAL_MID_YTM")</f>
        <v>#N/A Requesting Data...</v>
      </c>
      <c r="P1458" t="str">
        <f>_xll.BDP("7776283D Muni","MUNI_TAX_PROV")</f>
        <v>#N/A Requesting Data...</v>
      </c>
      <c r="Q1458" t="str">
        <f>_xll.BDP("7776283D Muni","MUNI_FED_TAX")</f>
        <v>#N/A Requesting Data...</v>
      </c>
      <c r="R1458" t="str">
        <f>_xll.BDP("7776283D Muni","MUNI_MSRB_VOLUME")</f>
        <v>#N/A Requesting Data...</v>
      </c>
      <c r="S1458" t="str">
        <f>_xll.BDP("7776283D Muni","BB_COMPOSITE")</f>
        <v>#N/A Requesting Data...</v>
      </c>
      <c r="T1458" t="str">
        <f>_xll.BDP("7776283D Muni","LQA_LIQUIDITY_SCORE")</f>
        <v>#N/A Requesting Data...</v>
      </c>
    </row>
    <row r="1459" spans="1:20" x14ac:dyDescent="0.25">
      <c r="A1459" t="str">
        <f>_xll.BDP("604146DB Muni","ID_CUSIP")</f>
        <v>#N/A Requesting Data...</v>
      </c>
      <c r="B1459" t="s">
        <v>100</v>
      </c>
      <c r="C1459" t="str">
        <f>_xll.BDP("604146DB Muni","INSURANCE_STATUS")</f>
        <v>#N/A Requesting Data...</v>
      </c>
      <c r="D1459" t="str">
        <f>_xll.BDP("604146DB Muni","STATE_CODE")</f>
        <v>#N/A Requesting Data...</v>
      </c>
      <c r="E1459" t="str">
        <f>_xll.BDP("604146DB Muni","COUNTY_LOCATION_ISSUER")</f>
        <v>#N/A Requesting Data...</v>
      </c>
      <c r="F1459" t="str">
        <f>_xll.BDP("604146DB Muni","DUR_ADJ_MID")</f>
        <v>#N/A Requesting Data...</v>
      </c>
      <c r="G1459" t="str">
        <f>_xll.BDP("604146DB Muni","SPREAD_AT_ISSUANCE_TO_WORST")</f>
        <v>#N/A Requesting Data...</v>
      </c>
      <c r="H1459" t="str">
        <f>_xll.BDP("604146DB Muni","ISSUE_DT")</f>
        <v>#N/A Requesting Data...</v>
      </c>
      <c r="I1459" t="str">
        <f>_xll.BDS("604146DB Muni","MUNI_PURPOSE_SCHED", "aggregate=y")</f>
        <v>#N/A Review</v>
      </c>
      <c r="J1459" t="str">
        <f>_xll.BDP("604146DB Muni","CPN")</f>
        <v>#N/A Requesting Data...</v>
      </c>
      <c r="K1459" t="str">
        <f>_xll.BDP("604146DB Muni","MATURITY")</f>
        <v>#N/A Requesting Data...</v>
      </c>
      <c r="L1459">
        <v>510000</v>
      </c>
      <c r="M1459" t="str">
        <f>_xll.BDP("604146DB Muni","YIELD_ON_ISSUE_DATE")</f>
        <v>#N/A Requesting Data...</v>
      </c>
      <c r="N1459" t="str">
        <f>_xll.BDP("604146DB Muni","YTW_SPREAD_TO_MATURITY_AT_ISSU")</f>
        <v>#N/A Requesting Data...</v>
      </c>
      <c r="O1459" t="str">
        <f>_xll.BDP("604146DB Muni","BVAL_MID_YTM")</f>
        <v>#N/A Requesting Data...</v>
      </c>
      <c r="P1459" t="str">
        <f>_xll.BDP("604146DB Muni","MUNI_TAX_PROV")</f>
        <v>#N/A Requesting Data...</v>
      </c>
      <c r="Q1459" t="str">
        <f>_xll.BDP("604146DB Muni","MUNI_FED_TAX")</f>
        <v>#N/A Requesting Data...</v>
      </c>
      <c r="R1459" t="str">
        <f>_xll.BDP("604146DB Muni","MUNI_MSRB_VOLUME")</f>
        <v>#N/A Requesting Data...</v>
      </c>
      <c r="S1459" t="str">
        <f>_xll.BDP("604146DB Muni","BB_COMPOSITE")</f>
        <v>#N/A Requesting Data...</v>
      </c>
      <c r="T1459" t="str">
        <f>_xll.BDP("604146DB Muni","LQA_LIQUIDITY_SCORE")</f>
        <v>#N/A Requesting Data...</v>
      </c>
    </row>
    <row r="1460" spans="1:20" x14ac:dyDescent="0.25">
      <c r="A1460" t="str">
        <f>_xll.BDP("604146DD Muni","ID_CUSIP")</f>
        <v>#N/A Requesting Data...</v>
      </c>
      <c r="B1460" t="s">
        <v>100</v>
      </c>
      <c r="C1460" t="str">
        <f>_xll.BDP("604146DD Muni","INSURANCE_STATUS")</f>
        <v>#N/A Requesting Data...</v>
      </c>
      <c r="D1460" t="str">
        <f>_xll.BDP("604146DD Muni","STATE_CODE")</f>
        <v>#N/A Requesting Data...</v>
      </c>
      <c r="E1460" t="str">
        <f>_xll.BDP("604146DD Muni","COUNTY_LOCATION_ISSUER")</f>
        <v>#N/A Requesting Data...</v>
      </c>
      <c r="F1460" t="str">
        <f>_xll.BDP("604146DD Muni","DUR_ADJ_MID")</f>
        <v>#N/A Requesting Data...</v>
      </c>
      <c r="G1460" t="str">
        <f>_xll.BDP("604146DD Muni","SPREAD_AT_ISSUANCE_TO_WORST")</f>
        <v>#N/A Requesting Data...</v>
      </c>
      <c r="H1460" t="str">
        <f>_xll.BDP("604146DD Muni","ISSUE_DT")</f>
        <v>#N/A Requesting Data...</v>
      </c>
      <c r="I1460" t="str">
        <f>_xll.BDS("604146DD Muni","MUNI_PURPOSE_SCHED", "aggregate=y")</f>
        <v>#N/A Review</v>
      </c>
      <c r="J1460" t="str">
        <f>_xll.BDP("604146DD Muni","CPN")</f>
        <v>#N/A Requesting Data...</v>
      </c>
      <c r="K1460" t="str">
        <f>_xll.BDP("604146DD Muni","MATURITY")</f>
        <v>#N/A Requesting Data...</v>
      </c>
      <c r="L1460">
        <v>530000</v>
      </c>
      <c r="M1460" t="str">
        <f>_xll.BDP("604146DD Muni","YIELD_ON_ISSUE_DATE")</f>
        <v>#N/A Requesting Data...</v>
      </c>
      <c r="N1460" t="str">
        <f>_xll.BDP("604146DD Muni","YTW_SPREAD_TO_MATURITY_AT_ISSU")</f>
        <v>#N/A Requesting Data...</v>
      </c>
      <c r="O1460" t="str">
        <f>_xll.BDP("604146DD Muni","BVAL_MID_YTM")</f>
        <v>#N/A Requesting Data...</v>
      </c>
      <c r="P1460" t="str">
        <f>_xll.BDP("604146DD Muni","MUNI_TAX_PROV")</f>
        <v>#N/A Requesting Data...</v>
      </c>
      <c r="Q1460" t="str">
        <f>_xll.BDP("604146DD Muni","MUNI_FED_TAX")</f>
        <v>#N/A Requesting Data...</v>
      </c>
      <c r="R1460" t="str">
        <f>_xll.BDP("604146DD Muni","MUNI_MSRB_VOLUME")</f>
        <v>#N/A Requesting Data...</v>
      </c>
      <c r="S1460" t="str">
        <f>_xll.BDP("604146DD Muni","BB_COMPOSITE")</f>
        <v>#N/A Requesting Data...</v>
      </c>
      <c r="T1460" t="str">
        <f>_xll.BDP("604146DD Muni","LQA_LIQUIDITY_SCORE")</f>
        <v>#N/A Requesting Data...</v>
      </c>
    </row>
    <row r="1461" spans="1:20" x14ac:dyDescent="0.25">
      <c r="A1461" t="str">
        <f>_xll.BDP("604229MD Muni","ID_CUSIP")</f>
        <v>#N/A Requesting Data...</v>
      </c>
      <c r="B1461" t="s">
        <v>461</v>
      </c>
      <c r="C1461" t="str">
        <f>_xll.BDP("604229MD Muni","INSURANCE_STATUS")</f>
        <v>#N/A Requesting Data...</v>
      </c>
      <c r="D1461" t="str">
        <f>_xll.BDP("604229MD Muni","STATE_CODE")</f>
        <v>#N/A Requesting Data...</v>
      </c>
      <c r="E1461" t="str">
        <f>_xll.BDP("604229MD Muni","COUNTY_LOCATION_ISSUER")</f>
        <v>#N/A Requesting Data...</v>
      </c>
      <c r="F1461" t="str">
        <f>_xll.BDP("604229MD Muni","DUR_ADJ_MID")</f>
        <v>#N/A Requesting Data...</v>
      </c>
      <c r="G1461" t="str">
        <f>_xll.BDP("604229MD Muni","SPREAD_AT_ISSUANCE_TO_WORST")</f>
        <v>#N/A Requesting Data...</v>
      </c>
      <c r="H1461" t="str">
        <f>_xll.BDP("604229MD Muni","ISSUE_DT")</f>
        <v>#N/A Requesting Data...</v>
      </c>
      <c r="I1461" t="str">
        <f>_xll.BDS("604229MD Muni","MUNI_PURPOSE_SCHED", "aggregate=y")</f>
        <v>#N/A Review</v>
      </c>
      <c r="J1461" t="str">
        <f>_xll.BDP("604229MD Muni","CPN")</f>
        <v>#N/A Requesting Data...</v>
      </c>
      <c r="K1461" t="str">
        <f>_xll.BDP("604229MD Muni","MATURITY")</f>
        <v>#N/A Requesting Data...</v>
      </c>
      <c r="L1461">
        <v>170000</v>
      </c>
      <c r="M1461" t="str">
        <f>_xll.BDP("604229MD Muni","YIELD_ON_ISSUE_DATE")</f>
        <v>#N/A Requesting Data...</v>
      </c>
      <c r="N1461" t="str">
        <f>_xll.BDP("604229MD Muni","YTW_SPREAD_TO_MATURITY_AT_ISSU")</f>
        <v>#N/A Requesting Data...</v>
      </c>
      <c r="O1461" t="str">
        <f>_xll.BDP("604229MD Muni","BVAL_MID_YTM")</f>
        <v>#N/A Requesting Data...</v>
      </c>
      <c r="P1461" t="str">
        <f>_xll.BDP("604229MD Muni","MUNI_TAX_PROV")</f>
        <v>#N/A Requesting Data...</v>
      </c>
      <c r="Q1461" t="str">
        <f>_xll.BDP("604229MD Muni","MUNI_FED_TAX")</f>
        <v>#N/A Requesting Data...</v>
      </c>
      <c r="R1461" t="str">
        <f>_xll.BDP("604229MD Muni","MUNI_MSRB_VOLUME")</f>
        <v>#N/A Requesting Data...</v>
      </c>
      <c r="S1461" t="str">
        <f>_xll.BDP("604229MD Muni","BB_COMPOSITE")</f>
        <v>#N/A Requesting Data...</v>
      </c>
      <c r="T1461" t="str">
        <f>_xll.BDP("604229MD Muni","LQA_LIQUIDITY_SCORE")</f>
        <v>#N/A Requesting Data...</v>
      </c>
    </row>
    <row r="1462" spans="1:20" x14ac:dyDescent="0.25">
      <c r="A1462" t="str">
        <f>_xll.BDP("604229MF Muni","ID_CUSIP")</f>
        <v>#N/A Requesting Data...</v>
      </c>
      <c r="B1462" t="s">
        <v>461</v>
      </c>
      <c r="C1462" t="str">
        <f>_xll.BDP("604229MF Muni","INSURANCE_STATUS")</f>
        <v>#N/A Requesting Data...</v>
      </c>
      <c r="D1462" t="str">
        <f>_xll.BDP("604229MF Muni","STATE_CODE")</f>
        <v>#N/A Requesting Data...</v>
      </c>
      <c r="E1462" t="str">
        <f>_xll.BDP("604229MF Muni","COUNTY_LOCATION_ISSUER")</f>
        <v>#N/A Requesting Data...</v>
      </c>
      <c r="F1462" t="str">
        <f>_xll.BDP("604229MF Muni","DUR_ADJ_MID")</f>
        <v>#N/A Requesting Data...</v>
      </c>
      <c r="G1462" t="str">
        <f>_xll.BDP("604229MF Muni","SPREAD_AT_ISSUANCE_TO_WORST")</f>
        <v>#N/A Requesting Data...</v>
      </c>
      <c r="H1462" t="str">
        <f>_xll.BDP("604229MF Muni","ISSUE_DT")</f>
        <v>#N/A Requesting Data...</v>
      </c>
      <c r="I1462" t="str">
        <f>_xll.BDS("604229MF Muni","MUNI_PURPOSE_SCHED", "aggregate=y")</f>
        <v>#N/A Review</v>
      </c>
      <c r="J1462" t="str">
        <f>_xll.BDP("604229MF Muni","CPN")</f>
        <v>#N/A Requesting Data...</v>
      </c>
      <c r="K1462" t="str">
        <f>_xll.BDP("604229MF Muni","MATURITY")</f>
        <v>#N/A Requesting Data...</v>
      </c>
      <c r="L1462">
        <v>180000</v>
      </c>
      <c r="M1462" t="str">
        <f>_xll.BDP("604229MF Muni","YIELD_ON_ISSUE_DATE")</f>
        <v>#N/A Requesting Data...</v>
      </c>
      <c r="N1462" t="str">
        <f>_xll.BDP("604229MF Muni","YTW_SPREAD_TO_MATURITY_AT_ISSU")</f>
        <v>#N/A Requesting Data...</v>
      </c>
      <c r="O1462" t="str">
        <f>_xll.BDP("604229MF Muni","BVAL_MID_YTM")</f>
        <v>#N/A Requesting Data...</v>
      </c>
      <c r="P1462" t="str">
        <f>_xll.BDP("604229MF Muni","MUNI_TAX_PROV")</f>
        <v>#N/A Requesting Data...</v>
      </c>
      <c r="Q1462" t="str">
        <f>_xll.BDP("604229MF Muni","MUNI_FED_TAX")</f>
        <v>#N/A Requesting Data...</v>
      </c>
      <c r="R1462" t="str">
        <f>_xll.BDP("604229MF Muni","MUNI_MSRB_VOLUME")</f>
        <v>#N/A Requesting Data...</v>
      </c>
      <c r="S1462" t="str">
        <f>_xll.BDP("604229MF Muni","BB_COMPOSITE")</f>
        <v>#N/A Requesting Data...</v>
      </c>
      <c r="T1462" t="str">
        <f>_xll.BDP("604229MF Muni","LQA_LIQUIDITY_SCORE")</f>
        <v>#N/A Requesting Data...</v>
      </c>
    </row>
    <row r="1463" spans="1:20" x14ac:dyDescent="0.25">
      <c r="A1463" t="str">
        <f>_xll.BDP("604399RH Muni","ID_CUSIP")</f>
        <v>#N/A Requesting Data...</v>
      </c>
      <c r="B1463" t="s">
        <v>458</v>
      </c>
      <c r="C1463" t="str">
        <f>_xll.BDP("604399RH Muni","INSURANCE_STATUS")</f>
        <v>#N/A Requesting Data...</v>
      </c>
      <c r="D1463" t="str">
        <f>_xll.BDP("604399RH Muni","STATE_CODE")</f>
        <v>#N/A Requesting Data...</v>
      </c>
      <c r="E1463" t="str">
        <f>_xll.BDP("604399RH Muni","COUNTY_LOCATION_ISSUER")</f>
        <v>#N/A Requesting Data...</v>
      </c>
      <c r="F1463" t="str">
        <f>_xll.BDP("604399RH Muni","DUR_ADJ_MID")</f>
        <v>#N/A Requesting Data...</v>
      </c>
      <c r="G1463" t="str">
        <f>_xll.BDP("604399RH Muni","SPREAD_AT_ISSUANCE_TO_WORST")</f>
        <v>#N/A Requesting Data...</v>
      </c>
      <c r="H1463" t="str">
        <f>_xll.BDP("604399RH Muni","ISSUE_DT")</f>
        <v>#N/A Requesting Data...</v>
      </c>
      <c r="I1463" t="str">
        <f>_xll.BDS("604399RH Muni","MUNI_PURPOSE_SCHED", "aggregate=y")</f>
        <v>#N/A Review</v>
      </c>
      <c r="J1463" t="str">
        <f>_xll.BDP("604399RH Muni","CPN")</f>
        <v>#N/A Requesting Data...</v>
      </c>
      <c r="K1463" t="str">
        <f>_xll.BDP("604399RH Muni","MATURITY")</f>
        <v>#N/A Requesting Data...</v>
      </c>
      <c r="L1463">
        <v>290000</v>
      </c>
      <c r="M1463" t="str">
        <f>_xll.BDP("604399RH Muni","YIELD_ON_ISSUE_DATE")</f>
        <v>#N/A Requesting Data...</v>
      </c>
      <c r="N1463" t="str">
        <f>_xll.BDP("604399RH Muni","YTW_SPREAD_TO_MATURITY_AT_ISSU")</f>
        <v>#N/A Requesting Data...</v>
      </c>
      <c r="O1463" t="str">
        <f>_xll.BDP("604399RH Muni","BVAL_MID_YTM")</f>
        <v>#N/A Requesting Data...</v>
      </c>
      <c r="P1463" t="str">
        <f>_xll.BDP("604399RH Muni","MUNI_TAX_PROV")</f>
        <v>#N/A Requesting Data...</v>
      </c>
      <c r="Q1463" t="str">
        <f>_xll.BDP("604399RH Muni","MUNI_FED_TAX")</f>
        <v>#N/A Requesting Data...</v>
      </c>
      <c r="R1463" t="str">
        <f>_xll.BDP("604399RH Muni","MUNI_MSRB_VOLUME")</f>
        <v>#N/A Requesting Data...</v>
      </c>
      <c r="S1463" t="str">
        <f>_xll.BDP("604399RH Muni","BB_COMPOSITE")</f>
        <v>#N/A Requesting Data...</v>
      </c>
      <c r="T1463" t="str">
        <f>_xll.BDP("604399RH Muni","LQA_LIQUIDITY_SCORE")</f>
        <v>#N/A Requesting Data...</v>
      </c>
    </row>
    <row r="1464" spans="1:20" x14ac:dyDescent="0.25">
      <c r="A1464" t="str">
        <f>_xll.BDP("604399RK Muni","ID_CUSIP")</f>
        <v>#N/A Requesting Data...</v>
      </c>
      <c r="B1464" t="s">
        <v>458</v>
      </c>
      <c r="C1464" t="str">
        <f>_xll.BDP("604399RK Muni","INSURANCE_STATUS")</f>
        <v>#N/A Requesting Data...</v>
      </c>
      <c r="D1464" t="str">
        <f>_xll.BDP("604399RK Muni","STATE_CODE")</f>
        <v>#N/A Requesting Data...</v>
      </c>
      <c r="E1464" t="str">
        <f>_xll.BDP("604399RK Muni","COUNTY_LOCATION_ISSUER")</f>
        <v>#N/A Requesting Data...</v>
      </c>
      <c r="F1464" t="str">
        <f>_xll.BDP("604399RK Muni","DUR_ADJ_MID")</f>
        <v>#N/A Requesting Data...</v>
      </c>
      <c r="G1464" t="str">
        <f>_xll.BDP("604399RK Muni","SPREAD_AT_ISSUANCE_TO_WORST")</f>
        <v>#N/A Requesting Data...</v>
      </c>
      <c r="H1464" t="str">
        <f>_xll.BDP("604399RK Muni","ISSUE_DT")</f>
        <v>#N/A Requesting Data...</v>
      </c>
      <c r="I1464" t="str">
        <f>_xll.BDS("604399RK Muni","MUNI_PURPOSE_SCHED", "aggregate=y")</f>
        <v>#N/A Review</v>
      </c>
      <c r="J1464" t="str">
        <f>_xll.BDP("604399RK Muni","CPN")</f>
        <v>#N/A Requesting Data...</v>
      </c>
      <c r="K1464" t="str">
        <f>_xll.BDP("604399RK Muni","MATURITY")</f>
        <v>#N/A Requesting Data...</v>
      </c>
      <c r="L1464">
        <v>315000</v>
      </c>
      <c r="M1464" t="str">
        <f>_xll.BDP("604399RK Muni","YIELD_ON_ISSUE_DATE")</f>
        <v>#N/A Requesting Data...</v>
      </c>
      <c r="N1464" t="str">
        <f>_xll.BDP("604399RK Muni","YTW_SPREAD_TO_MATURITY_AT_ISSU")</f>
        <v>#N/A Requesting Data...</v>
      </c>
      <c r="O1464" t="str">
        <f>_xll.BDP("604399RK Muni","BVAL_MID_YTM")</f>
        <v>#N/A Requesting Data...</v>
      </c>
      <c r="P1464" t="str">
        <f>_xll.BDP("604399RK Muni","MUNI_TAX_PROV")</f>
        <v>#N/A Requesting Data...</v>
      </c>
      <c r="Q1464" t="str">
        <f>_xll.BDP("604399RK Muni","MUNI_FED_TAX")</f>
        <v>#N/A Requesting Data...</v>
      </c>
      <c r="R1464" t="str">
        <f>_xll.BDP("604399RK Muni","MUNI_MSRB_VOLUME")</f>
        <v>#N/A Requesting Data...</v>
      </c>
      <c r="S1464" t="str">
        <f>_xll.BDP("604399RK Muni","BB_COMPOSITE")</f>
        <v>#N/A Requesting Data...</v>
      </c>
      <c r="T1464" t="str">
        <f>_xll.BDP("604399RK Muni","LQA_LIQUIDITY_SCORE")</f>
        <v>#N/A Requesting Data...</v>
      </c>
    </row>
    <row r="1465" spans="1:20" x14ac:dyDescent="0.25">
      <c r="A1465" t="str">
        <f>_xll.BDP("604399RM Muni","ID_CUSIP")</f>
        <v>#N/A Requesting Data...</v>
      </c>
      <c r="B1465" t="s">
        <v>458</v>
      </c>
      <c r="C1465" t="str">
        <f>_xll.BDP("604399RM Muni","INSURANCE_STATUS")</f>
        <v>#N/A Requesting Data...</v>
      </c>
      <c r="D1465" t="str">
        <f>_xll.BDP("604399RM Muni","STATE_CODE")</f>
        <v>#N/A Requesting Data...</v>
      </c>
      <c r="E1465" t="str">
        <f>_xll.BDP("604399RM Muni","COUNTY_LOCATION_ISSUER")</f>
        <v>#N/A Requesting Data...</v>
      </c>
      <c r="F1465" t="str">
        <f>_xll.BDP("604399RM Muni","DUR_ADJ_MID")</f>
        <v>#N/A Requesting Data...</v>
      </c>
      <c r="G1465" t="str">
        <f>_xll.BDP("604399RM Muni","SPREAD_AT_ISSUANCE_TO_WORST")</f>
        <v>#N/A Requesting Data...</v>
      </c>
      <c r="H1465" t="str">
        <f>_xll.BDP("604399RM Muni","ISSUE_DT")</f>
        <v>#N/A Requesting Data...</v>
      </c>
      <c r="I1465" t="str">
        <f>_xll.BDS("604399RM Muni","MUNI_PURPOSE_SCHED", "aggregate=y")</f>
        <v>#N/A Review</v>
      </c>
      <c r="J1465" t="str">
        <f>_xll.BDP("604399RM Muni","CPN")</f>
        <v>#N/A Requesting Data...</v>
      </c>
      <c r="K1465" t="str">
        <f>_xll.BDP("604399RM Muni","MATURITY")</f>
        <v>#N/A Requesting Data...</v>
      </c>
      <c r="L1465">
        <v>340000</v>
      </c>
      <c r="M1465" t="str">
        <f>_xll.BDP("604399RM Muni","YIELD_ON_ISSUE_DATE")</f>
        <v>#N/A Requesting Data...</v>
      </c>
      <c r="N1465" t="str">
        <f>_xll.BDP("604399RM Muni","YTW_SPREAD_TO_MATURITY_AT_ISSU")</f>
        <v>#N/A Requesting Data...</v>
      </c>
      <c r="O1465" t="str">
        <f>_xll.BDP("604399RM Muni","BVAL_MID_YTM")</f>
        <v>#N/A Requesting Data...</v>
      </c>
      <c r="P1465" t="str">
        <f>_xll.BDP("604399RM Muni","MUNI_TAX_PROV")</f>
        <v>#N/A Requesting Data...</v>
      </c>
      <c r="Q1465" t="str">
        <f>_xll.BDP("604399RM Muni","MUNI_FED_TAX")</f>
        <v>#N/A Requesting Data...</v>
      </c>
      <c r="R1465" t="str">
        <f>_xll.BDP("604399RM Muni","MUNI_MSRB_VOLUME")</f>
        <v>#N/A Requesting Data...</v>
      </c>
      <c r="S1465" t="str">
        <f>_xll.BDP("604399RM Muni","BB_COMPOSITE")</f>
        <v>#N/A Requesting Data...</v>
      </c>
      <c r="T1465" t="str">
        <f>_xll.BDP("604399RM Muni","LQA_LIQUIDITY_SCORE")</f>
        <v>#N/A Requesting Data...</v>
      </c>
    </row>
    <row r="1466" spans="1:20" x14ac:dyDescent="0.25">
      <c r="A1466" t="str">
        <f>_xll.BDP("7776283B Muni","ID_CUSIP")</f>
        <v>#N/A Requesting Data...</v>
      </c>
      <c r="B1466" t="s">
        <v>460</v>
      </c>
      <c r="C1466" t="str">
        <f>_xll.BDP("7776283B Muni","INSURANCE_STATUS")</f>
        <v>#N/A Requesting Data...</v>
      </c>
      <c r="D1466" t="str">
        <f>_xll.BDP("7776283B Muni","STATE_CODE")</f>
        <v>#N/A Requesting Data...</v>
      </c>
      <c r="E1466" t="str">
        <f>_xll.BDP("7776283B Muni","COUNTY_LOCATION_ISSUER")</f>
        <v>#N/A Requesting Data...</v>
      </c>
      <c r="F1466" t="str">
        <f>_xll.BDP("7776283B Muni","DUR_ADJ_MID")</f>
        <v>#N/A Requesting Data...</v>
      </c>
      <c r="G1466" t="str">
        <f>_xll.BDP("7776283B Muni","SPREAD_AT_ISSUANCE_TO_WORST")</f>
        <v>#N/A Requesting Data...</v>
      </c>
      <c r="H1466" t="str">
        <f>_xll.BDP("7776283B Muni","ISSUE_DT")</f>
        <v>#N/A Requesting Data...</v>
      </c>
      <c r="I1466" t="str">
        <f>_xll.BDS("7776283B Muni","MUNI_PURPOSE_SCHED", "aggregate=y")</f>
        <v>#N/A Review</v>
      </c>
      <c r="J1466" t="str">
        <f>_xll.BDP("7776283B Muni","CPN")</f>
        <v>#N/A Requesting Data...</v>
      </c>
      <c r="K1466" t="str">
        <f>_xll.BDP("7776283B Muni","MATURITY")</f>
        <v>#N/A Requesting Data...</v>
      </c>
      <c r="L1466">
        <v>455000</v>
      </c>
      <c r="M1466" t="str">
        <f>_xll.BDP("7776283B Muni","YIELD_ON_ISSUE_DATE")</f>
        <v>#N/A Requesting Data...</v>
      </c>
      <c r="N1466" t="str">
        <f>_xll.BDP("7776283B Muni","YTW_SPREAD_TO_MATURITY_AT_ISSU")</f>
        <v>#N/A Requesting Data...</v>
      </c>
      <c r="O1466" t="str">
        <f>_xll.BDP("7776283B Muni","BVAL_MID_YTM")</f>
        <v>#N/A Requesting Data...</v>
      </c>
      <c r="P1466" t="str">
        <f>_xll.BDP("7776283B Muni","MUNI_TAX_PROV")</f>
        <v>#N/A Requesting Data...</v>
      </c>
      <c r="Q1466" t="str">
        <f>_xll.BDP("7776283B Muni","MUNI_FED_TAX")</f>
        <v>#N/A Requesting Data...</v>
      </c>
      <c r="R1466" t="str">
        <f>_xll.BDP("7776283B Muni","MUNI_MSRB_VOLUME")</f>
        <v>#N/A Requesting Data...</v>
      </c>
      <c r="S1466" t="str">
        <f>_xll.BDP("7776283B Muni","BB_COMPOSITE")</f>
        <v>#N/A Requesting Data...</v>
      </c>
      <c r="T1466" t="str">
        <f>_xll.BDP("7776283B Muni","LQA_LIQUIDITY_SCORE")</f>
        <v>#N/A Requesting Data...</v>
      </c>
    </row>
    <row r="1467" spans="1:20" x14ac:dyDescent="0.25">
      <c r="A1467" t="str">
        <f>_xll.BDP("7776283C Muni","ID_CUSIP")</f>
        <v>#N/A Requesting Data...</v>
      </c>
      <c r="B1467" t="s">
        <v>460</v>
      </c>
      <c r="C1467" t="str">
        <f>_xll.BDP("7776283C Muni","INSURANCE_STATUS")</f>
        <v>#N/A Requesting Data...</v>
      </c>
      <c r="D1467" t="str">
        <f>_xll.BDP("7776283C Muni","STATE_CODE")</f>
        <v>#N/A Requesting Data...</v>
      </c>
      <c r="E1467" t="str">
        <f>_xll.BDP("7776283C Muni","COUNTY_LOCATION_ISSUER")</f>
        <v>#N/A Requesting Data...</v>
      </c>
      <c r="F1467" t="str">
        <f>_xll.BDP("7776283C Muni","DUR_ADJ_MID")</f>
        <v>#N/A Requesting Data...</v>
      </c>
      <c r="G1467" t="str">
        <f>_xll.BDP("7776283C Muni","SPREAD_AT_ISSUANCE_TO_WORST")</f>
        <v>#N/A Requesting Data...</v>
      </c>
      <c r="H1467" t="str">
        <f>_xll.BDP("7776283C Muni","ISSUE_DT")</f>
        <v>#N/A Requesting Data...</v>
      </c>
      <c r="I1467" t="str">
        <f>_xll.BDS("7776283C Muni","MUNI_PURPOSE_SCHED", "aggregate=y")</f>
        <v>#N/A Review</v>
      </c>
      <c r="J1467" t="str">
        <f>_xll.BDP("7776283C Muni","CPN")</f>
        <v>#N/A Requesting Data...</v>
      </c>
      <c r="K1467" t="str">
        <f>_xll.BDP("7776283C Muni","MATURITY")</f>
        <v>#N/A Requesting Data...</v>
      </c>
      <c r="L1467">
        <v>465000</v>
      </c>
      <c r="M1467" t="str">
        <f>_xll.BDP("7776283C Muni","YIELD_ON_ISSUE_DATE")</f>
        <v>#N/A Requesting Data...</v>
      </c>
      <c r="N1467" t="str">
        <f>_xll.BDP("7776283C Muni","YTW_SPREAD_TO_MATURITY_AT_ISSU")</f>
        <v>#N/A Requesting Data...</v>
      </c>
      <c r="O1467" t="str">
        <f>_xll.BDP("7776283C Muni","BVAL_MID_YTM")</f>
        <v>#N/A Requesting Data...</v>
      </c>
      <c r="P1467" t="str">
        <f>_xll.BDP("7776283C Muni","MUNI_TAX_PROV")</f>
        <v>#N/A Requesting Data...</v>
      </c>
      <c r="Q1467" t="str">
        <f>_xll.BDP("7776283C Muni","MUNI_FED_TAX")</f>
        <v>#N/A Requesting Data...</v>
      </c>
      <c r="R1467" t="str">
        <f>_xll.BDP("7776283C Muni","MUNI_MSRB_VOLUME")</f>
        <v>#N/A Requesting Data...</v>
      </c>
      <c r="S1467" t="str">
        <f>_xll.BDP("7776283C Muni","BB_COMPOSITE")</f>
        <v>#N/A Requesting Data...</v>
      </c>
      <c r="T1467" t="str">
        <f>_xll.BDP("7776283C Muni","LQA_LIQUIDITY_SCORE")</f>
        <v>#N/A Requesting Data...</v>
      </c>
    </row>
    <row r="1468" spans="1:20" x14ac:dyDescent="0.25">
      <c r="A1468" t="str">
        <f>_xll.BDP("778765FN Muni","ID_CUSIP")</f>
        <v>#N/A Requesting Data...</v>
      </c>
      <c r="B1468" t="s">
        <v>462</v>
      </c>
      <c r="C1468" t="str">
        <f>_xll.BDP("778765FN Muni","INSURANCE_STATUS")</f>
        <v>#N/A Requesting Data...</v>
      </c>
      <c r="D1468" t="str">
        <f>_xll.BDP("778765FN Muni","STATE_CODE")</f>
        <v>#N/A Requesting Data...</v>
      </c>
      <c r="E1468" t="str">
        <f>_xll.BDP("778765FN Muni","COUNTY_LOCATION_ISSUER")</f>
        <v>#N/A Requesting Data...</v>
      </c>
      <c r="F1468" t="str">
        <f>_xll.BDP("778765FN Muni","DUR_ADJ_MID")</f>
        <v>#N/A Requesting Data...</v>
      </c>
      <c r="G1468" t="str">
        <f>_xll.BDP("778765FN Muni","SPREAD_AT_ISSUANCE_TO_WORST")</f>
        <v>#N/A Requesting Data...</v>
      </c>
      <c r="H1468" t="str">
        <f>_xll.BDP("778765FN Muni","ISSUE_DT")</f>
        <v>#N/A Requesting Data...</v>
      </c>
      <c r="I1468" t="str">
        <f>_xll.BDS("778765FN Muni","MUNI_PURPOSE_SCHED", "aggregate=y")</f>
        <v>#N/A Review</v>
      </c>
      <c r="J1468" t="str">
        <f>_xll.BDP("778765FN Muni","CPN")</f>
        <v>#N/A Requesting Data...</v>
      </c>
      <c r="K1468" t="str">
        <f>_xll.BDP("778765FN Muni","MATURITY")</f>
        <v>#N/A Requesting Data...</v>
      </c>
      <c r="L1468">
        <v>145000</v>
      </c>
      <c r="M1468" t="str">
        <f>_xll.BDP("778765FN Muni","YIELD_ON_ISSUE_DATE")</f>
        <v>#N/A Requesting Data...</v>
      </c>
      <c r="N1468" t="str">
        <f>_xll.BDP("778765FN Muni","YTW_SPREAD_TO_MATURITY_AT_ISSU")</f>
        <v>#N/A Requesting Data...</v>
      </c>
      <c r="O1468" t="str">
        <f>_xll.BDP("778765FN Muni","BVAL_MID_YTM")</f>
        <v>#N/A Requesting Data...</v>
      </c>
      <c r="P1468" t="str">
        <f>_xll.BDP("778765FN Muni","MUNI_TAX_PROV")</f>
        <v>#N/A Requesting Data...</v>
      </c>
      <c r="Q1468" t="str">
        <f>_xll.BDP("778765FN Muni","MUNI_FED_TAX")</f>
        <v>#N/A Requesting Data...</v>
      </c>
      <c r="R1468" t="str">
        <f>_xll.BDP("778765FN Muni","MUNI_MSRB_VOLUME")</f>
        <v>#N/A Requesting Data...</v>
      </c>
      <c r="S1468" t="str">
        <f>_xll.BDP("778765FN Muni","BB_COMPOSITE")</f>
        <v>#N/A Requesting Data...</v>
      </c>
      <c r="T1468" t="str">
        <f>_xll.BDP("778765FN Muni","LQA_LIQUIDITY_SCORE")</f>
        <v>#N/A Requesting Data...</v>
      </c>
    </row>
    <row r="1469" spans="1:20" x14ac:dyDescent="0.25">
      <c r="A1469" t="str">
        <f>_xll.BDP("778765FP Muni","ID_CUSIP")</f>
        <v>#N/A Requesting Data...</v>
      </c>
      <c r="B1469" t="s">
        <v>462</v>
      </c>
      <c r="C1469" t="str">
        <f>_xll.BDP("778765FP Muni","INSURANCE_STATUS")</f>
        <v>#N/A Requesting Data...</v>
      </c>
      <c r="D1469" t="str">
        <f>_xll.BDP("778765FP Muni","STATE_CODE")</f>
        <v>#N/A Requesting Data...</v>
      </c>
      <c r="E1469" t="str">
        <f>_xll.BDP("778765FP Muni","COUNTY_LOCATION_ISSUER")</f>
        <v>#N/A Requesting Data...</v>
      </c>
      <c r="F1469" t="str">
        <f>_xll.BDP("778765FP Muni","DUR_ADJ_MID")</f>
        <v>#N/A Requesting Data...</v>
      </c>
      <c r="G1469" t="str">
        <f>_xll.BDP("778765FP Muni","SPREAD_AT_ISSUANCE_TO_WORST")</f>
        <v>#N/A Requesting Data...</v>
      </c>
      <c r="H1469" t="str">
        <f>_xll.BDP("778765FP Muni","ISSUE_DT")</f>
        <v>#N/A Requesting Data...</v>
      </c>
      <c r="I1469" t="str">
        <f>_xll.BDS("778765FP Muni","MUNI_PURPOSE_SCHED", "aggregate=y")</f>
        <v>#N/A Review</v>
      </c>
      <c r="J1469" t="str">
        <f>_xll.BDP("778765FP Muni","CPN")</f>
        <v>#N/A Requesting Data...</v>
      </c>
      <c r="K1469" t="str">
        <f>_xll.BDP("778765FP Muni","MATURITY")</f>
        <v>#N/A Requesting Data...</v>
      </c>
      <c r="L1469">
        <v>145000</v>
      </c>
      <c r="M1469" t="str">
        <f>_xll.BDP("778765FP Muni","YIELD_ON_ISSUE_DATE")</f>
        <v>#N/A Requesting Data...</v>
      </c>
      <c r="N1469" t="str">
        <f>_xll.BDP("778765FP Muni","YTW_SPREAD_TO_MATURITY_AT_ISSU")</f>
        <v>#N/A Requesting Data...</v>
      </c>
      <c r="O1469" t="str">
        <f>_xll.BDP("778765FP Muni","BVAL_MID_YTM")</f>
        <v>#N/A Requesting Data...</v>
      </c>
      <c r="P1469" t="str">
        <f>_xll.BDP("778765FP Muni","MUNI_TAX_PROV")</f>
        <v>#N/A Requesting Data...</v>
      </c>
      <c r="Q1469" t="str">
        <f>_xll.BDP("778765FP Muni","MUNI_FED_TAX")</f>
        <v>#N/A Requesting Data...</v>
      </c>
      <c r="R1469" t="str">
        <f>_xll.BDP("778765FP Muni","MUNI_MSRB_VOLUME")</f>
        <v>#N/A Requesting Data...</v>
      </c>
      <c r="S1469" t="str">
        <f>_xll.BDP("778765FP Muni","BB_COMPOSITE")</f>
        <v>#N/A Requesting Data...</v>
      </c>
      <c r="T1469" t="str">
        <f>_xll.BDP("778765FP Muni","LQA_LIQUIDITY_SCORE")</f>
        <v>#N/A Requesting Data...</v>
      </c>
    </row>
    <row r="1470" spans="1:20" x14ac:dyDescent="0.25">
      <c r="A1470" t="str">
        <f>_xll.BDP("778765FQ Muni","ID_CUSIP")</f>
        <v>#N/A Requesting Data...</v>
      </c>
      <c r="B1470" t="s">
        <v>462</v>
      </c>
      <c r="C1470" t="str">
        <f>_xll.BDP("778765FQ Muni","INSURANCE_STATUS")</f>
        <v>#N/A Requesting Data...</v>
      </c>
      <c r="D1470" t="str">
        <f>_xll.BDP("778765FQ Muni","STATE_CODE")</f>
        <v>#N/A Requesting Data...</v>
      </c>
      <c r="E1470" t="str">
        <f>_xll.BDP("778765FQ Muni","COUNTY_LOCATION_ISSUER")</f>
        <v>#N/A Requesting Data...</v>
      </c>
      <c r="F1470" t="str">
        <f>_xll.BDP("778765FQ Muni","DUR_ADJ_MID")</f>
        <v>#N/A Requesting Data...</v>
      </c>
      <c r="G1470" t="str">
        <f>_xll.BDP("778765FQ Muni","SPREAD_AT_ISSUANCE_TO_WORST")</f>
        <v>#N/A Requesting Data...</v>
      </c>
      <c r="H1470" t="str">
        <f>_xll.BDP("778765FQ Muni","ISSUE_DT")</f>
        <v>#N/A Requesting Data...</v>
      </c>
      <c r="I1470" t="str">
        <f>_xll.BDS("778765FQ Muni","MUNI_PURPOSE_SCHED", "aggregate=y")</f>
        <v>#N/A Review</v>
      </c>
      <c r="J1470" t="str">
        <f>_xll.BDP("778765FQ Muni","CPN")</f>
        <v>#N/A Requesting Data...</v>
      </c>
      <c r="K1470" t="str">
        <f>_xll.BDP("778765FQ Muni","MATURITY")</f>
        <v>#N/A Requesting Data...</v>
      </c>
      <c r="L1470">
        <v>160000</v>
      </c>
      <c r="M1470" t="str">
        <f>_xll.BDP("778765FQ Muni","YIELD_ON_ISSUE_DATE")</f>
        <v>#N/A Requesting Data...</v>
      </c>
      <c r="N1470" t="str">
        <f>_xll.BDP("778765FQ Muni","YTW_SPREAD_TO_MATURITY_AT_ISSU")</f>
        <v>#N/A Requesting Data...</v>
      </c>
      <c r="O1470" t="str">
        <f>_xll.BDP("778765FQ Muni","BVAL_MID_YTM")</f>
        <v>#N/A Requesting Data...</v>
      </c>
      <c r="P1470" t="str">
        <f>_xll.BDP("778765FQ Muni","MUNI_TAX_PROV")</f>
        <v>#N/A Requesting Data...</v>
      </c>
      <c r="Q1470" t="str">
        <f>_xll.BDP("778765FQ Muni","MUNI_FED_TAX")</f>
        <v>#N/A Requesting Data...</v>
      </c>
      <c r="R1470" t="str">
        <f>_xll.BDP("778765FQ Muni","MUNI_MSRB_VOLUME")</f>
        <v>#N/A Requesting Data...</v>
      </c>
      <c r="S1470" t="str">
        <f>_xll.BDP("778765FQ Muni","BB_COMPOSITE")</f>
        <v>#N/A Requesting Data...</v>
      </c>
      <c r="T1470" t="str">
        <f>_xll.BDP("778765FQ Muni","LQA_LIQUIDITY_SCORE")</f>
        <v>#N/A Requesting Data...</v>
      </c>
    </row>
    <row r="1471" spans="1:20" x14ac:dyDescent="0.25">
      <c r="A1471" t="str">
        <f>_xll.BDP("52109HEP Muni","ID_CUSIP")</f>
        <v>#N/A Requesting Data...</v>
      </c>
      <c r="B1471" t="s">
        <v>463</v>
      </c>
      <c r="C1471" t="str">
        <f>_xll.BDP("52109HEP Muni","INSURANCE_STATUS")</f>
        <v>#N/A Requesting Data...</v>
      </c>
      <c r="D1471" t="str">
        <f>_xll.BDP("52109HEP Muni","STATE_CODE")</f>
        <v>#N/A Requesting Data...</v>
      </c>
      <c r="E1471" t="str">
        <f>_xll.BDP("52109HEP Muni","COUNTY_LOCATION_ISSUER")</f>
        <v>#N/A Requesting Data...</v>
      </c>
      <c r="F1471" t="str">
        <f>_xll.BDP("52109HEP Muni","DUR_ADJ_MID")</f>
        <v>#N/A Requesting Data...</v>
      </c>
      <c r="G1471" t="str">
        <f>_xll.BDP("52109HEP Muni","SPREAD_AT_ISSUANCE_TO_WORST")</f>
        <v>#N/A Requesting Data...</v>
      </c>
      <c r="H1471" t="str">
        <f>_xll.BDP("52109HEP Muni","ISSUE_DT")</f>
        <v>#N/A Requesting Data...</v>
      </c>
      <c r="I1471" t="str">
        <f>_xll.BDS("52109HEP Muni","MUNI_PURPOSE_SCHED", "aggregate=y")</f>
        <v>#N/A Review</v>
      </c>
      <c r="J1471" t="str">
        <f>_xll.BDP("52109HEP Muni","CPN")</f>
        <v>#N/A Requesting Data...</v>
      </c>
      <c r="K1471" t="str">
        <f>_xll.BDP("52109HEP Muni","MATURITY")</f>
        <v>#N/A Requesting Data...</v>
      </c>
      <c r="L1471">
        <v>160000</v>
      </c>
      <c r="M1471" t="str">
        <f>_xll.BDP("52109HEP Muni","YIELD_ON_ISSUE_DATE")</f>
        <v>#N/A Requesting Data...</v>
      </c>
      <c r="N1471" t="str">
        <f>_xll.BDP("52109HEP Muni","YTW_SPREAD_TO_MATURITY_AT_ISSU")</f>
        <v>#N/A Requesting Data...</v>
      </c>
      <c r="O1471" t="str">
        <f>_xll.BDP("52109HEP Muni","BVAL_MID_YTM")</f>
        <v>#N/A Requesting Data...</v>
      </c>
      <c r="P1471" t="str">
        <f>_xll.BDP("52109HEP Muni","MUNI_TAX_PROV")</f>
        <v>#N/A Requesting Data...</v>
      </c>
      <c r="Q1471" t="str">
        <f>_xll.BDP("52109HEP Muni","MUNI_FED_TAX")</f>
        <v>#N/A Requesting Data...</v>
      </c>
      <c r="R1471" t="str">
        <f>_xll.BDP("52109HEP Muni","MUNI_MSRB_VOLUME")</f>
        <v>#N/A Requesting Data...</v>
      </c>
      <c r="S1471" t="str">
        <f>_xll.BDP("52109HEP Muni","BB_COMPOSITE")</f>
        <v>#N/A Requesting Data...</v>
      </c>
      <c r="T1471" t="str">
        <f>_xll.BDP("52109HEP Muni","LQA_LIQUIDITY_SCORE")</f>
        <v>#N/A Requesting Data...</v>
      </c>
    </row>
    <row r="1472" spans="1:20" x14ac:dyDescent="0.25">
      <c r="A1472" t="str">
        <f>_xll.BDP("547677FG Muni","ID_CUSIP")</f>
        <v>#N/A Requesting Data...</v>
      </c>
      <c r="B1472" t="s">
        <v>464</v>
      </c>
      <c r="C1472" t="str">
        <f>_xll.BDP("547677FG Muni","INSURANCE_STATUS")</f>
        <v>#N/A Requesting Data...</v>
      </c>
      <c r="D1472" t="str">
        <f>_xll.BDP("547677FG Muni","STATE_CODE")</f>
        <v>#N/A Requesting Data...</v>
      </c>
      <c r="E1472" t="str">
        <f>_xll.BDP("547677FG Muni","COUNTY_LOCATION_ISSUER")</f>
        <v>#N/A Requesting Data...</v>
      </c>
      <c r="F1472" t="str">
        <f>_xll.BDP("547677FG Muni","DUR_ADJ_MID")</f>
        <v>#N/A Requesting Data...</v>
      </c>
      <c r="G1472" t="str">
        <f>_xll.BDP("547677FG Muni","SPREAD_AT_ISSUANCE_TO_WORST")</f>
        <v>#N/A Requesting Data...</v>
      </c>
      <c r="H1472" t="str">
        <f>_xll.BDP("547677FG Muni","ISSUE_DT")</f>
        <v>#N/A Requesting Data...</v>
      </c>
      <c r="I1472" t="str">
        <f>_xll.BDS("547677FG Muni","MUNI_PURPOSE_SCHED", "aggregate=y")</f>
        <v>#N/A Review</v>
      </c>
      <c r="J1472" t="str">
        <f>_xll.BDP("547677FG Muni","CPN")</f>
        <v>#N/A Requesting Data...</v>
      </c>
      <c r="K1472" t="str">
        <f>_xll.BDP("547677FG Muni","MATURITY")</f>
        <v>#N/A Requesting Data...</v>
      </c>
      <c r="L1472">
        <v>100000</v>
      </c>
      <c r="M1472" t="str">
        <f>_xll.BDP("547677FG Muni","YIELD_ON_ISSUE_DATE")</f>
        <v>#N/A Requesting Data...</v>
      </c>
      <c r="N1472" t="str">
        <f>_xll.BDP("547677FG Muni","YTW_SPREAD_TO_MATURITY_AT_ISSU")</f>
        <v>#N/A Requesting Data...</v>
      </c>
      <c r="O1472" t="str">
        <f>_xll.BDP("547677FG Muni","BVAL_MID_YTM")</f>
        <v>#N/A Requesting Data...</v>
      </c>
      <c r="P1472" t="str">
        <f>_xll.BDP("547677FG Muni","MUNI_TAX_PROV")</f>
        <v>#N/A Requesting Data...</v>
      </c>
      <c r="Q1472" t="str">
        <f>_xll.BDP("547677FG Muni","MUNI_FED_TAX")</f>
        <v>#N/A Requesting Data...</v>
      </c>
      <c r="R1472" t="str">
        <f>_xll.BDP("547677FG Muni","MUNI_MSRB_VOLUME")</f>
        <v>#N/A Requesting Data...</v>
      </c>
      <c r="S1472" t="str">
        <f>_xll.BDP("547677FG Muni","BB_COMPOSITE")</f>
        <v>#N/A Requesting Data...</v>
      </c>
      <c r="T1472" t="str">
        <f>_xll.BDP("547677FG Muni","LQA_LIQUIDITY_SCORE")</f>
        <v>#N/A Requesting Data...</v>
      </c>
    </row>
    <row r="1473" spans="1:20" x14ac:dyDescent="0.25">
      <c r="A1473" t="str">
        <f>_xll.BDP("714122AJ Muni","ID_CUSIP")</f>
        <v>#N/A Requesting Data...</v>
      </c>
      <c r="B1473" t="s">
        <v>465</v>
      </c>
      <c r="C1473" t="str">
        <f>_xll.BDP("714122AJ Muni","INSURANCE_STATUS")</f>
        <v>#N/A Requesting Data...</v>
      </c>
      <c r="D1473" t="str">
        <f>_xll.BDP("714122AJ Muni","STATE_CODE")</f>
        <v>#N/A Requesting Data...</v>
      </c>
      <c r="E1473" t="str">
        <f>_xll.BDP("714122AJ Muni","COUNTY_LOCATION_ISSUER")</f>
        <v>#N/A Requesting Data...</v>
      </c>
      <c r="F1473" t="str">
        <f>_xll.BDP("714122AJ Muni","DUR_ADJ_MID")</f>
        <v>#N/A Requesting Data...</v>
      </c>
      <c r="G1473" t="str">
        <f>_xll.BDP("714122AJ Muni","SPREAD_AT_ISSUANCE_TO_WORST")</f>
        <v>#N/A Requesting Data...</v>
      </c>
      <c r="H1473" t="str">
        <f>_xll.BDP("714122AJ Muni","ISSUE_DT")</f>
        <v>#N/A Requesting Data...</v>
      </c>
      <c r="I1473" t="str">
        <f>_xll.BDS("714122AJ Muni","MUNI_PURPOSE_SCHED", "aggregate=y")</f>
        <v>#N/A Review</v>
      </c>
      <c r="J1473" t="str">
        <f>_xll.BDP("714122AJ Muni","CPN")</f>
        <v>#N/A Requesting Data...</v>
      </c>
      <c r="K1473" t="str">
        <f>_xll.BDP("714122AJ Muni","MATURITY")</f>
        <v>#N/A Requesting Data...</v>
      </c>
      <c r="L1473">
        <v>90000</v>
      </c>
      <c r="M1473" t="str">
        <f>_xll.BDP("714122AJ Muni","YIELD_ON_ISSUE_DATE")</f>
        <v>#N/A Requesting Data...</v>
      </c>
      <c r="N1473" t="str">
        <f>_xll.BDP("714122AJ Muni","YTW_SPREAD_TO_MATURITY_AT_ISSU")</f>
        <v>#N/A Requesting Data...</v>
      </c>
      <c r="O1473" t="str">
        <f>_xll.BDP("714122AJ Muni","BVAL_MID_YTM")</f>
        <v>#N/A Requesting Data...</v>
      </c>
      <c r="P1473" t="str">
        <f>_xll.BDP("714122AJ Muni","MUNI_TAX_PROV")</f>
        <v>#N/A Requesting Data...</v>
      </c>
      <c r="Q1473" t="str">
        <f>_xll.BDP("714122AJ Muni","MUNI_FED_TAX")</f>
        <v>#N/A Requesting Data...</v>
      </c>
      <c r="R1473" t="str">
        <f>_xll.BDP("714122AJ Muni","MUNI_MSRB_VOLUME")</f>
        <v>#N/A Requesting Data...</v>
      </c>
      <c r="S1473" t="str">
        <f>_xll.BDP("714122AJ Muni","BB_COMPOSITE")</f>
        <v>#N/A Requesting Data...</v>
      </c>
      <c r="T1473" t="str">
        <f>_xll.BDP("714122AJ Muni","LQA_LIQUIDITY_SCORE")</f>
        <v>#N/A Requesting Data...</v>
      </c>
    </row>
    <row r="1474" spans="1:20" x14ac:dyDescent="0.25">
      <c r="A1474" t="str">
        <f>_xll.BDP("57390EEV Muni","ID_CUSIP")</f>
        <v>#N/A Requesting Data...</v>
      </c>
      <c r="B1474" t="s">
        <v>57</v>
      </c>
      <c r="C1474" t="str">
        <f>_xll.BDP("57390EEV Muni","INSURANCE_STATUS")</f>
        <v>#N/A Requesting Data...</v>
      </c>
      <c r="D1474" t="str">
        <f>_xll.BDP("57390EEV Muni","STATE_CODE")</f>
        <v>#N/A Requesting Data...</v>
      </c>
      <c r="E1474" t="str">
        <f>_xll.BDP("57390EEV Muni","COUNTY_LOCATION_ISSUER")</f>
        <v>#N/A Requesting Data...</v>
      </c>
      <c r="F1474" t="str">
        <f>_xll.BDP("57390EEV Muni","DUR_ADJ_MID")</f>
        <v>#N/A Requesting Data...</v>
      </c>
      <c r="G1474" t="str">
        <f>_xll.BDP("57390EEV Muni","SPREAD_AT_ISSUANCE_TO_WORST")</f>
        <v>#N/A Requesting Data...</v>
      </c>
      <c r="H1474" t="str">
        <f>_xll.BDP("57390EEV Muni","ISSUE_DT")</f>
        <v>#N/A Requesting Data...</v>
      </c>
      <c r="I1474" t="str">
        <f>_xll.BDS("57390EEV Muni","MUNI_PURPOSE_SCHED", "aggregate=y")</f>
        <v>#N/A Review</v>
      </c>
      <c r="J1474" t="str">
        <f>_xll.BDP("57390EEV Muni","CPN")</f>
        <v>#N/A Requesting Data...</v>
      </c>
      <c r="K1474" t="str">
        <f>_xll.BDP("57390EEV Muni","MATURITY")</f>
        <v>#N/A Requesting Data...</v>
      </c>
      <c r="L1474">
        <v>5485000</v>
      </c>
      <c r="M1474" t="str">
        <f>_xll.BDP("57390EEV Muni","YIELD_ON_ISSUE_DATE")</f>
        <v>#N/A Requesting Data...</v>
      </c>
      <c r="N1474" t="str">
        <f>_xll.BDP("57390EEV Muni","YTW_SPREAD_TO_MATURITY_AT_ISSU")</f>
        <v>#N/A Requesting Data...</v>
      </c>
      <c r="O1474" t="str">
        <f>_xll.BDP("57390EEV Muni","BVAL_MID_YTM")</f>
        <v>#N/A Requesting Data...</v>
      </c>
      <c r="P1474" t="str">
        <f>_xll.BDP("57390EEV Muni","MUNI_TAX_PROV")</f>
        <v>#N/A Requesting Data...</v>
      </c>
      <c r="Q1474" t="str">
        <f>_xll.BDP("57390EEV Muni","MUNI_FED_TAX")</f>
        <v>#N/A Requesting Data...</v>
      </c>
      <c r="R1474" t="str">
        <f>_xll.BDP("57390EEV Muni","MUNI_MSRB_VOLUME")</f>
        <v>#N/A Requesting Data...</v>
      </c>
      <c r="S1474" t="str">
        <f>_xll.BDP("57390EEV Muni","BB_COMPOSITE")</f>
        <v>#N/A Requesting Data...</v>
      </c>
      <c r="T1474" t="str">
        <f>_xll.BDP("57390EEV Muni","LQA_LIQUIDITY_SCORE")</f>
        <v>#N/A Requesting Data...</v>
      </c>
    </row>
    <row r="1475" spans="1:20" x14ac:dyDescent="0.25">
      <c r="A1475" t="str">
        <f>_xll.BDP("714122AF Muni","ID_CUSIP")</f>
        <v>#N/A Requesting Data...</v>
      </c>
      <c r="B1475" t="s">
        <v>465</v>
      </c>
      <c r="C1475" t="str">
        <f>_xll.BDP("714122AF Muni","INSURANCE_STATUS")</f>
        <v>#N/A Requesting Data...</v>
      </c>
      <c r="D1475" t="str">
        <f>_xll.BDP("714122AF Muni","STATE_CODE")</f>
        <v>#N/A Requesting Data...</v>
      </c>
      <c r="E1475" t="str">
        <f>_xll.BDP("714122AF Muni","COUNTY_LOCATION_ISSUER")</f>
        <v>#N/A Requesting Data...</v>
      </c>
      <c r="F1475" t="str">
        <f>_xll.BDP("714122AF Muni","DUR_ADJ_MID")</f>
        <v>#N/A Requesting Data...</v>
      </c>
      <c r="G1475" t="str">
        <f>_xll.BDP("714122AF Muni","SPREAD_AT_ISSUANCE_TO_WORST")</f>
        <v>#N/A Requesting Data...</v>
      </c>
      <c r="H1475" t="str">
        <f>_xll.BDP("714122AF Muni","ISSUE_DT")</f>
        <v>#N/A Requesting Data...</v>
      </c>
      <c r="I1475" t="str">
        <f>_xll.BDS("714122AF Muni","MUNI_PURPOSE_SCHED", "aggregate=y")</f>
        <v>#N/A Review</v>
      </c>
      <c r="J1475" t="str">
        <f>_xll.BDP("714122AF Muni","CPN")</f>
        <v>#N/A Requesting Data...</v>
      </c>
      <c r="K1475" t="str">
        <f>_xll.BDP("714122AF Muni","MATURITY")</f>
        <v>#N/A Requesting Data...</v>
      </c>
      <c r="L1475">
        <v>90000</v>
      </c>
      <c r="M1475" t="str">
        <f>_xll.BDP("714122AF Muni","YIELD_ON_ISSUE_DATE")</f>
        <v>#N/A Requesting Data...</v>
      </c>
      <c r="N1475" t="str">
        <f>_xll.BDP("714122AF Muni","YTW_SPREAD_TO_MATURITY_AT_ISSU")</f>
        <v>#N/A Requesting Data...</v>
      </c>
      <c r="O1475" t="str">
        <f>_xll.BDP("714122AF Muni","BVAL_MID_YTM")</f>
        <v>#N/A Requesting Data...</v>
      </c>
      <c r="P1475" t="str">
        <f>_xll.BDP("714122AF Muni","MUNI_TAX_PROV")</f>
        <v>#N/A Requesting Data...</v>
      </c>
      <c r="Q1475" t="str">
        <f>_xll.BDP("714122AF Muni","MUNI_FED_TAX")</f>
        <v>#N/A Requesting Data...</v>
      </c>
      <c r="R1475" t="str">
        <f>_xll.BDP("714122AF Muni","MUNI_MSRB_VOLUME")</f>
        <v>#N/A Requesting Data...</v>
      </c>
      <c r="S1475" t="str">
        <f>_xll.BDP("714122AF Muni","BB_COMPOSITE")</f>
        <v>#N/A Requesting Data...</v>
      </c>
      <c r="T1475" t="str">
        <f>_xll.BDP("714122AF Muni","LQA_LIQUIDITY_SCORE")</f>
        <v>#N/A Requesting Data...</v>
      </c>
    </row>
    <row r="1476" spans="1:20" x14ac:dyDescent="0.25">
      <c r="A1476" t="str">
        <f>_xll.BDP("714122AG Muni","ID_CUSIP")</f>
        <v>#N/A Requesting Data...</v>
      </c>
      <c r="B1476" t="s">
        <v>465</v>
      </c>
      <c r="C1476" t="str">
        <f>_xll.BDP("714122AG Muni","INSURANCE_STATUS")</f>
        <v>#N/A Requesting Data...</v>
      </c>
      <c r="D1476" t="str">
        <f>_xll.BDP("714122AG Muni","STATE_CODE")</f>
        <v>#N/A Requesting Data...</v>
      </c>
      <c r="E1476" t="str">
        <f>_xll.BDP("714122AG Muni","COUNTY_LOCATION_ISSUER")</f>
        <v>#N/A Requesting Data...</v>
      </c>
      <c r="F1476" t="str">
        <f>_xll.BDP("714122AG Muni","DUR_ADJ_MID")</f>
        <v>#N/A Requesting Data...</v>
      </c>
      <c r="G1476" t="str">
        <f>_xll.BDP("714122AG Muni","SPREAD_AT_ISSUANCE_TO_WORST")</f>
        <v>#N/A Requesting Data...</v>
      </c>
      <c r="H1476" t="str">
        <f>_xll.BDP("714122AG Muni","ISSUE_DT")</f>
        <v>#N/A Requesting Data...</v>
      </c>
      <c r="I1476" t="str">
        <f>_xll.BDS("714122AG Muni","MUNI_PURPOSE_SCHED", "aggregate=y")</f>
        <v>#N/A Review</v>
      </c>
      <c r="J1476" t="str">
        <f>_xll.BDP("714122AG Muni","CPN")</f>
        <v>#N/A Requesting Data...</v>
      </c>
      <c r="K1476" t="str">
        <f>_xll.BDP("714122AG Muni","MATURITY")</f>
        <v>#N/A Requesting Data...</v>
      </c>
      <c r="L1476">
        <v>90000</v>
      </c>
      <c r="M1476" t="str">
        <f>_xll.BDP("714122AG Muni","YIELD_ON_ISSUE_DATE")</f>
        <v>#N/A Requesting Data...</v>
      </c>
      <c r="N1476" t="str">
        <f>_xll.BDP("714122AG Muni","YTW_SPREAD_TO_MATURITY_AT_ISSU")</f>
        <v>#N/A Requesting Data...</v>
      </c>
      <c r="O1476" t="str">
        <f>_xll.BDP("714122AG Muni","BVAL_MID_YTM")</f>
        <v>#N/A Requesting Data...</v>
      </c>
      <c r="P1476" t="str">
        <f>_xll.BDP("714122AG Muni","MUNI_TAX_PROV")</f>
        <v>#N/A Requesting Data...</v>
      </c>
      <c r="Q1476" t="str">
        <f>_xll.BDP("714122AG Muni","MUNI_FED_TAX")</f>
        <v>#N/A Requesting Data...</v>
      </c>
      <c r="R1476" t="str">
        <f>_xll.BDP("714122AG Muni","MUNI_MSRB_VOLUME")</f>
        <v>#N/A Requesting Data...</v>
      </c>
      <c r="S1476" t="str">
        <f>_xll.BDP("714122AG Muni","BB_COMPOSITE")</f>
        <v>#N/A Requesting Data...</v>
      </c>
      <c r="T1476" t="str">
        <f>_xll.BDP("714122AG Muni","LQA_LIQUIDITY_SCORE")</f>
        <v>#N/A Requesting Data...</v>
      </c>
    </row>
    <row r="1477" spans="1:20" x14ac:dyDescent="0.25">
      <c r="A1477" t="str">
        <f>_xll.BDP("714122AH Muni","ID_CUSIP")</f>
        <v>#N/A Requesting Data...</v>
      </c>
      <c r="B1477" t="s">
        <v>465</v>
      </c>
      <c r="C1477" t="str">
        <f>_xll.BDP("714122AH Muni","INSURANCE_STATUS")</f>
        <v>#N/A Requesting Data...</v>
      </c>
      <c r="D1477" t="str">
        <f>_xll.BDP("714122AH Muni","STATE_CODE")</f>
        <v>#N/A Requesting Data...</v>
      </c>
      <c r="E1477" t="str">
        <f>_xll.BDP("714122AH Muni","COUNTY_LOCATION_ISSUER")</f>
        <v>#N/A Requesting Data...</v>
      </c>
      <c r="F1477" t="str">
        <f>_xll.BDP("714122AH Muni","DUR_ADJ_MID")</f>
        <v>#N/A Requesting Data...</v>
      </c>
      <c r="G1477" t="str">
        <f>_xll.BDP("714122AH Muni","SPREAD_AT_ISSUANCE_TO_WORST")</f>
        <v>#N/A Requesting Data...</v>
      </c>
      <c r="H1477" t="str">
        <f>_xll.BDP("714122AH Muni","ISSUE_DT")</f>
        <v>#N/A Requesting Data...</v>
      </c>
      <c r="I1477" t="str">
        <f>_xll.BDS("714122AH Muni","MUNI_PURPOSE_SCHED", "aggregate=y")</f>
        <v>#N/A Review</v>
      </c>
      <c r="J1477" t="str">
        <f>_xll.BDP("714122AH Muni","CPN")</f>
        <v>#N/A Requesting Data...</v>
      </c>
      <c r="K1477" t="str">
        <f>_xll.BDP("714122AH Muni","MATURITY")</f>
        <v>#N/A Requesting Data...</v>
      </c>
      <c r="L1477">
        <v>90000</v>
      </c>
      <c r="M1477" t="str">
        <f>_xll.BDP("714122AH Muni","YIELD_ON_ISSUE_DATE")</f>
        <v>#N/A Requesting Data...</v>
      </c>
      <c r="N1477" t="str">
        <f>_xll.BDP("714122AH Muni","YTW_SPREAD_TO_MATURITY_AT_ISSU")</f>
        <v>#N/A Requesting Data...</v>
      </c>
      <c r="O1477" t="str">
        <f>_xll.BDP("714122AH Muni","BVAL_MID_YTM")</f>
        <v>#N/A Requesting Data...</v>
      </c>
      <c r="P1477" t="str">
        <f>_xll.BDP("714122AH Muni","MUNI_TAX_PROV")</f>
        <v>#N/A Requesting Data...</v>
      </c>
      <c r="Q1477" t="str">
        <f>_xll.BDP("714122AH Muni","MUNI_FED_TAX")</f>
        <v>#N/A Requesting Data...</v>
      </c>
      <c r="R1477" t="str">
        <f>_xll.BDP("714122AH Muni","MUNI_MSRB_VOLUME")</f>
        <v>#N/A Requesting Data...</v>
      </c>
      <c r="S1477" t="str">
        <f>_xll.BDP("714122AH Muni","BB_COMPOSITE")</f>
        <v>#N/A Requesting Data...</v>
      </c>
      <c r="T1477" t="str">
        <f>_xll.BDP("714122AH Muni","LQA_LIQUIDITY_SCORE")</f>
        <v>#N/A Requesting Data...</v>
      </c>
    </row>
    <row r="1478" spans="1:20" x14ac:dyDescent="0.25">
      <c r="A1478" t="str">
        <f>_xll.BDP("6457915L Muni","ID_CUSIP")</f>
        <v>#N/A Requesting Data...</v>
      </c>
      <c r="B1478" t="s">
        <v>86</v>
      </c>
      <c r="C1478" t="str">
        <f>_xll.BDP("6457915L Muni","INSURANCE_STATUS")</f>
        <v>#N/A Requesting Data...</v>
      </c>
      <c r="D1478" t="str">
        <f>_xll.BDP("6457915L Muni","STATE_CODE")</f>
        <v>#N/A Requesting Data...</v>
      </c>
      <c r="E1478" t="str">
        <f>_xll.BDP("6457915L Muni","COUNTY_LOCATION_ISSUER")</f>
        <v>#N/A Requesting Data...</v>
      </c>
      <c r="F1478" t="str">
        <f>_xll.BDP("6457915L Muni","DUR_ADJ_MID")</f>
        <v>#N/A Requesting Data...</v>
      </c>
      <c r="G1478" t="str">
        <f>_xll.BDP("6457915L Muni","SPREAD_AT_ISSUANCE_TO_WORST")</f>
        <v>#N/A Requesting Data...</v>
      </c>
      <c r="H1478" t="str">
        <f>_xll.BDP("6457915L Muni","ISSUE_DT")</f>
        <v>#N/A Requesting Data...</v>
      </c>
      <c r="I1478" t="str">
        <f>_xll.BDS("6457915L Muni","MUNI_PURPOSE_SCHED", "aggregate=y")</f>
        <v>#N/A Review</v>
      </c>
      <c r="J1478" t="str">
        <f>_xll.BDP("6457915L Muni","CPN")</f>
        <v>#N/A Requesting Data...</v>
      </c>
      <c r="K1478" t="str">
        <f>_xll.BDP("6457915L Muni","MATURITY")</f>
        <v>#N/A Requesting Data...</v>
      </c>
      <c r="L1478">
        <v>340000</v>
      </c>
      <c r="M1478" t="str">
        <f>_xll.BDP("6457915L Muni","YIELD_ON_ISSUE_DATE")</f>
        <v>#N/A Requesting Data...</v>
      </c>
      <c r="N1478" t="str">
        <f>_xll.BDP("6457915L Muni","YTW_SPREAD_TO_MATURITY_AT_ISSU")</f>
        <v>#N/A Requesting Data...</v>
      </c>
      <c r="O1478" t="str">
        <f>_xll.BDP("6457915L Muni","BVAL_MID_YTM")</f>
        <v>#N/A Requesting Data...</v>
      </c>
      <c r="P1478" t="str">
        <f>_xll.BDP("6457915L Muni","MUNI_TAX_PROV")</f>
        <v>#N/A Requesting Data...</v>
      </c>
      <c r="Q1478" t="str">
        <f>_xll.BDP("6457915L Muni","MUNI_FED_TAX")</f>
        <v>#N/A Requesting Data...</v>
      </c>
      <c r="R1478" t="str">
        <f>_xll.BDP("6457915L Muni","MUNI_MSRB_VOLUME")</f>
        <v>#N/A Requesting Data...</v>
      </c>
      <c r="S1478" t="str">
        <f>_xll.BDP("6457915L Muni","BB_COMPOSITE")</f>
        <v>#N/A Requesting Data...</v>
      </c>
      <c r="T1478" t="str">
        <f>_xll.BDP("6457915L Muni","LQA_LIQUIDITY_SCORE")</f>
        <v>#N/A Requesting Data...</v>
      </c>
    </row>
    <row r="1479" spans="1:20" x14ac:dyDescent="0.25">
      <c r="A1479" t="str">
        <f>_xll.BDP("645791V8 Muni","ID_CUSIP")</f>
        <v>#N/A Requesting Data...</v>
      </c>
      <c r="B1479" t="s">
        <v>86</v>
      </c>
      <c r="C1479" t="str">
        <f>_xll.BDP("645791V8 Muni","INSURANCE_STATUS")</f>
        <v>#N/A Requesting Data...</v>
      </c>
      <c r="D1479" t="str">
        <f>_xll.BDP("645791V8 Muni","STATE_CODE")</f>
        <v>#N/A Requesting Data...</v>
      </c>
      <c r="E1479" t="str">
        <f>_xll.BDP("645791V8 Muni","COUNTY_LOCATION_ISSUER")</f>
        <v>#N/A Requesting Data...</v>
      </c>
      <c r="F1479" t="str">
        <f>_xll.BDP("645791V8 Muni","DUR_ADJ_MID")</f>
        <v>#N/A Requesting Data...</v>
      </c>
      <c r="G1479" t="str">
        <f>_xll.BDP("645791V8 Muni","SPREAD_AT_ISSUANCE_TO_WORST")</f>
        <v>#N/A Requesting Data...</v>
      </c>
      <c r="H1479" t="str">
        <f>_xll.BDP("645791V8 Muni","ISSUE_DT")</f>
        <v>#N/A Requesting Data...</v>
      </c>
      <c r="I1479" t="str">
        <f>_xll.BDS("645791V8 Muni","MUNI_PURPOSE_SCHED", "aggregate=y")</f>
        <v>#N/A Review</v>
      </c>
      <c r="J1479" t="str">
        <f>_xll.BDP("645791V8 Muni","CPN")</f>
        <v>#N/A Requesting Data...</v>
      </c>
      <c r="K1479" t="str">
        <f>_xll.BDP("645791V8 Muni","MATURITY")</f>
        <v>#N/A Requesting Data...</v>
      </c>
      <c r="L1479">
        <v>1135000</v>
      </c>
      <c r="M1479" t="str">
        <f>_xll.BDP("645791V8 Muni","YIELD_ON_ISSUE_DATE")</f>
        <v>#N/A Requesting Data...</v>
      </c>
      <c r="N1479" t="str">
        <f>_xll.BDP("645791V8 Muni","YTW_SPREAD_TO_MATURITY_AT_ISSU")</f>
        <v>#N/A Requesting Data...</v>
      </c>
      <c r="O1479" t="str">
        <f>_xll.BDP("645791V8 Muni","BVAL_MID_YTM")</f>
        <v>#N/A Requesting Data...</v>
      </c>
      <c r="P1479" t="str">
        <f>_xll.BDP("645791V8 Muni","MUNI_TAX_PROV")</f>
        <v>#N/A Requesting Data...</v>
      </c>
      <c r="Q1479" t="str">
        <f>_xll.BDP("645791V8 Muni","MUNI_FED_TAX")</f>
        <v>#N/A Requesting Data...</v>
      </c>
      <c r="R1479" t="str">
        <f>_xll.BDP("645791V8 Muni","MUNI_MSRB_VOLUME")</f>
        <v>#N/A Requesting Data...</v>
      </c>
      <c r="S1479" t="str">
        <f>_xll.BDP("645791V8 Muni","BB_COMPOSITE")</f>
        <v>#N/A Requesting Data...</v>
      </c>
      <c r="T1479" t="str">
        <f>_xll.BDP("645791V8 Muni","LQA_LIQUIDITY_SCORE")</f>
        <v>#N/A Requesting Data...</v>
      </c>
    </row>
    <row r="1480" spans="1:20" x14ac:dyDescent="0.25">
      <c r="A1480" t="str">
        <f>_xll.BDP("572500CT Muni","ID_CUSIP")</f>
        <v>#N/A Requesting Data...</v>
      </c>
      <c r="B1480" t="s">
        <v>431</v>
      </c>
      <c r="C1480" t="str">
        <f>_xll.BDP("572500CT Muni","INSURANCE_STATUS")</f>
        <v>#N/A Requesting Data...</v>
      </c>
      <c r="D1480" t="str">
        <f>_xll.BDP("572500CT Muni","STATE_CODE")</f>
        <v>#N/A Requesting Data...</v>
      </c>
      <c r="E1480" t="str">
        <f>_xll.BDP("572500CT Muni","COUNTY_LOCATION_ISSUER")</f>
        <v>#N/A Requesting Data...</v>
      </c>
      <c r="F1480" t="str">
        <f>_xll.BDP("572500CT Muni","DUR_ADJ_MID")</f>
        <v>#N/A Requesting Data...</v>
      </c>
      <c r="G1480" t="str">
        <f>_xll.BDP("572500CT Muni","SPREAD_AT_ISSUANCE_TO_WORST")</f>
        <v>#N/A Requesting Data...</v>
      </c>
      <c r="H1480" t="str">
        <f>_xll.BDP("572500CT Muni","ISSUE_DT")</f>
        <v>#N/A Requesting Data...</v>
      </c>
      <c r="I1480" t="str">
        <f>_xll.BDS("572500CT Muni","MUNI_PURPOSE_SCHED", "aggregate=y")</f>
        <v>#N/A Review</v>
      </c>
      <c r="J1480" t="str">
        <f>_xll.BDP("572500CT Muni","CPN")</f>
        <v>#N/A Requesting Data...</v>
      </c>
      <c r="K1480" t="str">
        <f>_xll.BDP("572500CT Muni","MATURITY")</f>
        <v>#N/A Requesting Data...</v>
      </c>
      <c r="L1480">
        <v>370000</v>
      </c>
      <c r="M1480" t="str">
        <f>_xll.BDP("572500CT Muni","YIELD_ON_ISSUE_DATE")</f>
        <v>#N/A Requesting Data...</v>
      </c>
      <c r="N1480" t="str">
        <f>_xll.BDP("572500CT Muni","YTW_SPREAD_TO_MATURITY_AT_ISSU")</f>
        <v>#N/A Requesting Data...</v>
      </c>
      <c r="O1480" t="str">
        <f>_xll.BDP("572500CT Muni","BVAL_MID_YTM")</f>
        <v>#N/A Requesting Data...</v>
      </c>
      <c r="P1480" t="str">
        <f>_xll.BDP("572500CT Muni","MUNI_TAX_PROV")</f>
        <v>#N/A Requesting Data...</v>
      </c>
      <c r="Q1480" t="str">
        <f>_xll.BDP("572500CT Muni","MUNI_FED_TAX")</f>
        <v>#N/A Requesting Data...</v>
      </c>
      <c r="R1480" t="str">
        <f>_xll.BDP("572500CT Muni","MUNI_MSRB_VOLUME")</f>
        <v>#N/A Requesting Data...</v>
      </c>
      <c r="S1480" t="str">
        <f>_xll.BDP("572500CT Muni","BB_COMPOSITE")</f>
        <v>#N/A Requesting Data...</v>
      </c>
      <c r="T1480" t="str">
        <f>_xll.BDP("572500CT Muni","LQA_LIQUIDITY_SCORE")</f>
        <v>#N/A Requesting Data...</v>
      </c>
    </row>
    <row r="1481" spans="1:20" x14ac:dyDescent="0.25">
      <c r="A1481" t="str">
        <f>_xll.BDP("572835C7 Muni","ID_CUSIP")</f>
        <v>#N/A Requesting Data...</v>
      </c>
      <c r="B1481" t="s">
        <v>94</v>
      </c>
      <c r="C1481" t="str">
        <f>_xll.BDP("572835C7 Muni","INSURANCE_STATUS")</f>
        <v>#N/A Requesting Data...</v>
      </c>
      <c r="D1481" t="str">
        <f>_xll.BDP("572835C7 Muni","STATE_CODE")</f>
        <v>#N/A Requesting Data...</v>
      </c>
      <c r="E1481" t="str">
        <f>_xll.BDP("572835C7 Muni","COUNTY_LOCATION_ISSUER")</f>
        <v>#N/A Requesting Data...</v>
      </c>
      <c r="F1481" t="str">
        <f>_xll.BDP("572835C7 Muni","DUR_ADJ_MID")</f>
        <v>#N/A Requesting Data...</v>
      </c>
      <c r="G1481" t="str">
        <f>_xll.BDP("572835C7 Muni","SPREAD_AT_ISSUANCE_TO_WORST")</f>
        <v>#N/A Requesting Data...</v>
      </c>
      <c r="H1481" t="str">
        <f>_xll.BDP("572835C7 Muni","ISSUE_DT")</f>
        <v>#N/A Requesting Data...</v>
      </c>
      <c r="I1481" t="str">
        <f>_xll.BDS("572835C7 Muni","MUNI_PURPOSE_SCHED", "aggregate=y")</f>
        <v>#N/A Review</v>
      </c>
      <c r="J1481" t="str">
        <f>_xll.BDP("572835C7 Muni","CPN")</f>
        <v>#N/A Requesting Data...</v>
      </c>
      <c r="K1481" t="str">
        <f>_xll.BDP("572835C7 Muni","MATURITY")</f>
        <v>#N/A Requesting Data...</v>
      </c>
      <c r="L1481">
        <v>465000</v>
      </c>
      <c r="M1481" t="str">
        <f>_xll.BDP("572835C7 Muni","YIELD_ON_ISSUE_DATE")</f>
        <v>#N/A Requesting Data...</v>
      </c>
      <c r="N1481" t="str">
        <f>_xll.BDP("572835C7 Muni","YTW_SPREAD_TO_MATURITY_AT_ISSU")</f>
        <v>#N/A Requesting Data...</v>
      </c>
      <c r="O1481" t="str">
        <f>_xll.BDP("572835C7 Muni","BVAL_MID_YTM")</f>
        <v>#N/A Requesting Data...</v>
      </c>
      <c r="P1481" t="str">
        <f>_xll.BDP("572835C7 Muni","MUNI_TAX_PROV")</f>
        <v>#N/A Requesting Data...</v>
      </c>
      <c r="Q1481" t="str">
        <f>_xll.BDP("572835C7 Muni","MUNI_FED_TAX")</f>
        <v>#N/A Requesting Data...</v>
      </c>
      <c r="R1481" t="str">
        <f>_xll.BDP("572835C7 Muni","MUNI_MSRB_VOLUME")</f>
        <v>#N/A Requesting Data...</v>
      </c>
      <c r="S1481" t="str">
        <f>_xll.BDP("572835C7 Muni","BB_COMPOSITE")</f>
        <v>#N/A Requesting Data...</v>
      </c>
      <c r="T1481" t="str">
        <f>_xll.BDP("572835C7 Muni","LQA_LIQUIDITY_SCORE")</f>
        <v>#N/A Requesting Data...</v>
      </c>
    </row>
    <row r="1482" spans="1:20" x14ac:dyDescent="0.25">
      <c r="A1482" t="str">
        <f>_xll.BDP("572835C9 Muni","ID_CUSIP")</f>
        <v>#N/A Requesting Data...</v>
      </c>
      <c r="B1482" t="s">
        <v>94</v>
      </c>
      <c r="C1482" t="str">
        <f>_xll.BDP("572835C9 Muni","INSURANCE_STATUS")</f>
        <v>#N/A Requesting Data...</v>
      </c>
      <c r="D1482" t="str">
        <f>_xll.BDP("572835C9 Muni","STATE_CODE")</f>
        <v>#N/A Requesting Data...</v>
      </c>
      <c r="E1482" t="str">
        <f>_xll.BDP("572835C9 Muni","COUNTY_LOCATION_ISSUER")</f>
        <v>#N/A Requesting Data...</v>
      </c>
      <c r="F1482" t="str">
        <f>_xll.BDP("572835C9 Muni","DUR_ADJ_MID")</f>
        <v>#N/A Requesting Data...</v>
      </c>
      <c r="G1482" t="str">
        <f>_xll.BDP("572835C9 Muni","SPREAD_AT_ISSUANCE_TO_WORST")</f>
        <v>#N/A Requesting Data...</v>
      </c>
      <c r="H1482" t="str">
        <f>_xll.BDP("572835C9 Muni","ISSUE_DT")</f>
        <v>#N/A Requesting Data...</v>
      </c>
      <c r="I1482" t="str">
        <f>_xll.BDS("572835C9 Muni","MUNI_PURPOSE_SCHED", "aggregate=y")</f>
        <v>#N/A Review</v>
      </c>
      <c r="J1482" t="str">
        <f>_xll.BDP("572835C9 Muni","CPN")</f>
        <v>#N/A Requesting Data...</v>
      </c>
      <c r="K1482" t="str">
        <f>_xll.BDP("572835C9 Muni","MATURITY")</f>
        <v>#N/A Requesting Data...</v>
      </c>
      <c r="L1482">
        <v>440000</v>
      </c>
      <c r="M1482" t="str">
        <f>_xll.BDP("572835C9 Muni","YIELD_ON_ISSUE_DATE")</f>
        <v>#N/A Requesting Data...</v>
      </c>
      <c r="N1482" t="str">
        <f>_xll.BDP("572835C9 Muni","YTW_SPREAD_TO_MATURITY_AT_ISSU")</f>
        <v>#N/A Requesting Data...</v>
      </c>
      <c r="O1482" t="str">
        <f>_xll.BDP("572835C9 Muni","BVAL_MID_YTM")</f>
        <v>#N/A Requesting Data...</v>
      </c>
      <c r="P1482" t="str">
        <f>_xll.BDP("572835C9 Muni","MUNI_TAX_PROV")</f>
        <v>#N/A Requesting Data...</v>
      </c>
      <c r="Q1482" t="str">
        <f>_xll.BDP("572835C9 Muni","MUNI_FED_TAX")</f>
        <v>#N/A Requesting Data...</v>
      </c>
      <c r="R1482" t="str">
        <f>_xll.BDP("572835C9 Muni","MUNI_MSRB_VOLUME")</f>
        <v>#N/A Requesting Data...</v>
      </c>
      <c r="S1482" t="str">
        <f>_xll.BDP("572835C9 Muni","BB_COMPOSITE")</f>
        <v>#N/A Requesting Data...</v>
      </c>
      <c r="T1482" t="str">
        <f>_xll.BDP("572835C9 Muni","LQA_LIQUIDITY_SCORE")</f>
        <v>#N/A Requesting Data...</v>
      </c>
    </row>
    <row r="1483" spans="1:20" x14ac:dyDescent="0.25">
      <c r="A1483" t="str">
        <f>_xll.BDP("6457915K Muni","ID_CUSIP")</f>
        <v>#N/A Requesting Data...</v>
      </c>
      <c r="B1483" t="s">
        <v>86</v>
      </c>
      <c r="C1483" t="str">
        <f>_xll.BDP("6457915K Muni","INSURANCE_STATUS")</f>
        <v>#N/A Requesting Data...</v>
      </c>
      <c r="D1483" t="str">
        <f>_xll.BDP("6457915K Muni","STATE_CODE")</f>
        <v>#N/A Requesting Data...</v>
      </c>
      <c r="E1483" t="str">
        <f>_xll.BDP("6457915K Muni","COUNTY_LOCATION_ISSUER")</f>
        <v>#N/A Requesting Data...</v>
      </c>
      <c r="F1483" t="str">
        <f>_xll.BDP("6457915K Muni","DUR_ADJ_MID")</f>
        <v>#N/A Requesting Data...</v>
      </c>
      <c r="G1483" t="str">
        <f>_xll.BDP("6457915K Muni","SPREAD_AT_ISSUANCE_TO_WORST")</f>
        <v>#N/A Requesting Data...</v>
      </c>
      <c r="H1483" t="str">
        <f>_xll.BDP("6457915K Muni","ISSUE_DT")</f>
        <v>#N/A Requesting Data...</v>
      </c>
      <c r="I1483" t="str">
        <f>_xll.BDS("6457915K Muni","MUNI_PURPOSE_SCHED", "aggregate=y")</f>
        <v>#N/A Review</v>
      </c>
      <c r="J1483" t="str">
        <f>_xll.BDP("6457915K Muni","CPN")</f>
        <v>#N/A Requesting Data...</v>
      </c>
      <c r="K1483" t="str">
        <f>_xll.BDP("6457915K Muni","MATURITY")</f>
        <v>#N/A Requesting Data...</v>
      </c>
      <c r="L1483">
        <v>325000</v>
      </c>
      <c r="M1483" t="str">
        <f>_xll.BDP("6457915K Muni","YIELD_ON_ISSUE_DATE")</f>
        <v>#N/A Requesting Data...</v>
      </c>
      <c r="N1483" t="str">
        <f>_xll.BDP("6457915K Muni","YTW_SPREAD_TO_MATURITY_AT_ISSU")</f>
        <v>#N/A Requesting Data...</v>
      </c>
      <c r="O1483" t="str">
        <f>_xll.BDP("6457915K Muni","BVAL_MID_YTM")</f>
        <v>#N/A Requesting Data...</v>
      </c>
      <c r="P1483" t="str">
        <f>_xll.BDP("6457915K Muni","MUNI_TAX_PROV")</f>
        <v>#N/A Requesting Data...</v>
      </c>
      <c r="Q1483" t="str">
        <f>_xll.BDP("6457915K Muni","MUNI_FED_TAX")</f>
        <v>#N/A Requesting Data...</v>
      </c>
      <c r="R1483" t="str">
        <f>_xll.BDP("6457915K Muni","MUNI_MSRB_VOLUME")</f>
        <v>#N/A Requesting Data...</v>
      </c>
      <c r="S1483" t="str">
        <f>_xll.BDP("6457915K Muni","BB_COMPOSITE")</f>
        <v>#N/A Requesting Data...</v>
      </c>
      <c r="T1483" t="str">
        <f>_xll.BDP("6457915K Muni","LQA_LIQUIDITY_SCORE")</f>
        <v>#N/A Requesting Data...</v>
      </c>
    </row>
    <row r="1484" spans="1:20" x14ac:dyDescent="0.25">
      <c r="A1484" t="str">
        <f>_xll.BDP("6457915M Muni","ID_CUSIP")</f>
        <v>#N/A Requesting Data...</v>
      </c>
      <c r="B1484" t="s">
        <v>86</v>
      </c>
      <c r="C1484" t="str">
        <f>_xll.BDP("6457915M Muni","INSURANCE_STATUS")</f>
        <v>#N/A Requesting Data...</v>
      </c>
      <c r="D1484" t="str">
        <f>_xll.BDP("6457915M Muni","STATE_CODE")</f>
        <v>#N/A Requesting Data...</v>
      </c>
      <c r="E1484" t="str">
        <f>_xll.BDP("6457915M Muni","COUNTY_LOCATION_ISSUER")</f>
        <v>#N/A Requesting Data...</v>
      </c>
      <c r="F1484" t="str">
        <f>_xll.BDP("6457915M Muni","DUR_ADJ_MID")</f>
        <v>#N/A Requesting Data...</v>
      </c>
      <c r="G1484" t="str">
        <f>_xll.BDP("6457915M Muni","SPREAD_AT_ISSUANCE_TO_WORST")</f>
        <v>#N/A Requesting Data...</v>
      </c>
      <c r="H1484" t="str">
        <f>_xll.BDP("6457915M Muni","ISSUE_DT")</f>
        <v>#N/A Requesting Data...</v>
      </c>
      <c r="I1484" t="str">
        <f>_xll.BDS("6457915M Muni","MUNI_PURPOSE_SCHED", "aggregate=y")</f>
        <v>#N/A Review</v>
      </c>
      <c r="J1484" t="str">
        <f>_xll.BDP("6457915M Muni","CPN")</f>
        <v>#N/A Requesting Data...</v>
      </c>
      <c r="K1484" t="str">
        <f>_xll.BDP("6457915M Muni","MATURITY")</f>
        <v>#N/A Requesting Data...</v>
      </c>
      <c r="L1484">
        <v>345000</v>
      </c>
      <c r="M1484" t="str">
        <f>_xll.BDP("6457915M Muni","YIELD_ON_ISSUE_DATE")</f>
        <v>#N/A Requesting Data...</v>
      </c>
      <c r="N1484" t="str">
        <f>_xll.BDP("6457915M Muni","YTW_SPREAD_TO_MATURITY_AT_ISSU")</f>
        <v>#N/A Requesting Data...</v>
      </c>
      <c r="O1484" t="str">
        <f>_xll.BDP("6457915M Muni","BVAL_MID_YTM")</f>
        <v>#N/A Requesting Data...</v>
      </c>
      <c r="P1484" t="str">
        <f>_xll.BDP("6457915M Muni","MUNI_TAX_PROV")</f>
        <v>#N/A Requesting Data...</v>
      </c>
      <c r="Q1484" t="str">
        <f>_xll.BDP("6457915M Muni","MUNI_FED_TAX")</f>
        <v>#N/A Requesting Data...</v>
      </c>
      <c r="R1484" t="str">
        <f>_xll.BDP("6457915M Muni","MUNI_MSRB_VOLUME")</f>
        <v>#N/A Requesting Data...</v>
      </c>
      <c r="S1484" t="str">
        <f>_xll.BDP("6457915M Muni","BB_COMPOSITE")</f>
        <v>#N/A Requesting Data...</v>
      </c>
      <c r="T1484" t="str">
        <f>_xll.BDP("6457915M Muni","LQA_LIQUIDITY_SCORE")</f>
        <v>#N/A Requesting Data...</v>
      </c>
    </row>
    <row r="1485" spans="1:20" x14ac:dyDescent="0.25">
      <c r="A1485" t="str">
        <f>_xll.BDP("645791V6 Muni","ID_CUSIP")</f>
        <v>#N/A Requesting Data...</v>
      </c>
      <c r="B1485" t="s">
        <v>86</v>
      </c>
      <c r="C1485" t="str">
        <f>_xll.BDP("645791V6 Muni","INSURANCE_STATUS")</f>
        <v>#N/A Requesting Data...</v>
      </c>
      <c r="D1485" t="str">
        <f>_xll.BDP("645791V6 Muni","STATE_CODE")</f>
        <v>#N/A Requesting Data...</v>
      </c>
      <c r="E1485" t="str">
        <f>_xll.BDP("645791V6 Muni","COUNTY_LOCATION_ISSUER")</f>
        <v>#N/A Requesting Data...</v>
      </c>
      <c r="F1485" t="str">
        <f>_xll.BDP("645791V6 Muni","DUR_ADJ_MID")</f>
        <v>#N/A Requesting Data...</v>
      </c>
      <c r="G1485" t="str">
        <f>_xll.BDP("645791V6 Muni","SPREAD_AT_ISSUANCE_TO_WORST")</f>
        <v>#N/A Requesting Data...</v>
      </c>
      <c r="H1485" t="str">
        <f>_xll.BDP("645791V6 Muni","ISSUE_DT")</f>
        <v>#N/A Requesting Data...</v>
      </c>
      <c r="I1485" t="str">
        <f>_xll.BDS("645791V6 Muni","MUNI_PURPOSE_SCHED", "aggregate=y")</f>
        <v>#N/A Review</v>
      </c>
      <c r="J1485" t="str">
        <f>_xll.BDP("645791V6 Muni","CPN")</f>
        <v>#N/A Requesting Data...</v>
      </c>
      <c r="K1485" t="str">
        <f>_xll.BDP("645791V6 Muni","MATURITY")</f>
        <v>#N/A Requesting Data...</v>
      </c>
      <c r="L1485">
        <v>1030000</v>
      </c>
      <c r="M1485" t="str">
        <f>_xll.BDP("645791V6 Muni","YIELD_ON_ISSUE_DATE")</f>
        <v>#N/A Requesting Data...</v>
      </c>
      <c r="N1485" t="str">
        <f>_xll.BDP("645791V6 Muni","YTW_SPREAD_TO_MATURITY_AT_ISSU")</f>
        <v>#N/A Requesting Data...</v>
      </c>
      <c r="O1485" t="str">
        <f>_xll.BDP("645791V6 Muni","BVAL_MID_YTM")</f>
        <v>#N/A Requesting Data...</v>
      </c>
      <c r="P1485" t="str">
        <f>_xll.BDP("645791V6 Muni","MUNI_TAX_PROV")</f>
        <v>#N/A Requesting Data...</v>
      </c>
      <c r="Q1485" t="str">
        <f>_xll.BDP("645791V6 Muni","MUNI_FED_TAX")</f>
        <v>#N/A Requesting Data...</v>
      </c>
      <c r="R1485" t="str">
        <f>_xll.BDP("645791V6 Muni","MUNI_MSRB_VOLUME")</f>
        <v>#N/A Requesting Data...</v>
      </c>
      <c r="S1485" t="str">
        <f>_xll.BDP("645791V6 Muni","BB_COMPOSITE")</f>
        <v>#N/A Requesting Data...</v>
      </c>
      <c r="T1485" t="str">
        <f>_xll.BDP("645791V6 Muni","LQA_LIQUIDITY_SCORE")</f>
        <v>#N/A Requesting Data...</v>
      </c>
    </row>
    <row r="1486" spans="1:20" x14ac:dyDescent="0.25">
      <c r="A1486" t="str">
        <f>_xll.BDP("645791V9 Muni","ID_CUSIP")</f>
        <v>#N/A Requesting Data...</v>
      </c>
      <c r="B1486" t="s">
        <v>86</v>
      </c>
      <c r="C1486" t="str">
        <f>_xll.BDP("645791V9 Muni","INSURANCE_STATUS")</f>
        <v>#N/A Requesting Data...</v>
      </c>
      <c r="D1486" t="str">
        <f>_xll.BDP("645791V9 Muni","STATE_CODE")</f>
        <v>#N/A Requesting Data...</v>
      </c>
      <c r="E1486" t="str">
        <f>_xll.BDP("645791V9 Muni","COUNTY_LOCATION_ISSUER")</f>
        <v>#N/A Requesting Data...</v>
      </c>
      <c r="F1486" t="str">
        <f>_xll.BDP("645791V9 Muni","DUR_ADJ_MID")</f>
        <v>#N/A Requesting Data...</v>
      </c>
      <c r="G1486" t="str">
        <f>_xll.BDP("645791V9 Muni","SPREAD_AT_ISSUANCE_TO_WORST")</f>
        <v>#N/A Requesting Data...</v>
      </c>
      <c r="H1486" t="str">
        <f>_xll.BDP("645791V9 Muni","ISSUE_DT")</f>
        <v>#N/A Requesting Data...</v>
      </c>
      <c r="I1486" t="str">
        <f>_xll.BDS("645791V9 Muni","MUNI_PURPOSE_SCHED", "aggregate=y")</f>
        <v>#N/A Review</v>
      </c>
      <c r="J1486" t="str">
        <f>_xll.BDP("645791V9 Muni","CPN")</f>
        <v>#N/A Requesting Data...</v>
      </c>
      <c r="K1486" t="str">
        <f>_xll.BDP("645791V9 Muni","MATURITY")</f>
        <v>#N/A Requesting Data...</v>
      </c>
      <c r="L1486">
        <v>1170000</v>
      </c>
      <c r="M1486" t="str">
        <f>_xll.BDP("645791V9 Muni","YIELD_ON_ISSUE_DATE")</f>
        <v>#N/A Requesting Data...</v>
      </c>
      <c r="N1486" t="str">
        <f>_xll.BDP("645791V9 Muni","YTW_SPREAD_TO_MATURITY_AT_ISSU")</f>
        <v>#N/A Requesting Data...</v>
      </c>
      <c r="O1486" t="str">
        <f>_xll.BDP("645791V9 Muni","BVAL_MID_YTM")</f>
        <v>#N/A Requesting Data...</v>
      </c>
      <c r="P1486" t="str">
        <f>_xll.BDP("645791V9 Muni","MUNI_TAX_PROV")</f>
        <v>#N/A Requesting Data...</v>
      </c>
      <c r="Q1486" t="str">
        <f>_xll.BDP("645791V9 Muni","MUNI_FED_TAX")</f>
        <v>#N/A Requesting Data...</v>
      </c>
      <c r="R1486" t="str">
        <f>_xll.BDP("645791V9 Muni","MUNI_MSRB_VOLUME")</f>
        <v>#N/A Requesting Data...</v>
      </c>
      <c r="S1486" t="str">
        <f>_xll.BDP("645791V9 Muni","BB_COMPOSITE")</f>
        <v>#N/A Requesting Data...</v>
      </c>
      <c r="T1486" t="str">
        <f>_xll.BDP("645791V9 Muni","LQA_LIQUIDITY_SCORE")</f>
        <v>#N/A Requesting Data...</v>
      </c>
    </row>
    <row r="1487" spans="1:20" x14ac:dyDescent="0.25">
      <c r="A1487" t="str">
        <f>_xll.BDP("57390EER Muni","ID_CUSIP")</f>
        <v>#N/A Requesting Data...</v>
      </c>
      <c r="B1487" t="s">
        <v>57</v>
      </c>
      <c r="C1487" t="str">
        <f>_xll.BDP("57390EER Muni","INSURANCE_STATUS")</f>
        <v>#N/A Requesting Data...</v>
      </c>
      <c r="D1487" t="str">
        <f>_xll.BDP("57390EER Muni","STATE_CODE")</f>
        <v>#N/A Requesting Data...</v>
      </c>
      <c r="E1487" t="str">
        <f>_xll.BDP("57390EER Muni","COUNTY_LOCATION_ISSUER")</f>
        <v>#N/A Requesting Data...</v>
      </c>
      <c r="F1487" t="str">
        <f>_xll.BDP("57390EER Muni","DUR_ADJ_MID")</f>
        <v>#N/A Requesting Data...</v>
      </c>
      <c r="G1487" t="str">
        <f>_xll.BDP("57390EER Muni","SPREAD_AT_ISSUANCE_TO_WORST")</f>
        <v>#N/A Requesting Data...</v>
      </c>
      <c r="H1487" t="str">
        <f>_xll.BDP("57390EER Muni","ISSUE_DT")</f>
        <v>#N/A Requesting Data...</v>
      </c>
      <c r="I1487" t="str">
        <f>_xll.BDS("57390EER Muni","MUNI_PURPOSE_SCHED", "aggregate=y")</f>
        <v>#N/A Review</v>
      </c>
      <c r="J1487" t="str">
        <f>_xll.BDP("57390EER Muni","CPN")</f>
        <v>#N/A Requesting Data...</v>
      </c>
      <c r="K1487" t="str">
        <f>_xll.BDP("57390EER Muni","MATURITY")</f>
        <v>#N/A Requesting Data...</v>
      </c>
      <c r="L1487">
        <v>1355000</v>
      </c>
      <c r="M1487" t="str">
        <f>_xll.BDP("57390EER Muni","YIELD_ON_ISSUE_DATE")</f>
        <v>#N/A Requesting Data...</v>
      </c>
      <c r="N1487" t="str">
        <f>_xll.BDP("57390EER Muni","YTW_SPREAD_TO_MATURITY_AT_ISSU")</f>
        <v>#N/A Requesting Data...</v>
      </c>
      <c r="O1487" t="str">
        <f>_xll.BDP("57390EER Muni","BVAL_MID_YTM")</f>
        <v>#N/A Requesting Data...</v>
      </c>
      <c r="P1487" t="str">
        <f>_xll.BDP("57390EER Muni","MUNI_TAX_PROV")</f>
        <v>#N/A Requesting Data...</v>
      </c>
      <c r="Q1487" t="str">
        <f>_xll.BDP("57390EER Muni","MUNI_FED_TAX")</f>
        <v>#N/A Requesting Data...</v>
      </c>
      <c r="R1487" t="str">
        <f>_xll.BDP("57390EER Muni","MUNI_MSRB_VOLUME")</f>
        <v>#N/A Requesting Data...</v>
      </c>
      <c r="S1487" t="str">
        <f>_xll.BDP("57390EER Muni","BB_COMPOSITE")</f>
        <v>#N/A Requesting Data...</v>
      </c>
      <c r="T1487" t="str">
        <f>_xll.BDP("57390EER Muni","LQA_LIQUIDITY_SCORE")</f>
        <v>#N/A Requesting Data...</v>
      </c>
    </row>
    <row r="1488" spans="1:20" x14ac:dyDescent="0.25">
      <c r="A1488" t="str">
        <f>_xll.BDP("57390EES Muni","ID_CUSIP")</f>
        <v>#N/A Requesting Data...</v>
      </c>
      <c r="B1488" t="s">
        <v>57</v>
      </c>
      <c r="C1488" t="str">
        <f>_xll.BDP("57390EES Muni","INSURANCE_STATUS")</f>
        <v>#N/A Requesting Data...</v>
      </c>
      <c r="D1488" t="str">
        <f>_xll.BDP("57390EES Muni","STATE_CODE")</f>
        <v>#N/A Requesting Data...</v>
      </c>
      <c r="E1488" t="str">
        <f>_xll.BDP("57390EES Muni","COUNTY_LOCATION_ISSUER")</f>
        <v>#N/A Requesting Data...</v>
      </c>
      <c r="F1488" t="str">
        <f>_xll.BDP("57390EES Muni","DUR_ADJ_MID")</f>
        <v>#N/A Requesting Data...</v>
      </c>
      <c r="G1488" t="str">
        <f>_xll.BDP("57390EES Muni","SPREAD_AT_ISSUANCE_TO_WORST")</f>
        <v>#N/A Requesting Data...</v>
      </c>
      <c r="H1488" t="str">
        <f>_xll.BDP("57390EES Muni","ISSUE_DT")</f>
        <v>#N/A Requesting Data...</v>
      </c>
      <c r="I1488" t="str">
        <f>_xll.BDS("57390EES Muni","MUNI_PURPOSE_SCHED", "aggregate=y")</f>
        <v>#N/A Review</v>
      </c>
      <c r="J1488" t="str">
        <f>_xll.BDP("57390EES Muni","CPN")</f>
        <v>#N/A Requesting Data...</v>
      </c>
      <c r="K1488" t="str">
        <f>_xll.BDP("57390EES Muni","MATURITY")</f>
        <v>#N/A Requesting Data...</v>
      </c>
      <c r="L1488">
        <v>1420000</v>
      </c>
      <c r="M1488" t="str">
        <f>_xll.BDP("57390EES Muni","YIELD_ON_ISSUE_DATE")</f>
        <v>#N/A Requesting Data...</v>
      </c>
      <c r="N1488" t="str">
        <f>_xll.BDP("57390EES Muni","YTW_SPREAD_TO_MATURITY_AT_ISSU")</f>
        <v>#N/A Requesting Data...</v>
      </c>
      <c r="O1488" t="str">
        <f>_xll.BDP("57390EES Muni","BVAL_MID_YTM")</f>
        <v>#N/A Requesting Data...</v>
      </c>
      <c r="P1488" t="str">
        <f>_xll.BDP("57390EES Muni","MUNI_TAX_PROV")</f>
        <v>#N/A Requesting Data...</v>
      </c>
      <c r="Q1488" t="str">
        <f>_xll.BDP("57390EES Muni","MUNI_FED_TAX")</f>
        <v>#N/A Requesting Data...</v>
      </c>
      <c r="R1488" t="str">
        <f>_xll.BDP("57390EES Muni","MUNI_MSRB_VOLUME")</f>
        <v>#N/A Requesting Data...</v>
      </c>
      <c r="S1488" t="str">
        <f>_xll.BDP("57390EES Muni","BB_COMPOSITE")</f>
        <v>#N/A Requesting Data...</v>
      </c>
      <c r="T1488" t="str">
        <f>_xll.BDP("57390EES Muni","LQA_LIQUIDITY_SCORE")</f>
        <v>#N/A Requesting Data...</v>
      </c>
    </row>
    <row r="1489" spans="1:20" x14ac:dyDescent="0.25">
      <c r="A1489" t="str">
        <f>_xll.BDP("537095RW Muni","ID_CUSIP")</f>
        <v>#N/A Requesting Data...</v>
      </c>
      <c r="B1489" t="s">
        <v>466</v>
      </c>
      <c r="C1489" t="str">
        <f>_xll.BDP("537095RW Muni","INSURANCE_STATUS")</f>
        <v>#N/A Requesting Data...</v>
      </c>
      <c r="D1489" t="str">
        <f>_xll.BDP("537095RW Muni","STATE_CODE")</f>
        <v>#N/A Requesting Data...</v>
      </c>
      <c r="E1489" t="str">
        <f>_xll.BDP("537095RW Muni","COUNTY_LOCATION_ISSUER")</f>
        <v>#N/A Requesting Data...</v>
      </c>
      <c r="F1489" t="str">
        <f>_xll.BDP("537095RW Muni","DUR_ADJ_MID")</f>
        <v>#N/A Requesting Data...</v>
      </c>
      <c r="G1489" t="str">
        <f>_xll.BDP("537095RW Muni","SPREAD_AT_ISSUANCE_TO_WORST")</f>
        <v>#N/A Requesting Data...</v>
      </c>
      <c r="H1489" t="str">
        <f>_xll.BDP("537095RW Muni","ISSUE_DT")</f>
        <v>#N/A Requesting Data...</v>
      </c>
      <c r="I1489" t="str">
        <f>_xll.BDS("537095RW Muni","MUNI_PURPOSE_SCHED", "aggregate=y")</f>
        <v>#N/A Review</v>
      </c>
      <c r="J1489" t="str">
        <f>_xll.BDP("537095RW Muni","CPN")</f>
        <v>#N/A Requesting Data...</v>
      </c>
      <c r="K1489" t="str">
        <f>_xll.BDP("537095RW Muni","MATURITY")</f>
        <v>#N/A Requesting Data...</v>
      </c>
      <c r="L1489">
        <v>345000</v>
      </c>
      <c r="M1489" t="str">
        <f>_xll.BDP("537095RW Muni","YIELD_ON_ISSUE_DATE")</f>
        <v>#N/A Requesting Data...</v>
      </c>
      <c r="N1489" t="str">
        <f>_xll.BDP("537095RW Muni","YTW_SPREAD_TO_MATURITY_AT_ISSU")</f>
        <v>#N/A Requesting Data...</v>
      </c>
      <c r="O1489" t="str">
        <f>_xll.BDP("537095RW Muni","BVAL_MID_YTM")</f>
        <v>#N/A Requesting Data...</v>
      </c>
      <c r="P1489" t="str">
        <f>_xll.BDP("537095RW Muni","MUNI_TAX_PROV")</f>
        <v>#N/A Requesting Data...</v>
      </c>
      <c r="Q1489" t="str">
        <f>_xll.BDP("537095RW Muni","MUNI_FED_TAX")</f>
        <v>#N/A Requesting Data...</v>
      </c>
      <c r="R1489" t="str">
        <f>_xll.BDP("537095RW Muni","MUNI_MSRB_VOLUME")</f>
        <v>#N/A Requesting Data...</v>
      </c>
      <c r="S1489" t="str">
        <f>_xll.BDP("537095RW Muni","BB_COMPOSITE")</f>
        <v>#N/A Requesting Data...</v>
      </c>
      <c r="T1489" t="str">
        <f>_xll.BDP("537095RW Muni","LQA_LIQUIDITY_SCORE")</f>
        <v>#N/A Requesting Data...</v>
      </c>
    </row>
    <row r="1490" spans="1:20" x14ac:dyDescent="0.25">
      <c r="A1490" t="str">
        <f>_xll.BDP("537095RY Muni","ID_CUSIP")</f>
        <v>#N/A Requesting Data...</v>
      </c>
      <c r="B1490" t="s">
        <v>466</v>
      </c>
      <c r="C1490" t="str">
        <f>_xll.BDP("537095RY Muni","INSURANCE_STATUS")</f>
        <v>#N/A Requesting Data...</v>
      </c>
      <c r="D1490" t="str">
        <f>_xll.BDP("537095RY Muni","STATE_CODE")</f>
        <v>#N/A Requesting Data...</v>
      </c>
      <c r="E1490" t="str">
        <f>_xll.BDP("537095RY Muni","COUNTY_LOCATION_ISSUER")</f>
        <v>#N/A Requesting Data...</v>
      </c>
      <c r="F1490" t="str">
        <f>_xll.BDP("537095RY Muni","DUR_ADJ_MID")</f>
        <v>#N/A Requesting Data...</v>
      </c>
      <c r="G1490" t="str">
        <f>_xll.BDP("537095RY Muni","SPREAD_AT_ISSUANCE_TO_WORST")</f>
        <v>#N/A Requesting Data...</v>
      </c>
      <c r="H1490" t="str">
        <f>_xll.BDP("537095RY Muni","ISSUE_DT")</f>
        <v>#N/A Requesting Data...</v>
      </c>
      <c r="I1490" t="str">
        <f>_xll.BDS("537095RY Muni","MUNI_PURPOSE_SCHED", "aggregate=y")</f>
        <v>#N/A Review</v>
      </c>
      <c r="J1490" t="str">
        <f>_xll.BDP("537095RY Muni","CPN")</f>
        <v>#N/A Requesting Data...</v>
      </c>
      <c r="K1490" t="str">
        <f>_xll.BDP("537095RY Muni","MATURITY")</f>
        <v>#N/A Requesting Data...</v>
      </c>
      <c r="L1490">
        <v>375000</v>
      </c>
      <c r="M1490" t="str">
        <f>_xll.BDP("537095RY Muni","YIELD_ON_ISSUE_DATE")</f>
        <v>#N/A Requesting Data...</v>
      </c>
      <c r="N1490" t="str">
        <f>_xll.BDP("537095RY Muni","YTW_SPREAD_TO_MATURITY_AT_ISSU")</f>
        <v>#N/A Requesting Data...</v>
      </c>
      <c r="O1490" t="str">
        <f>_xll.BDP("537095RY Muni","BVAL_MID_YTM")</f>
        <v>#N/A Requesting Data...</v>
      </c>
      <c r="P1490" t="str">
        <f>_xll.BDP("537095RY Muni","MUNI_TAX_PROV")</f>
        <v>#N/A Requesting Data...</v>
      </c>
      <c r="Q1490" t="str">
        <f>_xll.BDP("537095RY Muni","MUNI_FED_TAX")</f>
        <v>#N/A Requesting Data...</v>
      </c>
      <c r="R1490" t="str">
        <f>_xll.BDP("537095RY Muni","MUNI_MSRB_VOLUME")</f>
        <v>#N/A Requesting Data...</v>
      </c>
      <c r="S1490" t="str">
        <f>_xll.BDP("537095RY Muni","BB_COMPOSITE")</f>
        <v>#N/A Requesting Data...</v>
      </c>
      <c r="T1490" t="str">
        <f>_xll.BDP("537095RY Muni","LQA_LIQUIDITY_SCORE")</f>
        <v>#N/A Requesting Data...</v>
      </c>
    </row>
    <row r="1491" spans="1:20" x14ac:dyDescent="0.25">
      <c r="A1491" t="str">
        <f>_xll.BDP("517039TG Muni","ID_CUSIP")</f>
        <v>#N/A Requesting Data...</v>
      </c>
      <c r="B1491" t="s">
        <v>66</v>
      </c>
      <c r="C1491" t="str">
        <f>_xll.BDP("517039TG Muni","INSURANCE_STATUS")</f>
        <v>#N/A Requesting Data...</v>
      </c>
      <c r="D1491" t="str">
        <f>_xll.BDP("517039TG Muni","STATE_CODE")</f>
        <v>#N/A Requesting Data...</v>
      </c>
      <c r="E1491" t="str">
        <f>_xll.BDP("517039TG Muni","COUNTY_LOCATION_ISSUER")</f>
        <v>#N/A Requesting Data...</v>
      </c>
      <c r="F1491" t="str">
        <f>_xll.BDP("517039TG Muni","DUR_ADJ_MID")</f>
        <v>#N/A Requesting Data...</v>
      </c>
      <c r="G1491" t="str">
        <f>_xll.BDP("517039TG Muni","SPREAD_AT_ISSUANCE_TO_WORST")</f>
        <v>#N/A Requesting Data...</v>
      </c>
      <c r="H1491" t="str">
        <f>_xll.BDP("517039TG Muni","ISSUE_DT")</f>
        <v>#N/A Requesting Data...</v>
      </c>
      <c r="I1491" t="str">
        <f>_xll.BDS("517039TG Muni","MUNI_PURPOSE_SCHED", "aggregate=y")</f>
        <v>#N/A Review</v>
      </c>
      <c r="J1491" t="str">
        <f>_xll.BDP("517039TG Muni","CPN")</f>
        <v>#N/A Requesting Data...</v>
      </c>
      <c r="K1491" t="str">
        <f>_xll.BDP("517039TG Muni","MATURITY")</f>
        <v>#N/A Requesting Data...</v>
      </c>
      <c r="L1491">
        <v>1685000</v>
      </c>
      <c r="M1491" t="str">
        <f>_xll.BDP("517039TG Muni","YIELD_ON_ISSUE_DATE")</f>
        <v>#N/A Requesting Data...</v>
      </c>
      <c r="N1491" t="str">
        <f>_xll.BDP("517039TG Muni","YTW_SPREAD_TO_MATURITY_AT_ISSU")</f>
        <v>#N/A Requesting Data...</v>
      </c>
      <c r="O1491" t="str">
        <f>_xll.BDP("517039TG Muni","BVAL_MID_YTM")</f>
        <v>#N/A Requesting Data...</v>
      </c>
      <c r="P1491" t="str">
        <f>_xll.BDP("517039TG Muni","MUNI_TAX_PROV")</f>
        <v>#N/A Requesting Data...</v>
      </c>
      <c r="Q1491" t="str">
        <f>_xll.BDP("517039TG Muni","MUNI_FED_TAX")</f>
        <v>#N/A Requesting Data...</v>
      </c>
      <c r="R1491" t="str">
        <f>_xll.BDP("517039TG Muni","MUNI_MSRB_VOLUME")</f>
        <v>#N/A Requesting Data...</v>
      </c>
      <c r="S1491" t="str">
        <f>_xll.BDP("517039TG Muni","BB_COMPOSITE")</f>
        <v>#N/A Requesting Data...</v>
      </c>
      <c r="T1491" t="str">
        <f>_xll.BDP("517039TG Muni","LQA_LIQUIDITY_SCORE")</f>
        <v>#N/A Requesting Data...</v>
      </c>
    </row>
    <row r="1492" spans="1:20" x14ac:dyDescent="0.25">
      <c r="A1492" t="str">
        <f>_xll.BDP("517496GG Muni","ID_CUSIP")</f>
        <v>#N/A Requesting Data...</v>
      </c>
      <c r="B1492" t="s">
        <v>467</v>
      </c>
      <c r="C1492" t="str">
        <f>_xll.BDP("517496GG Muni","INSURANCE_STATUS")</f>
        <v>#N/A Requesting Data...</v>
      </c>
      <c r="D1492" t="str">
        <f>_xll.BDP("517496GG Muni","STATE_CODE")</f>
        <v>#N/A Requesting Data...</v>
      </c>
      <c r="E1492" t="str">
        <f>_xll.BDP("517496GG Muni","COUNTY_LOCATION_ISSUER")</f>
        <v>#N/A Requesting Data...</v>
      </c>
      <c r="F1492" t="str">
        <f>_xll.BDP("517496GG Muni","DUR_ADJ_MID")</f>
        <v>#N/A Requesting Data...</v>
      </c>
      <c r="G1492" t="str">
        <f>_xll.BDP("517496GG Muni","SPREAD_AT_ISSUANCE_TO_WORST")</f>
        <v>#N/A Requesting Data...</v>
      </c>
      <c r="H1492" t="str">
        <f>_xll.BDP("517496GG Muni","ISSUE_DT")</f>
        <v>#N/A Requesting Data...</v>
      </c>
      <c r="I1492" t="str">
        <f>_xll.BDS("517496GG Muni","MUNI_PURPOSE_SCHED", "aggregate=y")</f>
        <v>#N/A Review</v>
      </c>
      <c r="J1492" t="str">
        <f>_xll.BDP("517496GG Muni","CPN")</f>
        <v>#N/A Requesting Data...</v>
      </c>
      <c r="K1492" t="str">
        <f>_xll.BDP("517496GG Muni","MATURITY")</f>
        <v>#N/A Requesting Data...</v>
      </c>
      <c r="L1492">
        <v>760000</v>
      </c>
      <c r="M1492" t="str">
        <f>_xll.BDP("517496GG Muni","YIELD_ON_ISSUE_DATE")</f>
        <v>#N/A Requesting Data...</v>
      </c>
      <c r="N1492" t="str">
        <f>_xll.BDP("517496GG Muni","YTW_SPREAD_TO_MATURITY_AT_ISSU")</f>
        <v>#N/A Requesting Data...</v>
      </c>
      <c r="O1492" t="str">
        <f>_xll.BDP("517496GG Muni","BVAL_MID_YTM")</f>
        <v>#N/A Requesting Data...</v>
      </c>
      <c r="P1492" t="str">
        <f>_xll.BDP("517496GG Muni","MUNI_TAX_PROV")</f>
        <v>#N/A Requesting Data...</v>
      </c>
      <c r="Q1492" t="str">
        <f>_xll.BDP("517496GG Muni","MUNI_FED_TAX")</f>
        <v>#N/A Requesting Data...</v>
      </c>
      <c r="R1492" t="str">
        <f>_xll.BDP("517496GG Muni","MUNI_MSRB_VOLUME")</f>
        <v>#N/A Requesting Data...</v>
      </c>
      <c r="S1492" t="str">
        <f>_xll.BDP("517496GG Muni","BB_COMPOSITE")</f>
        <v>#N/A Requesting Data...</v>
      </c>
      <c r="T1492" t="str">
        <f>_xll.BDP("517496GG Muni","LQA_LIQUIDITY_SCORE")</f>
        <v>#N/A Requesting Data...</v>
      </c>
    </row>
    <row r="1493" spans="1:20" x14ac:dyDescent="0.25">
      <c r="A1493" t="str">
        <f>_xll.BDP("517845AJ Muni","ID_CUSIP")</f>
        <v>#N/A Requesting Data...</v>
      </c>
      <c r="B1493" t="s">
        <v>33</v>
      </c>
      <c r="C1493" t="str">
        <f>_xll.BDP("517845AJ Muni","INSURANCE_STATUS")</f>
        <v>#N/A Requesting Data...</v>
      </c>
      <c r="D1493" t="str">
        <f>_xll.BDP("517845AJ Muni","STATE_CODE")</f>
        <v>#N/A Requesting Data...</v>
      </c>
      <c r="E1493" t="str">
        <f>_xll.BDP("517845AJ Muni","COUNTY_LOCATION_ISSUER")</f>
        <v>#N/A Requesting Data...</v>
      </c>
      <c r="F1493" t="str">
        <f>_xll.BDP("517845AJ Muni","DUR_ADJ_MID")</f>
        <v>#N/A Requesting Data...</v>
      </c>
      <c r="G1493" t="str">
        <f>_xll.BDP("517845AJ Muni","SPREAD_AT_ISSUANCE_TO_WORST")</f>
        <v>#N/A Requesting Data...</v>
      </c>
      <c r="H1493" t="str">
        <f>_xll.BDP("517845AJ Muni","ISSUE_DT")</f>
        <v>#N/A Requesting Data...</v>
      </c>
      <c r="I1493" t="str">
        <f>_xll.BDS("517845AJ Muni","MUNI_PURPOSE_SCHED", "aggregate=y")</f>
        <v>#N/A Review</v>
      </c>
      <c r="J1493" t="str">
        <f>_xll.BDP("517845AJ Muni","CPN")</f>
        <v>#N/A Requesting Data...</v>
      </c>
      <c r="K1493" t="str">
        <f>_xll.BDP("517845AJ Muni","MATURITY")</f>
        <v>#N/A Requesting Data...</v>
      </c>
      <c r="L1493">
        <v>9600000</v>
      </c>
      <c r="M1493" t="str">
        <f>_xll.BDP("517845AJ Muni","YIELD_ON_ISSUE_DATE")</f>
        <v>#N/A Requesting Data...</v>
      </c>
      <c r="N1493" t="str">
        <f>_xll.BDP("517845AJ Muni","YTW_SPREAD_TO_MATURITY_AT_ISSU")</f>
        <v>#N/A Requesting Data...</v>
      </c>
      <c r="O1493" t="str">
        <f>_xll.BDP("517845AJ Muni","BVAL_MID_YTM")</f>
        <v>#N/A Requesting Data...</v>
      </c>
      <c r="P1493" t="str">
        <f>_xll.BDP("517845AJ Muni","MUNI_TAX_PROV")</f>
        <v>#N/A Requesting Data...</v>
      </c>
      <c r="Q1493" t="str">
        <f>_xll.BDP("517845AJ Muni","MUNI_FED_TAX")</f>
        <v>#N/A Requesting Data...</v>
      </c>
      <c r="R1493" t="str">
        <f>_xll.BDP("517845AJ Muni","MUNI_MSRB_VOLUME")</f>
        <v>#N/A Requesting Data...</v>
      </c>
      <c r="S1493" t="str">
        <f>_xll.BDP("517845AJ Muni","BB_COMPOSITE")</f>
        <v>#N/A Requesting Data...</v>
      </c>
      <c r="T1493" t="str">
        <f>_xll.BDP("517845AJ Muni","LQA_LIQUIDITY_SCORE")</f>
        <v>#N/A Requesting Data...</v>
      </c>
    </row>
    <row r="1494" spans="1:20" x14ac:dyDescent="0.25">
      <c r="A1494" t="str">
        <f>_xll.BDP("517845AK Muni","ID_CUSIP")</f>
        <v>#N/A Requesting Data...</v>
      </c>
      <c r="B1494" t="s">
        <v>33</v>
      </c>
      <c r="C1494" t="str">
        <f>_xll.BDP("517845AK Muni","INSURANCE_STATUS")</f>
        <v>#N/A Requesting Data...</v>
      </c>
      <c r="D1494" t="str">
        <f>_xll.BDP("517845AK Muni","STATE_CODE")</f>
        <v>#N/A Requesting Data...</v>
      </c>
      <c r="E1494" t="str">
        <f>_xll.BDP("517845AK Muni","COUNTY_LOCATION_ISSUER")</f>
        <v>#N/A Requesting Data...</v>
      </c>
      <c r="F1494" t="str">
        <f>_xll.BDP("517845AK Muni","DUR_ADJ_MID")</f>
        <v>#N/A Requesting Data...</v>
      </c>
      <c r="G1494" t="str">
        <f>_xll.BDP("517845AK Muni","SPREAD_AT_ISSUANCE_TO_WORST")</f>
        <v>#N/A Requesting Data...</v>
      </c>
      <c r="H1494" t="str">
        <f>_xll.BDP("517845AK Muni","ISSUE_DT")</f>
        <v>#N/A Requesting Data...</v>
      </c>
      <c r="I1494" t="str">
        <f>_xll.BDS("517845AK Muni","MUNI_PURPOSE_SCHED", "aggregate=y")</f>
        <v>#N/A Review</v>
      </c>
      <c r="J1494" t="str">
        <f>_xll.BDP("517845AK Muni","CPN")</f>
        <v>#N/A Requesting Data...</v>
      </c>
      <c r="K1494" t="str">
        <f>_xll.BDP("517845AK Muni","MATURITY")</f>
        <v>#N/A Requesting Data...</v>
      </c>
      <c r="L1494">
        <v>1610000</v>
      </c>
      <c r="M1494" t="str">
        <f>_xll.BDP("517845AK Muni","YIELD_ON_ISSUE_DATE")</f>
        <v>#N/A Requesting Data...</v>
      </c>
      <c r="N1494" t="str">
        <f>_xll.BDP("517845AK Muni","YTW_SPREAD_TO_MATURITY_AT_ISSU")</f>
        <v>#N/A Requesting Data...</v>
      </c>
      <c r="O1494" t="str">
        <f>_xll.BDP("517845AK Muni","BVAL_MID_YTM")</f>
        <v>#N/A Requesting Data...</v>
      </c>
      <c r="P1494" t="str">
        <f>_xll.BDP("517845AK Muni","MUNI_TAX_PROV")</f>
        <v>#N/A Requesting Data...</v>
      </c>
      <c r="Q1494" t="str">
        <f>_xll.BDP("517845AK Muni","MUNI_FED_TAX")</f>
        <v>#N/A Requesting Data...</v>
      </c>
      <c r="R1494" t="str">
        <f>_xll.BDP("517845AK Muni","MUNI_MSRB_VOLUME")</f>
        <v>#N/A Requesting Data...</v>
      </c>
      <c r="S1494" t="str">
        <f>_xll.BDP("517845AK Muni","BB_COMPOSITE")</f>
        <v>#N/A Requesting Data...</v>
      </c>
      <c r="T1494" t="str">
        <f>_xll.BDP("517845AK Muni","LQA_LIQUIDITY_SCORE")</f>
        <v>#N/A Requesting Data...</v>
      </c>
    </row>
    <row r="1495" spans="1:20" x14ac:dyDescent="0.25">
      <c r="A1495" t="str">
        <f>_xll.BDP("520192PD Muni","ID_CUSIP")</f>
        <v>#N/A Requesting Data...</v>
      </c>
      <c r="B1495" t="s">
        <v>468</v>
      </c>
      <c r="C1495" t="str">
        <f>_xll.BDP("520192PD Muni","INSURANCE_STATUS")</f>
        <v>#N/A Requesting Data...</v>
      </c>
      <c r="D1495" t="str">
        <f>_xll.BDP("520192PD Muni","STATE_CODE")</f>
        <v>#N/A Requesting Data...</v>
      </c>
      <c r="E1495" t="str">
        <f>_xll.BDP("520192PD Muni","COUNTY_LOCATION_ISSUER")</f>
        <v>#N/A Requesting Data...</v>
      </c>
      <c r="F1495" t="str">
        <f>_xll.BDP("520192PD Muni","DUR_ADJ_MID")</f>
        <v>#N/A Requesting Data...</v>
      </c>
      <c r="G1495" t="str">
        <f>_xll.BDP("520192PD Muni","SPREAD_AT_ISSUANCE_TO_WORST")</f>
        <v>#N/A Requesting Data...</v>
      </c>
      <c r="H1495" t="str">
        <f>_xll.BDP("520192PD Muni","ISSUE_DT")</f>
        <v>#N/A Requesting Data...</v>
      </c>
      <c r="I1495" t="str">
        <f>_xll.BDS("520192PD Muni","MUNI_PURPOSE_SCHED", "aggregate=y")</f>
        <v>#N/A Review</v>
      </c>
      <c r="J1495" t="str">
        <f>_xll.BDP("520192PD Muni","CPN")</f>
        <v>#N/A Requesting Data...</v>
      </c>
      <c r="K1495" t="str">
        <f>_xll.BDP("520192PD Muni","MATURITY")</f>
        <v>#N/A Requesting Data...</v>
      </c>
      <c r="L1495">
        <v>2670000</v>
      </c>
      <c r="M1495" t="str">
        <f>_xll.BDP("520192PD Muni","YIELD_ON_ISSUE_DATE")</f>
        <v>#N/A Requesting Data...</v>
      </c>
      <c r="N1495" t="str">
        <f>_xll.BDP("520192PD Muni","YTW_SPREAD_TO_MATURITY_AT_ISSU")</f>
        <v>#N/A Requesting Data...</v>
      </c>
      <c r="O1495" t="str">
        <f>_xll.BDP("520192PD Muni","BVAL_MID_YTM")</f>
        <v>#N/A Requesting Data...</v>
      </c>
      <c r="P1495" t="str">
        <f>_xll.BDP("520192PD Muni","MUNI_TAX_PROV")</f>
        <v>#N/A Requesting Data...</v>
      </c>
      <c r="Q1495" t="str">
        <f>_xll.BDP("520192PD Muni","MUNI_FED_TAX")</f>
        <v>#N/A Requesting Data...</v>
      </c>
      <c r="R1495" t="str">
        <f>_xll.BDP("520192PD Muni","MUNI_MSRB_VOLUME")</f>
        <v>#N/A Requesting Data...</v>
      </c>
      <c r="S1495" t="str">
        <f>_xll.BDP("520192PD Muni","BB_COMPOSITE")</f>
        <v>#N/A Requesting Data...</v>
      </c>
      <c r="T1495" t="str">
        <f>_xll.BDP("520192PD Muni","LQA_LIQUIDITY_SCORE")</f>
        <v>#N/A Requesting Data...</v>
      </c>
    </row>
    <row r="1496" spans="1:20" x14ac:dyDescent="0.25">
      <c r="A1496" t="str">
        <f>_xll.BDP("520192PE Muni","ID_CUSIP")</f>
        <v>#N/A Requesting Data...</v>
      </c>
      <c r="B1496" t="s">
        <v>468</v>
      </c>
      <c r="C1496" t="str">
        <f>_xll.BDP("520192PE Muni","INSURANCE_STATUS")</f>
        <v>#N/A Requesting Data...</v>
      </c>
      <c r="D1496" t="str">
        <f>_xll.BDP("520192PE Muni","STATE_CODE")</f>
        <v>#N/A Requesting Data...</v>
      </c>
      <c r="E1496" t="str">
        <f>_xll.BDP("520192PE Muni","COUNTY_LOCATION_ISSUER")</f>
        <v>#N/A Requesting Data...</v>
      </c>
      <c r="F1496" t="str">
        <f>_xll.BDP("520192PE Muni","DUR_ADJ_MID")</f>
        <v>#N/A Requesting Data...</v>
      </c>
      <c r="G1496" t="str">
        <f>_xll.BDP("520192PE Muni","SPREAD_AT_ISSUANCE_TO_WORST")</f>
        <v>#N/A Requesting Data...</v>
      </c>
      <c r="H1496" t="str">
        <f>_xll.BDP("520192PE Muni","ISSUE_DT")</f>
        <v>#N/A Requesting Data...</v>
      </c>
      <c r="I1496" t="str">
        <f>_xll.BDS("520192PE Muni","MUNI_PURPOSE_SCHED", "aggregate=y")</f>
        <v>#N/A Review</v>
      </c>
      <c r="J1496" t="str">
        <f>_xll.BDP("520192PE Muni","CPN")</f>
        <v>#N/A Requesting Data...</v>
      </c>
      <c r="K1496" t="str">
        <f>_xll.BDP("520192PE Muni","MATURITY")</f>
        <v>#N/A Requesting Data...</v>
      </c>
      <c r="L1496">
        <v>2805000</v>
      </c>
      <c r="M1496" t="str">
        <f>_xll.BDP("520192PE Muni","YIELD_ON_ISSUE_DATE")</f>
        <v>#N/A Requesting Data...</v>
      </c>
      <c r="N1496" t="str">
        <f>_xll.BDP("520192PE Muni","YTW_SPREAD_TO_MATURITY_AT_ISSU")</f>
        <v>#N/A Requesting Data...</v>
      </c>
      <c r="O1496" t="str">
        <f>_xll.BDP("520192PE Muni","BVAL_MID_YTM")</f>
        <v>#N/A Requesting Data...</v>
      </c>
      <c r="P1496" t="str">
        <f>_xll.BDP("520192PE Muni","MUNI_TAX_PROV")</f>
        <v>#N/A Requesting Data...</v>
      </c>
      <c r="Q1496" t="str">
        <f>_xll.BDP("520192PE Muni","MUNI_FED_TAX")</f>
        <v>#N/A Requesting Data...</v>
      </c>
      <c r="R1496" t="str">
        <f>_xll.BDP("520192PE Muni","MUNI_MSRB_VOLUME")</f>
        <v>#N/A Requesting Data...</v>
      </c>
      <c r="S1496" t="str">
        <f>_xll.BDP("520192PE Muni","BB_COMPOSITE")</f>
        <v>#N/A Requesting Data...</v>
      </c>
      <c r="T1496" t="str">
        <f>_xll.BDP("520192PE Muni","LQA_LIQUIDITY_SCORE")</f>
        <v>#N/A Requesting Data...</v>
      </c>
    </row>
    <row r="1497" spans="1:20" x14ac:dyDescent="0.25">
      <c r="A1497" t="str">
        <f>_xll.BDP("520192PF Muni","ID_CUSIP")</f>
        <v>#N/A Requesting Data...</v>
      </c>
      <c r="B1497" t="s">
        <v>468</v>
      </c>
      <c r="C1497" t="str">
        <f>_xll.BDP("520192PF Muni","INSURANCE_STATUS")</f>
        <v>#N/A Requesting Data...</v>
      </c>
      <c r="D1497" t="str">
        <f>_xll.BDP("520192PF Muni","STATE_CODE")</f>
        <v>#N/A Requesting Data...</v>
      </c>
      <c r="E1497" t="str">
        <f>_xll.BDP("520192PF Muni","COUNTY_LOCATION_ISSUER")</f>
        <v>#N/A Requesting Data...</v>
      </c>
      <c r="F1497" t="str">
        <f>_xll.BDP("520192PF Muni","DUR_ADJ_MID")</f>
        <v>#N/A Requesting Data...</v>
      </c>
      <c r="G1497" t="str">
        <f>_xll.BDP("520192PF Muni","SPREAD_AT_ISSUANCE_TO_WORST")</f>
        <v>#N/A Requesting Data...</v>
      </c>
      <c r="H1497" t="str">
        <f>_xll.BDP("520192PF Muni","ISSUE_DT")</f>
        <v>#N/A Requesting Data...</v>
      </c>
      <c r="I1497" t="str">
        <f>_xll.BDS("520192PF Muni","MUNI_PURPOSE_SCHED", "aggregate=y")</f>
        <v>#N/A Review</v>
      </c>
      <c r="J1497" t="str">
        <f>_xll.BDP("520192PF Muni","CPN")</f>
        <v>#N/A Requesting Data...</v>
      </c>
      <c r="K1497" t="str">
        <f>_xll.BDP("520192PF Muni","MATURITY")</f>
        <v>#N/A Requesting Data...</v>
      </c>
      <c r="L1497">
        <v>2940000</v>
      </c>
      <c r="M1497" t="str">
        <f>_xll.BDP("520192PF Muni","YIELD_ON_ISSUE_DATE")</f>
        <v>#N/A Requesting Data...</v>
      </c>
      <c r="N1497" t="str">
        <f>_xll.BDP("520192PF Muni","YTW_SPREAD_TO_MATURITY_AT_ISSU")</f>
        <v>#N/A Requesting Data...</v>
      </c>
      <c r="O1497" t="str">
        <f>_xll.BDP("520192PF Muni","BVAL_MID_YTM")</f>
        <v>#N/A Requesting Data...</v>
      </c>
      <c r="P1497" t="str">
        <f>_xll.BDP("520192PF Muni","MUNI_TAX_PROV")</f>
        <v>#N/A Requesting Data...</v>
      </c>
      <c r="Q1497" t="str">
        <f>_xll.BDP("520192PF Muni","MUNI_FED_TAX")</f>
        <v>#N/A Requesting Data...</v>
      </c>
      <c r="R1497" t="str">
        <f>_xll.BDP("520192PF Muni","MUNI_MSRB_VOLUME")</f>
        <v>#N/A Requesting Data...</v>
      </c>
      <c r="S1497" t="str">
        <f>_xll.BDP("520192PF Muni","BB_COMPOSITE")</f>
        <v>#N/A Requesting Data...</v>
      </c>
      <c r="T1497" t="str">
        <f>_xll.BDP("520192PF Muni","LQA_LIQUIDITY_SCORE")</f>
        <v>#N/A Requesting Data...</v>
      </c>
    </row>
    <row r="1498" spans="1:20" x14ac:dyDescent="0.25">
      <c r="A1498" t="str">
        <f>_xll.BDP("520192PG Muni","ID_CUSIP")</f>
        <v>#N/A Requesting Data...</v>
      </c>
      <c r="B1498" t="s">
        <v>468</v>
      </c>
      <c r="C1498" t="str">
        <f>_xll.BDP("520192PG Muni","INSURANCE_STATUS")</f>
        <v>#N/A Requesting Data...</v>
      </c>
      <c r="D1498" t="str">
        <f>_xll.BDP("520192PG Muni","STATE_CODE")</f>
        <v>#N/A Requesting Data...</v>
      </c>
      <c r="E1498" t="str">
        <f>_xll.BDP("520192PG Muni","COUNTY_LOCATION_ISSUER")</f>
        <v>#N/A Requesting Data...</v>
      </c>
      <c r="F1498" t="str">
        <f>_xll.BDP("520192PG Muni","DUR_ADJ_MID")</f>
        <v>#N/A Requesting Data...</v>
      </c>
      <c r="G1498" t="str">
        <f>_xll.BDP("520192PG Muni","SPREAD_AT_ISSUANCE_TO_WORST")</f>
        <v>#N/A Requesting Data...</v>
      </c>
      <c r="H1498" t="str">
        <f>_xll.BDP("520192PG Muni","ISSUE_DT")</f>
        <v>#N/A Requesting Data...</v>
      </c>
      <c r="I1498" t="str">
        <f>_xll.BDS("520192PG Muni","MUNI_PURPOSE_SCHED", "aggregate=y")</f>
        <v>#N/A Review</v>
      </c>
      <c r="J1498" t="str">
        <f>_xll.BDP("520192PG Muni","CPN")</f>
        <v>#N/A Requesting Data...</v>
      </c>
      <c r="K1498" t="str">
        <f>_xll.BDP("520192PG Muni","MATURITY")</f>
        <v>#N/A Requesting Data...</v>
      </c>
      <c r="L1498">
        <v>3085000</v>
      </c>
      <c r="M1498" t="str">
        <f>_xll.BDP("520192PG Muni","YIELD_ON_ISSUE_DATE")</f>
        <v>#N/A Requesting Data...</v>
      </c>
      <c r="N1498" t="str">
        <f>_xll.BDP("520192PG Muni","YTW_SPREAD_TO_MATURITY_AT_ISSU")</f>
        <v>#N/A Requesting Data...</v>
      </c>
      <c r="O1498" t="str">
        <f>_xll.BDP("520192PG Muni","BVAL_MID_YTM")</f>
        <v>#N/A Requesting Data...</v>
      </c>
      <c r="P1498" t="str">
        <f>_xll.BDP("520192PG Muni","MUNI_TAX_PROV")</f>
        <v>#N/A Requesting Data...</v>
      </c>
      <c r="Q1498" t="str">
        <f>_xll.BDP("520192PG Muni","MUNI_FED_TAX")</f>
        <v>#N/A Requesting Data...</v>
      </c>
      <c r="R1498" t="str">
        <f>_xll.BDP("520192PG Muni","MUNI_MSRB_VOLUME")</f>
        <v>#N/A Requesting Data...</v>
      </c>
      <c r="S1498" t="str">
        <f>_xll.BDP("520192PG Muni","BB_COMPOSITE")</f>
        <v>#N/A Requesting Data...</v>
      </c>
      <c r="T1498" t="str">
        <f>_xll.BDP("520192PG Muni","LQA_LIQUIDITY_SCORE")</f>
        <v>#N/A Requesting Data...</v>
      </c>
    </row>
    <row r="1499" spans="1:20" x14ac:dyDescent="0.25">
      <c r="A1499" t="str">
        <f>_xll.BDP("536060PS Muni","ID_CUSIP")</f>
        <v>#N/A Requesting Data...</v>
      </c>
      <c r="B1499" t="s">
        <v>417</v>
      </c>
      <c r="C1499" t="str">
        <f>_xll.BDP("536060PS Muni","INSURANCE_STATUS")</f>
        <v>#N/A Requesting Data...</v>
      </c>
      <c r="D1499" t="str">
        <f>_xll.BDP("536060PS Muni","STATE_CODE")</f>
        <v>#N/A Requesting Data...</v>
      </c>
      <c r="E1499" t="str">
        <f>_xll.BDP("536060PS Muni","COUNTY_LOCATION_ISSUER")</f>
        <v>#N/A Requesting Data...</v>
      </c>
      <c r="F1499" t="str">
        <f>_xll.BDP("536060PS Muni","DUR_ADJ_MID")</f>
        <v>#N/A Requesting Data...</v>
      </c>
      <c r="G1499" t="str">
        <f>_xll.BDP("536060PS Muni","SPREAD_AT_ISSUANCE_TO_WORST")</f>
        <v>#N/A Requesting Data...</v>
      </c>
      <c r="H1499" t="str">
        <f>_xll.BDP("536060PS Muni","ISSUE_DT")</f>
        <v>#N/A Requesting Data...</v>
      </c>
      <c r="I1499" t="str">
        <f>_xll.BDS("536060PS Muni","MUNI_PURPOSE_SCHED", "aggregate=y")</f>
        <v>#N/A Review</v>
      </c>
      <c r="J1499" t="str">
        <f>_xll.BDP("536060PS Muni","CPN")</f>
        <v>#N/A Requesting Data...</v>
      </c>
      <c r="K1499" t="str">
        <f>_xll.BDP("536060PS Muni","MATURITY")</f>
        <v>#N/A Requesting Data...</v>
      </c>
      <c r="L1499">
        <v>145000</v>
      </c>
      <c r="M1499" t="str">
        <f>_xll.BDP("536060PS Muni","YIELD_ON_ISSUE_DATE")</f>
        <v>#N/A Requesting Data...</v>
      </c>
      <c r="N1499" t="str">
        <f>_xll.BDP("536060PS Muni","YTW_SPREAD_TO_MATURITY_AT_ISSU")</f>
        <v>#N/A Requesting Data...</v>
      </c>
      <c r="O1499" t="str">
        <f>_xll.BDP("536060PS Muni","BVAL_MID_YTM")</f>
        <v>#N/A Requesting Data...</v>
      </c>
      <c r="P1499" t="str">
        <f>_xll.BDP("536060PS Muni","MUNI_TAX_PROV")</f>
        <v>#N/A Requesting Data...</v>
      </c>
      <c r="Q1499" t="str">
        <f>_xll.BDP("536060PS Muni","MUNI_FED_TAX")</f>
        <v>#N/A Requesting Data...</v>
      </c>
      <c r="R1499" t="str">
        <f>_xll.BDP("536060PS Muni","MUNI_MSRB_VOLUME")</f>
        <v>#N/A Requesting Data...</v>
      </c>
      <c r="S1499" t="str">
        <f>_xll.BDP("536060PS Muni","BB_COMPOSITE")</f>
        <v>#N/A Requesting Data...</v>
      </c>
      <c r="T1499" t="str">
        <f>_xll.BDP("536060PS Muni","LQA_LIQUIDITY_SCORE")</f>
        <v>#N/A Requesting Data...</v>
      </c>
    </row>
    <row r="1500" spans="1:20" x14ac:dyDescent="0.25">
      <c r="A1500" t="str">
        <f>_xll.BDP("536060PT Muni","ID_CUSIP")</f>
        <v>#N/A Requesting Data...</v>
      </c>
      <c r="B1500" t="s">
        <v>417</v>
      </c>
      <c r="C1500" t="str">
        <f>_xll.BDP("536060PT Muni","INSURANCE_STATUS")</f>
        <v>#N/A Requesting Data...</v>
      </c>
      <c r="D1500" t="str">
        <f>_xll.BDP("536060PT Muni","STATE_CODE")</f>
        <v>#N/A Requesting Data...</v>
      </c>
      <c r="E1500" t="str">
        <f>_xll.BDP("536060PT Muni","COUNTY_LOCATION_ISSUER")</f>
        <v>#N/A Requesting Data...</v>
      </c>
      <c r="F1500" t="str">
        <f>_xll.BDP("536060PT Muni","DUR_ADJ_MID")</f>
        <v>#N/A Requesting Data...</v>
      </c>
      <c r="G1500" t="str">
        <f>_xll.BDP("536060PT Muni","SPREAD_AT_ISSUANCE_TO_WORST")</f>
        <v>#N/A Requesting Data...</v>
      </c>
      <c r="H1500" t="str">
        <f>_xll.BDP("536060PT Muni","ISSUE_DT")</f>
        <v>#N/A Requesting Data...</v>
      </c>
      <c r="I1500" t="str">
        <f>_xll.BDS("536060PT Muni","MUNI_PURPOSE_SCHED", "aggregate=y")</f>
        <v>#N/A Review</v>
      </c>
      <c r="J1500" t="str">
        <f>_xll.BDP("536060PT Muni","CPN")</f>
        <v>#N/A Requesting Data...</v>
      </c>
      <c r="K1500" t="str">
        <f>_xll.BDP("536060PT Muni","MATURITY")</f>
        <v>#N/A Requesting Data...</v>
      </c>
      <c r="L1500">
        <v>145000</v>
      </c>
      <c r="M1500" t="str">
        <f>_xll.BDP("536060PT Muni","YIELD_ON_ISSUE_DATE")</f>
        <v>#N/A Requesting Data...</v>
      </c>
      <c r="N1500" t="str">
        <f>_xll.BDP("536060PT Muni","YTW_SPREAD_TO_MATURITY_AT_ISSU")</f>
        <v>#N/A Requesting Data...</v>
      </c>
      <c r="O1500" t="str">
        <f>_xll.BDP("536060PT Muni","BVAL_MID_YTM")</f>
        <v>#N/A Requesting Data...</v>
      </c>
      <c r="P1500" t="str">
        <f>_xll.BDP("536060PT Muni","MUNI_TAX_PROV")</f>
        <v>#N/A Requesting Data...</v>
      </c>
      <c r="Q1500" t="str">
        <f>_xll.BDP("536060PT Muni","MUNI_FED_TAX")</f>
        <v>#N/A Requesting Data...</v>
      </c>
      <c r="R1500" t="str">
        <f>_xll.BDP("536060PT Muni","MUNI_MSRB_VOLUME")</f>
        <v>#N/A Requesting Data...</v>
      </c>
      <c r="S1500" t="str">
        <f>_xll.BDP("536060PT Muni","BB_COMPOSITE")</f>
        <v>#N/A Requesting Data...</v>
      </c>
      <c r="T1500" t="str">
        <f>_xll.BDP("536060PT Muni","LQA_LIQUIDITY_SCORE")</f>
        <v>#N/A Requesting Data...</v>
      </c>
    </row>
    <row r="1501" spans="1:20" x14ac:dyDescent="0.25">
      <c r="A1501" t="str">
        <f>_xll.BDP("537095RV Muni","ID_CUSIP")</f>
        <v>#N/A Requesting Data...</v>
      </c>
      <c r="B1501" t="s">
        <v>466</v>
      </c>
      <c r="C1501" t="str">
        <f>_xll.BDP("537095RV Muni","INSURANCE_STATUS")</f>
        <v>#N/A Requesting Data...</v>
      </c>
      <c r="D1501" t="str">
        <f>_xll.BDP("537095RV Muni","STATE_CODE")</f>
        <v>#N/A Requesting Data...</v>
      </c>
      <c r="E1501" t="str">
        <f>_xll.BDP("537095RV Muni","COUNTY_LOCATION_ISSUER")</f>
        <v>#N/A Requesting Data...</v>
      </c>
      <c r="F1501" t="str">
        <f>_xll.BDP("537095RV Muni","DUR_ADJ_MID")</f>
        <v>#N/A Requesting Data...</v>
      </c>
      <c r="G1501" t="str">
        <f>_xll.BDP("537095RV Muni","SPREAD_AT_ISSUANCE_TO_WORST")</f>
        <v>#N/A Requesting Data...</v>
      </c>
      <c r="H1501" t="str">
        <f>_xll.BDP("537095RV Muni","ISSUE_DT")</f>
        <v>#N/A Requesting Data...</v>
      </c>
      <c r="I1501" t="str">
        <f>_xll.BDS("537095RV Muni","MUNI_PURPOSE_SCHED", "aggregate=y")</f>
        <v>#N/A Review</v>
      </c>
      <c r="J1501" t="str">
        <f>_xll.BDP("537095RV Muni","CPN")</f>
        <v>#N/A Requesting Data...</v>
      </c>
      <c r="K1501" t="str">
        <f>_xll.BDP("537095RV Muni","MATURITY")</f>
        <v>#N/A Requesting Data...</v>
      </c>
      <c r="L1501">
        <v>330000</v>
      </c>
      <c r="M1501" t="str">
        <f>_xll.BDP("537095RV Muni","YIELD_ON_ISSUE_DATE")</f>
        <v>#N/A Requesting Data...</v>
      </c>
      <c r="N1501" t="str">
        <f>_xll.BDP("537095RV Muni","YTW_SPREAD_TO_MATURITY_AT_ISSU")</f>
        <v>#N/A Requesting Data...</v>
      </c>
      <c r="O1501" t="str">
        <f>_xll.BDP("537095RV Muni","BVAL_MID_YTM")</f>
        <v>#N/A Requesting Data...</v>
      </c>
      <c r="P1501" t="str">
        <f>_xll.BDP("537095RV Muni","MUNI_TAX_PROV")</f>
        <v>#N/A Requesting Data...</v>
      </c>
      <c r="Q1501" t="str">
        <f>_xll.BDP("537095RV Muni","MUNI_FED_TAX")</f>
        <v>#N/A Requesting Data...</v>
      </c>
      <c r="R1501" t="str">
        <f>_xll.BDP("537095RV Muni","MUNI_MSRB_VOLUME")</f>
        <v>#N/A Requesting Data...</v>
      </c>
      <c r="S1501" t="str">
        <f>_xll.BDP("537095RV Muni","BB_COMPOSITE")</f>
        <v>#N/A Requesting Data...</v>
      </c>
      <c r="T1501" t="str">
        <f>_xll.BDP("537095RV Muni","LQA_LIQUIDITY_SCORE")</f>
        <v>#N/A Requesting Data...</v>
      </c>
    </row>
    <row r="1502" spans="1:20" x14ac:dyDescent="0.25">
      <c r="A1502" t="str">
        <f>_xll.BDP("537095RX Muni","ID_CUSIP")</f>
        <v>#N/A Requesting Data...</v>
      </c>
      <c r="B1502" t="s">
        <v>466</v>
      </c>
      <c r="C1502" t="str">
        <f>_xll.BDP("537095RX Muni","INSURANCE_STATUS")</f>
        <v>#N/A Requesting Data...</v>
      </c>
      <c r="D1502" t="str">
        <f>_xll.BDP("537095RX Muni","STATE_CODE")</f>
        <v>#N/A Requesting Data...</v>
      </c>
      <c r="E1502" t="str">
        <f>_xll.BDP("537095RX Muni","COUNTY_LOCATION_ISSUER")</f>
        <v>#N/A Requesting Data...</v>
      </c>
      <c r="F1502" t="str">
        <f>_xll.BDP("537095RX Muni","DUR_ADJ_MID")</f>
        <v>#N/A Requesting Data...</v>
      </c>
      <c r="G1502" t="str">
        <f>_xll.BDP("537095RX Muni","SPREAD_AT_ISSUANCE_TO_WORST")</f>
        <v>#N/A Requesting Data...</v>
      </c>
      <c r="H1502" t="str">
        <f>_xll.BDP("537095RX Muni","ISSUE_DT")</f>
        <v>#N/A Requesting Data...</v>
      </c>
      <c r="I1502" t="str">
        <f>_xll.BDS("537095RX Muni","MUNI_PURPOSE_SCHED", "aggregate=y")</f>
        <v>#N/A Review</v>
      </c>
      <c r="J1502" t="str">
        <f>_xll.BDP("537095RX Muni","CPN")</f>
        <v>#N/A Requesting Data...</v>
      </c>
      <c r="K1502" t="str">
        <f>_xll.BDP("537095RX Muni","MATURITY")</f>
        <v>#N/A Requesting Data...</v>
      </c>
      <c r="L1502">
        <v>360000</v>
      </c>
      <c r="M1502" t="str">
        <f>_xll.BDP("537095RX Muni","YIELD_ON_ISSUE_DATE")</f>
        <v>#N/A Requesting Data...</v>
      </c>
      <c r="N1502" t="str">
        <f>_xll.BDP("537095RX Muni","YTW_SPREAD_TO_MATURITY_AT_ISSU")</f>
        <v>#N/A Requesting Data...</v>
      </c>
      <c r="O1502" t="str">
        <f>_xll.BDP("537095RX Muni","BVAL_MID_YTM")</f>
        <v>#N/A Requesting Data...</v>
      </c>
      <c r="P1502" t="str">
        <f>_xll.BDP("537095RX Muni","MUNI_TAX_PROV")</f>
        <v>#N/A Requesting Data...</v>
      </c>
      <c r="Q1502" t="str">
        <f>_xll.BDP("537095RX Muni","MUNI_FED_TAX")</f>
        <v>#N/A Requesting Data...</v>
      </c>
      <c r="R1502" t="str">
        <f>_xll.BDP("537095RX Muni","MUNI_MSRB_VOLUME")</f>
        <v>#N/A Requesting Data...</v>
      </c>
      <c r="S1502" t="str">
        <f>_xll.BDP("537095RX Muni","BB_COMPOSITE")</f>
        <v>#N/A Requesting Data...</v>
      </c>
      <c r="T1502" t="str">
        <f>_xll.BDP("537095RX Muni","LQA_LIQUIDITY_SCORE")</f>
        <v>#N/A Requesting Data...</v>
      </c>
    </row>
    <row r="1503" spans="1:20" x14ac:dyDescent="0.25">
      <c r="A1503" t="str">
        <f>_xll.BDP("517039TF Muni","ID_CUSIP")</f>
        <v>#N/A Requesting Data...</v>
      </c>
      <c r="B1503" t="s">
        <v>66</v>
      </c>
      <c r="C1503" t="str">
        <f>_xll.BDP("517039TF Muni","INSURANCE_STATUS")</f>
        <v>#N/A Requesting Data...</v>
      </c>
      <c r="D1503" t="str">
        <f>_xll.BDP("517039TF Muni","STATE_CODE")</f>
        <v>#N/A Requesting Data...</v>
      </c>
      <c r="E1503" t="str">
        <f>_xll.BDP("517039TF Muni","COUNTY_LOCATION_ISSUER")</f>
        <v>#N/A Requesting Data...</v>
      </c>
      <c r="F1503" t="str">
        <f>_xll.BDP("517039TF Muni","DUR_ADJ_MID")</f>
        <v>#N/A Requesting Data...</v>
      </c>
      <c r="G1503" t="str">
        <f>_xll.BDP("517039TF Muni","SPREAD_AT_ISSUANCE_TO_WORST")</f>
        <v>#N/A Requesting Data...</v>
      </c>
      <c r="H1503" t="str">
        <f>_xll.BDP("517039TF Muni","ISSUE_DT")</f>
        <v>#N/A Requesting Data...</v>
      </c>
      <c r="I1503" t="str">
        <f>_xll.BDS("517039TF Muni","MUNI_PURPOSE_SCHED", "aggregate=y")</f>
        <v>#N/A Review</v>
      </c>
      <c r="J1503" t="str">
        <f>_xll.BDP("517039TF Muni","CPN")</f>
        <v>#N/A Requesting Data...</v>
      </c>
      <c r="K1503" t="str">
        <f>_xll.BDP("517039TF Muni","MATURITY")</f>
        <v>#N/A Requesting Data...</v>
      </c>
      <c r="L1503">
        <v>1600000</v>
      </c>
      <c r="M1503" t="str">
        <f>_xll.BDP("517039TF Muni","YIELD_ON_ISSUE_DATE")</f>
        <v>#N/A Requesting Data...</v>
      </c>
      <c r="N1503" t="str">
        <f>_xll.BDP("517039TF Muni","YTW_SPREAD_TO_MATURITY_AT_ISSU")</f>
        <v>#N/A Requesting Data...</v>
      </c>
      <c r="O1503" t="str">
        <f>_xll.BDP("517039TF Muni","BVAL_MID_YTM")</f>
        <v>#N/A Requesting Data...</v>
      </c>
      <c r="P1503" t="str">
        <f>_xll.BDP("517039TF Muni","MUNI_TAX_PROV")</f>
        <v>#N/A Requesting Data...</v>
      </c>
      <c r="Q1503" t="str">
        <f>_xll.BDP("517039TF Muni","MUNI_FED_TAX")</f>
        <v>#N/A Requesting Data...</v>
      </c>
      <c r="R1503" t="str">
        <f>_xll.BDP("517039TF Muni","MUNI_MSRB_VOLUME")</f>
        <v>#N/A Requesting Data...</v>
      </c>
      <c r="S1503" t="str">
        <f>_xll.BDP("517039TF Muni","BB_COMPOSITE")</f>
        <v>#N/A Requesting Data...</v>
      </c>
      <c r="T1503" t="str">
        <f>_xll.BDP("517039TF Muni","LQA_LIQUIDITY_SCORE")</f>
        <v>#N/A Requesting Data...</v>
      </c>
    </row>
    <row r="1504" spans="1:20" x14ac:dyDescent="0.25">
      <c r="A1504" t="str">
        <f>_xll.BDP("517496GF Muni","ID_CUSIP")</f>
        <v>#N/A Requesting Data...</v>
      </c>
      <c r="B1504" t="s">
        <v>467</v>
      </c>
      <c r="C1504" t="str">
        <f>_xll.BDP("517496GF Muni","INSURANCE_STATUS")</f>
        <v>#N/A Requesting Data...</v>
      </c>
      <c r="D1504" t="str">
        <f>_xll.BDP("517496GF Muni","STATE_CODE")</f>
        <v>#N/A Requesting Data...</v>
      </c>
      <c r="E1504" t="str">
        <f>_xll.BDP("517496GF Muni","COUNTY_LOCATION_ISSUER")</f>
        <v>#N/A Requesting Data...</v>
      </c>
      <c r="F1504" t="str">
        <f>_xll.BDP("517496GF Muni","DUR_ADJ_MID")</f>
        <v>#N/A Requesting Data...</v>
      </c>
      <c r="G1504" t="str">
        <f>_xll.BDP("517496GF Muni","SPREAD_AT_ISSUANCE_TO_WORST")</f>
        <v>#N/A Requesting Data...</v>
      </c>
      <c r="H1504" t="str">
        <f>_xll.BDP("517496GF Muni","ISSUE_DT")</f>
        <v>#N/A Requesting Data...</v>
      </c>
      <c r="I1504" t="str">
        <f>_xll.BDS("517496GF Muni","MUNI_PURPOSE_SCHED", "aggregate=y")</f>
        <v>#N/A Review</v>
      </c>
      <c r="J1504" t="str">
        <f>_xll.BDP("517496GF Muni","CPN")</f>
        <v>#N/A Requesting Data...</v>
      </c>
      <c r="K1504" t="str">
        <f>_xll.BDP("517496GF Muni","MATURITY")</f>
        <v>#N/A Requesting Data...</v>
      </c>
      <c r="L1504">
        <v>735000</v>
      </c>
      <c r="M1504" t="str">
        <f>_xll.BDP("517496GF Muni","YIELD_ON_ISSUE_DATE")</f>
        <v>#N/A Requesting Data...</v>
      </c>
      <c r="N1504" t="str">
        <f>_xll.BDP("517496GF Muni","YTW_SPREAD_TO_MATURITY_AT_ISSU")</f>
        <v>#N/A Requesting Data...</v>
      </c>
      <c r="O1504" t="str">
        <f>_xll.BDP("517496GF Muni","BVAL_MID_YTM")</f>
        <v>#N/A Requesting Data...</v>
      </c>
      <c r="P1504" t="str">
        <f>_xll.BDP("517496GF Muni","MUNI_TAX_PROV")</f>
        <v>#N/A Requesting Data...</v>
      </c>
      <c r="Q1504" t="str">
        <f>_xll.BDP("517496GF Muni","MUNI_FED_TAX")</f>
        <v>#N/A Requesting Data...</v>
      </c>
      <c r="R1504" t="str">
        <f>_xll.BDP("517496GF Muni","MUNI_MSRB_VOLUME")</f>
        <v>#N/A Requesting Data...</v>
      </c>
      <c r="S1504" t="str">
        <f>_xll.BDP("517496GF Muni","BB_COMPOSITE")</f>
        <v>#N/A Requesting Data...</v>
      </c>
      <c r="T1504" t="str">
        <f>_xll.BDP("517496GF Muni","LQA_LIQUIDITY_SCORE")</f>
        <v>#N/A Requesting Data...</v>
      </c>
    </row>
    <row r="1505" spans="1:20" x14ac:dyDescent="0.25">
      <c r="A1505" t="str">
        <f>_xll.BDP("517496GH Muni","ID_CUSIP")</f>
        <v>#N/A Requesting Data...</v>
      </c>
      <c r="B1505" t="s">
        <v>467</v>
      </c>
      <c r="C1505" t="str">
        <f>_xll.BDP("517496GH Muni","INSURANCE_STATUS")</f>
        <v>#N/A Requesting Data...</v>
      </c>
      <c r="D1505" t="str">
        <f>_xll.BDP("517496GH Muni","STATE_CODE")</f>
        <v>#N/A Requesting Data...</v>
      </c>
      <c r="E1505" t="str">
        <f>_xll.BDP("517496GH Muni","COUNTY_LOCATION_ISSUER")</f>
        <v>#N/A Requesting Data...</v>
      </c>
      <c r="F1505" t="str">
        <f>_xll.BDP("517496GH Muni","DUR_ADJ_MID")</f>
        <v>#N/A Requesting Data...</v>
      </c>
      <c r="G1505" t="str">
        <f>_xll.BDP("517496GH Muni","SPREAD_AT_ISSUANCE_TO_WORST")</f>
        <v>#N/A Requesting Data...</v>
      </c>
      <c r="H1505" t="str">
        <f>_xll.BDP("517496GH Muni","ISSUE_DT")</f>
        <v>#N/A Requesting Data...</v>
      </c>
      <c r="I1505" t="str">
        <f>_xll.BDS("517496GH Muni","MUNI_PURPOSE_SCHED", "aggregate=y")</f>
        <v>#N/A Review</v>
      </c>
      <c r="J1505" t="str">
        <f>_xll.BDP("517496GH Muni","CPN")</f>
        <v>#N/A Requesting Data...</v>
      </c>
      <c r="K1505" t="str">
        <f>_xll.BDP("517496GH Muni","MATURITY")</f>
        <v>#N/A Requesting Data...</v>
      </c>
      <c r="L1505">
        <v>795000</v>
      </c>
      <c r="M1505" t="str">
        <f>_xll.BDP("517496GH Muni","YIELD_ON_ISSUE_DATE")</f>
        <v>#N/A Requesting Data...</v>
      </c>
      <c r="N1505" t="str">
        <f>_xll.BDP("517496GH Muni","YTW_SPREAD_TO_MATURITY_AT_ISSU")</f>
        <v>#N/A Requesting Data...</v>
      </c>
      <c r="O1505" t="str">
        <f>_xll.BDP("517496GH Muni","BVAL_MID_YTM")</f>
        <v>#N/A Requesting Data...</v>
      </c>
      <c r="P1505" t="str">
        <f>_xll.BDP("517496GH Muni","MUNI_TAX_PROV")</f>
        <v>#N/A Requesting Data...</v>
      </c>
      <c r="Q1505" t="str">
        <f>_xll.BDP("517496GH Muni","MUNI_FED_TAX")</f>
        <v>#N/A Requesting Data...</v>
      </c>
      <c r="R1505" t="str">
        <f>_xll.BDP("517496GH Muni","MUNI_MSRB_VOLUME")</f>
        <v>#N/A Requesting Data...</v>
      </c>
      <c r="S1505" t="str">
        <f>_xll.BDP("517496GH Muni","BB_COMPOSITE")</f>
        <v>#N/A Requesting Data...</v>
      </c>
      <c r="T1505" t="str">
        <f>_xll.BDP("517496GH Muni","LQA_LIQUIDITY_SCORE")</f>
        <v>#N/A Requesting Data...</v>
      </c>
    </row>
    <row r="1506" spans="1:20" x14ac:dyDescent="0.25">
      <c r="A1506" t="str">
        <f>_xll.BDP("52109HEN Muni","ID_CUSIP")</f>
        <v>#N/A Requesting Data...</v>
      </c>
      <c r="B1506" t="s">
        <v>463</v>
      </c>
      <c r="C1506" t="str">
        <f>_xll.BDP("52109HEN Muni","INSURANCE_STATUS")</f>
        <v>#N/A Requesting Data...</v>
      </c>
      <c r="D1506" t="str">
        <f>_xll.BDP("52109HEN Muni","STATE_CODE")</f>
        <v>#N/A Requesting Data...</v>
      </c>
      <c r="E1506" t="str">
        <f>_xll.BDP("52109HEN Muni","COUNTY_LOCATION_ISSUER")</f>
        <v>#N/A Requesting Data...</v>
      </c>
      <c r="F1506" t="str">
        <f>_xll.BDP("52109HEN Muni","DUR_ADJ_MID")</f>
        <v>#N/A Requesting Data...</v>
      </c>
      <c r="G1506" t="str">
        <f>_xll.BDP("52109HEN Muni","SPREAD_AT_ISSUANCE_TO_WORST")</f>
        <v>#N/A Requesting Data...</v>
      </c>
      <c r="H1506" t="str">
        <f>_xll.BDP("52109HEN Muni","ISSUE_DT")</f>
        <v>#N/A Requesting Data...</v>
      </c>
      <c r="I1506" t="str">
        <f>_xll.BDS("52109HEN Muni","MUNI_PURPOSE_SCHED", "aggregate=y")</f>
        <v>#N/A Review</v>
      </c>
      <c r="J1506" t="str">
        <f>_xll.BDP("52109HEN Muni","CPN")</f>
        <v>#N/A Requesting Data...</v>
      </c>
      <c r="K1506" t="str">
        <f>_xll.BDP("52109HEN Muni","MATURITY")</f>
        <v>#N/A Requesting Data...</v>
      </c>
      <c r="L1506">
        <v>160000</v>
      </c>
      <c r="M1506" t="str">
        <f>_xll.BDP("52109HEN Muni","YIELD_ON_ISSUE_DATE")</f>
        <v>#N/A Requesting Data...</v>
      </c>
      <c r="N1506" t="str">
        <f>_xll.BDP("52109HEN Muni","YTW_SPREAD_TO_MATURITY_AT_ISSU")</f>
        <v>#N/A Requesting Data...</v>
      </c>
      <c r="O1506" t="str">
        <f>_xll.BDP("52109HEN Muni","BVAL_MID_YTM")</f>
        <v>#N/A Requesting Data...</v>
      </c>
      <c r="P1506" t="str">
        <f>_xll.BDP("52109HEN Muni","MUNI_TAX_PROV")</f>
        <v>#N/A Requesting Data...</v>
      </c>
      <c r="Q1506" t="str">
        <f>_xll.BDP("52109HEN Muni","MUNI_FED_TAX")</f>
        <v>#N/A Requesting Data...</v>
      </c>
      <c r="R1506" t="str">
        <f>_xll.BDP("52109HEN Muni","MUNI_MSRB_VOLUME")</f>
        <v>#N/A Requesting Data...</v>
      </c>
      <c r="S1506" t="str">
        <f>_xll.BDP("52109HEN Muni","BB_COMPOSITE")</f>
        <v>#N/A Requesting Data...</v>
      </c>
      <c r="T1506" t="str">
        <f>_xll.BDP("52109HEN Muni","LQA_LIQUIDITY_SCORE")</f>
        <v>#N/A Requesting Data...</v>
      </c>
    </row>
    <row r="1507" spans="1:20" x14ac:dyDescent="0.25">
      <c r="A1507" t="str">
        <f>_xll.BDP("547677FJ Muni","ID_CUSIP")</f>
        <v>#N/A Requesting Data...</v>
      </c>
      <c r="B1507" t="s">
        <v>464</v>
      </c>
      <c r="C1507" t="str">
        <f>_xll.BDP("547677FJ Muni","INSURANCE_STATUS")</f>
        <v>#N/A Requesting Data...</v>
      </c>
      <c r="D1507" t="str">
        <f>_xll.BDP("547677FJ Muni","STATE_CODE")</f>
        <v>#N/A Requesting Data...</v>
      </c>
      <c r="E1507" t="str">
        <f>_xll.BDP("547677FJ Muni","COUNTY_LOCATION_ISSUER")</f>
        <v>#N/A Requesting Data...</v>
      </c>
      <c r="F1507" t="str">
        <f>_xll.BDP("547677FJ Muni","DUR_ADJ_MID")</f>
        <v>#N/A Requesting Data...</v>
      </c>
      <c r="G1507" t="str">
        <f>_xll.BDP("547677FJ Muni","SPREAD_AT_ISSUANCE_TO_WORST")</f>
        <v>#N/A Requesting Data...</v>
      </c>
      <c r="H1507" t="str">
        <f>_xll.BDP("547677FJ Muni","ISSUE_DT")</f>
        <v>#N/A Requesting Data...</v>
      </c>
      <c r="I1507" t="str">
        <f>_xll.BDS("547677FJ Muni","MUNI_PURPOSE_SCHED", "aggregate=y")</f>
        <v>#N/A Review</v>
      </c>
      <c r="J1507" t="str">
        <f>_xll.BDP("547677FJ Muni","CPN")</f>
        <v>#N/A Requesting Data...</v>
      </c>
      <c r="K1507" t="str">
        <f>_xll.BDP("547677FJ Muni","MATURITY")</f>
        <v>#N/A Requesting Data...</v>
      </c>
      <c r="L1507">
        <v>100000</v>
      </c>
      <c r="M1507" t="str">
        <f>_xll.BDP("547677FJ Muni","YIELD_ON_ISSUE_DATE")</f>
        <v>#N/A Requesting Data...</v>
      </c>
      <c r="N1507" t="str">
        <f>_xll.BDP("547677FJ Muni","YTW_SPREAD_TO_MATURITY_AT_ISSU")</f>
        <v>#N/A Requesting Data...</v>
      </c>
      <c r="O1507" t="str">
        <f>_xll.BDP("547677FJ Muni","BVAL_MID_YTM")</f>
        <v>#N/A Requesting Data...</v>
      </c>
      <c r="P1507" t="str">
        <f>_xll.BDP("547677FJ Muni","MUNI_TAX_PROV")</f>
        <v>#N/A Requesting Data...</v>
      </c>
      <c r="Q1507" t="str">
        <f>_xll.BDP("547677FJ Muni","MUNI_FED_TAX")</f>
        <v>#N/A Requesting Data...</v>
      </c>
      <c r="R1507" t="str">
        <f>_xll.BDP("547677FJ Muni","MUNI_MSRB_VOLUME")</f>
        <v>#N/A Requesting Data...</v>
      </c>
      <c r="S1507" t="str">
        <f>_xll.BDP("547677FJ Muni","BB_COMPOSITE")</f>
        <v>#N/A Requesting Data...</v>
      </c>
      <c r="T1507" t="str">
        <f>_xll.BDP("547677FJ Muni","LQA_LIQUIDITY_SCORE")</f>
        <v>#N/A Requesting Data...</v>
      </c>
    </row>
    <row r="1508" spans="1:20" x14ac:dyDescent="0.25">
      <c r="A1508" t="str">
        <f>_xll.BDP("547677FH Muni","ID_CUSIP")</f>
        <v>#N/A Requesting Data...</v>
      </c>
      <c r="B1508" t="s">
        <v>464</v>
      </c>
      <c r="C1508" t="str">
        <f>_xll.BDP("547677FH Muni","INSURANCE_STATUS")</f>
        <v>#N/A Requesting Data...</v>
      </c>
      <c r="D1508" t="str">
        <f>_xll.BDP("547677FH Muni","STATE_CODE")</f>
        <v>#N/A Requesting Data...</v>
      </c>
      <c r="E1508" t="str">
        <f>_xll.BDP("547677FH Muni","COUNTY_LOCATION_ISSUER")</f>
        <v>#N/A Requesting Data...</v>
      </c>
      <c r="F1508" t="str">
        <f>_xll.BDP("547677FH Muni","DUR_ADJ_MID")</f>
        <v>#N/A Requesting Data...</v>
      </c>
      <c r="G1508" t="str">
        <f>_xll.BDP("547677FH Muni","SPREAD_AT_ISSUANCE_TO_WORST")</f>
        <v>#N/A Requesting Data...</v>
      </c>
      <c r="H1508" t="str">
        <f>_xll.BDP("547677FH Muni","ISSUE_DT")</f>
        <v>#N/A Requesting Data...</v>
      </c>
      <c r="I1508" t="str">
        <f>_xll.BDS("547677FH Muni","MUNI_PURPOSE_SCHED", "aggregate=y")</f>
        <v>#N/A Review</v>
      </c>
      <c r="J1508" t="str">
        <f>_xll.BDP("547677FH Muni","CPN")</f>
        <v>#N/A Requesting Data...</v>
      </c>
      <c r="K1508" t="str">
        <f>_xll.BDP("547677FH Muni","MATURITY")</f>
        <v>#N/A Requesting Data...</v>
      </c>
      <c r="L1508">
        <v>100000</v>
      </c>
      <c r="M1508" t="str">
        <f>_xll.BDP("547677FH Muni","YIELD_ON_ISSUE_DATE")</f>
        <v>#N/A Requesting Data...</v>
      </c>
      <c r="N1508" t="str">
        <f>_xll.BDP("547677FH Muni","YTW_SPREAD_TO_MATURITY_AT_ISSU")</f>
        <v>#N/A Requesting Data...</v>
      </c>
      <c r="O1508" t="str">
        <f>_xll.BDP("547677FH Muni","BVAL_MID_YTM")</f>
        <v>#N/A Requesting Data...</v>
      </c>
      <c r="P1508" t="str">
        <f>_xll.BDP("547677FH Muni","MUNI_TAX_PROV")</f>
        <v>#N/A Requesting Data...</v>
      </c>
      <c r="Q1508" t="str">
        <f>_xll.BDP("547677FH Muni","MUNI_FED_TAX")</f>
        <v>#N/A Requesting Data...</v>
      </c>
      <c r="R1508" t="str">
        <f>_xll.BDP("547677FH Muni","MUNI_MSRB_VOLUME")</f>
        <v>#N/A Requesting Data...</v>
      </c>
      <c r="S1508" t="str">
        <f>_xll.BDP("547677FH Muni","BB_COMPOSITE")</f>
        <v>#N/A Requesting Data...</v>
      </c>
      <c r="T1508" t="str">
        <f>_xll.BDP("547677FH Muni","LQA_LIQUIDITY_SCORE")</f>
        <v>#N/A Requesting Data...</v>
      </c>
    </row>
    <row r="1509" spans="1:20" x14ac:dyDescent="0.25">
      <c r="A1509" t="str">
        <f>_xll.BDP("547677FK Muni","ID_CUSIP")</f>
        <v>#N/A Requesting Data...</v>
      </c>
      <c r="B1509" t="s">
        <v>464</v>
      </c>
      <c r="C1509" t="str">
        <f>_xll.BDP("547677FK Muni","INSURANCE_STATUS")</f>
        <v>#N/A Requesting Data...</v>
      </c>
      <c r="D1509" t="str">
        <f>_xll.BDP("547677FK Muni","STATE_CODE")</f>
        <v>#N/A Requesting Data...</v>
      </c>
      <c r="E1509" t="str">
        <f>_xll.BDP("547677FK Muni","COUNTY_LOCATION_ISSUER")</f>
        <v>#N/A Requesting Data...</v>
      </c>
      <c r="F1509" t="str">
        <f>_xll.BDP("547677FK Muni","DUR_ADJ_MID")</f>
        <v>#N/A Requesting Data...</v>
      </c>
      <c r="G1509" t="str">
        <f>_xll.BDP("547677FK Muni","SPREAD_AT_ISSUANCE_TO_WORST")</f>
        <v>#N/A Requesting Data...</v>
      </c>
      <c r="H1509" t="str">
        <f>_xll.BDP("547677FK Muni","ISSUE_DT")</f>
        <v>#N/A Requesting Data...</v>
      </c>
      <c r="I1509" t="str">
        <f>_xll.BDS("547677FK Muni","MUNI_PURPOSE_SCHED", "aggregate=y")</f>
        <v>#N/A Review</v>
      </c>
      <c r="J1509" t="str">
        <f>_xll.BDP("547677FK Muni","CPN")</f>
        <v>#N/A Requesting Data...</v>
      </c>
      <c r="K1509" t="str">
        <f>_xll.BDP("547677FK Muni","MATURITY")</f>
        <v>#N/A Requesting Data...</v>
      </c>
      <c r="L1509">
        <v>105000</v>
      </c>
      <c r="M1509" t="str">
        <f>_xll.BDP("547677FK Muni","YIELD_ON_ISSUE_DATE")</f>
        <v>#N/A Requesting Data...</v>
      </c>
      <c r="N1509" t="str">
        <f>_xll.BDP("547677FK Muni","YTW_SPREAD_TO_MATURITY_AT_ISSU")</f>
        <v>#N/A Requesting Data...</v>
      </c>
      <c r="O1509" t="str">
        <f>_xll.BDP("547677FK Muni","BVAL_MID_YTM")</f>
        <v>#N/A Requesting Data...</v>
      </c>
      <c r="P1509" t="str">
        <f>_xll.BDP("547677FK Muni","MUNI_TAX_PROV")</f>
        <v>#N/A Requesting Data...</v>
      </c>
      <c r="Q1509" t="str">
        <f>_xll.BDP("547677FK Muni","MUNI_FED_TAX")</f>
        <v>#N/A Requesting Data...</v>
      </c>
      <c r="R1509" t="str">
        <f>_xll.BDP("547677FK Muni","MUNI_MSRB_VOLUME")</f>
        <v>#N/A Requesting Data...</v>
      </c>
      <c r="S1509" t="str">
        <f>_xll.BDP("547677FK Muni","BB_COMPOSITE")</f>
        <v>#N/A Requesting Data...</v>
      </c>
      <c r="T1509" t="str">
        <f>_xll.BDP("547677FK Muni","LQA_LIQUIDITY_SCORE")</f>
        <v>#N/A Requesting Data...</v>
      </c>
    </row>
    <row r="1510" spans="1:20" x14ac:dyDescent="0.25">
      <c r="A1510" t="str">
        <f>_xll.BDP("547677FL Muni","ID_CUSIP")</f>
        <v>#N/A Requesting Data...</v>
      </c>
      <c r="B1510" t="s">
        <v>464</v>
      </c>
      <c r="C1510" t="str">
        <f>_xll.BDP("547677FL Muni","INSURANCE_STATUS")</f>
        <v>#N/A Requesting Data...</v>
      </c>
      <c r="D1510" t="str">
        <f>_xll.BDP("547677FL Muni","STATE_CODE")</f>
        <v>#N/A Requesting Data...</v>
      </c>
      <c r="E1510" t="str">
        <f>_xll.BDP("547677FL Muni","COUNTY_LOCATION_ISSUER")</f>
        <v>#N/A Requesting Data...</v>
      </c>
      <c r="F1510" t="str">
        <f>_xll.BDP("547677FL Muni","DUR_ADJ_MID")</f>
        <v>#N/A Requesting Data...</v>
      </c>
      <c r="G1510" t="str">
        <f>_xll.BDP("547677FL Muni","SPREAD_AT_ISSUANCE_TO_WORST")</f>
        <v>#N/A Requesting Data...</v>
      </c>
      <c r="H1510" t="str">
        <f>_xll.BDP("547677FL Muni","ISSUE_DT")</f>
        <v>#N/A Requesting Data...</v>
      </c>
      <c r="I1510" t="str">
        <f>_xll.BDS("547677FL Muni","MUNI_PURPOSE_SCHED", "aggregate=y")</f>
        <v>#N/A Review</v>
      </c>
      <c r="J1510" t="str">
        <f>_xll.BDP("547677FL Muni","CPN")</f>
        <v>#N/A Requesting Data...</v>
      </c>
      <c r="K1510" t="str">
        <f>_xll.BDP("547677FL Muni","MATURITY")</f>
        <v>#N/A Requesting Data...</v>
      </c>
      <c r="L1510">
        <v>105000</v>
      </c>
      <c r="M1510" t="str">
        <f>_xll.BDP("547677FL Muni","YIELD_ON_ISSUE_DATE")</f>
        <v>#N/A Requesting Data...</v>
      </c>
      <c r="N1510" t="str">
        <f>_xll.BDP("547677FL Muni","YTW_SPREAD_TO_MATURITY_AT_ISSU")</f>
        <v>#N/A Requesting Data...</v>
      </c>
      <c r="O1510" t="str">
        <f>_xll.BDP("547677FL Muni","BVAL_MID_YTM")</f>
        <v>#N/A Requesting Data...</v>
      </c>
      <c r="P1510" t="str">
        <f>_xll.BDP("547677FL Muni","MUNI_TAX_PROV")</f>
        <v>#N/A Requesting Data...</v>
      </c>
      <c r="Q1510" t="str">
        <f>_xll.BDP("547677FL Muni","MUNI_FED_TAX")</f>
        <v>#N/A Requesting Data...</v>
      </c>
      <c r="R1510" t="str">
        <f>_xll.BDP("547677FL Muni","MUNI_MSRB_VOLUME")</f>
        <v>#N/A Requesting Data...</v>
      </c>
      <c r="S1510" t="str">
        <f>_xll.BDP("547677FL Muni","BB_COMPOSITE")</f>
        <v>#N/A Requesting Data...</v>
      </c>
      <c r="T1510" t="str">
        <f>_xll.BDP("547677FL Muni","LQA_LIQUIDITY_SCORE")</f>
        <v>#N/A Requesting Data...</v>
      </c>
    </row>
    <row r="1511" spans="1:20" x14ac:dyDescent="0.25">
      <c r="A1511" t="str">
        <f>_xll.BDP("611579AJ Muni","ID_CUSIP")</f>
        <v>#N/A Requesting Data...</v>
      </c>
      <c r="B1511" t="s">
        <v>469</v>
      </c>
      <c r="C1511" t="str">
        <f>_xll.BDP("611579AJ Muni","INSURANCE_STATUS")</f>
        <v>#N/A Requesting Data...</v>
      </c>
      <c r="D1511" t="str">
        <f>_xll.BDP("611579AJ Muni","STATE_CODE")</f>
        <v>#N/A Requesting Data...</v>
      </c>
      <c r="E1511" t="str">
        <f>_xll.BDP("611579AJ Muni","COUNTY_LOCATION_ISSUER")</f>
        <v>#N/A Requesting Data...</v>
      </c>
      <c r="F1511" t="str">
        <f>_xll.BDP("611579AJ Muni","DUR_ADJ_MID")</f>
        <v>#N/A Requesting Data...</v>
      </c>
      <c r="G1511" t="str">
        <f>_xll.BDP("611579AJ Muni","SPREAD_AT_ISSUANCE_TO_WORST")</f>
        <v>#N/A Requesting Data...</v>
      </c>
      <c r="H1511" t="str">
        <f>_xll.BDP("611579AJ Muni","ISSUE_DT")</f>
        <v>#N/A Requesting Data...</v>
      </c>
      <c r="I1511" t="str">
        <f>_xll.BDS("611579AJ Muni","MUNI_PURPOSE_SCHED", "aggregate=y")</f>
        <v>#N/A Review</v>
      </c>
      <c r="J1511" t="str">
        <f>_xll.BDP("611579AJ Muni","CPN")</f>
        <v>#N/A Requesting Data...</v>
      </c>
      <c r="K1511" t="str">
        <f>_xll.BDP("611579AJ Muni","MATURITY")</f>
        <v>#N/A Requesting Data...</v>
      </c>
      <c r="L1511">
        <v>895000</v>
      </c>
      <c r="M1511" t="str">
        <f>_xll.BDP("611579AJ Muni","YIELD_ON_ISSUE_DATE")</f>
        <v>#N/A Requesting Data...</v>
      </c>
      <c r="N1511" t="str">
        <f>_xll.BDP("611579AJ Muni","YTW_SPREAD_TO_MATURITY_AT_ISSU")</f>
        <v>#N/A Requesting Data...</v>
      </c>
      <c r="O1511" t="str">
        <f>_xll.BDP("611579AJ Muni","BVAL_MID_YTM")</f>
        <v>#N/A Requesting Data...</v>
      </c>
      <c r="P1511" t="str">
        <f>_xll.BDP("611579AJ Muni","MUNI_TAX_PROV")</f>
        <v>#N/A Requesting Data...</v>
      </c>
      <c r="Q1511" t="str">
        <f>_xll.BDP("611579AJ Muni","MUNI_FED_TAX")</f>
        <v>#N/A Requesting Data...</v>
      </c>
      <c r="R1511" t="str">
        <f>_xll.BDP("611579AJ Muni","MUNI_MSRB_VOLUME")</f>
        <v>#N/A Requesting Data...</v>
      </c>
      <c r="S1511" t="str">
        <f>_xll.BDP("611579AJ Muni","BB_COMPOSITE")</f>
        <v>#N/A Requesting Data...</v>
      </c>
      <c r="T1511" t="str">
        <f>_xll.BDP("611579AJ Muni","LQA_LIQUIDITY_SCORE")</f>
        <v>#N/A Requesting Data...</v>
      </c>
    </row>
    <row r="1512" spans="1:20" x14ac:dyDescent="0.25">
      <c r="A1512" t="str">
        <f>_xll.BDP("611579AK Muni","ID_CUSIP")</f>
        <v>#N/A Requesting Data...</v>
      </c>
      <c r="B1512" t="s">
        <v>469</v>
      </c>
      <c r="C1512" t="str">
        <f>_xll.BDP("611579AK Muni","INSURANCE_STATUS")</f>
        <v>#N/A Requesting Data...</v>
      </c>
      <c r="D1512" t="str">
        <f>_xll.BDP("611579AK Muni","STATE_CODE")</f>
        <v>#N/A Requesting Data...</v>
      </c>
      <c r="E1512" t="str">
        <f>_xll.BDP("611579AK Muni","COUNTY_LOCATION_ISSUER")</f>
        <v>#N/A Requesting Data...</v>
      </c>
      <c r="F1512" t="str">
        <f>_xll.BDP("611579AK Muni","DUR_ADJ_MID")</f>
        <v>#N/A Requesting Data...</v>
      </c>
      <c r="G1512" t="str">
        <f>_xll.BDP("611579AK Muni","SPREAD_AT_ISSUANCE_TO_WORST")</f>
        <v>#N/A Requesting Data...</v>
      </c>
      <c r="H1512" t="str">
        <f>_xll.BDP("611579AK Muni","ISSUE_DT")</f>
        <v>#N/A Requesting Data...</v>
      </c>
      <c r="I1512" t="str">
        <f>_xll.BDS("611579AK Muni","MUNI_PURPOSE_SCHED", "aggregate=y")</f>
        <v>#N/A Review</v>
      </c>
      <c r="J1512" t="str">
        <f>_xll.BDP("611579AK Muni","CPN")</f>
        <v>#N/A Requesting Data...</v>
      </c>
      <c r="K1512" t="str">
        <f>_xll.BDP("611579AK Muni","MATURITY")</f>
        <v>#N/A Requesting Data...</v>
      </c>
      <c r="L1512">
        <v>940000</v>
      </c>
      <c r="M1512" t="str">
        <f>_xll.BDP("611579AK Muni","YIELD_ON_ISSUE_DATE")</f>
        <v>#N/A Requesting Data...</v>
      </c>
      <c r="N1512" t="str">
        <f>_xll.BDP("611579AK Muni","YTW_SPREAD_TO_MATURITY_AT_ISSU")</f>
        <v>#N/A Requesting Data...</v>
      </c>
      <c r="O1512" t="str">
        <f>_xll.BDP("611579AK Muni","BVAL_MID_YTM")</f>
        <v>#N/A Requesting Data...</v>
      </c>
      <c r="P1512" t="str">
        <f>_xll.BDP("611579AK Muni","MUNI_TAX_PROV")</f>
        <v>#N/A Requesting Data...</v>
      </c>
      <c r="Q1512" t="str">
        <f>_xll.BDP("611579AK Muni","MUNI_FED_TAX")</f>
        <v>#N/A Requesting Data...</v>
      </c>
      <c r="R1512" t="str">
        <f>_xll.BDP("611579AK Muni","MUNI_MSRB_VOLUME")</f>
        <v>#N/A Requesting Data...</v>
      </c>
      <c r="S1512" t="str">
        <f>_xll.BDP("611579AK Muni","BB_COMPOSITE")</f>
        <v>#N/A Requesting Data...</v>
      </c>
      <c r="T1512" t="str">
        <f>_xll.BDP("611579AK Muni","LQA_LIQUIDITY_SCORE")</f>
        <v>#N/A Requesting Data...</v>
      </c>
    </row>
    <row r="1513" spans="1:20" x14ac:dyDescent="0.25">
      <c r="A1513" t="str">
        <f>_xll.BDP("611369AY Muni","ID_CUSIP")</f>
        <v>#N/A Requesting Data...</v>
      </c>
      <c r="B1513" t="s">
        <v>470</v>
      </c>
      <c r="C1513" t="str">
        <f>_xll.BDP("611369AY Muni","INSURANCE_STATUS")</f>
        <v>#N/A Requesting Data...</v>
      </c>
      <c r="D1513" t="str">
        <f>_xll.BDP("611369AY Muni","STATE_CODE")</f>
        <v>#N/A Requesting Data...</v>
      </c>
      <c r="E1513" t="str">
        <f>_xll.BDP("611369AY Muni","COUNTY_LOCATION_ISSUER")</f>
        <v>#N/A Requesting Data...</v>
      </c>
      <c r="F1513" t="str">
        <f>_xll.BDP("611369AY Muni","DUR_ADJ_MID")</f>
        <v>#N/A Requesting Data...</v>
      </c>
      <c r="G1513" t="str">
        <f>_xll.BDP("611369AY Muni","SPREAD_AT_ISSUANCE_TO_WORST")</f>
        <v>#N/A Requesting Data...</v>
      </c>
      <c r="H1513" t="str">
        <f>_xll.BDP("611369AY Muni","ISSUE_DT")</f>
        <v>#N/A Requesting Data...</v>
      </c>
      <c r="I1513" t="str">
        <f>_xll.BDS("611369AY Muni","MUNI_PURPOSE_SCHED", "aggregate=y")</f>
        <v>#N/A Review</v>
      </c>
      <c r="J1513" t="str">
        <f>_xll.BDP("611369AY Muni","CPN")</f>
        <v>#N/A Requesting Data...</v>
      </c>
      <c r="K1513" t="str">
        <f>_xll.BDP("611369AY Muni","MATURITY")</f>
        <v>#N/A Requesting Data...</v>
      </c>
      <c r="L1513">
        <v>190000</v>
      </c>
      <c r="M1513" t="str">
        <f>_xll.BDP("611369AY Muni","YIELD_ON_ISSUE_DATE")</f>
        <v>#N/A Requesting Data...</v>
      </c>
      <c r="N1513" t="str">
        <f>_xll.BDP("611369AY Muni","YTW_SPREAD_TO_MATURITY_AT_ISSU")</f>
        <v>#N/A Requesting Data...</v>
      </c>
      <c r="O1513" t="str">
        <f>_xll.BDP("611369AY Muni","BVAL_MID_YTM")</f>
        <v>#N/A Requesting Data...</v>
      </c>
      <c r="P1513" t="str">
        <f>_xll.BDP("611369AY Muni","MUNI_TAX_PROV")</f>
        <v>#N/A Requesting Data...</v>
      </c>
      <c r="Q1513" t="str">
        <f>_xll.BDP("611369AY Muni","MUNI_FED_TAX")</f>
        <v>#N/A Requesting Data...</v>
      </c>
      <c r="R1513" t="str">
        <f>_xll.BDP("611369AY Muni","MUNI_MSRB_VOLUME")</f>
        <v>#N/A Requesting Data...</v>
      </c>
      <c r="S1513" t="str">
        <f>_xll.BDP("611369AY Muni","BB_COMPOSITE")</f>
        <v>#N/A Requesting Data...</v>
      </c>
      <c r="T1513" t="str">
        <f>_xll.BDP("611369AY Muni","LQA_LIQUIDITY_SCORE")</f>
        <v>#N/A Requesting Data...</v>
      </c>
    </row>
    <row r="1514" spans="1:20" x14ac:dyDescent="0.25">
      <c r="A1514" t="str">
        <f>_xll.BDP("611369AZ Muni","ID_CUSIP")</f>
        <v>#N/A Requesting Data...</v>
      </c>
      <c r="B1514" t="s">
        <v>470</v>
      </c>
      <c r="C1514" t="str">
        <f>_xll.BDP("611369AZ Muni","INSURANCE_STATUS")</f>
        <v>#N/A Requesting Data...</v>
      </c>
      <c r="D1514" t="str">
        <f>_xll.BDP("611369AZ Muni","STATE_CODE")</f>
        <v>#N/A Requesting Data...</v>
      </c>
      <c r="E1514" t="str">
        <f>_xll.BDP("611369AZ Muni","COUNTY_LOCATION_ISSUER")</f>
        <v>#N/A Requesting Data...</v>
      </c>
      <c r="F1514" t="str">
        <f>_xll.BDP("611369AZ Muni","DUR_ADJ_MID")</f>
        <v>#N/A Requesting Data...</v>
      </c>
      <c r="G1514" t="str">
        <f>_xll.BDP("611369AZ Muni","SPREAD_AT_ISSUANCE_TO_WORST")</f>
        <v>#N/A Requesting Data...</v>
      </c>
      <c r="H1514" t="str">
        <f>_xll.BDP("611369AZ Muni","ISSUE_DT")</f>
        <v>#N/A Requesting Data...</v>
      </c>
      <c r="I1514" t="str">
        <f>_xll.BDS("611369AZ Muni","MUNI_PURPOSE_SCHED", "aggregate=y")</f>
        <v>#N/A Review</v>
      </c>
      <c r="J1514" t="str">
        <f>_xll.BDP("611369AZ Muni","CPN")</f>
        <v>#N/A Requesting Data...</v>
      </c>
      <c r="K1514" t="str">
        <f>_xll.BDP("611369AZ Muni","MATURITY")</f>
        <v>#N/A Requesting Data...</v>
      </c>
      <c r="L1514">
        <v>195000</v>
      </c>
      <c r="M1514" t="str">
        <f>_xll.BDP("611369AZ Muni","YIELD_ON_ISSUE_DATE")</f>
        <v>#N/A Requesting Data...</v>
      </c>
      <c r="N1514" t="str">
        <f>_xll.BDP("611369AZ Muni","YTW_SPREAD_TO_MATURITY_AT_ISSU")</f>
        <v>#N/A Requesting Data...</v>
      </c>
      <c r="O1514" t="str">
        <f>_xll.BDP("611369AZ Muni","BVAL_MID_YTM")</f>
        <v>#N/A Requesting Data...</v>
      </c>
      <c r="P1514" t="str">
        <f>_xll.BDP("611369AZ Muni","MUNI_TAX_PROV")</f>
        <v>#N/A Requesting Data...</v>
      </c>
      <c r="Q1514" t="str">
        <f>_xll.BDP("611369AZ Muni","MUNI_FED_TAX")</f>
        <v>#N/A Requesting Data...</v>
      </c>
      <c r="R1514" t="str">
        <f>_xll.BDP("611369AZ Muni","MUNI_MSRB_VOLUME")</f>
        <v>#N/A Requesting Data...</v>
      </c>
      <c r="S1514" t="str">
        <f>_xll.BDP("611369AZ Muni","BB_COMPOSITE")</f>
        <v>#N/A Requesting Data...</v>
      </c>
      <c r="T1514" t="str">
        <f>_xll.BDP("611369AZ Muni","LQA_LIQUIDITY_SCORE")</f>
        <v>#N/A Requesting Data...</v>
      </c>
    </row>
    <row r="1515" spans="1:20" x14ac:dyDescent="0.25">
      <c r="A1515" t="str">
        <f>_xll.BDP("611369BA Muni","ID_CUSIP")</f>
        <v>#N/A Requesting Data...</v>
      </c>
      <c r="B1515" t="s">
        <v>470</v>
      </c>
      <c r="C1515" t="str">
        <f>_xll.BDP("611369BA Muni","INSURANCE_STATUS")</f>
        <v>#N/A Requesting Data...</v>
      </c>
      <c r="D1515" t="str">
        <f>_xll.BDP("611369BA Muni","STATE_CODE")</f>
        <v>#N/A Requesting Data...</v>
      </c>
      <c r="E1515" t="str">
        <f>_xll.BDP("611369BA Muni","COUNTY_LOCATION_ISSUER")</f>
        <v>#N/A Requesting Data...</v>
      </c>
      <c r="F1515" t="str">
        <f>_xll.BDP("611369BA Muni","DUR_ADJ_MID")</f>
        <v>#N/A Requesting Data...</v>
      </c>
      <c r="G1515" t="str">
        <f>_xll.BDP("611369BA Muni","SPREAD_AT_ISSUANCE_TO_WORST")</f>
        <v>#N/A Requesting Data...</v>
      </c>
      <c r="H1515" t="str">
        <f>_xll.BDP("611369BA Muni","ISSUE_DT")</f>
        <v>#N/A Requesting Data...</v>
      </c>
      <c r="I1515" t="str">
        <f>_xll.BDS("611369BA Muni","MUNI_PURPOSE_SCHED", "aggregate=y")</f>
        <v>#N/A Review</v>
      </c>
      <c r="J1515" t="str">
        <f>_xll.BDP("611369BA Muni","CPN")</f>
        <v>#N/A Requesting Data...</v>
      </c>
      <c r="K1515" t="str">
        <f>_xll.BDP("611369BA Muni","MATURITY")</f>
        <v>#N/A Requesting Data...</v>
      </c>
      <c r="L1515">
        <v>200000</v>
      </c>
      <c r="M1515" t="str">
        <f>_xll.BDP("611369BA Muni","YIELD_ON_ISSUE_DATE")</f>
        <v>#N/A Requesting Data...</v>
      </c>
      <c r="N1515" t="str">
        <f>_xll.BDP("611369BA Muni","YTW_SPREAD_TO_MATURITY_AT_ISSU")</f>
        <v>#N/A Requesting Data...</v>
      </c>
      <c r="O1515" t="str">
        <f>_xll.BDP("611369BA Muni","BVAL_MID_YTM")</f>
        <v>#N/A Requesting Data...</v>
      </c>
      <c r="P1515" t="str">
        <f>_xll.BDP("611369BA Muni","MUNI_TAX_PROV")</f>
        <v>#N/A Requesting Data...</v>
      </c>
      <c r="Q1515" t="str">
        <f>_xll.BDP("611369BA Muni","MUNI_FED_TAX")</f>
        <v>#N/A Requesting Data...</v>
      </c>
      <c r="R1515" t="str">
        <f>_xll.BDP("611369BA Muni","MUNI_MSRB_VOLUME")</f>
        <v>#N/A Requesting Data...</v>
      </c>
      <c r="S1515" t="str">
        <f>_xll.BDP("611369BA Muni","BB_COMPOSITE")</f>
        <v>#N/A Requesting Data...</v>
      </c>
      <c r="T1515" t="str">
        <f>_xll.BDP("611369BA Muni","LQA_LIQUIDITY_SCORE")</f>
        <v>#N/A Requesting Data...</v>
      </c>
    </row>
    <row r="1516" spans="1:20" x14ac:dyDescent="0.25">
      <c r="A1516" t="str">
        <f>_xll.BDP("61138PEA Muni","ID_CUSIP")</f>
        <v>#N/A Requesting Data...</v>
      </c>
      <c r="B1516" t="s">
        <v>471</v>
      </c>
      <c r="C1516" t="str">
        <f>_xll.BDP("61138PEA Muni","INSURANCE_STATUS")</f>
        <v>#N/A Requesting Data...</v>
      </c>
      <c r="D1516" t="str">
        <f>_xll.BDP("61138PEA Muni","STATE_CODE")</f>
        <v>#N/A Requesting Data...</v>
      </c>
      <c r="E1516" t="str">
        <f>_xll.BDP("61138PEA Muni","COUNTY_LOCATION_ISSUER")</f>
        <v>#N/A Requesting Data...</v>
      </c>
      <c r="F1516" t="str">
        <f>_xll.BDP("61138PEA Muni","DUR_ADJ_MID")</f>
        <v>#N/A Requesting Data...</v>
      </c>
      <c r="G1516" t="str">
        <f>_xll.BDP("61138PEA Muni","SPREAD_AT_ISSUANCE_TO_WORST")</f>
        <v>#N/A Requesting Data...</v>
      </c>
      <c r="H1516" t="str">
        <f>_xll.BDP("61138PEA Muni","ISSUE_DT")</f>
        <v>#N/A Requesting Data...</v>
      </c>
      <c r="I1516" t="str">
        <f>_xll.BDS("61138PEA Muni","MUNI_PURPOSE_SCHED", "aggregate=y")</f>
        <v>#N/A Review</v>
      </c>
      <c r="J1516" t="str">
        <f>_xll.BDP("61138PEA Muni","CPN")</f>
        <v>#N/A Requesting Data...</v>
      </c>
      <c r="K1516" t="str">
        <f>_xll.BDP("61138PEA Muni","MATURITY")</f>
        <v>#N/A Requesting Data...</v>
      </c>
      <c r="L1516">
        <v>230000</v>
      </c>
      <c r="M1516" t="str">
        <f>_xll.BDP("61138PEA Muni","YIELD_ON_ISSUE_DATE")</f>
        <v>#N/A Requesting Data...</v>
      </c>
      <c r="N1516" t="str">
        <f>_xll.BDP("61138PEA Muni","YTW_SPREAD_TO_MATURITY_AT_ISSU")</f>
        <v>#N/A Requesting Data...</v>
      </c>
      <c r="O1516" t="str">
        <f>_xll.BDP("61138PEA Muni","BVAL_MID_YTM")</f>
        <v>#N/A Requesting Data...</v>
      </c>
      <c r="P1516" t="str">
        <f>_xll.BDP("61138PEA Muni","MUNI_TAX_PROV")</f>
        <v>#N/A Requesting Data...</v>
      </c>
      <c r="Q1516" t="str">
        <f>_xll.BDP("61138PEA Muni","MUNI_FED_TAX")</f>
        <v>#N/A Requesting Data...</v>
      </c>
      <c r="R1516" t="str">
        <f>_xll.BDP("61138PEA Muni","MUNI_MSRB_VOLUME")</f>
        <v>#N/A Requesting Data...</v>
      </c>
      <c r="S1516" t="str">
        <f>_xll.BDP("61138PEA Muni","BB_COMPOSITE")</f>
        <v>#N/A Requesting Data...</v>
      </c>
      <c r="T1516" t="str">
        <f>_xll.BDP("61138PEA Muni","LQA_LIQUIDITY_SCORE")</f>
        <v>#N/A Requesting Data...</v>
      </c>
    </row>
    <row r="1517" spans="1:20" x14ac:dyDescent="0.25">
      <c r="A1517" t="str">
        <f>_xll.BDP("61138PEB Muni","ID_CUSIP")</f>
        <v>#N/A Requesting Data...</v>
      </c>
      <c r="B1517" t="s">
        <v>471</v>
      </c>
      <c r="C1517" t="str">
        <f>_xll.BDP("61138PEB Muni","INSURANCE_STATUS")</f>
        <v>#N/A Requesting Data...</v>
      </c>
      <c r="D1517" t="str">
        <f>_xll.BDP("61138PEB Muni","STATE_CODE")</f>
        <v>#N/A Requesting Data...</v>
      </c>
      <c r="E1517" t="str">
        <f>_xll.BDP("61138PEB Muni","COUNTY_LOCATION_ISSUER")</f>
        <v>#N/A Requesting Data...</v>
      </c>
      <c r="F1517" t="str">
        <f>_xll.BDP("61138PEB Muni","DUR_ADJ_MID")</f>
        <v>#N/A Requesting Data...</v>
      </c>
      <c r="G1517" t="str">
        <f>_xll.BDP("61138PEB Muni","SPREAD_AT_ISSUANCE_TO_WORST")</f>
        <v>#N/A Requesting Data...</v>
      </c>
      <c r="H1517" t="str">
        <f>_xll.BDP("61138PEB Muni","ISSUE_DT")</f>
        <v>#N/A Requesting Data...</v>
      </c>
      <c r="I1517" t="str">
        <f>_xll.BDS("61138PEB Muni","MUNI_PURPOSE_SCHED", "aggregate=y")</f>
        <v>#N/A Review</v>
      </c>
      <c r="J1517" t="str">
        <f>_xll.BDP("61138PEB Muni","CPN")</f>
        <v>#N/A Requesting Data...</v>
      </c>
      <c r="K1517" t="str">
        <f>_xll.BDP("61138PEB Muni","MATURITY")</f>
        <v>#N/A Requesting Data...</v>
      </c>
      <c r="L1517">
        <v>240000</v>
      </c>
      <c r="M1517" t="str">
        <f>_xll.BDP("61138PEB Muni","YIELD_ON_ISSUE_DATE")</f>
        <v>#N/A Requesting Data...</v>
      </c>
      <c r="N1517" t="str">
        <f>_xll.BDP("61138PEB Muni","YTW_SPREAD_TO_MATURITY_AT_ISSU")</f>
        <v>#N/A Requesting Data...</v>
      </c>
      <c r="O1517" t="str">
        <f>_xll.BDP("61138PEB Muni","BVAL_MID_YTM")</f>
        <v>#N/A Requesting Data...</v>
      </c>
      <c r="P1517" t="str">
        <f>_xll.BDP("61138PEB Muni","MUNI_TAX_PROV")</f>
        <v>#N/A Requesting Data...</v>
      </c>
      <c r="Q1517" t="str">
        <f>_xll.BDP("61138PEB Muni","MUNI_FED_TAX")</f>
        <v>#N/A Requesting Data...</v>
      </c>
      <c r="R1517" t="str">
        <f>_xll.BDP("61138PEB Muni","MUNI_MSRB_VOLUME")</f>
        <v>#N/A Requesting Data...</v>
      </c>
      <c r="S1517" t="str">
        <f>_xll.BDP("61138PEB Muni","BB_COMPOSITE")</f>
        <v>#N/A Requesting Data...</v>
      </c>
      <c r="T1517" t="str">
        <f>_xll.BDP("61138PEB Muni","LQA_LIQUIDITY_SCORE")</f>
        <v>#N/A Requesting Data...</v>
      </c>
    </row>
    <row r="1518" spans="1:20" x14ac:dyDescent="0.25">
      <c r="A1518" t="str">
        <f>_xll.BDP("61138PEC Muni","ID_CUSIP")</f>
        <v>#N/A Requesting Data...</v>
      </c>
      <c r="B1518" t="s">
        <v>471</v>
      </c>
      <c r="C1518" t="str">
        <f>_xll.BDP("61138PEC Muni","INSURANCE_STATUS")</f>
        <v>#N/A Requesting Data...</v>
      </c>
      <c r="D1518" t="str">
        <f>_xll.BDP("61138PEC Muni","STATE_CODE")</f>
        <v>#N/A Requesting Data...</v>
      </c>
      <c r="E1518" t="str">
        <f>_xll.BDP("61138PEC Muni","COUNTY_LOCATION_ISSUER")</f>
        <v>#N/A Requesting Data...</v>
      </c>
      <c r="F1518" t="str">
        <f>_xll.BDP("61138PEC Muni","DUR_ADJ_MID")</f>
        <v>#N/A Requesting Data...</v>
      </c>
      <c r="G1518" t="str">
        <f>_xll.BDP("61138PEC Muni","SPREAD_AT_ISSUANCE_TO_WORST")</f>
        <v>#N/A Requesting Data...</v>
      </c>
      <c r="H1518" t="str">
        <f>_xll.BDP("61138PEC Muni","ISSUE_DT")</f>
        <v>#N/A Requesting Data...</v>
      </c>
      <c r="I1518" t="str">
        <f>_xll.BDS("61138PEC Muni","MUNI_PURPOSE_SCHED", "aggregate=y")</f>
        <v>#N/A Review</v>
      </c>
      <c r="J1518" t="str">
        <f>_xll.BDP("61138PEC Muni","CPN")</f>
        <v>#N/A Requesting Data...</v>
      </c>
      <c r="K1518" t="str">
        <f>_xll.BDP("61138PEC Muni","MATURITY")</f>
        <v>#N/A Requesting Data...</v>
      </c>
      <c r="L1518">
        <v>245000</v>
      </c>
      <c r="M1518" t="str">
        <f>_xll.BDP("61138PEC Muni","YIELD_ON_ISSUE_DATE")</f>
        <v>#N/A Requesting Data...</v>
      </c>
      <c r="N1518" t="str">
        <f>_xll.BDP("61138PEC Muni","YTW_SPREAD_TO_MATURITY_AT_ISSU")</f>
        <v>#N/A Requesting Data...</v>
      </c>
      <c r="O1518" t="str">
        <f>_xll.BDP("61138PEC Muni","BVAL_MID_YTM")</f>
        <v>#N/A Requesting Data...</v>
      </c>
      <c r="P1518" t="str">
        <f>_xll.BDP("61138PEC Muni","MUNI_TAX_PROV")</f>
        <v>#N/A Requesting Data...</v>
      </c>
      <c r="Q1518" t="str">
        <f>_xll.BDP("61138PEC Muni","MUNI_FED_TAX")</f>
        <v>#N/A Requesting Data...</v>
      </c>
      <c r="R1518" t="str">
        <f>_xll.BDP("61138PEC Muni","MUNI_MSRB_VOLUME")</f>
        <v>#N/A Requesting Data...</v>
      </c>
      <c r="S1518" t="str">
        <f>_xll.BDP("61138PEC Muni","BB_COMPOSITE")</f>
        <v>#N/A Requesting Data...</v>
      </c>
      <c r="T1518" t="str">
        <f>_xll.BDP("61138PEC Muni","LQA_LIQUIDITY_SCORE")</f>
        <v>#N/A Requesting Data...</v>
      </c>
    </row>
    <row r="1519" spans="1:20" x14ac:dyDescent="0.25">
      <c r="A1519" t="str">
        <f>_xll.BDP("61138PED Muni","ID_CUSIP")</f>
        <v>#N/A Requesting Data...</v>
      </c>
      <c r="B1519" t="s">
        <v>471</v>
      </c>
      <c r="C1519" t="str">
        <f>_xll.BDP("61138PED Muni","INSURANCE_STATUS")</f>
        <v>#N/A Requesting Data...</v>
      </c>
      <c r="D1519" t="str">
        <f>_xll.BDP("61138PED Muni","STATE_CODE")</f>
        <v>#N/A Requesting Data...</v>
      </c>
      <c r="E1519" t="str">
        <f>_xll.BDP("61138PED Muni","COUNTY_LOCATION_ISSUER")</f>
        <v>#N/A Requesting Data...</v>
      </c>
      <c r="F1519" t="str">
        <f>_xll.BDP("61138PED Muni","DUR_ADJ_MID")</f>
        <v>#N/A Requesting Data...</v>
      </c>
      <c r="G1519" t="str">
        <f>_xll.BDP("61138PED Muni","SPREAD_AT_ISSUANCE_TO_WORST")</f>
        <v>#N/A Requesting Data...</v>
      </c>
      <c r="H1519" t="str">
        <f>_xll.BDP("61138PED Muni","ISSUE_DT")</f>
        <v>#N/A Requesting Data...</v>
      </c>
      <c r="I1519" t="str">
        <f>_xll.BDS("61138PED Muni","MUNI_PURPOSE_SCHED", "aggregate=y")</f>
        <v>#N/A Review</v>
      </c>
      <c r="J1519" t="str">
        <f>_xll.BDP("61138PED Muni","CPN")</f>
        <v>#N/A Requesting Data...</v>
      </c>
      <c r="K1519" t="str">
        <f>_xll.BDP("61138PED Muni","MATURITY")</f>
        <v>#N/A Requesting Data...</v>
      </c>
      <c r="L1519">
        <v>255000</v>
      </c>
      <c r="M1519" t="str">
        <f>_xll.BDP("61138PED Muni","YIELD_ON_ISSUE_DATE")</f>
        <v>#N/A Requesting Data...</v>
      </c>
      <c r="N1519" t="str">
        <f>_xll.BDP("61138PED Muni","YTW_SPREAD_TO_MATURITY_AT_ISSU")</f>
        <v>#N/A Requesting Data...</v>
      </c>
      <c r="O1519" t="str">
        <f>_xll.BDP("61138PED Muni","BVAL_MID_YTM")</f>
        <v>#N/A Requesting Data...</v>
      </c>
      <c r="P1519" t="str">
        <f>_xll.BDP("61138PED Muni","MUNI_TAX_PROV")</f>
        <v>#N/A Requesting Data...</v>
      </c>
      <c r="Q1519" t="str">
        <f>_xll.BDP("61138PED Muni","MUNI_FED_TAX")</f>
        <v>#N/A Requesting Data...</v>
      </c>
      <c r="R1519" t="str">
        <f>_xll.BDP("61138PED Muni","MUNI_MSRB_VOLUME")</f>
        <v>#N/A Requesting Data...</v>
      </c>
      <c r="S1519" t="str">
        <f>_xll.BDP("61138PED Muni","BB_COMPOSITE")</f>
        <v>#N/A Requesting Data...</v>
      </c>
      <c r="T1519" t="str">
        <f>_xll.BDP("61138PED Muni","LQA_LIQUIDITY_SCORE")</f>
        <v>#N/A Requesting Data...</v>
      </c>
    </row>
    <row r="1520" spans="1:20" x14ac:dyDescent="0.25">
      <c r="A1520" t="str">
        <f>_xll.BDP("61138PEE Muni","ID_CUSIP")</f>
        <v>#N/A Requesting Data...</v>
      </c>
      <c r="B1520" t="s">
        <v>471</v>
      </c>
      <c r="C1520" t="str">
        <f>_xll.BDP("61138PEE Muni","INSURANCE_STATUS")</f>
        <v>#N/A Requesting Data...</v>
      </c>
      <c r="D1520" t="str">
        <f>_xll.BDP("61138PEE Muni","STATE_CODE")</f>
        <v>#N/A Requesting Data...</v>
      </c>
      <c r="E1520" t="str">
        <f>_xll.BDP("61138PEE Muni","COUNTY_LOCATION_ISSUER")</f>
        <v>#N/A Requesting Data...</v>
      </c>
      <c r="F1520" t="str">
        <f>_xll.BDP("61138PEE Muni","DUR_ADJ_MID")</f>
        <v>#N/A Requesting Data...</v>
      </c>
      <c r="G1520" t="str">
        <f>_xll.BDP("61138PEE Muni","SPREAD_AT_ISSUANCE_TO_WORST")</f>
        <v>#N/A Requesting Data...</v>
      </c>
      <c r="H1520" t="str">
        <f>_xll.BDP("61138PEE Muni","ISSUE_DT")</f>
        <v>#N/A Requesting Data...</v>
      </c>
      <c r="I1520" t="str">
        <f>_xll.BDS("61138PEE Muni","MUNI_PURPOSE_SCHED", "aggregate=y")</f>
        <v>#N/A Review</v>
      </c>
      <c r="J1520" t="str">
        <f>_xll.BDP("61138PEE Muni","CPN")</f>
        <v>#N/A Requesting Data...</v>
      </c>
      <c r="K1520" t="str">
        <f>_xll.BDP("61138PEE Muni","MATURITY")</f>
        <v>#N/A Requesting Data...</v>
      </c>
      <c r="L1520">
        <v>265000</v>
      </c>
      <c r="M1520" t="str">
        <f>_xll.BDP("61138PEE Muni","YIELD_ON_ISSUE_DATE")</f>
        <v>#N/A Requesting Data...</v>
      </c>
      <c r="N1520" t="str">
        <f>_xll.BDP("61138PEE Muni","YTW_SPREAD_TO_MATURITY_AT_ISSU")</f>
        <v>#N/A Requesting Data...</v>
      </c>
      <c r="O1520" t="str">
        <f>_xll.BDP("61138PEE Muni","BVAL_MID_YTM")</f>
        <v>#N/A Requesting Data...</v>
      </c>
      <c r="P1520" t="str">
        <f>_xll.BDP("61138PEE Muni","MUNI_TAX_PROV")</f>
        <v>#N/A Requesting Data...</v>
      </c>
      <c r="Q1520" t="str">
        <f>_xll.BDP("61138PEE Muni","MUNI_FED_TAX")</f>
        <v>#N/A Requesting Data...</v>
      </c>
      <c r="R1520" t="str">
        <f>_xll.BDP("61138PEE Muni","MUNI_MSRB_VOLUME")</f>
        <v>#N/A Requesting Data...</v>
      </c>
      <c r="S1520" t="str">
        <f>_xll.BDP("61138PEE Muni","BB_COMPOSITE")</f>
        <v>#N/A Requesting Data...</v>
      </c>
      <c r="T1520" t="str">
        <f>_xll.BDP("61138PEE Muni","LQA_LIQUIDITY_SCORE")</f>
        <v>#N/A Requesting Data...</v>
      </c>
    </row>
    <row r="1521" spans="1:20" x14ac:dyDescent="0.25">
      <c r="A1521" t="str">
        <f>_xll.BDP("611579AG Muni","ID_CUSIP")</f>
        <v>#N/A Requesting Data...</v>
      </c>
      <c r="B1521" t="s">
        <v>469</v>
      </c>
      <c r="C1521" t="str">
        <f>_xll.BDP("611579AG Muni","INSURANCE_STATUS")</f>
        <v>#N/A Requesting Data...</v>
      </c>
      <c r="D1521" t="str">
        <f>_xll.BDP("611579AG Muni","STATE_CODE")</f>
        <v>#N/A Requesting Data...</v>
      </c>
      <c r="E1521" t="str">
        <f>_xll.BDP("611579AG Muni","COUNTY_LOCATION_ISSUER")</f>
        <v>#N/A Requesting Data...</v>
      </c>
      <c r="F1521" t="str">
        <f>_xll.BDP("611579AG Muni","DUR_ADJ_MID")</f>
        <v>#N/A Requesting Data...</v>
      </c>
      <c r="G1521" t="str">
        <f>_xll.BDP("611579AG Muni","SPREAD_AT_ISSUANCE_TO_WORST")</f>
        <v>#N/A Requesting Data...</v>
      </c>
      <c r="H1521" t="str">
        <f>_xll.BDP("611579AG Muni","ISSUE_DT")</f>
        <v>#N/A Requesting Data...</v>
      </c>
      <c r="I1521" t="str">
        <f>_xll.BDS("611579AG Muni","MUNI_PURPOSE_SCHED", "aggregate=y")</f>
        <v>#N/A Review</v>
      </c>
      <c r="J1521" t="str">
        <f>_xll.BDP("611579AG Muni","CPN")</f>
        <v>#N/A Requesting Data...</v>
      </c>
      <c r="K1521" t="str">
        <f>_xll.BDP("611579AG Muni","MATURITY")</f>
        <v>#N/A Requesting Data...</v>
      </c>
      <c r="L1521">
        <v>830000</v>
      </c>
      <c r="M1521" t="str">
        <f>_xll.BDP("611579AG Muni","YIELD_ON_ISSUE_DATE")</f>
        <v>#N/A Requesting Data...</v>
      </c>
      <c r="N1521" t="str">
        <f>_xll.BDP("611579AG Muni","YTW_SPREAD_TO_MATURITY_AT_ISSU")</f>
        <v>#N/A Requesting Data...</v>
      </c>
      <c r="O1521" t="str">
        <f>_xll.BDP("611579AG Muni","BVAL_MID_YTM")</f>
        <v>#N/A Requesting Data...</v>
      </c>
      <c r="P1521" t="str">
        <f>_xll.BDP("611579AG Muni","MUNI_TAX_PROV")</f>
        <v>#N/A Requesting Data...</v>
      </c>
      <c r="Q1521" t="str">
        <f>_xll.BDP("611579AG Muni","MUNI_FED_TAX")</f>
        <v>#N/A Requesting Data...</v>
      </c>
      <c r="R1521" t="str">
        <f>_xll.BDP("611579AG Muni","MUNI_MSRB_VOLUME")</f>
        <v>#N/A Requesting Data...</v>
      </c>
      <c r="S1521" t="str">
        <f>_xll.BDP("611579AG Muni","BB_COMPOSITE")</f>
        <v>#N/A Requesting Data...</v>
      </c>
      <c r="T1521" t="str">
        <f>_xll.BDP("611579AG Muni","LQA_LIQUIDITY_SCORE")</f>
        <v>#N/A Requesting Data...</v>
      </c>
    </row>
    <row r="1522" spans="1:20" x14ac:dyDescent="0.25">
      <c r="A1522" t="str">
        <f>_xll.BDP("611579AH Muni","ID_CUSIP")</f>
        <v>#N/A Requesting Data...</v>
      </c>
      <c r="B1522" t="s">
        <v>469</v>
      </c>
      <c r="C1522" t="str">
        <f>_xll.BDP("611579AH Muni","INSURANCE_STATUS")</f>
        <v>#N/A Requesting Data...</v>
      </c>
      <c r="D1522" t="str">
        <f>_xll.BDP("611579AH Muni","STATE_CODE")</f>
        <v>#N/A Requesting Data...</v>
      </c>
      <c r="E1522" t="str">
        <f>_xll.BDP("611579AH Muni","COUNTY_LOCATION_ISSUER")</f>
        <v>#N/A Requesting Data...</v>
      </c>
      <c r="F1522" t="str">
        <f>_xll.BDP("611579AH Muni","DUR_ADJ_MID")</f>
        <v>#N/A Requesting Data...</v>
      </c>
      <c r="G1522" t="str">
        <f>_xll.BDP("611579AH Muni","SPREAD_AT_ISSUANCE_TO_WORST")</f>
        <v>#N/A Requesting Data...</v>
      </c>
      <c r="H1522" t="str">
        <f>_xll.BDP("611579AH Muni","ISSUE_DT")</f>
        <v>#N/A Requesting Data...</v>
      </c>
      <c r="I1522" t="str">
        <f>_xll.BDS("611579AH Muni","MUNI_PURPOSE_SCHED", "aggregate=y")</f>
        <v>#N/A Review</v>
      </c>
      <c r="J1522" t="str">
        <f>_xll.BDP("611579AH Muni","CPN")</f>
        <v>#N/A Requesting Data...</v>
      </c>
      <c r="K1522" t="str">
        <f>_xll.BDP("611579AH Muni","MATURITY")</f>
        <v>#N/A Requesting Data...</v>
      </c>
      <c r="L1522">
        <v>860000</v>
      </c>
      <c r="M1522" t="str">
        <f>_xll.BDP("611579AH Muni","YIELD_ON_ISSUE_DATE")</f>
        <v>#N/A Requesting Data...</v>
      </c>
      <c r="N1522" t="str">
        <f>_xll.BDP("611579AH Muni","YTW_SPREAD_TO_MATURITY_AT_ISSU")</f>
        <v>#N/A Requesting Data...</v>
      </c>
      <c r="O1522" t="str">
        <f>_xll.BDP("611579AH Muni","BVAL_MID_YTM")</f>
        <v>#N/A Requesting Data...</v>
      </c>
      <c r="P1522" t="str">
        <f>_xll.BDP("611579AH Muni","MUNI_TAX_PROV")</f>
        <v>#N/A Requesting Data...</v>
      </c>
      <c r="Q1522" t="str">
        <f>_xll.BDP("611579AH Muni","MUNI_FED_TAX")</f>
        <v>#N/A Requesting Data...</v>
      </c>
      <c r="R1522" t="str">
        <f>_xll.BDP("611579AH Muni","MUNI_MSRB_VOLUME")</f>
        <v>#N/A Requesting Data...</v>
      </c>
      <c r="S1522" t="str">
        <f>_xll.BDP("611579AH Muni","BB_COMPOSITE")</f>
        <v>#N/A Requesting Data...</v>
      </c>
      <c r="T1522" t="str">
        <f>_xll.BDP("611579AH Muni","LQA_LIQUIDITY_SCORE")</f>
        <v>#N/A Requesting Data...</v>
      </c>
    </row>
    <row r="1523" spans="1:20" x14ac:dyDescent="0.25">
      <c r="A1523" t="str">
        <f>_xll.BDP("62507PDX Muni","ID_CUSIP")</f>
        <v>#N/A Requesting Data...</v>
      </c>
      <c r="B1523" t="s">
        <v>418</v>
      </c>
      <c r="C1523" t="str">
        <f>_xll.BDP("62507PDX Muni","INSURANCE_STATUS")</f>
        <v>#N/A Requesting Data...</v>
      </c>
      <c r="D1523" t="str">
        <f>_xll.BDP("62507PDX Muni","STATE_CODE")</f>
        <v>#N/A Requesting Data...</v>
      </c>
      <c r="E1523" t="str">
        <f>_xll.BDP("62507PDX Muni","COUNTY_LOCATION_ISSUER")</f>
        <v>#N/A Requesting Data...</v>
      </c>
      <c r="F1523" t="str">
        <f>_xll.BDP("62507PDX Muni","DUR_ADJ_MID")</f>
        <v>#N/A Requesting Data...</v>
      </c>
      <c r="G1523" t="str">
        <f>_xll.BDP("62507PDX Muni","SPREAD_AT_ISSUANCE_TO_WORST")</f>
        <v>#N/A Requesting Data...</v>
      </c>
      <c r="H1523" t="str">
        <f>_xll.BDP("62507PDX Muni","ISSUE_DT")</f>
        <v>#N/A Requesting Data...</v>
      </c>
      <c r="I1523" t="str">
        <f>_xll.BDS("62507PDX Muni","MUNI_PURPOSE_SCHED", "aggregate=y")</f>
        <v>#N/A Review</v>
      </c>
      <c r="J1523" t="str">
        <f>_xll.BDP("62507PDX Muni","CPN")</f>
        <v>#N/A Requesting Data...</v>
      </c>
      <c r="K1523" t="str">
        <f>_xll.BDP("62507PDX Muni","MATURITY")</f>
        <v>#N/A Requesting Data...</v>
      </c>
      <c r="L1523">
        <v>330000</v>
      </c>
      <c r="M1523" t="str">
        <f>_xll.BDP("62507PDX Muni","YIELD_ON_ISSUE_DATE")</f>
        <v>#N/A Requesting Data...</v>
      </c>
      <c r="N1523" t="str">
        <f>_xll.BDP("62507PDX Muni","YTW_SPREAD_TO_MATURITY_AT_ISSU")</f>
        <v>#N/A Requesting Data...</v>
      </c>
      <c r="O1523" t="str">
        <f>_xll.BDP("62507PDX Muni","BVAL_MID_YTM")</f>
        <v>#N/A Requesting Data...</v>
      </c>
      <c r="P1523" t="str">
        <f>_xll.BDP("62507PDX Muni","MUNI_TAX_PROV")</f>
        <v>#N/A Requesting Data...</v>
      </c>
      <c r="Q1523" t="str">
        <f>_xll.BDP("62507PDX Muni","MUNI_FED_TAX")</f>
        <v>#N/A Requesting Data...</v>
      </c>
      <c r="R1523" t="str">
        <f>_xll.BDP("62507PDX Muni","MUNI_MSRB_VOLUME")</f>
        <v>#N/A Requesting Data...</v>
      </c>
      <c r="S1523" t="str">
        <f>_xll.BDP("62507PDX Muni","BB_COMPOSITE")</f>
        <v>#N/A Requesting Data...</v>
      </c>
      <c r="T1523" t="str">
        <f>_xll.BDP("62507PDX Muni","LQA_LIQUIDITY_SCORE")</f>
        <v>#N/A Requesting Data...</v>
      </c>
    </row>
    <row r="1524" spans="1:20" x14ac:dyDescent="0.25">
      <c r="A1524" t="str">
        <f>_xll.BDP("6457915J Muni","ID_CUSIP")</f>
        <v>#N/A Requesting Data...</v>
      </c>
      <c r="B1524" t="s">
        <v>86</v>
      </c>
      <c r="C1524" t="str">
        <f>_xll.BDP("6457915J Muni","INSURANCE_STATUS")</f>
        <v>#N/A Requesting Data...</v>
      </c>
      <c r="D1524" t="str">
        <f>_xll.BDP("6457915J Muni","STATE_CODE")</f>
        <v>#N/A Requesting Data...</v>
      </c>
      <c r="E1524" t="str">
        <f>_xll.BDP("6457915J Muni","COUNTY_LOCATION_ISSUER")</f>
        <v>#N/A Requesting Data...</v>
      </c>
      <c r="F1524" t="str">
        <f>_xll.BDP("6457915J Muni","DUR_ADJ_MID")</f>
        <v>#N/A Requesting Data...</v>
      </c>
      <c r="G1524" t="str">
        <f>_xll.BDP("6457915J Muni","SPREAD_AT_ISSUANCE_TO_WORST")</f>
        <v>#N/A Requesting Data...</v>
      </c>
      <c r="H1524" t="str">
        <f>_xll.BDP("6457915J Muni","ISSUE_DT")</f>
        <v>#N/A Requesting Data...</v>
      </c>
      <c r="I1524" t="str">
        <f>_xll.BDS("6457915J Muni","MUNI_PURPOSE_SCHED", "aggregate=y")</f>
        <v>#N/A Review</v>
      </c>
      <c r="J1524" t="str">
        <f>_xll.BDP("6457915J Muni","CPN")</f>
        <v>#N/A Requesting Data...</v>
      </c>
      <c r="K1524" t="str">
        <f>_xll.BDP("6457915J Muni","MATURITY")</f>
        <v>#N/A Requesting Data...</v>
      </c>
      <c r="L1524">
        <v>300000</v>
      </c>
      <c r="M1524" t="str">
        <f>_xll.BDP("6457915J Muni","YIELD_ON_ISSUE_DATE")</f>
        <v>#N/A Requesting Data...</v>
      </c>
      <c r="N1524" t="str">
        <f>_xll.BDP("6457915J Muni","YTW_SPREAD_TO_MATURITY_AT_ISSU")</f>
        <v>#N/A Requesting Data...</v>
      </c>
      <c r="O1524" t="str">
        <f>_xll.BDP("6457915J Muni","BVAL_MID_YTM")</f>
        <v>#N/A Requesting Data...</v>
      </c>
      <c r="P1524" t="str">
        <f>_xll.BDP("6457915J Muni","MUNI_TAX_PROV")</f>
        <v>#N/A Requesting Data...</v>
      </c>
      <c r="Q1524" t="str">
        <f>_xll.BDP("6457915J Muni","MUNI_FED_TAX")</f>
        <v>#N/A Requesting Data...</v>
      </c>
      <c r="R1524" t="str">
        <f>_xll.BDP("6457915J Muni","MUNI_MSRB_VOLUME")</f>
        <v>#N/A Requesting Data...</v>
      </c>
      <c r="S1524" t="str">
        <f>_xll.BDP("6457915J Muni","BB_COMPOSITE")</f>
        <v>#N/A Requesting Data...</v>
      </c>
      <c r="T1524" t="str">
        <f>_xll.BDP("6457915J Muni","LQA_LIQUIDITY_SCORE")</f>
        <v>#N/A Requesting Data...</v>
      </c>
    </row>
    <row r="1525" spans="1:20" x14ac:dyDescent="0.25">
      <c r="A1525" t="str">
        <f>_xll.BDP("645791V7 Muni","ID_CUSIP")</f>
        <v>#N/A Requesting Data...</v>
      </c>
      <c r="B1525" t="s">
        <v>86</v>
      </c>
      <c r="C1525" t="str">
        <f>_xll.BDP("645791V7 Muni","INSURANCE_STATUS")</f>
        <v>#N/A Requesting Data...</v>
      </c>
      <c r="D1525" t="str">
        <f>_xll.BDP("645791V7 Muni","STATE_CODE")</f>
        <v>#N/A Requesting Data...</v>
      </c>
      <c r="E1525" t="str">
        <f>_xll.BDP("645791V7 Muni","COUNTY_LOCATION_ISSUER")</f>
        <v>#N/A Requesting Data...</v>
      </c>
      <c r="F1525" t="str">
        <f>_xll.BDP("645791V7 Muni","DUR_ADJ_MID")</f>
        <v>#N/A Requesting Data...</v>
      </c>
      <c r="G1525" t="str">
        <f>_xll.BDP("645791V7 Muni","SPREAD_AT_ISSUANCE_TO_WORST")</f>
        <v>#N/A Requesting Data...</v>
      </c>
      <c r="H1525" t="str">
        <f>_xll.BDP("645791V7 Muni","ISSUE_DT")</f>
        <v>#N/A Requesting Data...</v>
      </c>
      <c r="I1525" t="str">
        <f>_xll.BDS("645791V7 Muni","MUNI_PURPOSE_SCHED", "aggregate=y")</f>
        <v>#N/A Review</v>
      </c>
      <c r="J1525" t="str">
        <f>_xll.BDP("645791V7 Muni","CPN")</f>
        <v>#N/A Requesting Data...</v>
      </c>
      <c r="K1525" t="str">
        <f>_xll.BDP("645791V7 Muni","MATURITY")</f>
        <v>#N/A Requesting Data...</v>
      </c>
      <c r="L1525">
        <v>1080000</v>
      </c>
      <c r="M1525" t="str">
        <f>_xll.BDP("645791V7 Muni","YIELD_ON_ISSUE_DATE")</f>
        <v>#N/A Requesting Data...</v>
      </c>
      <c r="N1525" t="str">
        <f>_xll.BDP("645791V7 Muni","YTW_SPREAD_TO_MATURITY_AT_ISSU")</f>
        <v>#N/A Requesting Data...</v>
      </c>
      <c r="O1525" t="str">
        <f>_xll.BDP("645791V7 Muni","BVAL_MID_YTM")</f>
        <v>#N/A Requesting Data...</v>
      </c>
      <c r="P1525" t="str">
        <f>_xll.BDP("645791V7 Muni","MUNI_TAX_PROV")</f>
        <v>#N/A Requesting Data...</v>
      </c>
      <c r="Q1525" t="str">
        <f>_xll.BDP("645791V7 Muni","MUNI_FED_TAX")</f>
        <v>#N/A Requesting Data...</v>
      </c>
      <c r="R1525" t="str">
        <f>_xll.BDP("645791V7 Muni","MUNI_MSRB_VOLUME")</f>
        <v>#N/A Requesting Data...</v>
      </c>
      <c r="S1525" t="str">
        <f>_xll.BDP("645791V7 Muni","BB_COMPOSITE")</f>
        <v>#N/A Requesting Data...</v>
      </c>
      <c r="T1525" t="str">
        <f>_xll.BDP("645791V7 Muni","LQA_LIQUIDITY_SCORE")</f>
        <v>#N/A Requesting Data...</v>
      </c>
    </row>
    <row r="1526" spans="1:20" x14ac:dyDescent="0.25">
      <c r="A1526" t="str">
        <f>_xll.BDP("66748PJF Muni","ID_CUSIP")</f>
        <v>#N/A Requesting Data...</v>
      </c>
      <c r="B1526" t="s">
        <v>472</v>
      </c>
      <c r="C1526" t="str">
        <f>_xll.BDP("66748PJF Muni","INSURANCE_STATUS")</f>
        <v>#N/A Requesting Data...</v>
      </c>
      <c r="D1526" t="str">
        <f>_xll.BDP("66748PJF Muni","STATE_CODE")</f>
        <v>#N/A Requesting Data...</v>
      </c>
      <c r="E1526" t="str">
        <f>_xll.BDP("66748PJF Muni","COUNTY_LOCATION_ISSUER")</f>
        <v>#N/A Requesting Data...</v>
      </c>
      <c r="F1526" t="str">
        <f>_xll.BDP("66748PJF Muni","DUR_ADJ_MID")</f>
        <v>#N/A Requesting Data...</v>
      </c>
      <c r="G1526" t="str">
        <f>_xll.BDP("66748PJF Muni","SPREAD_AT_ISSUANCE_TO_WORST")</f>
        <v>#N/A Requesting Data...</v>
      </c>
      <c r="H1526" t="str">
        <f>_xll.BDP("66748PJF Muni","ISSUE_DT")</f>
        <v>#N/A Requesting Data...</v>
      </c>
      <c r="I1526" t="str">
        <f>_xll.BDS("66748PJF Muni","MUNI_PURPOSE_SCHED", "aggregate=y")</f>
        <v>#N/A Review</v>
      </c>
      <c r="J1526" t="str">
        <f>_xll.BDP("66748PJF Muni","CPN")</f>
        <v>#N/A Requesting Data...</v>
      </c>
      <c r="K1526" t="str">
        <f>_xll.BDP("66748PJF Muni","MATURITY")</f>
        <v>#N/A Requesting Data...</v>
      </c>
      <c r="L1526">
        <v>40000</v>
      </c>
      <c r="M1526" t="str">
        <f>_xll.BDP("66748PJF Muni","YIELD_ON_ISSUE_DATE")</f>
        <v>#N/A Requesting Data...</v>
      </c>
      <c r="N1526" t="str">
        <f>_xll.BDP("66748PJF Muni","YTW_SPREAD_TO_MATURITY_AT_ISSU")</f>
        <v>#N/A Requesting Data...</v>
      </c>
      <c r="O1526" t="str">
        <f>_xll.BDP("66748PJF Muni","BVAL_MID_YTM")</f>
        <v>#N/A Requesting Data...</v>
      </c>
      <c r="P1526" t="str">
        <f>_xll.BDP("66748PJF Muni","MUNI_TAX_PROV")</f>
        <v>#N/A Requesting Data...</v>
      </c>
      <c r="Q1526" t="str">
        <f>_xll.BDP("66748PJF Muni","MUNI_FED_TAX")</f>
        <v>#N/A Requesting Data...</v>
      </c>
      <c r="R1526" t="str">
        <f>_xll.BDP("66748PJF Muni","MUNI_MSRB_VOLUME")</f>
        <v>#N/A Requesting Data...</v>
      </c>
      <c r="S1526" t="str">
        <f>_xll.BDP("66748PJF Muni","BB_COMPOSITE")</f>
        <v>#N/A Requesting Data...</v>
      </c>
      <c r="T1526" t="str">
        <f>_xll.BDP("66748PJF Muni","LQA_LIQUIDITY_SCORE")</f>
        <v>#N/A Requesting Data...</v>
      </c>
    </row>
    <row r="1527" spans="1:20" x14ac:dyDescent="0.25">
      <c r="A1527" t="str">
        <f>_xll.BDP("66748PJG Muni","ID_CUSIP")</f>
        <v>#N/A Requesting Data...</v>
      </c>
      <c r="B1527" t="s">
        <v>472</v>
      </c>
      <c r="C1527" t="str">
        <f>_xll.BDP("66748PJG Muni","INSURANCE_STATUS")</f>
        <v>#N/A Requesting Data...</v>
      </c>
      <c r="D1527" t="str">
        <f>_xll.BDP("66748PJG Muni","STATE_CODE")</f>
        <v>#N/A Requesting Data...</v>
      </c>
      <c r="E1527" t="str">
        <f>_xll.BDP("66748PJG Muni","COUNTY_LOCATION_ISSUER")</f>
        <v>#N/A Requesting Data...</v>
      </c>
      <c r="F1527" t="str">
        <f>_xll.BDP("66748PJG Muni","DUR_ADJ_MID")</f>
        <v>#N/A Requesting Data...</v>
      </c>
      <c r="G1527" t="str">
        <f>_xll.BDP("66748PJG Muni","SPREAD_AT_ISSUANCE_TO_WORST")</f>
        <v>#N/A Requesting Data...</v>
      </c>
      <c r="H1527" t="str">
        <f>_xll.BDP("66748PJG Muni","ISSUE_DT")</f>
        <v>#N/A Requesting Data...</v>
      </c>
      <c r="I1527" t="str">
        <f>_xll.BDS("66748PJG Muni","MUNI_PURPOSE_SCHED", "aggregate=y")</f>
        <v>#N/A Review</v>
      </c>
      <c r="J1527" t="str">
        <f>_xll.BDP("66748PJG Muni","CPN")</f>
        <v>#N/A Requesting Data...</v>
      </c>
      <c r="K1527" t="str">
        <f>_xll.BDP("66748PJG Muni","MATURITY")</f>
        <v>#N/A Requesting Data...</v>
      </c>
      <c r="L1527">
        <v>40000</v>
      </c>
      <c r="M1527" t="str">
        <f>_xll.BDP("66748PJG Muni","YIELD_ON_ISSUE_DATE")</f>
        <v>#N/A Requesting Data...</v>
      </c>
      <c r="N1527" t="str">
        <f>_xll.BDP("66748PJG Muni","YTW_SPREAD_TO_MATURITY_AT_ISSU")</f>
        <v>#N/A Requesting Data...</v>
      </c>
      <c r="O1527" t="str">
        <f>_xll.BDP("66748PJG Muni","BVAL_MID_YTM")</f>
        <v>#N/A Requesting Data...</v>
      </c>
      <c r="P1527" t="str">
        <f>_xll.BDP("66748PJG Muni","MUNI_TAX_PROV")</f>
        <v>#N/A Requesting Data...</v>
      </c>
      <c r="Q1527" t="str">
        <f>_xll.BDP("66748PJG Muni","MUNI_FED_TAX")</f>
        <v>#N/A Requesting Data...</v>
      </c>
      <c r="R1527" t="str">
        <f>_xll.BDP("66748PJG Muni","MUNI_MSRB_VOLUME")</f>
        <v>#N/A Requesting Data...</v>
      </c>
      <c r="S1527" t="str">
        <f>_xll.BDP("66748PJG Muni","BB_COMPOSITE")</f>
        <v>#N/A Requesting Data...</v>
      </c>
      <c r="T1527" t="str">
        <f>_xll.BDP("66748PJG Muni","LQA_LIQUIDITY_SCORE")</f>
        <v>#N/A Requesting Data...</v>
      </c>
    </row>
    <row r="1528" spans="1:20" x14ac:dyDescent="0.25">
      <c r="A1528" t="str">
        <f>_xll.BDP("667736JR Muni","ID_CUSIP")</f>
        <v>#N/A Requesting Data...</v>
      </c>
      <c r="B1528" t="s">
        <v>473</v>
      </c>
      <c r="C1528" t="str">
        <f>_xll.BDP("667736JR Muni","INSURANCE_STATUS")</f>
        <v>#N/A Requesting Data...</v>
      </c>
      <c r="D1528" t="str">
        <f>_xll.BDP("667736JR Muni","STATE_CODE")</f>
        <v>#N/A Requesting Data...</v>
      </c>
      <c r="E1528" t="str">
        <f>_xll.BDP("667736JR Muni","COUNTY_LOCATION_ISSUER")</f>
        <v>#N/A Requesting Data...</v>
      </c>
      <c r="F1528" t="str">
        <f>_xll.BDP("667736JR Muni","DUR_ADJ_MID")</f>
        <v>#N/A Requesting Data...</v>
      </c>
      <c r="G1528" t="str">
        <f>_xll.BDP("667736JR Muni","SPREAD_AT_ISSUANCE_TO_WORST")</f>
        <v>#N/A Requesting Data...</v>
      </c>
      <c r="H1528" t="str">
        <f>_xll.BDP("667736JR Muni","ISSUE_DT")</f>
        <v>#N/A Requesting Data...</v>
      </c>
      <c r="I1528" t="str">
        <f>_xll.BDS("667736JR Muni","MUNI_PURPOSE_SCHED", "aggregate=y")</f>
        <v>#N/A Review</v>
      </c>
      <c r="J1528" t="str">
        <f>_xll.BDP("667736JR Muni","CPN")</f>
        <v>#N/A Requesting Data...</v>
      </c>
      <c r="K1528" t="str">
        <f>_xll.BDP("667736JR Muni","MATURITY")</f>
        <v>#N/A Requesting Data...</v>
      </c>
      <c r="L1528">
        <v>100000</v>
      </c>
      <c r="M1528" t="str">
        <f>_xll.BDP("667736JR Muni","YIELD_ON_ISSUE_DATE")</f>
        <v>#N/A Requesting Data...</v>
      </c>
      <c r="N1528" t="str">
        <f>_xll.BDP("667736JR Muni","YTW_SPREAD_TO_MATURITY_AT_ISSU")</f>
        <v>#N/A Requesting Data...</v>
      </c>
      <c r="O1528" t="str">
        <f>_xll.BDP("667736JR Muni","BVAL_MID_YTM")</f>
        <v>#N/A Requesting Data...</v>
      </c>
      <c r="P1528" t="str">
        <f>_xll.BDP("667736JR Muni","MUNI_TAX_PROV")</f>
        <v>#N/A Requesting Data...</v>
      </c>
      <c r="Q1528" t="str">
        <f>_xll.BDP("667736JR Muni","MUNI_FED_TAX")</f>
        <v>#N/A Requesting Data...</v>
      </c>
      <c r="R1528" t="str">
        <f>_xll.BDP("667736JR Muni","MUNI_MSRB_VOLUME")</f>
        <v>#N/A Requesting Data...</v>
      </c>
      <c r="S1528" t="str">
        <f>_xll.BDP("667736JR Muni","BB_COMPOSITE")</f>
        <v>#N/A Requesting Data...</v>
      </c>
      <c r="T1528" t="str">
        <f>_xll.BDP("667736JR Muni","LQA_LIQUIDITY_SCORE")</f>
        <v>#N/A Requesting Data...</v>
      </c>
    </row>
    <row r="1529" spans="1:20" x14ac:dyDescent="0.25">
      <c r="A1529" t="str">
        <f>_xll.BDP("671765BF Muni","ID_CUSIP")</f>
        <v>#N/A Requesting Data...</v>
      </c>
      <c r="B1529" t="s">
        <v>438</v>
      </c>
      <c r="C1529" t="str">
        <f>_xll.BDP("671765BF Muni","INSURANCE_STATUS")</f>
        <v>#N/A Requesting Data...</v>
      </c>
      <c r="D1529" t="str">
        <f>_xll.BDP("671765BF Muni","STATE_CODE")</f>
        <v>#N/A Requesting Data...</v>
      </c>
      <c r="E1529" t="str">
        <f>_xll.BDP("671765BF Muni","COUNTY_LOCATION_ISSUER")</f>
        <v>#N/A Requesting Data...</v>
      </c>
      <c r="F1529" t="str">
        <f>_xll.BDP("671765BF Muni","DUR_ADJ_MID")</f>
        <v>#N/A Requesting Data...</v>
      </c>
      <c r="G1529" t="str">
        <f>_xll.BDP("671765BF Muni","SPREAD_AT_ISSUANCE_TO_WORST")</f>
        <v>#N/A Requesting Data...</v>
      </c>
      <c r="H1529" t="str">
        <f>_xll.BDP("671765BF Muni","ISSUE_DT")</f>
        <v>#N/A Requesting Data...</v>
      </c>
      <c r="I1529" t="str">
        <f>_xll.BDS("671765BF Muni","MUNI_PURPOSE_SCHED", "aggregate=y")</f>
        <v>#N/A Review</v>
      </c>
      <c r="J1529" t="str">
        <f>_xll.BDP("671765BF Muni","CPN")</f>
        <v>#N/A Requesting Data...</v>
      </c>
      <c r="K1529" t="str">
        <f>_xll.BDP("671765BF Muni","MATURITY")</f>
        <v>#N/A Requesting Data...</v>
      </c>
      <c r="L1529">
        <v>95000</v>
      </c>
      <c r="M1529" t="str">
        <f>_xll.BDP("671765BF Muni","YIELD_ON_ISSUE_DATE")</f>
        <v>#N/A Requesting Data...</v>
      </c>
      <c r="N1529" t="str">
        <f>_xll.BDP("671765BF Muni","YTW_SPREAD_TO_MATURITY_AT_ISSU")</f>
        <v>#N/A Requesting Data...</v>
      </c>
      <c r="O1529" t="str">
        <f>_xll.BDP("671765BF Muni","BVAL_MID_YTM")</f>
        <v>#N/A Requesting Data...</v>
      </c>
      <c r="P1529" t="str">
        <f>_xll.BDP("671765BF Muni","MUNI_TAX_PROV")</f>
        <v>#N/A Requesting Data...</v>
      </c>
      <c r="Q1529" t="str">
        <f>_xll.BDP("671765BF Muni","MUNI_FED_TAX")</f>
        <v>#N/A Requesting Data...</v>
      </c>
      <c r="R1529" t="str">
        <f>_xll.BDP("671765BF Muni","MUNI_MSRB_VOLUME")</f>
        <v>#N/A Requesting Data...</v>
      </c>
      <c r="S1529" t="str">
        <f>_xll.BDP("671765BF Muni","BB_COMPOSITE")</f>
        <v>#N/A Requesting Data...</v>
      </c>
      <c r="T1529" t="str">
        <f>_xll.BDP("671765BF Muni","LQA_LIQUIDITY_SCORE")</f>
        <v>#N/A Requesting Data...</v>
      </c>
    </row>
    <row r="1530" spans="1:20" x14ac:dyDescent="0.25">
      <c r="A1530" t="str">
        <f>_xll.BDP("641322BH Muni","ID_CUSIP")</f>
        <v>#N/A Requesting Data...</v>
      </c>
      <c r="B1530" t="s">
        <v>48</v>
      </c>
      <c r="C1530" t="str">
        <f>_xll.BDP("641322BH Muni","INSURANCE_STATUS")</f>
        <v>#N/A Requesting Data...</v>
      </c>
      <c r="D1530" t="str">
        <f>_xll.BDP("641322BH Muni","STATE_CODE")</f>
        <v>#N/A Requesting Data...</v>
      </c>
      <c r="E1530" t="str">
        <f>_xll.BDP("641322BH Muni","COUNTY_LOCATION_ISSUER")</f>
        <v>#N/A Requesting Data...</v>
      </c>
      <c r="F1530" t="str">
        <f>_xll.BDP("641322BH Muni","DUR_ADJ_MID")</f>
        <v>#N/A Requesting Data...</v>
      </c>
      <c r="G1530" t="str">
        <f>_xll.BDP("641322BH Muni","SPREAD_AT_ISSUANCE_TO_WORST")</f>
        <v>#N/A Requesting Data...</v>
      </c>
      <c r="H1530" t="str">
        <f>_xll.BDP("641322BH Muni","ISSUE_DT")</f>
        <v>#N/A Requesting Data...</v>
      </c>
      <c r="I1530" t="str">
        <f>_xll.BDS("641322BH Muni","MUNI_PURPOSE_SCHED", "aggregate=y")</f>
        <v>#N/A Review</v>
      </c>
      <c r="J1530" t="str">
        <f>_xll.BDP("641322BH Muni","CPN")</f>
        <v>#N/A Requesting Data...</v>
      </c>
      <c r="K1530" t="str">
        <f>_xll.BDP("641322BH Muni","MATURITY")</f>
        <v>#N/A Requesting Data...</v>
      </c>
      <c r="L1530">
        <v>1490000</v>
      </c>
      <c r="M1530" t="str">
        <f>_xll.BDP("641322BH Muni","YIELD_ON_ISSUE_DATE")</f>
        <v>#N/A Requesting Data...</v>
      </c>
      <c r="N1530" t="str">
        <f>_xll.BDP("641322BH Muni","YTW_SPREAD_TO_MATURITY_AT_ISSU")</f>
        <v>#N/A Requesting Data...</v>
      </c>
      <c r="O1530" t="str">
        <f>_xll.BDP("641322BH Muni","BVAL_MID_YTM")</f>
        <v>#N/A Requesting Data...</v>
      </c>
      <c r="P1530" t="str">
        <f>_xll.BDP("641322BH Muni","MUNI_TAX_PROV")</f>
        <v>#N/A Requesting Data...</v>
      </c>
      <c r="Q1530" t="str">
        <f>_xll.BDP("641322BH Muni","MUNI_FED_TAX")</f>
        <v>#N/A Requesting Data...</v>
      </c>
      <c r="R1530" t="str">
        <f>_xll.BDP("641322BH Muni","MUNI_MSRB_VOLUME")</f>
        <v>#N/A Requesting Data...</v>
      </c>
      <c r="S1530" t="str">
        <f>_xll.BDP("641322BH Muni","BB_COMPOSITE")</f>
        <v>#N/A Requesting Data...</v>
      </c>
      <c r="T1530" t="str">
        <f>_xll.BDP("641322BH Muni","LQA_LIQUIDITY_SCORE")</f>
        <v>#N/A Requesting Data...</v>
      </c>
    </row>
    <row r="1531" spans="1:20" x14ac:dyDescent="0.25">
      <c r="A1531" t="str">
        <f>_xll.BDP("641322BL Muni","ID_CUSIP")</f>
        <v>#N/A Requesting Data...</v>
      </c>
      <c r="B1531" t="s">
        <v>48</v>
      </c>
      <c r="C1531" t="str">
        <f>_xll.BDP("641322BL Muni","INSURANCE_STATUS")</f>
        <v>#N/A Requesting Data...</v>
      </c>
      <c r="D1531" t="str">
        <f>_xll.BDP("641322BL Muni","STATE_CODE")</f>
        <v>#N/A Requesting Data...</v>
      </c>
      <c r="E1531" t="str">
        <f>_xll.BDP("641322BL Muni","COUNTY_LOCATION_ISSUER")</f>
        <v>#N/A Requesting Data...</v>
      </c>
      <c r="F1531" t="str">
        <f>_xll.BDP("641322BL Muni","DUR_ADJ_MID")</f>
        <v>#N/A Requesting Data...</v>
      </c>
      <c r="G1531" t="str">
        <f>_xll.BDP("641322BL Muni","SPREAD_AT_ISSUANCE_TO_WORST")</f>
        <v>#N/A Requesting Data...</v>
      </c>
      <c r="H1531" t="str">
        <f>_xll.BDP("641322BL Muni","ISSUE_DT")</f>
        <v>#N/A Requesting Data...</v>
      </c>
      <c r="I1531" t="str">
        <f>_xll.BDS("641322BL Muni","MUNI_PURPOSE_SCHED", "aggregate=y")</f>
        <v>#N/A Review</v>
      </c>
      <c r="J1531" t="str">
        <f>_xll.BDP("641322BL Muni","CPN")</f>
        <v>#N/A Requesting Data...</v>
      </c>
      <c r="K1531" t="str">
        <f>_xll.BDP("641322BL Muni","MATURITY")</f>
        <v>#N/A Requesting Data...</v>
      </c>
      <c r="L1531">
        <v>1730000</v>
      </c>
      <c r="M1531" t="str">
        <f>_xll.BDP("641322BL Muni","YIELD_ON_ISSUE_DATE")</f>
        <v>#N/A Requesting Data...</v>
      </c>
      <c r="N1531" t="str">
        <f>_xll.BDP("641322BL Muni","YTW_SPREAD_TO_MATURITY_AT_ISSU")</f>
        <v>#N/A Requesting Data...</v>
      </c>
      <c r="O1531" t="str">
        <f>_xll.BDP("641322BL Muni","BVAL_MID_YTM")</f>
        <v>#N/A Requesting Data...</v>
      </c>
      <c r="P1531" t="str">
        <f>_xll.BDP("641322BL Muni","MUNI_TAX_PROV")</f>
        <v>#N/A Requesting Data...</v>
      </c>
      <c r="Q1531" t="str">
        <f>_xll.BDP("641322BL Muni","MUNI_FED_TAX")</f>
        <v>#N/A Requesting Data...</v>
      </c>
      <c r="R1531" t="str">
        <f>_xll.BDP("641322BL Muni","MUNI_MSRB_VOLUME")</f>
        <v>#N/A Requesting Data...</v>
      </c>
      <c r="S1531" t="str">
        <f>_xll.BDP("641322BL Muni","BB_COMPOSITE")</f>
        <v>#N/A Requesting Data...</v>
      </c>
      <c r="T1531" t="str">
        <f>_xll.BDP("641322BL Muni","LQA_LIQUIDITY_SCORE")</f>
        <v>#N/A Requesting Data...</v>
      </c>
    </row>
    <row r="1532" spans="1:20" x14ac:dyDescent="0.25">
      <c r="A1532" t="str">
        <f>_xll.BDP("642486FP Muni","ID_CUSIP")</f>
        <v>#N/A Requesting Data...</v>
      </c>
      <c r="B1532" t="s">
        <v>474</v>
      </c>
      <c r="C1532" t="str">
        <f>_xll.BDP("642486FP Muni","INSURANCE_STATUS")</f>
        <v>#N/A Requesting Data...</v>
      </c>
      <c r="D1532" t="str">
        <f>_xll.BDP("642486FP Muni","STATE_CODE")</f>
        <v>#N/A Requesting Data...</v>
      </c>
      <c r="E1532" t="str">
        <f>_xll.BDP("642486FP Muni","COUNTY_LOCATION_ISSUER")</f>
        <v>#N/A Requesting Data...</v>
      </c>
      <c r="F1532" t="str">
        <f>_xll.BDP("642486FP Muni","DUR_ADJ_MID")</f>
        <v>#N/A Requesting Data...</v>
      </c>
      <c r="G1532" t="str">
        <f>_xll.BDP("642486FP Muni","SPREAD_AT_ISSUANCE_TO_WORST")</f>
        <v>#N/A Requesting Data...</v>
      </c>
      <c r="H1532" t="str">
        <f>_xll.BDP("642486FP Muni","ISSUE_DT")</f>
        <v>#N/A Requesting Data...</v>
      </c>
      <c r="I1532" t="str">
        <f>_xll.BDS("642486FP Muni","MUNI_PURPOSE_SCHED", "aggregate=y")</f>
        <v>#N/A Review</v>
      </c>
      <c r="J1532" t="str">
        <f>_xll.BDP("642486FP Muni","CPN")</f>
        <v>#N/A Requesting Data...</v>
      </c>
      <c r="K1532" t="str">
        <f>_xll.BDP("642486FP Muni","MATURITY")</f>
        <v>#N/A Requesting Data...</v>
      </c>
      <c r="L1532">
        <v>145000</v>
      </c>
      <c r="M1532" t="str">
        <f>_xll.BDP("642486FP Muni","YIELD_ON_ISSUE_DATE")</f>
        <v>#N/A Requesting Data...</v>
      </c>
      <c r="N1532" t="str">
        <f>_xll.BDP("642486FP Muni","YTW_SPREAD_TO_MATURITY_AT_ISSU")</f>
        <v>#N/A Requesting Data...</v>
      </c>
      <c r="O1532" t="str">
        <f>_xll.BDP("642486FP Muni","BVAL_MID_YTM")</f>
        <v>#N/A Requesting Data...</v>
      </c>
      <c r="P1532" t="str">
        <f>_xll.BDP("642486FP Muni","MUNI_TAX_PROV")</f>
        <v>#N/A Requesting Data...</v>
      </c>
      <c r="Q1532" t="str">
        <f>_xll.BDP("642486FP Muni","MUNI_FED_TAX")</f>
        <v>#N/A Requesting Data...</v>
      </c>
      <c r="R1532" t="str">
        <f>_xll.BDP("642486FP Muni","MUNI_MSRB_VOLUME")</f>
        <v>#N/A Requesting Data...</v>
      </c>
      <c r="S1532" t="str">
        <f>_xll.BDP("642486FP Muni","BB_COMPOSITE")</f>
        <v>#N/A Requesting Data...</v>
      </c>
      <c r="T1532" t="str">
        <f>_xll.BDP("642486FP Muni","LQA_LIQUIDITY_SCORE")</f>
        <v>#N/A Requesting Data...</v>
      </c>
    </row>
    <row r="1533" spans="1:20" x14ac:dyDescent="0.25">
      <c r="A1533" t="str">
        <f>_xll.BDP("763750HF Muni","ID_CUSIP")</f>
        <v>#N/A Requesting Data...</v>
      </c>
      <c r="B1533" t="s">
        <v>205</v>
      </c>
      <c r="C1533" t="str">
        <f>_xll.BDP("763750HF Muni","INSURANCE_STATUS")</f>
        <v>#N/A Requesting Data...</v>
      </c>
      <c r="D1533" t="str">
        <f>_xll.BDP("763750HF Muni","STATE_CODE")</f>
        <v>#N/A Requesting Data...</v>
      </c>
      <c r="E1533" t="str">
        <f>_xll.BDP("763750HF Muni","COUNTY_LOCATION_ISSUER")</f>
        <v>#N/A Requesting Data...</v>
      </c>
      <c r="F1533" t="str">
        <f>_xll.BDP("763750HF Muni","DUR_ADJ_MID")</f>
        <v>#N/A Requesting Data...</v>
      </c>
      <c r="G1533" t="str">
        <f>_xll.BDP("763750HF Muni","SPREAD_AT_ISSUANCE_TO_WORST")</f>
        <v>#N/A Requesting Data...</v>
      </c>
      <c r="H1533" t="str">
        <f>_xll.BDP("763750HF Muni","ISSUE_DT")</f>
        <v>#N/A Requesting Data...</v>
      </c>
      <c r="I1533" t="str">
        <f>_xll.BDS("763750HF Muni","MUNI_PURPOSE_SCHED", "aggregate=y")</f>
        <v>#N/A Review</v>
      </c>
      <c r="J1533" t="str">
        <f>_xll.BDP("763750HF Muni","CPN")</f>
        <v>#N/A Requesting Data...</v>
      </c>
      <c r="K1533" t="str">
        <f>_xll.BDP("763750HF Muni","MATURITY")</f>
        <v>#N/A Requesting Data...</v>
      </c>
      <c r="L1533">
        <v>210000</v>
      </c>
      <c r="M1533" t="str">
        <f>_xll.BDP("763750HF Muni","YIELD_ON_ISSUE_DATE")</f>
        <v>#N/A Requesting Data...</v>
      </c>
      <c r="N1533" t="str">
        <f>_xll.BDP("763750HF Muni","YTW_SPREAD_TO_MATURITY_AT_ISSU")</f>
        <v>#N/A Requesting Data...</v>
      </c>
      <c r="O1533" t="str">
        <f>_xll.BDP("763750HF Muni","BVAL_MID_YTM")</f>
        <v>#N/A Requesting Data...</v>
      </c>
      <c r="P1533" t="str">
        <f>_xll.BDP("763750HF Muni","MUNI_TAX_PROV")</f>
        <v>#N/A Requesting Data...</v>
      </c>
      <c r="Q1533" t="str">
        <f>_xll.BDP("763750HF Muni","MUNI_FED_TAX")</f>
        <v>#N/A Requesting Data...</v>
      </c>
      <c r="R1533" t="str">
        <f>_xll.BDP("763750HF Muni","MUNI_MSRB_VOLUME")</f>
        <v>#N/A Requesting Data...</v>
      </c>
      <c r="S1533" t="str">
        <f>_xll.BDP("763750HF Muni","BB_COMPOSITE")</f>
        <v>#N/A Requesting Data...</v>
      </c>
      <c r="T1533" t="str">
        <f>_xll.BDP("763750HF Muni","LQA_LIQUIDITY_SCORE")</f>
        <v>#N/A Requesting Data...</v>
      </c>
    </row>
    <row r="1534" spans="1:20" x14ac:dyDescent="0.25">
      <c r="A1534" t="str">
        <f>_xll.BDP("763750HE Muni","ID_CUSIP")</f>
        <v>#N/A Requesting Data...</v>
      </c>
      <c r="B1534" t="s">
        <v>205</v>
      </c>
      <c r="C1534" t="str">
        <f>_xll.BDP("763750HE Muni","INSURANCE_STATUS")</f>
        <v>#N/A Requesting Data...</v>
      </c>
      <c r="D1534" t="str">
        <f>_xll.BDP("763750HE Muni","STATE_CODE")</f>
        <v>#N/A Requesting Data...</v>
      </c>
      <c r="E1534" t="str">
        <f>_xll.BDP("763750HE Muni","COUNTY_LOCATION_ISSUER")</f>
        <v>#N/A Requesting Data...</v>
      </c>
      <c r="F1534" t="str">
        <f>_xll.BDP("763750HE Muni","DUR_ADJ_MID")</f>
        <v>#N/A Requesting Data...</v>
      </c>
      <c r="G1534" t="str">
        <f>_xll.BDP("763750HE Muni","SPREAD_AT_ISSUANCE_TO_WORST")</f>
        <v>#N/A Requesting Data...</v>
      </c>
      <c r="H1534" t="str">
        <f>_xll.BDP("763750HE Muni","ISSUE_DT")</f>
        <v>#N/A Requesting Data...</v>
      </c>
      <c r="I1534" t="str">
        <f>_xll.BDS("763750HE Muni","MUNI_PURPOSE_SCHED", "aggregate=y")</f>
        <v>#N/A Review</v>
      </c>
      <c r="J1534" t="str">
        <f>_xll.BDP("763750HE Muni","CPN")</f>
        <v>#N/A Requesting Data...</v>
      </c>
      <c r="K1534" t="str">
        <f>_xll.BDP("763750HE Muni","MATURITY")</f>
        <v>#N/A Requesting Data...</v>
      </c>
      <c r="L1534">
        <v>205000</v>
      </c>
      <c r="M1534" t="str">
        <f>_xll.BDP("763750HE Muni","YIELD_ON_ISSUE_DATE")</f>
        <v>#N/A Requesting Data...</v>
      </c>
      <c r="N1534" t="str">
        <f>_xll.BDP("763750HE Muni","YTW_SPREAD_TO_MATURITY_AT_ISSU")</f>
        <v>#N/A Requesting Data...</v>
      </c>
      <c r="O1534" t="str">
        <f>_xll.BDP("763750HE Muni","BVAL_MID_YTM")</f>
        <v>#N/A Requesting Data...</v>
      </c>
      <c r="P1534" t="str">
        <f>_xll.BDP("763750HE Muni","MUNI_TAX_PROV")</f>
        <v>#N/A Requesting Data...</v>
      </c>
      <c r="Q1534" t="str">
        <f>_xll.BDP("763750HE Muni","MUNI_FED_TAX")</f>
        <v>#N/A Requesting Data...</v>
      </c>
      <c r="R1534" t="str">
        <f>_xll.BDP("763750HE Muni","MUNI_MSRB_VOLUME")</f>
        <v>#N/A Requesting Data...</v>
      </c>
      <c r="S1534" t="str">
        <f>_xll.BDP("763750HE Muni","BB_COMPOSITE")</f>
        <v>#N/A Requesting Data...</v>
      </c>
      <c r="T1534" t="str">
        <f>_xll.BDP("763750HE Muni","LQA_LIQUIDITY_SCORE")</f>
        <v>#N/A Requesting Data...</v>
      </c>
    </row>
    <row r="1535" spans="1:20" x14ac:dyDescent="0.25">
      <c r="A1535" t="str">
        <f>_xll.BDP("604146DC Muni","ID_CUSIP")</f>
        <v>#N/A Requesting Data...</v>
      </c>
      <c r="B1535" t="s">
        <v>100</v>
      </c>
      <c r="C1535" t="str">
        <f>_xll.BDP("604146DC Muni","INSURANCE_STATUS")</f>
        <v>#N/A Requesting Data...</v>
      </c>
      <c r="D1535" t="str">
        <f>_xll.BDP("604146DC Muni","STATE_CODE")</f>
        <v>#N/A Requesting Data...</v>
      </c>
      <c r="E1535" t="str">
        <f>_xll.BDP("604146DC Muni","COUNTY_LOCATION_ISSUER")</f>
        <v>#N/A Requesting Data...</v>
      </c>
      <c r="F1535" t="str">
        <f>_xll.BDP("604146DC Muni","DUR_ADJ_MID")</f>
        <v>#N/A Requesting Data...</v>
      </c>
      <c r="G1535" t="str">
        <f>_xll.BDP("604146DC Muni","SPREAD_AT_ISSUANCE_TO_WORST")</f>
        <v>#N/A Requesting Data...</v>
      </c>
      <c r="H1535" t="str">
        <f>_xll.BDP("604146DC Muni","ISSUE_DT")</f>
        <v>#N/A Requesting Data...</v>
      </c>
      <c r="I1535" t="str">
        <f>_xll.BDS("604146DC Muni","MUNI_PURPOSE_SCHED", "aggregate=y")</f>
        <v>#N/A Review</v>
      </c>
      <c r="J1535" t="str">
        <f>_xll.BDP("604146DC Muni","CPN")</f>
        <v>#N/A Requesting Data...</v>
      </c>
      <c r="K1535" t="str">
        <f>_xll.BDP("604146DC Muni","MATURITY")</f>
        <v>#N/A Requesting Data...</v>
      </c>
      <c r="L1535">
        <v>520000</v>
      </c>
      <c r="M1535" t="str">
        <f>_xll.BDP("604146DC Muni","YIELD_ON_ISSUE_DATE")</f>
        <v>#N/A Requesting Data...</v>
      </c>
      <c r="N1535" t="str">
        <f>_xll.BDP("604146DC Muni","YTW_SPREAD_TO_MATURITY_AT_ISSU")</f>
        <v>#N/A Requesting Data...</v>
      </c>
      <c r="O1535" t="str">
        <f>_xll.BDP("604146DC Muni","BVAL_MID_YTM")</f>
        <v>#N/A Requesting Data...</v>
      </c>
      <c r="P1535" t="str">
        <f>_xll.BDP("604146DC Muni","MUNI_TAX_PROV")</f>
        <v>#N/A Requesting Data...</v>
      </c>
      <c r="Q1535" t="str">
        <f>_xll.BDP("604146DC Muni","MUNI_FED_TAX")</f>
        <v>#N/A Requesting Data...</v>
      </c>
      <c r="R1535" t="str">
        <f>_xll.BDP("604146DC Muni","MUNI_MSRB_VOLUME")</f>
        <v>#N/A Requesting Data...</v>
      </c>
      <c r="S1535" t="str">
        <f>_xll.BDP("604146DC Muni","BB_COMPOSITE")</f>
        <v>#N/A Requesting Data...</v>
      </c>
      <c r="T1535" t="str">
        <f>_xll.BDP("604146DC Muni","LQA_LIQUIDITY_SCORE")</f>
        <v>#N/A Requesting Data...</v>
      </c>
    </row>
    <row r="1536" spans="1:20" x14ac:dyDescent="0.25">
      <c r="A1536" t="str">
        <f>_xll.BDP("6041784N Muni","ID_CUSIP")</f>
        <v>#N/A Requesting Data...</v>
      </c>
      <c r="B1536" t="s">
        <v>31</v>
      </c>
      <c r="C1536" t="str">
        <f>_xll.BDP("6041784N Muni","INSURANCE_STATUS")</f>
        <v>#N/A Requesting Data...</v>
      </c>
      <c r="D1536" t="str">
        <f>_xll.BDP("6041784N Muni","STATE_CODE")</f>
        <v>#N/A Requesting Data...</v>
      </c>
      <c r="E1536" t="str">
        <f>_xll.BDP("6041784N Muni","COUNTY_LOCATION_ISSUER")</f>
        <v>#N/A Requesting Data...</v>
      </c>
      <c r="F1536" t="str">
        <f>_xll.BDP("6041784N Muni","DUR_ADJ_MID")</f>
        <v>#N/A Requesting Data...</v>
      </c>
      <c r="G1536" t="str">
        <f>_xll.BDP("6041784N Muni","SPREAD_AT_ISSUANCE_TO_WORST")</f>
        <v>#N/A Requesting Data...</v>
      </c>
      <c r="H1536" t="str">
        <f>_xll.BDP("6041784N Muni","ISSUE_DT")</f>
        <v>#N/A Requesting Data...</v>
      </c>
      <c r="I1536" t="str">
        <f>_xll.BDS("6041784N Muni","MUNI_PURPOSE_SCHED", "aggregate=y")</f>
        <v>#N/A Review</v>
      </c>
      <c r="J1536" t="str">
        <f>_xll.BDP("6041784N Muni","CPN")</f>
        <v>#N/A Requesting Data...</v>
      </c>
      <c r="K1536" t="str">
        <f>_xll.BDP("6041784N Muni","MATURITY")</f>
        <v>#N/A Requesting Data...</v>
      </c>
      <c r="L1536">
        <v>490000</v>
      </c>
      <c r="M1536" t="str">
        <f>_xll.BDP("6041784N Muni","YIELD_ON_ISSUE_DATE")</f>
        <v>#N/A Requesting Data...</v>
      </c>
      <c r="N1536" t="str">
        <f>_xll.BDP("6041784N Muni","YTW_SPREAD_TO_MATURITY_AT_ISSU")</f>
        <v>#N/A Requesting Data...</v>
      </c>
      <c r="O1536" t="str">
        <f>_xll.BDP("6041784N Muni","BVAL_MID_YTM")</f>
        <v>#N/A Requesting Data...</v>
      </c>
      <c r="P1536" t="str">
        <f>_xll.BDP("6041784N Muni","MUNI_TAX_PROV")</f>
        <v>#N/A Requesting Data...</v>
      </c>
      <c r="Q1536" t="str">
        <f>_xll.BDP("6041784N Muni","MUNI_FED_TAX")</f>
        <v>#N/A Requesting Data...</v>
      </c>
      <c r="R1536" t="str">
        <f>_xll.BDP("6041784N Muni","MUNI_MSRB_VOLUME")</f>
        <v>#N/A Requesting Data...</v>
      </c>
      <c r="S1536" t="str">
        <f>_xll.BDP("6041784N Muni","BB_COMPOSITE")</f>
        <v>#N/A Requesting Data...</v>
      </c>
      <c r="T1536" t="str">
        <f>_xll.BDP("6041784N Muni","LQA_LIQUIDITY_SCORE")</f>
        <v>#N/A Requesting Data...</v>
      </c>
    </row>
    <row r="1537" spans="1:20" x14ac:dyDescent="0.25">
      <c r="A1537" t="str">
        <f>_xll.BDP("6041784P Muni","ID_CUSIP")</f>
        <v>#N/A Requesting Data...</v>
      </c>
      <c r="B1537" t="s">
        <v>31</v>
      </c>
      <c r="C1537" t="str">
        <f>_xll.BDP("6041784P Muni","INSURANCE_STATUS")</f>
        <v>#N/A Requesting Data...</v>
      </c>
      <c r="D1537" t="str">
        <f>_xll.BDP("6041784P Muni","STATE_CODE")</f>
        <v>#N/A Requesting Data...</v>
      </c>
      <c r="E1537" t="str">
        <f>_xll.BDP("6041784P Muni","COUNTY_LOCATION_ISSUER")</f>
        <v>#N/A Requesting Data...</v>
      </c>
      <c r="F1537" t="str">
        <f>_xll.BDP("6041784P Muni","DUR_ADJ_MID")</f>
        <v>#N/A Requesting Data...</v>
      </c>
      <c r="G1537" t="str">
        <f>_xll.BDP("6041784P Muni","SPREAD_AT_ISSUANCE_TO_WORST")</f>
        <v>#N/A Requesting Data...</v>
      </c>
      <c r="H1537" t="str">
        <f>_xll.BDP("6041784P Muni","ISSUE_DT")</f>
        <v>#N/A Requesting Data...</v>
      </c>
      <c r="I1537" t="str">
        <f>_xll.BDS("6041784P Muni","MUNI_PURPOSE_SCHED", "aggregate=y")</f>
        <v>#N/A Review</v>
      </c>
      <c r="J1537" t="str">
        <f>_xll.BDP("6041784P Muni","CPN")</f>
        <v>#N/A Requesting Data...</v>
      </c>
      <c r="K1537" t="str">
        <f>_xll.BDP("6041784P Muni","MATURITY")</f>
        <v>#N/A Requesting Data...</v>
      </c>
      <c r="L1537">
        <v>500000</v>
      </c>
      <c r="M1537" t="str">
        <f>_xll.BDP("6041784P Muni","YIELD_ON_ISSUE_DATE")</f>
        <v>#N/A Requesting Data...</v>
      </c>
      <c r="N1537" t="str">
        <f>_xll.BDP("6041784P Muni","YTW_SPREAD_TO_MATURITY_AT_ISSU")</f>
        <v>#N/A Requesting Data...</v>
      </c>
      <c r="O1537" t="str">
        <f>_xll.BDP("6041784P Muni","BVAL_MID_YTM")</f>
        <v>#N/A Requesting Data...</v>
      </c>
      <c r="P1537" t="str">
        <f>_xll.BDP("6041784P Muni","MUNI_TAX_PROV")</f>
        <v>#N/A Requesting Data...</v>
      </c>
      <c r="Q1537" t="str">
        <f>_xll.BDP("6041784P Muni","MUNI_FED_TAX")</f>
        <v>#N/A Requesting Data...</v>
      </c>
      <c r="R1537" t="str">
        <f>_xll.BDP("6041784P Muni","MUNI_MSRB_VOLUME")</f>
        <v>#N/A Requesting Data...</v>
      </c>
      <c r="S1537" t="str">
        <f>_xll.BDP("6041784P Muni","BB_COMPOSITE")</f>
        <v>#N/A Requesting Data...</v>
      </c>
      <c r="T1537" t="str">
        <f>_xll.BDP("6041784P Muni","LQA_LIQUIDITY_SCORE")</f>
        <v>#N/A Requesting Data...</v>
      </c>
    </row>
    <row r="1538" spans="1:20" x14ac:dyDescent="0.25">
      <c r="A1538" t="str">
        <f>_xll.BDP("6041784Q Muni","ID_CUSIP")</f>
        <v>#N/A Requesting Data...</v>
      </c>
      <c r="B1538" t="s">
        <v>31</v>
      </c>
      <c r="C1538" t="str">
        <f>_xll.BDP("6041784Q Muni","INSURANCE_STATUS")</f>
        <v>#N/A Requesting Data...</v>
      </c>
      <c r="D1538" t="str">
        <f>_xll.BDP("6041784Q Muni","STATE_CODE")</f>
        <v>#N/A Requesting Data...</v>
      </c>
      <c r="E1538" t="str">
        <f>_xll.BDP("6041784Q Muni","COUNTY_LOCATION_ISSUER")</f>
        <v>#N/A Requesting Data...</v>
      </c>
      <c r="F1538" t="str">
        <f>_xll.BDP("6041784Q Muni","DUR_ADJ_MID")</f>
        <v>#N/A Requesting Data...</v>
      </c>
      <c r="G1538" t="str">
        <f>_xll.BDP("6041784Q Muni","SPREAD_AT_ISSUANCE_TO_WORST")</f>
        <v>#N/A Requesting Data...</v>
      </c>
      <c r="H1538" t="str">
        <f>_xll.BDP("6041784Q Muni","ISSUE_DT")</f>
        <v>#N/A Requesting Data...</v>
      </c>
      <c r="I1538" t="str">
        <f>_xll.BDS("6041784Q Muni","MUNI_PURPOSE_SCHED", "aggregate=y")</f>
        <v>#N/A Review</v>
      </c>
      <c r="J1538" t="str">
        <f>_xll.BDP("6041784Q Muni","CPN")</f>
        <v>#N/A Requesting Data...</v>
      </c>
      <c r="K1538" t="str">
        <f>_xll.BDP("6041784Q Muni","MATURITY")</f>
        <v>#N/A Requesting Data...</v>
      </c>
      <c r="L1538">
        <v>510000</v>
      </c>
      <c r="M1538" t="str">
        <f>_xll.BDP("6041784Q Muni","YIELD_ON_ISSUE_DATE")</f>
        <v>#N/A Requesting Data...</v>
      </c>
      <c r="N1538" t="str">
        <f>_xll.BDP("6041784Q Muni","YTW_SPREAD_TO_MATURITY_AT_ISSU")</f>
        <v>#N/A Requesting Data...</v>
      </c>
      <c r="O1538" t="str">
        <f>_xll.BDP("6041784Q Muni","BVAL_MID_YTM")</f>
        <v>#N/A Requesting Data...</v>
      </c>
      <c r="P1538" t="str">
        <f>_xll.BDP("6041784Q Muni","MUNI_TAX_PROV")</f>
        <v>#N/A Requesting Data...</v>
      </c>
      <c r="Q1538" t="str">
        <f>_xll.BDP("6041784Q Muni","MUNI_FED_TAX")</f>
        <v>#N/A Requesting Data...</v>
      </c>
      <c r="R1538" t="str">
        <f>_xll.BDP("6041784Q Muni","MUNI_MSRB_VOLUME")</f>
        <v>#N/A Requesting Data...</v>
      </c>
      <c r="S1538" t="str">
        <f>_xll.BDP("6041784Q Muni","BB_COMPOSITE")</f>
        <v>#N/A Requesting Data...</v>
      </c>
      <c r="T1538" t="str">
        <f>_xll.BDP("6041784Q Muni","LQA_LIQUIDITY_SCORE")</f>
        <v>#N/A Requesting Data...</v>
      </c>
    </row>
    <row r="1539" spans="1:20" x14ac:dyDescent="0.25">
      <c r="A1539" t="str">
        <f>_xll.BDP("6041785H Muni","ID_CUSIP")</f>
        <v>#N/A Requesting Data...</v>
      </c>
      <c r="B1539" t="s">
        <v>31</v>
      </c>
      <c r="C1539" t="str">
        <f>_xll.BDP("6041785H Muni","INSURANCE_STATUS")</f>
        <v>#N/A Requesting Data...</v>
      </c>
      <c r="D1539" t="str">
        <f>_xll.BDP("6041785H Muni","STATE_CODE")</f>
        <v>#N/A Requesting Data...</v>
      </c>
      <c r="E1539" t="str">
        <f>_xll.BDP("6041785H Muni","COUNTY_LOCATION_ISSUER")</f>
        <v>#N/A Requesting Data...</v>
      </c>
      <c r="F1539" t="str">
        <f>_xll.BDP("6041785H Muni","DUR_ADJ_MID")</f>
        <v>#N/A Requesting Data...</v>
      </c>
      <c r="G1539" t="str">
        <f>_xll.BDP("6041785H Muni","SPREAD_AT_ISSUANCE_TO_WORST")</f>
        <v>#N/A Requesting Data...</v>
      </c>
      <c r="H1539" t="str">
        <f>_xll.BDP("6041785H Muni","ISSUE_DT")</f>
        <v>#N/A Requesting Data...</v>
      </c>
      <c r="I1539" t="str">
        <f>_xll.BDS("6041785H Muni","MUNI_PURPOSE_SCHED", "aggregate=y")</f>
        <v>#N/A Review</v>
      </c>
      <c r="J1539" t="str">
        <f>_xll.BDP("6041785H Muni","CPN")</f>
        <v>#N/A Requesting Data...</v>
      </c>
      <c r="K1539" t="str">
        <f>_xll.BDP("6041785H Muni","MATURITY")</f>
        <v>#N/A Requesting Data...</v>
      </c>
      <c r="L1539">
        <v>615000</v>
      </c>
      <c r="M1539" t="str">
        <f>_xll.BDP("6041785H Muni","YIELD_ON_ISSUE_DATE")</f>
        <v>#N/A Requesting Data...</v>
      </c>
      <c r="N1539" t="str">
        <f>_xll.BDP("6041785H Muni","YTW_SPREAD_TO_MATURITY_AT_ISSU")</f>
        <v>#N/A Requesting Data...</v>
      </c>
      <c r="O1539" t="str">
        <f>_xll.BDP("6041785H Muni","BVAL_MID_YTM")</f>
        <v>#N/A Requesting Data...</v>
      </c>
      <c r="P1539" t="str">
        <f>_xll.BDP("6041785H Muni","MUNI_TAX_PROV")</f>
        <v>#N/A Requesting Data...</v>
      </c>
      <c r="Q1539" t="str">
        <f>_xll.BDP("6041785H Muni","MUNI_FED_TAX")</f>
        <v>#N/A Requesting Data...</v>
      </c>
      <c r="R1539" t="str">
        <f>_xll.BDP("6041785H Muni","MUNI_MSRB_VOLUME")</f>
        <v>#N/A Requesting Data...</v>
      </c>
      <c r="S1539" t="str">
        <f>_xll.BDP("6041785H Muni","BB_COMPOSITE")</f>
        <v>#N/A Requesting Data...</v>
      </c>
      <c r="T1539" t="str">
        <f>_xll.BDP("6041785H Muni","LQA_LIQUIDITY_SCORE")</f>
        <v>#N/A Requesting Data...</v>
      </c>
    </row>
    <row r="1540" spans="1:20" x14ac:dyDescent="0.25">
      <c r="A1540" t="str">
        <f>_xll.BDP("6041785K Muni","ID_CUSIP")</f>
        <v>#N/A Requesting Data...</v>
      </c>
      <c r="B1540" t="s">
        <v>31</v>
      </c>
      <c r="C1540" t="str">
        <f>_xll.BDP("6041785K Muni","INSURANCE_STATUS")</f>
        <v>#N/A Requesting Data...</v>
      </c>
      <c r="D1540" t="str">
        <f>_xll.BDP("6041785K Muni","STATE_CODE")</f>
        <v>#N/A Requesting Data...</v>
      </c>
      <c r="E1540" t="str">
        <f>_xll.BDP("6041785K Muni","COUNTY_LOCATION_ISSUER")</f>
        <v>#N/A Requesting Data...</v>
      </c>
      <c r="F1540" t="str">
        <f>_xll.BDP("6041785K Muni","DUR_ADJ_MID")</f>
        <v>#N/A Requesting Data...</v>
      </c>
      <c r="G1540" t="str">
        <f>_xll.BDP("6041785K Muni","SPREAD_AT_ISSUANCE_TO_WORST")</f>
        <v>#N/A Requesting Data...</v>
      </c>
      <c r="H1540" t="str">
        <f>_xll.BDP("6041785K Muni","ISSUE_DT")</f>
        <v>#N/A Requesting Data...</v>
      </c>
      <c r="I1540" t="str">
        <f>_xll.BDS("6041785K Muni","MUNI_PURPOSE_SCHED", "aggregate=y")</f>
        <v>#N/A Review</v>
      </c>
      <c r="J1540" t="str">
        <f>_xll.BDP("6041785K Muni","CPN")</f>
        <v>#N/A Requesting Data...</v>
      </c>
      <c r="K1540" t="str">
        <f>_xll.BDP("6041785K Muni","MATURITY")</f>
        <v>#N/A Requesting Data...</v>
      </c>
      <c r="L1540">
        <v>645000</v>
      </c>
      <c r="M1540" t="str">
        <f>_xll.BDP("6041785K Muni","YIELD_ON_ISSUE_DATE")</f>
        <v>#N/A Requesting Data...</v>
      </c>
      <c r="N1540" t="str">
        <f>_xll.BDP("6041785K Muni","YTW_SPREAD_TO_MATURITY_AT_ISSU")</f>
        <v>#N/A Requesting Data...</v>
      </c>
      <c r="O1540" t="str">
        <f>_xll.BDP("6041785K Muni","BVAL_MID_YTM")</f>
        <v>#N/A Requesting Data...</v>
      </c>
      <c r="P1540" t="str">
        <f>_xll.BDP("6041785K Muni","MUNI_TAX_PROV")</f>
        <v>#N/A Requesting Data...</v>
      </c>
      <c r="Q1540" t="str">
        <f>_xll.BDP("6041785K Muni","MUNI_FED_TAX")</f>
        <v>#N/A Requesting Data...</v>
      </c>
      <c r="R1540" t="str">
        <f>_xll.BDP("6041785K Muni","MUNI_MSRB_VOLUME")</f>
        <v>#N/A Requesting Data...</v>
      </c>
      <c r="S1540" t="str">
        <f>_xll.BDP("6041785K Muni","BB_COMPOSITE")</f>
        <v>#N/A Requesting Data...</v>
      </c>
      <c r="T1540" t="str">
        <f>_xll.BDP("6041785K Muni","LQA_LIQUIDITY_SCORE")</f>
        <v>#N/A Requesting Data...</v>
      </c>
    </row>
    <row r="1541" spans="1:20" x14ac:dyDescent="0.25">
      <c r="A1541" t="str">
        <f>_xll.BDP("604229ME Muni","ID_CUSIP")</f>
        <v>#N/A Requesting Data...</v>
      </c>
      <c r="B1541" t="s">
        <v>461</v>
      </c>
      <c r="C1541" t="str">
        <f>_xll.BDP("604229ME Muni","INSURANCE_STATUS")</f>
        <v>#N/A Requesting Data...</v>
      </c>
      <c r="D1541" t="str">
        <f>_xll.BDP("604229ME Muni","STATE_CODE")</f>
        <v>#N/A Requesting Data...</v>
      </c>
      <c r="E1541" t="str">
        <f>_xll.BDP("604229ME Muni","COUNTY_LOCATION_ISSUER")</f>
        <v>#N/A Requesting Data...</v>
      </c>
      <c r="F1541" t="str">
        <f>_xll.BDP("604229ME Muni","DUR_ADJ_MID")</f>
        <v>#N/A Requesting Data...</v>
      </c>
      <c r="G1541" t="str">
        <f>_xll.BDP("604229ME Muni","SPREAD_AT_ISSUANCE_TO_WORST")</f>
        <v>#N/A Requesting Data...</v>
      </c>
      <c r="H1541" t="str">
        <f>_xll.BDP("604229ME Muni","ISSUE_DT")</f>
        <v>#N/A Requesting Data...</v>
      </c>
      <c r="I1541" t="str">
        <f>_xll.BDS("604229ME Muni","MUNI_PURPOSE_SCHED", "aggregate=y")</f>
        <v>#N/A Review</v>
      </c>
      <c r="J1541" t="str">
        <f>_xll.BDP("604229ME Muni","CPN")</f>
        <v>#N/A Requesting Data...</v>
      </c>
      <c r="K1541" t="str">
        <f>_xll.BDP("604229ME Muni","MATURITY")</f>
        <v>#N/A Requesting Data...</v>
      </c>
      <c r="L1541">
        <v>175000</v>
      </c>
      <c r="M1541" t="str">
        <f>_xll.BDP("604229ME Muni","YIELD_ON_ISSUE_DATE")</f>
        <v>#N/A Requesting Data...</v>
      </c>
      <c r="N1541" t="str">
        <f>_xll.BDP("604229ME Muni","YTW_SPREAD_TO_MATURITY_AT_ISSU")</f>
        <v>#N/A Requesting Data...</v>
      </c>
      <c r="O1541" t="str">
        <f>_xll.BDP("604229ME Muni","BVAL_MID_YTM")</f>
        <v>#N/A Requesting Data...</v>
      </c>
      <c r="P1541" t="str">
        <f>_xll.BDP("604229ME Muni","MUNI_TAX_PROV")</f>
        <v>#N/A Requesting Data...</v>
      </c>
      <c r="Q1541" t="str">
        <f>_xll.BDP("604229ME Muni","MUNI_FED_TAX")</f>
        <v>#N/A Requesting Data...</v>
      </c>
      <c r="R1541" t="str">
        <f>_xll.BDP("604229ME Muni","MUNI_MSRB_VOLUME")</f>
        <v>#N/A Requesting Data...</v>
      </c>
      <c r="S1541" t="str">
        <f>_xll.BDP("604229ME Muni","BB_COMPOSITE")</f>
        <v>#N/A Requesting Data...</v>
      </c>
      <c r="T1541" t="str">
        <f>_xll.BDP("604229ME Muni","LQA_LIQUIDITY_SCORE")</f>
        <v>#N/A Requesting Data...</v>
      </c>
    </row>
    <row r="1542" spans="1:20" x14ac:dyDescent="0.25">
      <c r="A1542" t="str">
        <f>_xll.BDP("57582RLN Muni","ID_CUSIP")</f>
        <v>#N/A Requesting Data...</v>
      </c>
      <c r="B1542" t="s">
        <v>78</v>
      </c>
      <c r="C1542" t="str">
        <f>_xll.BDP("57582RLN Muni","INSURANCE_STATUS")</f>
        <v>#N/A Requesting Data...</v>
      </c>
      <c r="D1542" t="str">
        <f>_xll.BDP("57582RLN Muni","STATE_CODE")</f>
        <v>#N/A Requesting Data...</v>
      </c>
      <c r="E1542" t="str">
        <f>_xll.BDP("57582RLN Muni","COUNTY_LOCATION_ISSUER")</f>
        <v>#N/A Requesting Data...</v>
      </c>
      <c r="F1542" t="str">
        <f>_xll.BDP("57582RLN Muni","DUR_ADJ_MID")</f>
        <v>#N/A Requesting Data...</v>
      </c>
      <c r="G1542" t="str">
        <f>_xll.BDP("57582RLN Muni","SPREAD_AT_ISSUANCE_TO_WORST")</f>
        <v>#N/A Requesting Data...</v>
      </c>
      <c r="H1542" t="str">
        <f>_xll.BDP("57582RLN Muni","ISSUE_DT")</f>
        <v>#N/A Requesting Data...</v>
      </c>
      <c r="I1542" t="str">
        <f>_xll.BDS("57582RLN Muni","MUNI_PURPOSE_SCHED", "aggregate=y")</f>
        <v>#N/A Review</v>
      </c>
      <c r="J1542" t="str">
        <f>_xll.BDP("57582RLN Muni","CPN")</f>
        <v>#N/A Requesting Data...</v>
      </c>
      <c r="K1542" t="str">
        <f>_xll.BDP("57582RLN Muni","MATURITY")</f>
        <v>#N/A Requesting Data...</v>
      </c>
      <c r="L1542">
        <v>25000000</v>
      </c>
      <c r="M1542" t="str">
        <f>_xll.BDP("57582RLN Muni","YIELD_ON_ISSUE_DATE")</f>
        <v>#N/A Requesting Data...</v>
      </c>
      <c r="N1542" t="str">
        <f>_xll.BDP("57582RLN Muni","YTW_SPREAD_TO_MATURITY_AT_ISSU")</f>
        <v>#N/A Requesting Data...</v>
      </c>
      <c r="O1542" t="str">
        <f>_xll.BDP("57582RLN Muni","BVAL_MID_YTM")</f>
        <v>#N/A Requesting Data...</v>
      </c>
      <c r="P1542" t="str">
        <f>_xll.BDP("57582RLN Muni","MUNI_TAX_PROV")</f>
        <v>#N/A Requesting Data...</v>
      </c>
      <c r="Q1542" t="str">
        <f>_xll.BDP("57582RLN Muni","MUNI_FED_TAX")</f>
        <v>#N/A Requesting Data...</v>
      </c>
      <c r="R1542" t="str">
        <f>_xll.BDP("57582RLN Muni","MUNI_MSRB_VOLUME")</f>
        <v>#N/A Requesting Data...</v>
      </c>
      <c r="S1542" t="str">
        <f>_xll.BDP("57582RLN Muni","BB_COMPOSITE")</f>
        <v>#N/A Requesting Data...</v>
      </c>
      <c r="T1542" t="str">
        <f>_xll.BDP("57582RLN Muni","LQA_LIQUIDITY_SCORE")</f>
        <v>#N/A Requesting Data...</v>
      </c>
    </row>
    <row r="1543" spans="1:20" x14ac:dyDescent="0.25">
      <c r="A1543" t="str">
        <f>_xll.BDP("59541PAF Muni","ID_CUSIP")</f>
        <v>#N/A Requesting Data...</v>
      </c>
      <c r="B1543" t="s">
        <v>475</v>
      </c>
      <c r="C1543" t="str">
        <f>_xll.BDP("59541PAF Muni","INSURANCE_STATUS")</f>
        <v>#N/A Requesting Data...</v>
      </c>
      <c r="D1543" t="str">
        <f>_xll.BDP("59541PAF Muni","STATE_CODE")</f>
        <v>#N/A Requesting Data...</v>
      </c>
      <c r="E1543" t="str">
        <f>_xll.BDP("59541PAF Muni","COUNTY_LOCATION_ISSUER")</f>
        <v>#N/A Requesting Data...</v>
      </c>
      <c r="F1543" t="str">
        <f>_xll.BDP("59541PAF Muni","DUR_ADJ_MID")</f>
        <v>#N/A Requesting Data...</v>
      </c>
      <c r="G1543" t="str">
        <f>_xll.BDP("59541PAF Muni","SPREAD_AT_ISSUANCE_TO_WORST")</f>
        <v>#N/A Requesting Data...</v>
      </c>
      <c r="H1543" t="str">
        <f>_xll.BDP("59541PAF Muni","ISSUE_DT")</f>
        <v>#N/A Requesting Data...</v>
      </c>
      <c r="I1543" t="str">
        <f>_xll.BDS("59541PAF Muni","MUNI_PURPOSE_SCHED", "aggregate=y")</f>
        <v>#N/A Review</v>
      </c>
      <c r="J1543" t="str">
        <f>_xll.BDP("59541PAF Muni","CPN")</f>
        <v>#N/A Requesting Data...</v>
      </c>
      <c r="K1543" t="str">
        <f>_xll.BDP("59541PAF Muni","MATURITY")</f>
        <v>#N/A Requesting Data...</v>
      </c>
      <c r="L1543">
        <v>405000</v>
      </c>
      <c r="M1543" t="str">
        <f>_xll.BDP("59541PAF Muni","YIELD_ON_ISSUE_DATE")</f>
        <v>#N/A Requesting Data...</v>
      </c>
      <c r="N1543" t="str">
        <f>_xll.BDP("59541PAF Muni","YTW_SPREAD_TO_MATURITY_AT_ISSU")</f>
        <v>#N/A Requesting Data...</v>
      </c>
      <c r="O1543" t="str">
        <f>_xll.BDP("59541PAF Muni","BVAL_MID_YTM")</f>
        <v>#N/A Requesting Data...</v>
      </c>
      <c r="P1543" t="str">
        <f>_xll.BDP("59541PAF Muni","MUNI_TAX_PROV")</f>
        <v>#N/A Requesting Data...</v>
      </c>
      <c r="Q1543" t="str">
        <f>_xll.BDP("59541PAF Muni","MUNI_FED_TAX")</f>
        <v>#N/A Requesting Data...</v>
      </c>
      <c r="R1543" t="str">
        <f>_xll.BDP("59541PAF Muni","MUNI_MSRB_VOLUME")</f>
        <v>#N/A Requesting Data...</v>
      </c>
      <c r="S1543" t="str">
        <f>_xll.BDP("59541PAF Muni","BB_COMPOSITE")</f>
        <v>#N/A Requesting Data...</v>
      </c>
      <c r="T1543" t="str">
        <f>_xll.BDP("59541PAF Muni","LQA_LIQUIDITY_SCORE")</f>
        <v>#N/A Requesting Data...</v>
      </c>
    </row>
    <row r="1544" spans="1:20" x14ac:dyDescent="0.25">
      <c r="A1544" t="str">
        <f>_xll.BDP("59541PAG Muni","ID_CUSIP")</f>
        <v>#N/A Requesting Data...</v>
      </c>
      <c r="B1544" t="s">
        <v>475</v>
      </c>
      <c r="C1544" t="str">
        <f>_xll.BDP("59541PAG Muni","INSURANCE_STATUS")</f>
        <v>#N/A Requesting Data...</v>
      </c>
      <c r="D1544" t="str">
        <f>_xll.BDP("59541PAG Muni","STATE_CODE")</f>
        <v>#N/A Requesting Data...</v>
      </c>
      <c r="E1544" t="str">
        <f>_xll.BDP("59541PAG Muni","COUNTY_LOCATION_ISSUER")</f>
        <v>#N/A Requesting Data...</v>
      </c>
      <c r="F1544" t="str">
        <f>_xll.BDP("59541PAG Muni","DUR_ADJ_MID")</f>
        <v>#N/A Requesting Data...</v>
      </c>
      <c r="G1544" t="str">
        <f>_xll.BDP("59541PAG Muni","SPREAD_AT_ISSUANCE_TO_WORST")</f>
        <v>#N/A Requesting Data...</v>
      </c>
      <c r="H1544" t="str">
        <f>_xll.BDP("59541PAG Muni","ISSUE_DT")</f>
        <v>#N/A Requesting Data...</v>
      </c>
      <c r="I1544" t="str">
        <f>_xll.BDS("59541PAG Muni","MUNI_PURPOSE_SCHED", "aggregate=y")</f>
        <v>#N/A Review</v>
      </c>
      <c r="J1544" t="str">
        <f>_xll.BDP("59541PAG Muni","CPN")</f>
        <v>#N/A Requesting Data...</v>
      </c>
      <c r="K1544" t="str">
        <f>_xll.BDP("59541PAG Muni","MATURITY")</f>
        <v>#N/A Requesting Data...</v>
      </c>
      <c r="L1544">
        <v>420000</v>
      </c>
      <c r="M1544" t="str">
        <f>_xll.BDP("59541PAG Muni","YIELD_ON_ISSUE_DATE")</f>
        <v>#N/A Requesting Data...</v>
      </c>
      <c r="N1544" t="str">
        <f>_xll.BDP("59541PAG Muni","YTW_SPREAD_TO_MATURITY_AT_ISSU")</f>
        <v>#N/A Requesting Data...</v>
      </c>
      <c r="O1544" t="str">
        <f>_xll.BDP("59541PAG Muni","BVAL_MID_YTM")</f>
        <v>#N/A Requesting Data...</v>
      </c>
      <c r="P1544" t="str">
        <f>_xll.BDP("59541PAG Muni","MUNI_TAX_PROV")</f>
        <v>#N/A Requesting Data...</v>
      </c>
      <c r="Q1544" t="str">
        <f>_xll.BDP("59541PAG Muni","MUNI_FED_TAX")</f>
        <v>#N/A Requesting Data...</v>
      </c>
      <c r="R1544" t="str">
        <f>_xll.BDP("59541PAG Muni","MUNI_MSRB_VOLUME")</f>
        <v>#N/A Requesting Data...</v>
      </c>
      <c r="S1544" t="str">
        <f>_xll.BDP("59541PAG Muni","BB_COMPOSITE")</f>
        <v>#N/A Requesting Data...</v>
      </c>
      <c r="T1544" t="str">
        <f>_xll.BDP("59541PAG Muni","LQA_LIQUIDITY_SCORE")</f>
        <v>#N/A Requesting Data...</v>
      </c>
    </row>
    <row r="1545" spans="1:20" x14ac:dyDescent="0.25">
      <c r="A1545" t="str">
        <f>_xll.BDP("59541PAH Muni","ID_CUSIP")</f>
        <v>#N/A Requesting Data...</v>
      </c>
      <c r="B1545" t="s">
        <v>475</v>
      </c>
      <c r="C1545" t="str">
        <f>_xll.BDP("59541PAH Muni","INSURANCE_STATUS")</f>
        <v>#N/A Requesting Data...</v>
      </c>
      <c r="D1545" t="str">
        <f>_xll.BDP("59541PAH Muni","STATE_CODE")</f>
        <v>#N/A Requesting Data...</v>
      </c>
      <c r="E1545" t="str">
        <f>_xll.BDP("59541PAH Muni","COUNTY_LOCATION_ISSUER")</f>
        <v>#N/A Requesting Data...</v>
      </c>
      <c r="F1545" t="str">
        <f>_xll.BDP("59541PAH Muni","DUR_ADJ_MID")</f>
        <v>#N/A Requesting Data...</v>
      </c>
      <c r="G1545" t="str">
        <f>_xll.BDP("59541PAH Muni","SPREAD_AT_ISSUANCE_TO_WORST")</f>
        <v>#N/A Requesting Data...</v>
      </c>
      <c r="H1545" t="str">
        <f>_xll.BDP("59541PAH Muni","ISSUE_DT")</f>
        <v>#N/A Requesting Data...</v>
      </c>
      <c r="I1545" t="str">
        <f>_xll.BDS("59541PAH Muni","MUNI_PURPOSE_SCHED", "aggregate=y")</f>
        <v>#N/A Review</v>
      </c>
      <c r="J1545" t="str">
        <f>_xll.BDP("59541PAH Muni","CPN")</f>
        <v>#N/A Requesting Data...</v>
      </c>
      <c r="K1545" t="str">
        <f>_xll.BDP("59541PAH Muni","MATURITY")</f>
        <v>#N/A Requesting Data...</v>
      </c>
      <c r="L1545">
        <v>435000</v>
      </c>
      <c r="M1545" t="str">
        <f>_xll.BDP("59541PAH Muni","YIELD_ON_ISSUE_DATE")</f>
        <v>#N/A Requesting Data...</v>
      </c>
      <c r="N1545" t="str">
        <f>_xll.BDP("59541PAH Muni","YTW_SPREAD_TO_MATURITY_AT_ISSU")</f>
        <v>#N/A Requesting Data...</v>
      </c>
      <c r="O1545" t="str">
        <f>_xll.BDP("59541PAH Muni","BVAL_MID_YTM")</f>
        <v>#N/A Requesting Data...</v>
      </c>
      <c r="P1545" t="str">
        <f>_xll.BDP("59541PAH Muni","MUNI_TAX_PROV")</f>
        <v>#N/A Requesting Data...</v>
      </c>
      <c r="Q1545" t="str">
        <f>_xll.BDP("59541PAH Muni","MUNI_FED_TAX")</f>
        <v>#N/A Requesting Data...</v>
      </c>
      <c r="R1545" t="str">
        <f>_xll.BDP("59541PAH Muni","MUNI_MSRB_VOLUME")</f>
        <v>#N/A Requesting Data...</v>
      </c>
      <c r="S1545" t="str">
        <f>_xll.BDP("59541PAH Muni","BB_COMPOSITE")</f>
        <v>#N/A Requesting Data...</v>
      </c>
      <c r="T1545" t="str">
        <f>_xll.BDP("59541PAH Muni","LQA_LIQUIDITY_SCORE")</f>
        <v>#N/A Requesting Data...</v>
      </c>
    </row>
    <row r="1546" spans="1:20" x14ac:dyDescent="0.25">
      <c r="A1546" t="str">
        <f>_xll.BDP("57582RLP Muni","ID_CUSIP")</f>
        <v>#N/A Requesting Data...</v>
      </c>
      <c r="B1546" t="s">
        <v>78</v>
      </c>
      <c r="C1546" t="str">
        <f>_xll.BDP("57582RLP Muni","INSURANCE_STATUS")</f>
        <v>#N/A Requesting Data...</v>
      </c>
      <c r="D1546" t="str">
        <f>_xll.BDP("57582RLP Muni","STATE_CODE")</f>
        <v>#N/A Requesting Data...</v>
      </c>
      <c r="E1546" t="str">
        <f>_xll.BDP("57582RLP Muni","COUNTY_LOCATION_ISSUER")</f>
        <v>#N/A Requesting Data...</v>
      </c>
      <c r="F1546" t="str">
        <f>_xll.BDP("57582RLP Muni","DUR_ADJ_MID")</f>
        <v>#N/A Requesting Data...</v>
      </c>
      <c r="G1546" t="str">
        <f>_xll.BDP("57582RLP Muni","SPREAD_AT_ISSUANCE_TO_WORST")</f>
        <v>#N/A Requesting Data...</v>
      </c>
      <c r="H1546" t="str">
        <f>_xll.BDP("57582RLP Muni","ISSUE_DT")</f>
        <v>#N/A Requesting Data...</v>
      </c>
      <c r="I1546" t="str">
        <f>_xll.BDS("57582RLP Muni","MUNI_PURPOSE_SCHED", "aggregate=y")</f>
        <v>#N/A Review</v>
      </c>
      <c r="J1546" t="str">
        <f>_xll.BDP("57582RLP Muni","CPN")</f>
        <v>#N/A Requesting Data...</v>
      </c>
      <c r="K1546" t="str">
        <f>_xll.BDP("57582RLP Muni","MATURITY")</f>
        <v>#N/A Requesting Data...</v>
      </c>
      <c r="L1546">
        <v>25000000</v>
      </c>
      <c r="M1546" t="str">
        <f>_xll.BDP("57582RLP Muni","YIELD_ON_ISSUE_DATE")</f>
        <v>#N/A Requesting Data...</v>
      </c>
      <c r="N1546" t="str">
        <f>_xll.BDP("57582RLP Muni","YTW_SPREAD_TO_MATURITY_AT_ISSU")</f>
        <v>#N/A Requesting Data...</v>
      </c>
      <c r="O1546" t="str">
        <f>_xll.BDP("57582RLP Muni","BVAL_MID_YTM")</f>
        <v>#N/A Requesting Data...</v>
      </c>
      <c r="P1546" t="str">
        <f>_xll.BDP("57582RLP Muni","MUNI_TAX_PROV")</f>
        <v>#N/A Requesting Data...</v>
      </c>
      <c r="Q1546" t="str">
        <f>_xll.BDP("57582RLP Muni","MUNI_FED_TAX")</f>
        <v>#N/A Requesting Data...</v>
      </c>
      <c r="R1546" t="str">
        <f>_xll.BDP("57582RLP Muni","MUNI_MSRB_VOLUME")</f>
        <v>#N/A Requesting Data...</v>
      </c>
      <c r="S1546" t="str">
        <f>_xll.BDP("57582RLP Muni","BB_COMPOSITE")</f>
        <v>#N/A Requesting Data...</v>
      </c>
      <c r="T1546" t="str">
        <f>_xll.BDP("57582RLP Muni","LQA_LIQUIDITY_SCORE")</f>
        <v>#N/A Requesting Data...</v>
      </c>
    </row>
    <row r="1547" spans="1:20" x14ac:dyDescent="0.25">
      <c r="A1547" t="str">
        <f>_xll.BDP("59541PAJ Muni","ID_CUSIP")</f>
        <v>#N/A Requesting Data...</v>
      </c>
      <c r="B1547" t="s">
        <v>475</v>
      </c>
      <c r="C1547" t="str">
        <f>_xll.BDP("59541PAJ Muni","INSURANCE_STATUS")</f>
        <v>#N/A Requesting Data...</v>
      </c>
      <c r="D1547" t="str">
        <f>_xll.BDP("59541PAJ Muni","STATE_CODE")</f>
        <v>#N/A Requesting Data...</v>
      </c>
      <c r="E1547" t="str">
        <f>_xll.BDP("59541PAJ Muni","COUNTY_LOCATION_ISSUER")</f>
        <v>#N/A Requesting Data...</v>
      </c>
      <c r="F1547" t="str">
        <f>_xll.BDP("59541PAJ Muni","DUR_ADJ_MID")</f>
        <v>#N/A Requesting Data...</v>
      </c>
      <c r="G1547" t="str">
        <f>_xll.BDP("59541PAJ Muni","SPREAD_AT_ISSUANCE_TO_WORST")</f>
        <v>#N/A Requesting Data...</v>
      </c>
      <c r="H1547" t="str">
        <f>_xll.BDP("59541PAJ Muni","ISSUE_DT")</f>
        <v>#N/A Requesting Data...</v>
      </c>
      <c r="I1547" t="str">
        <f>_xll.BDS("59541PAJ Muni","MUNI_PURPOSE_SCHED", "aggregate=y")</f>
        <v>#N/A Review</v>
      </c>
      <c r="J1547" t="str">
        <f>_xll.BDP("59541PAJ Muni","CPN")</f>
        <v>#N/A Requesting Data...</v>
      </c>
      <c r="K1547" t="str">
        <f>_xll.BDP("59541PAJ Muni","MATURITY")</f>
        <v>#N/A Requesting Data...</v>
      </c>
      <c r="L1547">
        <v>455000</v>
      </c>
      <c r="M1547" t="str">
        <f>_xll.BDP("59541PAJ Muni","YIELD_ON_ISSUE_DATE")</f>
        <v>#N/A Requesting Data...</v>
      </c>
      <c r="N1547" t="str">
        <f>_xll.BDP("59541PAJ Muni","YTW_SPREAD_TO_MATURITY_AT_ISSU")</f>
        <v>#N/A Requesting Data...</v>
      </c>
      <c r="O1547" t="str">
        <f>_xll.BDP("59541PAJ Muni","BVAL_MID_YTM")</f>
        <v>#N/A Requesting Data...</v>
      </c>
      <c r="P1547" t="str">
        <f>_xll.BDP("59541PAJ Muni","MUNI_TAX_PROV")</f>
        <v>#N/A Requesting Data...</v>
      </c>
      <c r="Q1547" t="str">
        <f>_xll.BDP("59541PAJ Muni","MUNI_FED_TAX")</f>
        <v>#N/A Requesting Data...</v>
      </c>
      <c r="R1547" t="str">
        <f>_xll.BDP("59541PAJ Muni","MUNI_MSRB_VOLUME")</f>
        <v>#N/A Requesting Data...</v>
      </c>
      <c r="S1547" t="str">
        <f>_xll.BDP("59541PAJ Muni","BB_COMPOSITE")</f>
        <v>#N/A Requesting Data...</v>
      </c>
      <c r="T1547" t="str">
        <f>_xll.BDP("59541PAJ Muni","LQA_LIQUIDITY_SCORE")</f>
        <v>#N/A Requesting Data...</v>
      </c>
    </row>
    <row r="1548" spans="1:20" x14ac:dyDescent="0.25">
      <c r="A1548" t="str">
        <f>_xll.BDP("59541PAK Muni","ID_CUSIP")</f>
        <v>#N/A Requesting Data...</v>
      </c>
      <c r="B1548" t="s">
        <v>475</v>
      </c>
      <c r="C1548" t="str">
        <f>_xll.BDP("59541PAK Muni","INSURANCE_STATUS")</f>
        <v>#N/A Requesting Data...</v>
      </c>
      <c r="D1548" t="str">
        <f>_xll.BDP("59541PAK Muni","STATE_CODE")</f>
        <v>#N/A Requesting Data...</v>
      </c>
      <c r="E1548" t="str">
        <f>_xll.BDP("59541PAK Muni","COUNTY_LOCATION_ISSUER")</f>
        <v>#N/A Requesting Data...</v>
      </c>
      <c r="F1548" t="str">
        <f>_xll.BDP("59541PAK Muni","DUR_ADJ_MID")</f>
        <v>#N/A Requesting Data...</v>
      </c>
      <c r="G1548" t="str">
        <f>_xll.BDP("59541PAK Muni","SPREAD_AT_ISSUANCE_TO_WORST")</f>
        <v>#N/A Requesting Data...</v>
      </c>
      <c r="H1548" t="str">
        <f>_xll.BDP("59541PAK Muni","ISSUE_DT")</f>
        <v>#N/A Requesting Data...</v>
      </c>
      <c r="I1548" t="str">
        <f>_xll.BDS("59541PAK Muni","MUNI_PURPOSE_SCHED", "aggregate=y")</f>
        <v>#N/A Review</v>
      </c>
      <c r="J1548" t="str">
        <f>_xll.BDP("59541PAK Muni","CPN")</f>
        <v>#N/A Requesting Data...</v>
      </c>
      <c r="K1548" t="str">
        <f>_xll.BDP("59541PAK Muni","MATURITY")</f>
        <v>#N/A Requesting Data...</v>
      </c>
      <c r="L1548">
        <v>470000</v>
      </c>
      <c r="M1548" t="str">
        <f>_xll.BDP("59541PAK Muni","YIELD_ON_ISSUE_DATE")</f>
        <v>#N/A Requesting Data...</v>
      </c>
      <c r="N1548" t="str">
        <f>_xll.BDP("59541PAK Muni","YTW_SPREAD_TO_MATURITY_AT_ISSU")</f>
        <v>#N/A Requesting Data...</v>
      </c>
      <c r="O1548" t="str">
        <f>_xll.BDP("59541PAK Muni","BVAL_MID_YTM")</f>
        <v>#N/A Requesting Data...</v>
      </c>
      <c r="P1548" t="str">
        <f>_xll.BDP("59541PAK Muni","MUNI_TAX_PROV")</f>
        <v>#N/A Requesting Data...</v>
      </c>
      <c r="Q1548" t="str">
        <f>_xll.BDP("59541PAK Muni","MUNI_FED_TAX")</f>
        <v>#N/A Requesting Data...</v>
      </c>
      <c r="R1548" t="str">
        <f>_xll.BDP("59541PAK Muni","MUNI_MSRB_VOLUME")</f>
        <v>#N/A Requesting Data...</v>
      </c>
      <c r="S1548" t="str">
        <f>_xll.BDP("59541PAK Muni","BB_COMPOSITE")</f>
        <v>#N/A Requesting Data...</v>
      </c>
      <c r="T1548" t="str">
        <f>_xll.BDP("59541PAK Muni","LQA_LIQUIDITY_SCORE")</f>
        <v>#N/A Requesting Data...</v>
      </c>
    </row>
    <row r="1549" spans="1:20" x14ac:dyDescent="0.25">
      <c r="A1549" t="str">
        <f>_xll.BDP("927260EY Muni","ID_CUSIP")</f>
        <v>#N/A Requesting Data...</v>
      </c>
      <c r="B1549" t="s">
        <v>184</v>
      </c>
      <c r="C1549" t="str">
        <f>_xll.BDP("927260EY Muni","INSURANCE_STATUS")</f>
        <v>#N/A Requesting Data...</v>
      </c>
      <c r="D1549" t="str">
        <f>_xll.BDP("927260EY Muni","STATE_CODE")</f>
        <v>#N/A Requesting Data...</v>
      </c>
      <c r="E1549" t="str">
        <f>_xll.BDP("927260EY Muni","COUNTY_LOCATION_ISSUER")</f>
        <v>#N/A Requesting Data...</v>
      </c>
      <c r="F1549" t="str">
        <f>_xll.BDP("927260EY Muni","DUR_ADJ_MID")</f>
        <v>#N/A Requesting Data...</v>
      </c>
      <c r="G1549" t="str">
        <f>_xll.BDP("927260EY Muni","SPREAD_AT_ISSUANCE_TO_WORST")</f>
        <v>#N/A Requesting Data...</v>
      </c>
      <c r="H1549" t="str">
        <f>_xll.BDP("927260EY Muni","ISSUE_DT")</f>
        <v>#N/A Requesting Data...</v>
      </c>
      <c r="I1549" t="str">
        <f>_xll.BDS("927260EY Muni","MUNI_PURPOSE_SCHED", "aggregate=y")</f>
        <v>#N/A Review</v>
      </c>
      <c r="J1549" t="str">
        <f>_xll.BDP("927260EY Muni","CPN")</f>
        <v>#N/A Requesting Data...</v>
      </c>
      <c r="K1549" t="str">
        <f>_xll.BDP("927260EY Muni","MATURITY")</f>
        <v>#N/A Requesting Data...</v>
      </c>
      <c r="L1549">
        <v>150000</v>
      </c>
      <c r="M1549" t="str">
        <f>_xll.BDP("927260EY Muni","YIELD_ON_ISSUE_DATE")</f>
        <v>#N/A Requesting Data...</v>
      </c>
      <c r="N1549" t="str">
        <f>_xll.BDP("927260EY Muni","YTW_SPREAD_TO_MATURITY_AT_ISSU")</f>
        <v>#N/A Requesting Data...</v>
      </c>
      <c r="O1549" t="str">
        <f>_xll.BDP("927260EY Muni","BVAL_MID_YTM")</f>
        <v>#N/A Requesting Data...</v>
      </c>
      <c r="P1549" t="str">
        <f>_xll.BDP("927260EY Muni","MUNI_TAX_PROV")</f>
        <v>#N/A Requesting Data...</v>
      </c>
      <c r="Q1549" t="str">
        <f>_xll.BDP("927260EY Muni","MUNI_FED_TAX")</f>
        <v>#N/A Requesting Data...</v>
      </c>
      <c r="R1549" t="str">
        <f>_xll.BDP("927260EY Muni","MUNI_MSRB_VOLUME")</f>
        <v>#N/A Requesting Data...</v>
      </c>
      <c r="S1549" t="str">
        <f>_xll.BDP("927260EY Muni","BB_COMPOSITE")</f>
        <v>#N/A Requesting Data...</v>
      </c>
      <c r="T1549" t="str">
        <f>_xll.BDP("927260EY Muni","LQA_LIQUIDITY_SCORE")</f>
        <v>#N/A Requesting Data...</v>
      </c>
    </row>
    <row r="1550" spans="1:20" x14ac:dyDescent="0.25">
      <c r="A1550" t="str">
        <f>_xll.BDP("927260FB Muni","ID_CUSIP")</f>
        <v>#N/A Requesting Data...</v>
      </c>
      <c r="B1550" t="s">
        <v>184</v>
      </c>
      <c r="C1550" t="str">
        <f>_xll.BDP("927260FB Muni","INSURANCE_STATUS")</f>
        <v>#N/A Requesting Data...</v>
      </c>
      <c r="D1550" t="str">
        <f>_xll.BDP("927260FB Muni","STATE_CODE")</f>
        <v>#N/A Requesting Data...</v>
      </c>
      <c r="E1550" t="str">
        <f>_xll.BDP("927260FB Muni","COUNTY_LOCATION_ISSUER")</f>
        <v>#N/A Requesting Data...</v>
      </c>
      <c r="F1550" t="str">
        <f>_xll.BDP("927260FB Muni","DUR_ADJ_MID")</f>
        <v>#N/A Requesting Data...</v>
      </c>
      <c r="G1550" t="str">
        <f>_xll.BDP("927260FB Muni","SPREAD_AT_ISSUANCE_TO_WORST")</f>
        <v>#N/A Requesting Data...</v>
      </c>
      <c r="H1550" t="str">
        <f>_xll.BDP("927260FB Muni","ISSUE_DT")</f>
        <v>#N/A Requesting Data...</v>
      </c>
      <c r="I1550" t="str">
        <f>_xll.BDS("927260FB Muni","MUNI_PURPOSE_SCHED", "aggregate=y")</f>
        <v>#N/A Review</v>
      </c>
      <c r="J1550" t="str">
        <f>_xll.BDP("927260FB Muni","CPN")</f>
        <v>#N/A Requesting Data...</v>
      </c>
      <c r="K1550" t="str">
        <f>_xll.BDP("927260FB Muni","MATURITY")</f>
        <v>#N/A Requesting Data...</v>
      </c>
      <c r="L1550">
        <v>155000</v>
      </c>
      <c r="M1550" t="str">
        <f>_xll.BDP("927260FB Muni","YIELD_ON_ISSUE_DATE")</f>
        <v>#N/A Requesting Data...</v>
      </c>
      <c r="N1550" t="str">
        <f>_xll.BDP("927260FB Muni","YTW_SPREAD_TO_MATURITY_AT_ISSU")</f>
        <v>#N/A Requesting Data...</v>
      </c>
      <c r="O1550" t="str">
        <f>_xll.BDP("927260FB Muni","BVAL_MID_YTM")</f>
        <v>#N/A Requesting Data...</v>
      </c>
      <c r="P1550" t="str">
        <f>_xll.BDP("927260FB Muni","MUNI_TAX_PROV")</f>
        <v>#N/A Requesting Data...</v>
      </c>
      <c r="Q1550" t="str">
        <f>_xll.BDP("927260FB Muni","MUNI_FED_TAX")</f>
        <v>#N/A Requesting Data...</v>
      </c>
      <c r="R1550" t="str">
        <f>_xll.BDP("927260FB Muni","MUNI_MSRB_VOLUME")</f>
        <v>#N/A Requesting Data...</v>
      </c>
      <c r="S1550" t="str">
        <f>_xll.BDP("927260FB Muni","BB_COMPOSITE")</f>
        <v>#N/A Requesting Data...</v>
      </c>
      <c r="T1550" t="str">
        <f>_xll.BDP("927260FB Muni","LQA_LIQUIDITY_SCORE")</f>
        <v>#N/A Requesting Data...</v>
      </c>
    </row>
    <row r="1551" spans="1:20" x14ac:dyDescent="0.25">
      <c r="A1551" t="str">
        <f>_xll.BDP("927260FC Muni","ID_CUSIP")</f>
        <v>#N/A Requesting Data...</v>
      </c>
      <c r="B1551" t="s">
        <v>184</v>
      </c>
      <c r="C1551" t="str">
        <f>_xll.BDP("927260FC Muni","INSURANCE_STATUS")</f>
        <v>#N/A Requesting Data...</v>
      </c>
      <c r="D1551" t="str">
        <f>_xll.BDP("927260FC Muni","STATE_CODE")</f>
        <v>#N/A Requesting Data...</v>
      </c>
      <c r="E1551" t="str">
        <f>_xll.BDP("927260FC Muni","COUNTY_LOCATION_ISSUER")</f>
        <v>#N/A Requesting Data...</v>
      </c>
      <c r="F1551" t="str">
        <f>_xll.BDP("927260FC Muni","DUR_ADJ_MID")</f>
        <v>#N/A Requesting Data...</v>
      </c>
      <c r="G1551" t="str">
        <f>_xll.BDP("927260FC Muni","SPREAD_AT_ISSUANCE_TO_WORST")</f>
        <v>#N/A Requesting Data...</v>
      </c>
      <c r="H1551" t="str">
        <f>_xll.BDP("927260FC Muni","ISSUE_DT")</f>
        <v>#N/A Requesting Data...</v>
      </c>
      <c r="I1551" t="str">
        <f>_xll.BDS("927260FC Muni","MUNI_PURPOSE_SCHED", "aggregate=y")</f>
        <v>#N/A Review</v>
      </c>
      <c r="J1551" t="str">
        <f>_xll.BDP("927260FC Muni","CPN")</f>
        <v>#N/A Requesting Data...</v>
      </c>
      <c r="K1551" t="str">
        <f>_xll.BDP("927260FC Muni","MATURITY")</f>
        <v>#N/A Requesting Data...</v>
      </c>
      <c r="L1551">
        <v>155000</v>
      </c>
      <c r="M1551" t="str">
        <f>_xll.BDP("927260FC Muni","YIELD_ON_ISSUE_DATE")</f>
        <v>#N/A Requesting Data...</v>
      </c>
      <c r="N1551" t="str">
        <f>_xll.BDP("927260FC Muni","YTW_SPREAD_TO_MATURITY_AT_ISSU")</f>
        <v>#N/A Requesting Data...</v>
      </c>
      <c r="O1551" t="str">
        <f>_xll.BDP("927260FC Muni","BVAL_MID_YTM")</f>
        <v>#N/A Requesting Data...</v>
      </c>
      <c r="P1551" t="str">
        <f>_xll.BDP("927260FC Muni","MUNI_TAX_PROV")</f>
        <v>#N/A Requesting Data...</v>
      </c>
      <c r="Q1551" t="str">
        <f>_xll.BDP("927260FC Muni","MUNI_FED_TAX")</f>
        <v>#N/A Requesting Data...</v>
      </c>
      <c r="R1551" t="str">
        <f>_xll.BDP("927260FC Muni","MUNI_MSRB_VOLUME")</f>
        <v>#N/A Requesting Data...</v>
      </c>
      <c r="S1551" t="str">
        <f>_xll.BDP("927260FC Muni","BB_COMPOSITE")</f>
        <v>#N/A Requesting Data...</v>
      </c>
      <c r="T1551" t="str">
        <f>_xll.BDP("927260FC Muni","LQA_LIQUIDITY_SCORE")</f>
        <v>#N/A Requesting Data...</v>
      </c>
    </row>
    <row r="1552" spans="1:20" x14ac:dyDescent="0.25">
      <c r="A1552" t="str">
        <f>_xll.BDP("927749JA Muni","ID_CUSIP")</f>
        <v>#N/A Requesting Data...</v>
      </c>
      <c r="B1552" t="s">
        <v>185</v>
      </c>
      <c r="C1552" t="str">
        <f>_xll.BDP("927749JA Muni","INSURANCE_STATUS")</f>
        <v>#N/A Requesting Data...</v>
      </c>
      <c r="D1552" t="str">
        <f>_xll.BDP("927749JA Muni","STATE_CODE")</f>
        <v>#N/A Requesting Data...</v>
      </c>
      <c r="E1552" t="str">
        <f>_xll.BDP("927749JA Muni","COUNTY_LOCATION_ISSUER")</f>
        <v>#N/A Requesting Data...</v>
      </c>
      <c r="F1552" t="str">
        <f>_xll.BDP("927749JA Muni","DUR_ADJ_MID")</f>
        <v>#N/A Requesting Data...</v>
      </c>
      <c r="G1552" t="str">
        <f>_xll.BDP("927749JA Muni","SPREAD_AT_ISSUANCE_TO_WORST")</f>
        <v>#N/A Requesting Data...</v>
      </c>
      <c r="H1552" t="str">
        <f>_xll.BDP("927749JA Muni","ISSUE_DT")</f>
        <v>#N/A Requesting Data...</v>
      </c>
      <c r="I1552" t="str">
        <f>_xll.BDS("927749JA Muni","MUNI_PURPOSE_SCHED", "aggregate=y")</f>
        <v>#N/A Review</v>
      </c>
      <c r="J1552" t="str">
        <f>_xll.BDP("927749JA Muni","CPN")</f>
        <v>#N/A Requesting Data...</v>
      </c>
      <c r="K1552" t="str">
        <f>_xll.BDP("927749JA Muni","MATURITY")</f>
        <v>#N/A Requesting Data...</v>
      </c>
      <c r="L1552">
        <v>1355000</v>
      </c>
      <c r="M1552" t="str">
        <f>_xll.BDP("927749JA Muni","YIELD_ON_ISSUE_DATE")</f>
        <v>#N/A Requesting Data...</v>
      </c>
      <c r="N1552" t="str">
        <f>_xll.BDP("927749JA Muni","YTW_SPREAD_TO_MATURITY_AT_ISSU")</f>
        <v>#N/A Requesting Data...</v>
      </c>
      <c r="O1552" t="str">
        <f>_xll.BDP("927749JA Muni","BVAL_MID_YTM")</f>
        <v>#N/A Requesting Data...</v>
      </c>
      <c r="P1552" t="str">
        <f>_xll.BDP("927749JA Muni","MUNI_TAX_PROV")</f>
        <v>#N/A Requesting Data...</v>
      </c>
      <c r="Q1552" t="str">
        <f>_xll.BDP("927749JA Muni","MUNI_FED_TAX")</f>
        <v>#N/A Requesting Data...</v>
      </c>
      <c r="R1552" t="str">
        <f>_xll.BDP("927749JA Muni","MUNI_MSRB_VOLUME")</f>
        <v>#N/A Requesting Data...</v>
      </c>
      <c r="S1552" t="str">
        <f>_xll.BDP("927749JA Muni","BB_COMPOSITE")</f>
        <v>#N/A Requesting Data...</v>
      </c>
      <c r="T1552" t="str">
        <f>_xll.BDP("927749JA Muni","LQA_LIQUIDITY_SCORE")</f>
        <v>#N/A Requesting Data...</v>
      </c>
    </row>
    <row r="1553" spans="1:20" x14ac:dyDescent="0.25">
      <c r="A1553" t="str">
        <f>_xll.BDP("864856BL Muni","ID_CUSIP")</f>
        <v>#N/A Requesting Data...</v>
      </c>
      <c r="B1553" t="s">
        <v>476</v>
      </c>
      <c r="C1553" t="str">
        <f>_xll.BDP("864856BL Muni","INSURANCE_STATUS")</f>
        <v>#N/A Requesting Data...</v>
      </c>
      <c r="D1553" t="str">
        <f>_xll.BDP("864856BL Muni","STATE_CODE")</f>
        <v>#N/A Requesting Data...</v>
      </c>
      <c r="E1553" t="str">
        <f>_xll.BDP("864856BL Muni","COUNTY_LOCATION_ISSUER")</f>
        <v>#N/A Requesting Data...</v>
      </c>
      <c r="F1553" t="str">
        <f>_xll.BDP("864856BL Muni","DUR_ADJ_MID")</f>
        <v>#N/A Requesting Data...</v>
      </c>
      <c r="G1553" t="str">
        <f>_xll.BDP("864856BL Muni","SPREAD_AT_ISSUANCE_TO_WORST")</f>
        <v>#N/A Requesting Data...</v>
      </c>
      <c r="H1553" t="str">
        <f>_xll.BDP("864856BL Muni","ISSUE_DT")</f>
        <v>#N/A Requesting Data...</v>
      </c>
      <c r="I1553" t="str">
        <f>_xll.BDS("864856BL Muni","MUNI_PURPOSE_SCHED", "aggregate=y")</f>
        <v>#N/A Review</v>
      </c>
      <c r="J1553" t="str">
        <f>_xll.BDP("864856BL Muni","CPN")</f>
        <v>#N/A Requesting Data...</v>
      </c>
      <c r="K1553" t="str">
        <f>_xll.BDP("864856BL Muni","MATURITY")</f>
        <v>#N/A Requesting Data...</v>
      </c>
      <c r="L1553">
        <v>1030000</v>
      </c>
      <c r="M1553" t="str">
        <f>_xll.BDP("864856BL Muni","YIELD_ON_ISSUE_DATE")</f>
        <v>#N/A Requesting Data...</v>
      </c>
      <c r="N1553" t="str">
        <f>_xll.BDP("864856BL Muni","YTW_SPREAD_TO_MATURITY_AT_ISSU")</f>
        <v>#N/A Requesting Data...</v>
      </c>
      <c r="O1553" t="str">
        <f>_xll.BDP("864856BL Muni","BVAL_MID_YTM")</f>
        <v>#N/A Requesting Data...</v>
      </c>
      <c r="P1553" t="str">
        <f>_xll.BDP("864856BL Muni","MUNI_TAX_PROV")</f>
        <v>#N/A Requesting Data...</v>
      </c>
      <c r="Q1553" t="str">
        <f>_xll.BDP("864856BL Muni","MUNI_FED_TAX")</f>
        <v>#N/A Requesting Data...</v>
      </c>
      <c r="R1553" t="str">
        <f>_xll.BDP("864856BL Muni","MUNI_MSRB_VOLUME")</f>
        <v>#N/A Requesting Data...</v>
      </c>
      <c r="S1553" t="str">
        <f>_xll.BDP("864856BL Muni","BB_COMPOSITE")</f>
        <v>#N/A Requesting Data...</v>
      </c>
      <c r="T1553" t="str">
        <f>_xll.BDP("864856BL Muni","LQA_LIQUIDITY_SCORE")</f>
        <v>#N/A Requesting Data...</v>
      </c>
    </row>
    <row r="1554" spans="1:20" x14ac:dyDescent="0.25">
      <c r="A1554" t="str">
        <f>_xll.BDP("864856BM Muni","ID_CUSIP")</f>
        <v>#N/A Requesting Data...</v>
      </c>
      <c r="B1554" t="s">
        <v>476</v>
      </c>
      <c r="C1554" t="str">
        <f>_xll.BDP("864856BM Muni","INSURANCE_STATUS")</f>
        <v>#N/A Requesting Data...</v>
      </c>
      <c r="D1554" t="str">
        <f>_xll.BDP("864856BM Muni","STATE_CODE")</f>
        <v>#N/A Requesting Data...</v>
      </c>
      <c r="E1554" t="str">
        <f>_xll.BDP("864856BM Muni","COUNTY_LOCATION_ISSUER")</f>
        <v>#N/A Requesting Data...</v>
      </c>
      <c r="F1554" t="str">
        <f>_xll.BDP("864856BM Muni","DUR_ADJ_MID")</f>
        <v>#N/A Requesting Data...</v>
      </c>
      <c r="G1554" t="str">
        <f>_xll.BDP("864856BM Muni","SPREAD_AT_ISSUANCE_TO_WORST")</f>
        <v>#N/A Requesting Data...</v>
      </c>
      <c r="H1554" t="str">
        <f>_xll.BDP("864856BM Muni","ISSUE_DT")</f>
        <v>#N/A Requesting Data...</v>
      </c>
      <c r="I1554" t="str">
        <f>_xll.BDS("864856BM Muni","MUNI_PURPOSE_SCHED", "aggregate=y")</f>
        <v>#N/A Review</v>
      </c>
      <c r="J1554" t="str">
        <f>_xll.BDP("864856BM Muni","CPN")</f>
        <v>#N/A Requesting Data...</v>
      </c>
      <c r="K1554" t="str">
        <f>_xll.BDP("864856BM Muni","MATURITY")</f>
        <v>#N/A Requesting Data...</v>
      </c>
      <c r="L1554">
        <v>1035000</v>
      </c>
      <c r="M1554" t="str">
        <f>_xll.BDP("864856BM Muni","YIELD_ON_ISSUE_DATE")</f>
        <v>#N/A Requesting Data...</v>
      </c>
      <c r="N1554" t="str">
        <f>_xll.BDP("864856BM Muni","YTW_SPREAD_TO_MATURITY_AT_ISSU")</f>
        <v>#N/A Requesting Data...</v>
      </c>
      <c r="O1554" t="str">
        <f>_xll.BDP("864856BM Muni","BVAL_MID_YTM")</f>
        <v>#N/A Requesting Data...</v>
      </c>
      <c r="P1554" t="str">
        <f>_xll.BDP("864856BM Muni","MUNI_TAX_PROV")</f>
        <v>#N/A Requesting Data...</v>
      </c>
      <c r="Q1554" t="str">
        <f>_xll.BDP("864856BM Muni","MUNI_FED_TAX")</f>
        <v>#N/A Requesting Data...</v>
      </c>
      <c r="R1554" t="str">
        <f>_xll.BDP("864856BM Muni","MUNI_MSRB_VOLUME")</f>
        <v>#N/A Requesting Data...</v>
      </c>
      <c r="S1554" t="str">
        <f>_xll.BDP("864856BM Muni","BB_COMPOSITE")</f>
        <v>#N/A Requesting Data...</v>
      </c>
      <c r="T1554" t="str">
        <f>_xll.BDP("864856BM Muni","LQA_LIQUIDITY_SCORE")</f>
        <v>#N/A Requesting Data...</v>
      </c>
    </row>
    <row r="1555" spans="1:20" x14ac:dyDescent="0.25">
      <c r="A1555" t="str">
        <f>_xll.BDP("864856BN Muni","ID_CUSIP")</f>
        <v>#N/A Requesting Data...</v>
      </c>
      <c r="B1555" t="s">
        <v>476</v>
      </c>
      <c r="C1555" t="str">
        <f>_xll.BDP("864856BN Muni","INSURANCE_STATUS")</f>
        <v>#N/A Requesting Data...</v>
      </c>
      <c r="D1555" t="str">
        <f>_xll.BDP("864856BN Muni","STATE_CODE")</f>
        <v>#N/A Requesting Data...</v>
      </c>
      <c r="E1555" t="str">
        <f>_xll.BDP("864856BN Muni","COUNTY_LOCATION_ISSUER")</f>
        <v>#N/A Requesting Data...</v>
      </c>
      <c r="F1555" t="str">
        <f>_xll.BDP("864856BN Muni","DUR_ADJ_MID")</f>
        <v>#N/A Requesting Data...</v>
      </c>
      <c r="G1555" t="str">
        <f>_xll.BDP("864856BN Muni","SPREAD_AT_ISSUANCE_TO_WORST")</f>
        <v>#N/A Requesting Data...</v>
      </c>
      <c r="H1555" t="str">
        <f>_xll.BDP("864856BN Muni","ISSUE_DT")</f>
        <v>#N/A Requesting Data...</v>
      </c>
      <c r="I1555" t="str">
        <f>_xll.BDS("864856BN Muni","MUNI_PURPOSE_SCHED", "aggregate=y")</f>
        <v>#N/A Review</v>
      </c>
      <c r="J1555" t="str">
        <f>_xll.BDP("864856BN Muni","CPN")</f>
        <v>#N/A Requesting Data...</v>
      </c>
      <c r="K1555" t="str">
        <f>_xll.BDP("864856BN Muni","MATURITY")</f>
        <v>#N/A Requesting Data...</v>
      </c>
      <c r="L1555">
        <v>1040000</v>
      </c>
      <c r="M1555" t="str">
        <f>_xll.BDP("864856BN Muni","YIELD_ON_ISSUE_DATE")</f>
        <v>#N/A Requesting Data...</v>
      </c>
      <c r="N1555" t="str">
        <f>_xll.BDP("864856BN Muni","YTW_SPREAD_TO_MATURITY_AT_ISSU")</f>
        <v>#N/A Requesting Data...</v>
      </c>
      <c r="O1555" t="str">
        <f>_xll.BDP("864856BN Muni","BVAL_MID_YTM")</f>
        <v>#N/A Requesting Data...</v>
      </c>
      <c r="P1555" t="str">
        <f>_xll.BDP("864856BN Muni","MUNI_TAX_PROV")</f>
        <v>#N/A Requesting Data...</v>
      </c>
      <c r="Q1555" t="str">
        <f>_xll.BDP("864856BN Muni","MUNI_FED_TAX")</f>
        <v>#N/A Requesting Data...</v>
      </c>
      <c r="R1555" t="str">
        <f>_xll.BDP("864856BN Muni","MUNI_MSRB_VOLUME")</f>
        <v>#N/A Requesting Data...</v>
      </c>
      <c r="S1555" t="str">
        <f>_xll.BDP("864856BN Muni","BB_COMPOSITE")</f>
        <v>#N/A Requesting Data...</v>
      </c>
      <c r="T1555" t="str">
        <f>_xll.BDP("864856BN Muni","LQA_LIQUIDITY_SCORE")</f>
        <v>#N/A Requesting Data...</v>
      </c>
    </row>
    <row r="1556" spans="1:20" x14ac:dyDescent="0.25">
      <c r="A1556" t="str">
        <f>_xll.BDP("864881QC Muni","ID_CUSIP")</f>
        <v>#N/A Requesting Data...</v>
      </c>
      <c r="B1556" t="s">
        <v>121</v>
      </c>
      <c r="C1556" t="str">
        <f>_xll.BDP("864881QC Muni","INSURANCE_STATUS")</f>
        <v>#N/A Requesting Data...</v>
      </c>
      <c r="D1556" t="str">
        <f>_xll.BDP("864881QC Muni","STATE_CODE")</f>
        <v>#N/A Requesting Data...</v>
      </c>
      <c r="E1556" t="str">
        <f>_xll.BDP("864881QC Muni","COUNTY_LOCATION_ISSUER")</f>
        <v>#N/A Requesting Data...</v>
      </c>
      <c r="F1556" t="str">
        <f>_xll.BDP("864881QC Muni","DUR_ADJ_MID")</f>
        <v>#N/A Requesting Data...</v>
      </c>
      <c r="G1556" t="str">
        <f>_xll.BDP("864881QC Muni","SPREAD_AT_ISSUANCE_TO_WORST")</f>
        <v>#N/A Requesting Data...</v>
      </c>
      <c r="H1556" t="str">
        <f>_xll.BDP("864881QC Muni","ISSUE_DT")</f>
        <v>#N/A Requesting Data...</v>
      </c>
      <c r="I1556" t="str">
        <f>_xll.BDS("864881QC Muni","MUNI_PURPOSE_SCHED", "aggregate=y")</f>
        <v>#N/A Review</v>
      </c>
      <c r="J1556" t="str">
        <f>_xll.BDP("864881QC Muni","CPN")</f>
        <v>#N/A Requesting Data...</v>
      </c>
      <c r="K1556" t="str">
        <f>_xll.BDP("864881QC Muni","MATURITY")</f>
        <v>#N/A Requesting Data...</v>
      </c>
      <c r="L1556">
        <v>2410000</v>
      </c>
      <c r="M1556" t="str">
        <f>_xll.BDP("864881QC Muni","YIELD_ON_ISSUE_DATE")</f>
        <v>#N/A Requesting Data...</v>
      </c>
      <c r="N1556" t="str">
        <f>_xll.BDP("864881QC Muni","YTW_SPREAD_TO_MATURITY_AT_ISSU")</f>
        <v>#N/A Requesting Data...</v>
      </c>
      <c r="O1556" t="str">
        <f>_xll.BDP("864881QC Muni","BVAL_MID_YTM")</f>
        <v>#N/A Requesting Data...</v>
      </c>
      <c r="P1556" t="str">
        <f>_xll.BDP("864881QC Muni","MUNI_TAX_PROV")</f>
        <v>#N/A Requesting Data...</v>
      </c>
      <c r="Q1556" t="str">
        <f>_xll.BDP("864881QC Muni","MUNI_FED_TAX")</f>
        <v>#N/A Requesting Data...</v>
      </c>
      <c r="R1556" t="str">
        <f>_xll.BDP("864881QC Muni","MUNI_MSRB_VOLUME")</f>
        <v>#N/A Requesting Data...</v>
      </c>
      <c r="S1556" t="str">
        <f>_xll.BDP("864881QC Muni","BB_COMPOSITE")</f>
        <v>#N/A Requesting Data...</v>
      </c>
      <c r="T1556" t="str">
        <f>_xll.BDP("864881QC Muni","LQA_LIQUIDITY_SCORE")</f>
        <v>#N/A Requesting Data...</v>
      </c>
    </row>
    <row r="1557" spans="1:20" x14ac:dyDescent="0.25">
      <c r="A1557" t="str">
        <f>_xll.BDP("864881QD Muni","ID_CUSIP")</f>
        <v>#N/A Requesting Data...</v>
      </c>
      <c r="B1557" t="s">
        <v>121</v>
      </c>
      <c r="C1557" t="str">
        <f>_xll.BDP("864881QD Muni","INSURANCE_STATUS")</f>
        <v>#N/A Requesting Data...</v>
      </c>
      <c r="D1557" t="str">
        <f>_xll.BDP("864881QD Muni","STATE_CODE")</f>
        <v>#N/A Requesting Data...</v>
      </c>
      <c r="E1557" t="str">
        <f>_xll.BDP("864881QD Muni","COUNTY_LOCATION_ISSUER")</f>
        <v>#N/A Requesting Data...</v>
      </c>
      <c r="F1557" t="str">
        <f>_xll.BDP("864881QD Muni","DUR_ADJ_MID")</f>
        <v>#N/A Requesting Data...</v>
      </c>
      <c r="G1557" t="str">
        <f>_xll.BDP("864881QD Muni","SPREAD_AT_ISSUANCE_TO_WORST")</f>
        <v>#N/A Requesting Data...</v>
      </c>
      <c r="H1557" t="str">
        <f>_xll.BDP("864881QD Muni","ISSUE_DT")</f>
        <v>#N/A Requesting Data...</v>
      </c>
      <c r="I1557" t="str">
        <f>_xll.BDS("864881QD Muni","MUNI_PURPOSE_SCHED", "aggregate=y")</f>
        <v>#N/A Review</v>
      </c>
      <c r="J1557" t="str">
        <f>_xll.BDP("864881QD Muni","CPN")</f>
        <v>#N/A Requesting Data...</v>
      </c>
      <c r="K1557" t="str">
        <f>_xll.BDP("864881QD Muni","MATURITY")</f>
        <v>#N/A Requesting Data...</v>
      </c>
      <c r="L1557">
        <v>2515000</v>
      </c>
      <c r="M1557" t="str">
        <f>_xll.BDP("864881QD Muni","YIELD_ON_ISSUE_DATE")</f>
        <v>#N/A Requesting Data...</v>
      </c>
      <c r="N1557" t="str">
        <f>_xll.BDP("864881QD Muni","YTW_SPREAD_TO_MATURITY_AT_ISSU")</f>
        <v>#N/A Requesting Data...</v>
      </c>
      <c r="O1557" t="str">
        <f>_xll.BDP("864881QD Muni","BVAL_MID_YTM")</f>
        <v>#N/A Requesting Data...</v>
      </c>
      <c r="P1557" t="str">
        <f>_xll.BDP("864881QD Muni","MUNI_TAX_PROV")</f>
        <v>#N/A Requesting Data...</v>
      </c>
      <c r="Q1557" t="str">
        <f>_xll.BDP("864881QD Muni","MUNI_FED_TAX")</f>
        <v>#N/A Requesting Data...</v>
      </c>
      <c r="R1557" t="str">
        <f>_xll.BDP("864881QD Muni","MUNI_MSRB_VOLUME")</f>
        <v>#N/A Requesting Data...</v>
      </c>
      <c r="S1557" t="str">
        <f>_xll.BDP("864881QD Muni","BB_COMPOSITE")</f>
        <v>#N/A Requesting Data...</v>
      </c>
      <c r="T1557" t="str">
        <f>_xll.BDP("864881QD Muni","LQA_LIQUIDITY_SCORE")</f>
        <v>#N/A Requesting Data...</v>
      </c>
    </row>
    <row r="1558" spans="1:20" x14ac:dyDescent="0.25">
      <c r="A1558" t="str">
        <f>_xll.BDP("864881QE Muni","ID_CUSIP")</f>
        <v>#N/A Requesting Data...</v>
      </c>
      <c r="B1558" t="s">
        <v>121</v>
      </c>
      <c r="C1558" t="str">
        <f>_xll.BDP("864881QE Muni","INSURANCE_STATUS")</f>
        <v>#N/A Requesting Data...</v>
      </c>
      <c r="D1558" t="str">
        <f>_xll.BDP("864881QE Muni","STATE_CODE")</f>
        <v>#N/A Requesting Data...</v>
      </c>
      <c r="E1558" t="str">
        <f>_xll.BDP("864881QE Muni","COUNTY_LOCATION_ISSUER")</f>
        <v>#N/A Requesting Data...</v>
      </c>
      <c r="F1558" t="str">
        <f>_xll.BDP("864881QE Muni","DUR_ADJ_MID")</f>
        <v>#N/A Requesting Data...</v>
      </c>
      <c r="G1558" t="str">
        <f>_xll.BDP("864881QE Muni","SPREAD_AT_ISSUANCE_TO_WORST")</f>
        <v>#N/A Requesting Data...</v>
      </c>
      <c r="H1558" t="str">
        <f>_xll.BDP("864881QE Muni","ISSUE_DT")</f>
        <v>#N/A Requesting Data...</v>
      </c>
      <c r="I1558" t="str">
        <f>_xll.BDS("864881QE Muni","MUNI_PURPOSE_SCHED", "aggregate=y")</f>
        <v>#N/A Review</v>
      </c>
      <c r="J1558" t="str">
        <f>_xll.BDP("864881QE Muni","CPN")</f>
        <v>#N/A Requesting Data...</v>
      </c>
      <c r="K1558" t="str">
        <f>_xll.BDP("864881QE Muni","MATURITY")</f>
        <v>#N/A Requesting Data...</v>
      </c>
      <c r="L1558">
        <v>2640000</v>
      </c>
      <c r="M1558" t="str">
        <f>_xll.BDP("864881QE Muni","YIELD_ON_ISSUE_DATE")</f>
        <v>#N/A Requesting Data...</v>
      </c>
      <c r="N1558" t="str">
        <f>_xll.BDP("864881QE Muni","YTW_SPREAD_TO_MATURITY_AT_ISSU")</f>
        <v>#N/A Requesting Data...</v>
      </c>
      <c r="O1558" t="str">
        <f>_xll.BDP("864881QE Muni","BVAL_MID_YTM")</f>
        <v>#N/A Requesting Data...</v>
      </c>
      <c r="P1558" t="str">
        <f>_xll.BDP("864881QE Muni","MUNI_TAX_PROV")</f>
        <v>#N/A Requesting Data...</v>
      </c>
      <c r="Q1558" t="str">
        <f>_xll.BDP("864881QE Muni","MUNI_FED_TAX")</f>
        <v>#N/A Requesting Data...</v>
      </c>
      <c r="R1558" t="str">
        <f>_xll.BDP("864881QE Muni","MUNI_MSRB_VOLUME")</f>
        <v>#N/A Requesting Data...</v>
      </c>
      <c r="S1558" t="str">
        <f>_xll.BDP("864881QE Muni","BB_COMPOSITE")</f>
        <v>#N/A Requesting Data...</v>
      </c>
      <c r="T1558" t="str">
        <f>_xll.BDP("864881QE Muni","LQA_LIQUIDITY_SCORE")</f>
        <v>#N/A Requesting Data...</v>
      </c>
    </row>
    <row r="1559" spans="1:20" x14ac:dyDescent="0.25">
      <c r="A1559" t="str">
        <f>_xll.BDP("865063BT Muni","ID_CUSIP")</f>
        <v>#N/A Requesting Data...</v>
      </c>
      <c r="B1559" t="s">
        <v>477</v>
      </c>
      <c r="C1559" t="str">
        <f>_xll.BDP("865063BT Muni","INSURANCE_STATUS")</f>
        <v>#N/A Requesting Data...</v>
      </c>
      <c r="D1559" t="str">
        <f>_xll.BDP("865063BT Muni","STATE_CODE")</f>
        <v>#N/A Requesting Data...</v>
      </c>
      <c r="E1559" t="str">
        <f>_xll.BDP("865063BT Muni","COUNTY_LOCATION_ISSUER")</f>
        <v>#N/A Requesting Data...</v>
      </c>
      <c r="F1559" t="str">
        <f>_xll.BDP("865063BT Muni","DUR_ADJ_MID")</f>
        <v>#N/A Requesting Data...</v>
      </c>
      <c r="G1559" t="str">
        <f>_xll.BDP("865063BT Muni","SPREAD_AT_ISSUANCE_TO_WORST")</f>
        <v>#N/A Requesting Data...</v>
      </c>
      <c r="H1559" t="str">
        <f>_xll.BDP("865063BT Muni","ISSUE_DT")</f>
        <v>#N/A Requesting Data...</v>
      </c>
      <c r="I1559" t="str">
        <f>_xll.BDS("865063BT Muni","MUNI_PURPOSE_SCHED", "aggregate=y")</f>
        <v>#N/A Review</v>
      </c>
      <c r="J1559" t="str">
        <f>_xll.BDP("865063BT Muni","CPN")</f>
        <v>#N/A Requesting Data...</v>
      </c>
      <c r="K1559" t="str">
        <f>_xll.BDP("865063BT Muni","MATURITY")</f>
        <v>#N/A Requesting Data...</v>
      </c>
      <c r="L1559">
        <v>160000</v>
      </c>
      <c r="M1559" t="str">
        <f>_xll.BDP("865063BT Muni","YIELD_ON_ISSUE_DATE")</f>
        <v>#N/A Requesting Data...</v>
      </c>
      <c r="N1559" t="str">
        <f>_xll.BDP("865063BT Muni","YTW_SPREAD_TO_MATURITY_AT_ISSU")</f>
        <v>#N/A Requesting Data...</v>
      </c>
      <c r="O1559" t="str">
        <f>_xll.BDP("865063BT Muni","BVAL_MID_YTM")</f>
        <v>#N/A Requesting Data...</v>
      </c>
      <c r="P1559" t="str">
        <f>_xll.BDP("865063BT Muni","MUNI_TAX_PROV")</f>
        <v>#N/A Requesting Data...</v>
      </c>
      <c r="Q1559" t="str">
        <f>_xll.BDP("865063BT Muni","MUNI_FED_TAX")</f>
        <v>#N/A Requesting Data...</v>
      </c>
      <c r="R1559" t="str">
        <f>_xll.BDP("865063BT Muni","MUNI_MSRB_VOLUME")</f>
        <v>#N/A Requesting Data...</v>
      </c>
      <c r="S1559" t="str">
        <f>_xll.BDP("865063BT Muni","BB_COMPOSITE")</f>
        <v>#N/A Requesting Data...</v>
      </c>
      <c r="T1559" t="str">
        <f>_xll.BDP("865063BT Muni","LQA_LIQUIDITY_SCORE")</f>
        <v>#N/A Requesting Data...</v>
      </c>
    </row>
    <row r="1560" spans="1:20" x14ac:dyDescent="0.25">
      <c r="A1560" t="str">
        <f>_xll.BDP("865063BU Muni","ID_CUSIP")</f>
        <v>#N/A Requesting Data...</v>
      </c>
      <c r="B1560" t="s">
        <v>477</v>
      </c>
      <c r="C1560" t="str">
        <f>_xll.BDP("865063BU Muni","INSURANCE_STATUS")</f>
        <v>#N/A Requesting Data...</v>
      </c>
      <c r="D1560" t="str">
        <f>_xll.BDP("865063BU Muni","STATE_CODE")</f>
        <v>#N/A Requesting Data...</v>
      </c>
      <c r="E1560" t="str">
        <f>_xll.BDP("865063BU Muni","COUNTY_LOCATION_ISSUER")</f>
        <v>#N/A Requesting Data...</v>
      </c>
      <c r="F1560" t="str">
        <f>_xll.BDP("865063BU Muni","DUR_ADJ_MID")</f>
        <v>#N/A Requesting Data...</v>
      </c>
      <c r="G1560" t="str">
        <f>_xll.BDP("865063BU Muni","SPREAD_AT_ISSUANCE_TO_WORST")</f>
        <v>#N/A Requesting Data...</v>
      </c>
      <c r="H1560" t="str">
        <f>_xll.BDP("865063BU Muni","ISSUE_DT")</f>
        <v>#N/A Requesting Data...</v>
      </c>
      <c r="I1560" t="str">
        <f>_xll.BDS("865063BU Muni","MUNI_PURPOSE_SCHED", "aggregate=y")</f>
        <v>#N/A Review</v>
      </c>
      <c r="J1560" t="str">
        <f>_xll.BDP("865063BU Muni","CPN")</f>
        <v>#N/A Requesting Data...</v>
      </c>
      <c r="K1560" t="str">
        <f>_xll.BDP("865063BU Muni","MATURITY")</f>
        <v>#N/A Requesting Data...</v>
      </c>
      <c r="L1560">
        <v>165000</v>
      </c>
      <c r="M1560" t="str">
        <f>_xll.BDP("865063BU Muni","YIELD_ON_ISSUE_DATE")</f>
        <v>#N/A Requesting Data...</v>
      </c>
      <c r="N1560" t="str">
        <f>_xll.BDP("865063BU Muni","YTW_SPREAD_TO_MATURITY_AT_ISSU")</f>
        <v>#N/A Requesting Data...</v>
      </c>
      <c r="O1560" t="str">
        <f>_xll.BDP("865063BU Muni","BVAL_MID_YTM")</f>
        <v>#N/A Requesting Data...</v>
      </c>
      <c r="P1560" t="str">
        <f>_xll.BDP("865063BU Muni","MUNI_TAX_PROV")</f>
        <v>#N/A Requesting Data...</v>
      </c>
      <c r="Q1560" t="str">
        <f>_xll.BDP("865063BU Muni","MUNI_FED_TAX")</f>
        <v>#N/A Requesting Data...</v>
      </c>
      <c r="R1560" t="str">
        <f>_xll.BDP("865063BU Muni","MUNI_MSRB_VOLUME")</f>
        <v>#N/A Requesting Data...</v>
      </c>
      <c r="S1560" t="str">
        <f>_xll.BDP("865063BU Muni","BB_COMPOSITE")</f>
        <v>#N/A Requesting Data...</v>
      </c>
      <c r="T1560" t="str">
        <f>_xll.BDP("865063BU Muni","LQA_LIQUIDITY_SCORE")</f>
        <v>#N/A Requesting Data...</v>
      </c>
    </row>
    <row r="1561" spans="1:20" x14ac:dyDescent="0.25">
      <c r="A1561" t="str">
        <f>_xll.BDP("865063BV Muni","ID_CUSIP")</f>
        <v>#N/A Requesting Data...</v>
      </c>
      <c r="B1561" t="s">
        <v>477</v>
      </c>
      <c r="C1561" t="str">
        <f>_xll.BDP("865063BV Muni","INSURANCE_STATUS")</f>
        <v>#N/A Requesting Data...</v>
      </c>
      <c r="D1561" t="str">
        <f>_xll.BDP("865063BV Muni","STATE_CODE")</f>
        <v>#N/A Requesting Data...</v>
      </c>
      <c r="E1561" t="str">
        <f>_xll.BDP("865063BV Muni","COUNTY_LOCATION_ISSUER")</f>
        <v>#N/A Requesting Data...</v>
      </c>
      <c r="F1561" t="str">
        <f>_xll.BDP("865063BV Muni","DUR_ADJ_MID")</f>
        <v>#N/A Requesting Data...</v>
      </c>
      <c r="G1561" t="str">
        <f>_xll.BDP("865063BV Muni","SPREAD_AT_ISSUANCE_TO_WORST")</f>
        <v>#N/A Requesting Data...</v>
      </c>
      <c r="H1561" t="str">
        <f>_xll.BDP("865063BV Muni","ISSUE_DT")</f>
        <v>#N/A Requesting Data...</v>
      </c>
      <c r="I1561" t="str">
        <f>_xll.BDS("865063BV Muni","MUNI_PURPOSE_SCHED", "aggregate=y")</f>
        <v>#N/A Review</v>
      </c>
      <c r="J1561" t="str">
        <f>_xll.BDP("865063BV Muni","CPN")</f>
        <v>#N/A Requesting Data...</v>
      </c>
      <c r="K1561" t="str">
        <f>_xll.BDP("865063BV Muni","MATURITY")</f>
        <v>#N/A Requesting Data...</v>
      </c>
      <c r="L1561">
        <v>175000</v>
      </c>
      <c r="M1561" t="str">
        <f>_xll.BDP("865063BV Muni","YIELD_ON_ISSUE_DATE")</f>
        <v>#N/A Requesting Data...</v>
      </c>
      <c r="N1561" t="str">
        <f>_xll.BDP("865063BV Muni","YTW_SPREAD_TO_MATURITY_AT_ISSU")</f>
        <v>#N/A Requesting Data...</v>
      </c>
      <c r="O1561" t="str">
        <f>_xll.BDP("865063BV Muni","BVAL_MID_YTM")</f>
        <v>#N/A Requesting Data...</v>
      </c>
      <c r="P1561" t="str">
        <f>_xll.BDP("865063BV Muni","MUNI_TAX_PROV")</f>
        <v>#N/A Requesting Data...</v>
      </c>
      <c r="Q1561" t="str">
        <f>_xll.BDP("865063BV Muni","MUNI_FED_TAX")</f>
        <v>#N/A Requesting Data...</v>
      </c>
      <c r="R1561" t="str">
        <f>_xll.BDP("865063BV Muni","MUNI_MSRB_VOLUME")</f>
        <v>#N/A Requesting Data...</v>
      </c>
      <c r="S1561" t="str">
        <f>_xll.BDP("865063BV Muni","BB_COMPOSITE")</f>
        <v>#N/A Requesting Data...</v>
      </c>
      <c r="T1561" t="str">
        <f>_xll.BDP("865063BV Muni","LQA_LIQUIDITY_SCORE")</f>
        <v>#N/A Requesting Data...</v>
      </c>
    </row>
    <row r="1562" spans="1:20" x14ac:dyDescent="0.25">
      <c r="A1562" t="str">
        <f>_xll.BDP("91529NFF Muni","ID_CUSIP")</f>
        <v>#N/A Requesting Data...</v>
      </c>
      <c r="B1562" t="s">
        <v>29</v>
      </c>
      <c r="C1562" t="str">
        <f>_xll.BDP("91529NFF Muni","INSURANCE_STATUS")</f>
        <v>#N/A Requesting Data...</v>
      </c>
      <c r="D1562" t="str">
        <f>_xll.BDP("91529NFF Muni","STATE_CODE")</f>
        <v>#N/A Requesting Data...</v>
      </c>
      <c r="E1562" t="str">
        <f>_xll.BDP("91529NFF Muni","COUNTY_LOCATION_ISSUER")</f>
        <v>#N/A Requesting Data...</v>
      </c>
      <c r="F1562" t="str">
        <f>_xll.BDP("91529NFF Muni","DUR_ADJ_MID")</f>
        <v>#N/A Requesting Data...</v>
      </c>
      <c r="G1562" t="str">
        <f>_xll.BDP("91529NFF Muni","SPREAD_AT_ISSUANCE_TO_WORST")</f>
        <v>#N/A Requesting Data...</v>
      </c>
      <c r="H1562" t="str">
        <f>_xll.BDP("91529NFF Muni","ISSUE_DT")</f>
        <v>#N/A Requesting Data...</v>
      </c>
      <c r="I1562" t="str">
        <f>_xll.BDS("91529NFF Muni","MUNI_PURPOSE_SCHED", "aggregate=y")</f>
        <v>#N/A Review</v>
      </c>
      <c r="J1562" t="str">
        <f>_xll.BDP("91529NFF Muni","CPN")</f>
        <v>#N/A Requesting Data...</v>
      </c>
      <c r="K1562" t="str">
        <f>_xll.BDP("91529NFF Muni","MATURITY")</f>
        <v>#N/A Requesting Data...</v>
      </c>
      <c r="L1562">
        <v>225000</v>
      </c>
      <c r="M1562" t="str">
        <f>_xll.BDP("91529NFF Muni","YIELD_ON_ISSUE_DATE")</f>
        <v>#N/A Requesting Data...</v>
      </c>
      <c r="N1562" t="str">
        <f>_xll.BDP("91529NFF Muni","YTW_SPREAD_TO_MATURITY_AT_ISSU")</f>
        <v>#N/A Requesting Data...</v>
      </c>
      <c r="O1562" t="str">
        <f>_xll.BDP("91529NFF Muni","BVAL_MID_YTM")</f>
        <v>#N/A Requesting Data...</v>
      </c>
      <c r="P1562" t="str">
        <f>_xll.BDP("91529NFF Muni","MUNI_TAX_PROV")</f>
        <v>#N/A Requesting Data...</v>
      </c>
      <c r="Q1562" t="str">
        <f>_xll.BDP("91529NFF Muni","MUNI_FED_TAX")</f>
        <v>#N/A Requesting Data...</v>
      </c>
      <c r="R1562" t="str">
        <f>_xll.BDP("91529NFF Muni","MUNI_MSRB_VOLUME")</f>
        <v>#N/A Requesting Data...</v>
      </c>
      <c r="S1562" t="str">
        <f>_xll.BDP("91529NFF Muni","BB_COMPOSITE")</f>
        <v>#N/A Requesting Data...</v>
      </c>
      <c r="T1562" t="str">
        <f>_xll.BDP("91529NFF Muni","LQA_LIQUIDITY_SCORE")</f>
        <v>#N/A Requesting Data...</v>
      </c>
    </row>
    <row r="1563" spans="1:20" x14ac:dyDescent="0.25">
      <c r="A1563" t="str">
        <f>_xll.BDP("915489XD Muni","ID_CUSIP")</f>
        <v>#N/A Requesting Data...</v>
      </c>
      <c r="B1563" t="s">
        <v>478</v>
      </c>
      <c r="C1563" t="str">
        <f>_xll.BDP("915489XD Muni","INSURANCE_STATUS")</f>
        <v>#N/A Requesting Data...</v>
      </c>
      <c r="D1563" t="str">
        <f>_xll.BDP("915489XD Muni","STATE_CODE")</f>
        <v>#N/A Requesting Data...</v>
      </c>
      <c r="E1563" t="str">
        <f>_xll.BDP("915489XD Muni","COUNTY_LOCATION_ISSUER")</f>
        <v>#N/A Requesting Data...</v>
      </c>
      <c r="F1563" t="str">
        <f>_xll.BDP("915489XD Muni","DUR_ADJ_MID")</f>
        <v>#N/A Requesting Data...</v>
      </c>
      <c r="G1563" t="str">
        <f>_xll.BDP("915489XD Muni","SPREAD_AT_ISSUANCE_TO_WORST")</f>
        <v>#N/A Requesting Data...</v>
      </c>
      <c r="H1563" t="str">
        <f>_xll.BDP("915489XD Muni","ISSUE_DT")</f>
        <v>#N/A Requesting Data...</v>
      </c>
      <c r="I1563" t="str">
        <f>_xll.BDS("915489XD Muni","MUNI_PURPOSE_SCHED", "aggregate=y")</f>
        <v>#N/A Review</v>
      </c>
      <c r="J1563" t="str">
        <f>_xll.BDP("915489XD Muni","CPN")</f>
        <v>#N/A Requesting Data...</v>
      </c>
      <c r="K1563" t="str">
        <f>_xll.BDP("915489XD Muni","MATURITY")</f>
        <v>#N/A Requesting Data...</v>
      </c>
      <c r="L1563">
        <v>5000</v>
      </c>
      <c r="M1563" t="str">
        <f>_xll.BDP("915489XD Muni","YIELD_ON_ISSUE_DATE")</f>
        <v>#N/A Requesting Data...</v>
      </c>
      <c r="N1563" t="str">
        <f>_xll.BDP("915489XD Muni","YTW_SPREAD_TO_MATURITY_AT_ISSU")</f>
        <v>#N/A Requesting Data...</v>
      </c>
      <c r="O1563" t="str">
        <f>_xll.BDP("915489XD Muni","BVAL_MID_YTM")</f>
        <v>#N/A Requesting Data...</v>
      </c>
      <c r="P1563" t="str">
        <f>_xll.BDP("915489XD Muni","MUNI_TAX_PROV")</f>
        <v>#N/A Requesting Data...</v>
      </c>
      <c r="Q1563" t="str">
        <f>_xll.BDP("915489XD Muni","MUNI_FED_TAX")</f>
        <v>#N/A Requesting Data...</v>
      </c>
      <c r="R1563" t="str">
        <f>_xll.BDP("915489XD Muni","MUNI_MSRB_VOLUME")</f>
        <v>#N/A Requesting Data...</v>
      </c>
      <c r="S1563" t="str">
        <f>_xll.BDP("915489XD Muni","BB_COMPOSITE")</f>
        <v>#N/A Requesting Data...</v>
      </c>
      <c r="T1563" t="str">
        <f>_xll.BDP("915489XD Muni","LQA_LIQUIDITY_SCORE")</f>
        <v>#N/A Requesting Data...</v>
      </c>
    </row>
    <row r="1564" spans="1:20" x14ac:dyDescent="0.25">
      <c r="A1564" t="str">
        <f>_xll.BDP("915489XE Muni","ID_CUSIP")</f>
        <v>#N/A Requesting Data...</v>
      </c>
      <c r="B1564" t="s">
        <v>478</v>
      </c>
      <c r="C1564" t="str">
        <f>_xll.BDP("915489XE Muni","INSURANCE_STATUS")</f>
        <v>#N/A Requesting Data...</v>
      </c>
      <c r="D1564" t="str">
        <f>_xll.BDP("915489XE Muni","STATE_CODE")</f>
        <v>#N/A Requesting Data...</v>
      </c>
      <c r="E1564" t="str">
        <f>_xll.BDP("915489XE Muni","COUNTY_LOCATION_ISSUER")</f>
        <v>#N/A Requesting Data...</v>
      </c>
      <c r="F1564" t="str">
        <f>_xll.BDP("915489XE Muni","DUR_ADJ_MID")</f>
        <v>#N/A Requesting Data...</v>
      </c>
      <c r="G1564" t="str">
        <f>_xll.BDP("915489XE Muni","SPREAD_AT_ISSUANCE_TO_WORST")</f>
        <v>#N/A Requesting Data...</v>
      </c>
      <c r="H1564" t="str">
        <f>_xll.BDP("915489XE Muni","ISSUE_DT")</f>
        <v>#N/A Requesting Data...</v>
      </c>
      <c r="I1564" t="str">
        <f>_xll.BDS("915489XE Muni","MUNI_PURPOSE_SCHED", "aggregate=y")</f>
        <v>#N/A Review</v>
      </c>
      <c r="J1564" t="str">
        <f>_xll.BDP("915489XE Muni","CPN")</f>
        <v>#N/A Requesting Data...</v>
      </c>
      <c r="K1564" t="str">
        <f>_xll.BDP("915489XE Muni","MATURITY")</f>
        <v>#N/A Requesting Data...</v>
      </c>
      <c r="L1564">
        <v>5000</v>
      </c>
      <c r="M1564" t="str">
        <f>_xll.BDP("915489XE Muni","YIELD_ON_ISSUE_DATE")</f>
        <v>#N/A Requesting Data...</v>
      </c>
      <c r="N1564" t="str">
        <f>_xll.BDP("915489XE Muni","YTW_SPREAD_TO_MATURITY_AT_ISSU")</f>
        <v>#N/A Requesting Data...</v>
      </c>
      <c r="O1564" t="str">
        <f>_xll.BDP("915489XE Muni","BVAL_MID_YTM")</f>
        <v>#N/A Requesting Data...</v>
      </c>
      <c r="P1564" t="str">
        <f>_xll.BDP("915489XE Muni","MUNI_TAX_PROV")</f>
        <v>#N/A Requesting Data...</v>
      </c>
      <c r="Q1564" t="str">
        <f>_xll.BDP("915489XE Muni","MUNI_FED_TAX")</f>
        <v>#N/A Requesting Data...</v>
      </c>
      <c r="R1564" t="str">
        <f>_xll.BDP("915489XE Muni","MUNI_MSRB_VOLUME")</f>
        <v>#N/A Requesting Data...</v>
      </c>
      <c r="S1564" t="str">
        <f>_xll.BDP("915489XE Muni","BB_COMPOSITE")</f>
        <v>#N/A Requesting Data...</v>
      </c>
      <c r="T1564" t="str">
        <f>_xll.BDP("915489XE Muni","LQA_LIQUIDITY_SCORE")</f>
        <v>#N/A Requesting Data...</v>
      </c>
    </row>
    <row r="1565" spans="1:20" x14ac:dyDescent="0.25">
      <c r="A1565" t="str">
        <f>_xll.BDP("915489XF Muni","ID_CUSIP")</f>
        <v>#N/A Requesting Data...</v>
      </c>
      <c r="B1565" t="s">
        <v>478</v>
      </c>
      <c r="C1565" t="str">
        <f>_xll.BDP("915489XF Muni","INSURANCE_STATUS")</f>
        <v>#N/A Requesting Data...</v>
      </c>
      <c r="D1565" t="str">
        <f>_xll.BDP("915489XF Muni","STATE_CODE")</f>
        <v>#N/A Requesting Data...</v>
      </c>
      <c r="E1565" t="str">
        <f>_xll.BDP("915489XF Muni","COUNTY_LOCATION_ISSUER")</f>
        <v>#N/A Requesting Data...</v>
      </c>
      <c r="F1565" t="str">
        <f>_xll.BDP("915489XF Muni","DUR_ADJ_MID")</f>
        <v>#N/A Requesting Data...</v>
      </c>
      <c r="G1565" t="str">
        <f>_xll.BDP("915489XF Muni","SPREAD_AT_ISSUANCE_TO_WORST")</f>
        <v>#N/A Requesting Data...</v>
      </c>
      <c r="H1565" t="str">
        <f>_xll.BDP("915489XF Muni","ISSUE_DT")</f>
        <v>#N/A Requesting Data...</v>
      </c>
      <c r="I1565" t="str">
        <f>_xll.BDS("915489XF Muni","MUNI_PURPOSE_SCHED", "aggregate=y")</f>
        <v>#N/A Review</v>
      </c>
      <c r="J1565" t="str">
        <f>_xll.BDP("915489XF Muni","CPN")</f>
        <v>#N/A Requesting Data...</v>
      </c>
      <c r="K1565" t="str">
        <f>_xll.BDP("915489XF Muni","MATURITY")</f>
        <v>#N/A Requesting Data...</v>
      </c>
      <c r="L1565">
        <v>5000</v>
      </c>
      <c r="M1565" t="str">
        <f>_xll.BDP("915489XF Muni","YIELD_ON_ISSUE_DATE")</f>
        <v>#N/A Requesting Data...</v>
      </c>
      <c r="N1565" t="str">
        <f>_xll.BDP("915489XF Muni","YTW_SPREAD_TO_MATURITY_AT_ISSU")</f>
        <v>#N/A Requesting Data...</v>
      </c>
      <c r="O1565" t="str">
        <f>_xll.BDP("915489XF Muni","BVAL_MID_YTM")</f>
        <v>#N/A Requesting Data...</v>
      </c>
      <c r="P1565" t="str">
        <f>_xll.BDP("915489XF Muni","MUNI_TAX_PROV")</f>
        <v>#N/A Requesting Data...</v>
      </c>
      <c r="Q1565" t="str">
        <f>_xll.BDP("915489XF Muni","MUNI_FED_TAX")</f>
        <v>#N/A Requesting Data...</v>
      </c>
      <c r="R1565" t="str">
        <f>_xll.BDP("915489XF Muni","MUNI_MSRB_VOLUME")</f>
        <v>#N/A Requesting Data...</v>
      </c>
      <c r="S1565" t="str">
        <f>_xll.BDP("915489XF Muni","BB_COMPOSITE")</f>
        <v>#N/A Requesting Data...</v>
      </c>
      <c r="T1565" t="str">
        <f>_xll.BDP("915489XF Muni","LQA_LIQUIDITY_SCORE")</f>
        <v>#N/A Requesting Data...</v>
      </c>
    </row>
    <row r="1566" spans="1:20" x14ac:dyDescent="0.25">
      <c r="A1566" t="str">
        <f>_xll.BDP("915489XG Muni","ID_CUSIP")</f>
        <v>#N/A Requesting Data...</v>
      </c>
      <c r="B1566" t="s">
        <v>478</v>
      </c>
      <c r="C1566" t="str">
        <f>_xll.BDP("915489XG Muni","INSURANCE_STATUS")</f>
        <v>#N/A Requesting Data...</v>
      </c>
      <c r="D1566" t="str">
        <f>_xll.BDP("915489XG Muni","STATE_CODE")</f>
        <v>#N/A Requesting Data...</v>
      </c>
      <c r="E1566" t="str">
        <f>_xll.BDP("915489XG Muni","COUNTY_LOCATION_ISSUER")</f>
        <v>#N/A Requesting Data...</v>
      </c>
      <c r="F1566" t="str">
        <f>_xll.BDP("915489XG Muni","DUR_ADJ_MID")</f>
        <v>#N/A Requesting Data...</v>
      </c>
      <c r="G1566" t="str">
        <f>_xll.BDP("915489XG Muni","SPREAD_AT_ISSUANCE_TO_WORST")</f>
        <v>#N/A Requesting Data...</v>
      </c>
      <c r="H1566" t="str">
        <f>_xll.BDP("915489XG Muni","ISSUE_DT")</f>
        <v>#N/A Requesting Data...</v>
      </c>
      <c r="I1566" t="str">
        <f>_xll.BDS("915489XG Muni","MUNI_PURPOSE_SCHED", "aggregate=y")</f>
        <v>#N/A Review</v>
      </c>
      <c r="J1566" t="str">
        <f>_xll.BDP("915489XG Muni","CPN")</f>
        <v>#N/A Requesting Data...</v>
      </c>
      <c r="K1566" t="str">
        <f>_xll.BDP("915489XG Muni","MATURITY")</f>
        <v>#N/A Requesting Data...</v>
      </c>
      <c r="L1566">
        <v>5000</v>
      </c>
      <c r="M1566" t="str">
        <f>_xll.BDP("915489XG Muni","YIELD_ON_ISSUE_DATE")</f>
        <v>#N/A Requesting Data...</v>
      </c>
      <c r="N1566" t="str">
        <f>_xll.BDP("915489XG Muni","YTW_SPREAD_TO_MATURITY_AT_ISSU")</f>
        <v>#N/A Requesting Data...</v>
      </c>
      <c r="O1566" t="str">
        <f>_xll.BDP("915489XG Muni","BVAL_MID_YTM")</f>
        <v>#N/A Requesting Data...</v>
      </c>
      <c r="P1566" t="str">
        <f>_xll.BDP("915489XG Muni","MUNI_TAX_PROV")</f>
        <v>#N/A Requesting Data...</v>
      </c>
      <c r="Q1566" t="str">
        <f>_xll.BDP("915489XG Muni","MUNI_FED_TAX")</f>
        <v>#N/A Requesting Data...</v>
      </c>
      <c r="R1566" t="str">
        <f>_xll.BDP("915489XG Muni","MUNI_MSRB_VOLUME")</f>
        <v>#N/A Requesting Data...</v>
      </c>
      <c r="S1566" t="str">
        <f>_xll.BDP("915489XG Muni","BB_COMPOSITE")</f>
        <v>#N/A Requesting Data...</v>
      </c>
      <c r="T1566" t="str">
        <f>_xll.BDP("915489XG Muni","LQA_LIQUIDITY_SCORE")</f>
        <v>#N/A Requesting Data...</v>
      </c>
    </row>
    <row r="1567" spans="1:20" x14ac:dyDescent="0.25">
      <c r="A1567" t="str">
        <f>_xll.BDP("97000RFY Muni","ID_CUSIP")</f>
        <v>#N/A Requesting Data...</v>
      </c>
      <c r="B1567" t="s">
        <v>479</v>
      </c>
      <c r="C1567" t="str">
        <f>_xll.BDP("97000RFY Muni","INSURANCE_STATUS")</f>
        <v>#N/A Requesting Data...</v>
      </c>
      <c r="D1567" t="str">
        <f>_xll.BDP("97000RFY Muni","STATE_CODE")</f>
        <v>#N/A Requesting Data...</v>
      </c>
      <c r="E1567" t="str">
        <f>_xll.BDP("97000RFY Muni","COUNTY_LOCATION_ISSUER")</f>
        <v>#N/A Requesting Data...</v>
      </c>
      <c r="F1567" t="str">
        <f>_xll.BDP("97000RFY Muni","DUR_ADJ_MID")</f>
        <v>#N/A Requesting Data...</v>
      </c>
      <c r="G1567" t="str">
        <f>_xll.BDP("97000RFY Muni","SPREAD_AT_ISSUANCE_TO_WORST")</f>
        <v>#N/A Requesting Data...</v>
      </c>
      <c r="H1567" t="str">
        <f>_xll.BDP("97000RFY Muni","ISSUE_DT")</f>
        <v>#N/A Requesting Data...</v>
      </c>
      <c r="I1567" t="str">
        <f>_xll.BDS("97000RFY Muni","MUNI_PURPOSE_SCHED", "aggregate=y")</f>
        <v>#N/A Review</v>
      </c>
      <c r="J1567" t="str">
        <f>_xll.BDP("97000RFY Muni","CPN")</f>
        <v>#N/A Requesting Data...</v>
      </c>
      <c r="K1567" t="str">
        <f>_xll.BDP("97000RFY Muni","MATURITY")</f>
        <v>#N/A Requesting Data...</v>
      </c>
      <c r="L1567">
        <v>190000</v>
      </c>
      <c r="M1567" t="str">
        <f>_xll.BDP("97000RFY Muni","YIELD_ON_ISSUE_DATE")</f>
        <v>#N/A Requesting Data...</v>
      </c>
      <c r="N1567" t="str">
        <f>_xll.BDP("97000RFY Muni","YTW_SPREAD_TO_MATURITY_AT_ISSU")</f>
        <v>#N/A Requesting Data...</v>
      </c>
      <c r="O1567" t="str">
        <f>_xll.BDP("97000RFY Muni","BVAL_MID_YTM")</f>
        <v>#N/A Requesting Data...</v>
      </c>
      <c r="P1567" t="str">
        <f>_xll.BDP("97000RFY Muni","MUNI_TAX_PROV")</f>
        <v>#N/A Requesting Data...</v>
      </c>
      <c r="Q1567" t="str">
        <f>_xll.BDP("97000RFY Muni","MUNI_FED_TAX")</f>
        <v>#N/A Requesting Data...</v>
      </c>
      <c r="R1567" t="str">
        <f>_xll.BDP("97000RFY Muni","MUNI_MSRB_VOLUME")</f>
        <v>#N/A Requesting Data...</v>
      </c>
      <c r="S1567" t="str">
        <f>_xll.BDP("97000RFY Muni","BB_COMPOSITE")</f>
        <v>#N/A Requesting Data...</v>
      </c>
      <c r="T1567" t="str">
        <f>_xll.BDP("97000RFY Muni","LQA_LIQUIDITY_SCORE")</f>
        <v>#N/A Requesting Data...</v>
      </c>
    </row>
    <row r="1568" spans="1:20" x14ac:dyDescent="0.25">
      <c r="A1568" t="str">
        <f>_xll.BDP("97000RFZ Muni","ID_CUSIP")</f>
        <v>#N/A Requesting Data...</v>
      </c>
      <c r="B1568" t="s">
        <v>479</v>
      </c>
      <c r="C1568" t="str">
        <f>_xll.BDP("97000RFZ Muni","INSURANCE_STATUS")</f>
        <v>#N/A Requesting Data...</v>
      </c>
      <c r="D1568" t="str">
        <f>_xll.BDP("97000RFZ Muni","STATE_CODE")</f>
        <v>#N/A Requesting Data...</v>
      </c>
      <c r="E1568" t="str">
        <f>_xll.BDP("97000RFZ Muni","COUNTY_LOCATION_ISSUER")</f>
        <v>#N/A Requesting Data...</v>
      </c>
      <c r="F1568" t="str">
        <f>_xll.BDP("97000RFZ Muni","DUR_ADJ_MID")</f>
        <v>#N/A Requesting Data...</v>
      </c>
      <c r="G1568" t="str">
        <f>_xll.BDP("97000RFZ Muni","SPREAD_AT_ISSUANCE_TO_WORST")</f>
        <v>#N/A Requesting Data...</v>
      </c>
      <c r="H1568" t="str">
        <f>_xll.BDP("97000RFZ Muni","ISSUE_DT")</f>
        <v>#N/A Requesting Data...</v>
      </c>
      <c r="I1568" t="str">
        <f>_xll.BDS("97000RFZ Muni","MUNI_PURPOSE_SCHED", "aggregate=y")</f>
        <v>#N/A Review</v>
      </c>
      <c r="J1568" t="str">
        <f>_xll.BDP("97000RFZ Muni","CPN")</f>
        <v>#N/A Requesting Data...</v>
      </c>
      <c r="K1568" t="str">
        <f>_xll.BDP("97000RFZ Muni","MATURITY")</f>
        <v>#N/A Requesting Data...</v>
      </c>
      <c r="L1568">
        <v>200000</v>
      </c>
      <c r="M1568" t="str">
        <f>_xll.BDP("97000RFZ Muni","YIELD_ON_ISSUE_DATE")</f>
        <v>#N/A Requesting Data...</v>
      </c>
      <c r="N1568" t="str">
        <f>_xll.BDP("97000RFZ Muni","YTW_SPREAD_TO_MATURITY_AT_ISSU")</f>
        <v>#N/A Requesting Data...</v>
      </c>
      <c r="O1568" t="str">
        <f>_xll.BDP("97000RFZ Muni","BVAL_MID_YTM")</f>
        <v>#N/A Requesting Data...</v>
      </c>
      <c r="P1568" t="str">
        <f>_xll.BDP("97000RFZ Muni","MUNI_TAX_PROV")</f>
        <v>#N/A Requesting Data...</v>
      </c>
      <c r="Q1568" t="str">
        <f>_xll.BDP("97000RFZ Muni","MUNI_FED_TAX")</f>
        <v>#N/A Requesting Data...</v>
      </c>
      <c r="R1568" t="str">
        <f>_xll.BDP("97000RFZ Muni","MUNI_MSRB_VOLUME")</f>
        <v>#N/A Requesting Data...</v>
      </c>
      <c r="S1568" t="str">
        <f>_xll.BDP("97000RFZ Muni","BB_COMPOSITE")</f>
        <v>#N/A Requesting Data...</v>
      </c>
      <c r="T1568" t="str">
        <f>_xll.BDP("97000RFZ Muni","LQA_LIQUIDITY_SCORE")</f>
        <v>#N/A Requesting Data...</v>
      </c>
    </row>
    <row r="1569" spans="1:20" x14ac:dyDescent="0.25">
      <c r="A1569" t="str">
        <f>_xll.BDP("97000VBE Muni","ID_CUSIP")</f>
        <v>#N/A Requesting Data...</v>
      </c>
      <c r="B1569" t="s">
        <v>480</v>
      </c>
      <c r="C1569" t="str">
        <f>_xll.BDP("97000VBE Muni","INSURANCE_STATUS")</f>
        <v>#N/A Requesting Data...</v>
      </c>
      <c r="D1569" t="str">
        <f>_xll.BDP("97000VBE Muni","STATE_CODE")</f>
        <v>#N/A Requesting Data...</v>
      </c>
      <c r="E1569" t="str">
        <f>_xll.BDP("97000VBE Muni","COUNTY_LOCATION_ISSUER")</f>
        <v>#N/A Requesting Data...</v>
      </c>
      <c r="F1569" t="str">
        <f>_xll.BDP("97000VBE Muni","DUR_ADJ_MID")</f>
        <v>#N/A Requesting Data...</v>
      </c>
      <c r="G1569" t="str">
        <f>_xll.BDP("97000VBE Muni","SPREAD_AT_ISSUANCE_TO_WORST")</f>
        <v>#N/A Requesting Data...</v>
      </c>
      <c r="H1569" t="str">
        <f>_xll.BDP("97000VBE Muni","ISSUE_DT")</f>
        <v>#N/A Requesting Data...</v>
      </c>
      <c r="I1569" t="str">
        <f>_xll.BDS("97000VBE Muni","MUNI_PURPOSE_SCHED", "aggregate=y")</f>
        <v>#N/A Review</v>
      </c>
      <c r="J1569" t="str">
        <f>_xll.BDP("97000VBE Muni","CPN")</f>
        <v>#N/A Requesting Data...</v>
      </c>
      <c r="K1569" t="str">
        <f>_xll.BDP("97000VBE Muni","MATURITY")</f>
        <v>#N/A Requesting Data...</v>
      </c>
      <c r="L1569">
        <v>50000</v>
      </c>
      <c r="M1569" t="str">
        <f>_xll.BDP("97000VBE Muni","YIELD_ON_ISSUE_DATE")</f>
        <v>#N/A Requesting Data...</v>
      </c>
      <c r="N1569" t="str">
        <f>_xll.BDP("97000VBE Muni","YTW_SPREAD_TO_MATURITY_AT_ISSU")</f>
        <v>#N/A Requesting Data...</v>
      </c>
      <c r="O1569" t="str">
        <f>_xll.BDP("97000VBE Muni","BVAL_MID_YTM")</f>
        <v>#N/A Requesting Data...</v>
      </c>
      <c r="P1569" t="str">
        <f>_xll.BDP("97000VBE Muni","MUNI_TAX_PROV")</f>
        <v>#N/A Requesting Data...</v>
      </c>
      <c r="Q1569" t="str">
        <f>_xll.BDP("97000VBE Muni","MUNI_FED_TAX")</f>
        <v>#N/A Requesting Data...</v>
      </c>
      <c r="R1569" t="str">
        <f>_xll.BDP("97000VBE Muni","MUNI_MSRB_VOLUME")</f>
        <v>#N/A Requesting Data...</v>
      </c>
      <c r="S1569" t="str">
        <f>_xll.BDP("97000VBE Muni","BB_COMPOSITE")</f>
        <v>#N/A Requesting Data...</v>
      </c>
      <c r="T1569" t="str">
        <f>_xll.BDP("97000VBE Muni","LQA_LIQUIDITY_SCORE")</f>
        <v>#N/A Requesting Data...</v>
      </c>
    </row>
    <row r="1570" spans="1:20" x14ac:dyDescent="0.25">
      <c r="A1570" t="str">
        <f>_xll.BDP("97000VBF Muni","ID_CUSIP")</f>
        <v>#N/A Requesting Data...</v>
      </c>
      <c r="B1570" t="s">
        <v>480</v>
      </c>
      <c r="C1570" t="str">
        <f>_xll.BDP("97000VBF Muni","INSURANCE_STATUS")</f>
        <v>#N/A Requesting Data...</v>
      </c>
      <c r="D1570" t="str">
        <f>_xll.BDP("97000VBF Muni","STATE_CODE")</f>
        <v>#N/A Requesting Data...</v>
      </c>
      <c r="E1570" t="str">
        <f>_xll.BDP("97000VBF Muni","COUNTY_LOCATION_ISSUER")</f>
        <v>#N/A Requesting Data...</v>
      </c>
      <c r="F1570" t="str">
        <f>_xll.BDP("97000VBF Muni","DUR_ADJ_MID")</f>
        <v>#N/A Requesting Data...</v>
      </c>
      <c r="G1570" t="str">
        <f>_xll.BDP("97000VBF Muni","SPREAD_AT_ISSUANCE_TO_WORST")</f>
        <v>#N/A Requesting Data...</v>
      </c>
      <c r="H1570" t="str">
        <f>_xll.BDP("97000VBF Muni","ISSUE_DT")</f>
        <v>#N/A Requesting Data...</v>
      </c>
      <c r="I1570" t="str">
        <f>_xll.BDS("97000VBF Muni","MUNI_PURPOSE_SCHED", "aggregate=y")</f>
        <v>#N/A Review</v>
      </c>
      <c r="J1570" t="str">
        <f>_xll.BDP("97000VBF Muni","CPN")</f>
        <v>#N/A Requesting Data...</v>
      </c>
      <c r="K1570" t="str">
        <f>_xll.BDP("97000VBF Muni","MATURITY")</f>
        <v>#N/A Requesting Data...</v>
      </c>
      <c r="L1570">
        <v>75000</v>
      </c>
      <c r="M1570" t="str">
        <f>_xll.BDP("97000VBF Muni","YIELD_ON_ISSUE_DATE")</f>
        <v>#N/A Requesting Data...</v>
      </c>
      <c r="N1570" t="str">
        <f>_xll.BDP("97000VBF Muni","YTW_SPREAD_TO_MATURITY_AT_ISSU")</f>
        <v>#N/A Requesting Data...</v>
      </c>
      <c r="O1570" t="str">
        <f>_xll.BDP("97000VBF Muni","BVAL_MID_YTM")</f>
        <v>#N/A Requesting Data...</v>
      </c>
      <c r="P1570" t="str">
        <f>_xll.BDP("97000VBF Muni","MUNI_TAX_PROV")</f>
        <v>#N/A Requesting Data...</v>
      </c>
      <c r="Q1570" t="str">
        <f>_xll.BDP("97000VBF Muni","MUNI_FED_TAX")</f>
        <v>#N/A Requesting Data...</v>
      </c>
      <c r="R1570" t="str">
        <f>_xll.BDP("97000VBF Muni","MUNI_MSRB_VOLUME")</f>
        <v>#N/A Requesting Data...</v>
      </c>
      <c r="S1570" t="str">
        <f>_xll.BDP("97000VBF Muni","BB_COMPOSITE")</f>
        <v>#N/A Requesting Data...</v>
      </c>
      <c r="T1570" t="str">
        <f>_xll.BDP("97000VBF Muni","LQA_LIQUIDITY_SCORE")</f>
        <v>#N/A Requesting Data...</v>
      </c>
    </row>
    <row r="1571" spans="1:20" x14ac:dyDescent="0.25">
      <c r="A1571" t="str">
        <f>_xll.BDP("97000WBC Muni","ID_CUSIP")</f>
        <v>#N/A Requesting Data...</v>
      </c>
      <c r="B1571" t="s">
        <v>481</v>
      </c>
      <c r="C1571" t="str">
        <f>_xll.BDP("97000WBC Muni","INSURANCE_STATUS")</f>
        <v>#N/A Requesting Data...</v>
      </c>
      <c r="D1571" t="str">
        <f>_xll.BDP("97000WBC Muni","STATE_CODE")</f>
        <v>#N/A Requesting Data...</v>
      </c>
      <c r="E1571" t="str">
        <f>_xll.BDP("97000WBC Muni","COUNTY_LOCATION_ISSUER")</f>
        <v>#N/A Requesting Data...</v>
      </c>
      <c r="F1571" t="str">
        <f>_xll.BDP("97000WBC Muni","DUR_ADJ_MID")</f>
        <v>#N/A Requesting Data...</v>
      </c>
      <c r="G1571" t="str">
        <f>_xll.BDP("97000WBC Muni","SPREAD_AT_ISSUANCE_TO_WORST")</f>
        <v>#N/A Requesting Data...</v>
      </c>
      <c r="H1571" t="str">
        <f>_xll.BDP("97000WBC Muni","ISSUE_DT")</f>
        <v>#N/A Requesting Data...</v>
      </c>
      <c r="I1571" t="str">
        <f>_xll.BDS("97000WBC Muni","MUNI_PURPOSE_SCHED", "aggregate=y")</f>
        <v>#N/A Review</v>
      </c>
      <c r="J1571" t="str">
        <f>_xll.BDP("97000WBC Muni","CPN")</f>
        <v>#N/A Requesting Data...</v>
      </c>
      <c r="K1571" t="str">
        <f>_xll.BDP("97000WBC Muni","MATURITY")</f>
        <v>#N/A Requesting Data...</v>
      </c>
      <c r="L1571">
        <v>125000</v>
      </c>
      <c r="M1571" t="str">
        <f>_xll.BDP("97000WBC Muni","YIELD_ON_ISSUE_DATE")</f>
        <v>#N/A Requesting Data...</v>
      </c>
      <c r="N1571" t="str">
        <f>_xll.BDP("97000WBC Muni","YTW_SPREAD_TO_MATURITY_AT_ISSU")</f>
        <v>#N/A Requesting Data...</v>
      </c>
      <c r="O1571" t="str">
        <f>_xll.BDP("97000WBC Muni","BVAL_MID_YTM")</f>
        <v>#N/A Requesting Data...</v>
      </c>
      <c r="P1571" t="str">
        <f>_xll.BDP("97000WBC Muni","MUNI_TAX_PROV")</f>
        <v>#N/A Requesting Data...</v>
      </c>
      <c r="Q1571" t="str">
        <f>_xll.BDP("97000WBC Muni","MUNI_FED_TAX")</f>
        <v>#N/A Requesting Data...</v>
      </c>
      <c r="R1571" t="str">
        <f>_xll.BDP("97000WBC Muni","MUNI_MSRB_VOLUME")</f>
        <v>#N/A Requesting Data...</v>
      </c>
      <c r="S1571" t="str">
        <f>_xll.BDP("97000WBC Muni","BB_COMPOSITE")</f>
        <v>#N/A Requesting Data...</v>
      </c>
      <c r="T1571" t="str">
        <f>_xll.BDP("97000WBC Muni","LQA_LIQUIDITY_SCORE")</f>
        <v>#N/A Requesting Data...</v>
      </c>
    </row>
    <row r="1572" spans="1:20" x14ac:dyDescent="0.25">
      <c r="A1572" t="str">
        <f>_xll.BDP("97000WBD Muni","ID_CUSIP")</f>
        <v>#N/A Requesting Data...</v>
      </c>
      <c r="B1572" t="s">
        <v>481</v>
      </c>
      <c r="C1572" t="str">
        <f>_xll.BDP("97000WBD Muni","INSURANCE_STATUS")</f>
        <v>#N/A Requesting Data...</v>
      </c>
      <c r="D1572" t="str">
        <f>_xll.BDP("97000WBD Muni","STATE_CODE")</f>
        <v>#N/A Requesting Data...</v>
      </c>
      <c r="E1572" t="str">
        <f>_xll.BDP("97000WBD Muni","COUNTY_LOCATION_ISSUER")</f>
        <v>#N/A Requesting Data...</v>
      </c>
      <c r="F1572" t="str">
        <f>_xll.BDP("97000WBD Muni","DUR_ADJ_MID")</f>
        <v>#N/A Requesting Data...</v>
      </c>
      <c r="G1572" t="str">
        <f>_xll.BDP("97000WBD Muni","SPREAD_AT_ISSUANCE_TO_WORST")</f>
        <v>#N/A Requesting Data...</v>
      </c>
      <c r="H1572" t="str">
        <f>_xll.BDP("97000WBD Muni","ISSUE_DT")</f>
        <v>#N/A Requesting Data...</v>
      </c>
      <c r="I1572" t="str">
        <f>_xll.BDS("97000WBD Muni","MUNI_PURPOSE_SCHED", "aggregate=y")</f>
        <v>#N/A Review</v>
      </c>
      <c r="J1572" t="str">
        <f>_xll.BDP("97000WBD Muni","CPN")</f>
        <v>#N/A Requesting Data...</v>
      </c>
      <c r="K1572" t="str">
        <f>_xll.BDP("97000WBD Muni","MATURITY")</f>
        <v>#N/A Requesting Data...</v>
      </c>
      <c r="L1572">
        <v>130000</v>
      </c>
      <c r="M1572" t="str">
        <f>_xll.BDP("97000WBD Muni","YIELD_ON_ISSUE_DATE")</f>
        <v>#N/A Requesting Data...</v>
      </c>
      <c r="N1572" t="str">
        <f>_xll.BDP("97000WBD Muni","YTW_SPREAD_TO_MATURITY_AT_ISSU")</f>
        <v>#N/A Requesting Data...</v>
      </c>
      <c r="O1572" t="str">
        <f>_xll.BDP("97000WBD Muni","BVAL_MID_YTM")</f>
        <v>#N/A Requesting Data...</v>
      </c>
      <c r="P1572" t="str">
        <f>_xll.BDP("97000WBD Muni","MUNI_TAX_PROV")</f>
        <v>#N/A Requesting Data...</v>
      </c>
      <c r="Q1572" t="str">
        <f>_xll.BDP("97000WBD Muni","MUNI_FED_TAX")</f>
        <v>#N/A Requesting Data...</v>
      </c>
      <c r="R1572" t="str">
        <f>_xll.BDP("97000WBD Muni","MUNI_MSRB_VOLUME")</f>
        <v>#N/A Requesting Data...</v>
      </c>
      <c r="S1572" t="str">
        <f>_xll.BDP("97000WBD Muni","BB_COMPOSITE")</f>
        <v>#N/A Requesting Data...</v>
      </c>
      <c r="T1572" t="str">
        <f>_xll.BDP("97000WBD Muni","LQA_LIQUIDITY_SCORE")</f>
        <v>#N/A Requesting Data...</v>
      </c>
    </row>
    <row r="1573" spans="1:20" x14ac:dyDescent="0.25">
      <c r="A1573" t="str">
        <f>_xll.BDP("97000WCB Muni","ID_CUSIP")</f>
        <v>#N/A Requesting Data...</v>
      </c>
      <c r="B1573" t="s">
        <v>481</v>
      </c>
      <c r="C1573" t="str">
        <f>_xll.BDP("97000WCB Muni","INSURANCE_STATUS")</f>
        <v>#N/A Requesting Data...</v>
      </c>
      <c r="D1573" t="str">
        <f>_xll.BDP("97000WCB Muni","STATE_CODE")</f>
        <v>#N/A Requesting Data...</v>
      </c>
      <c r="E1573" t="str">
        <f>_xll.BDP("97000WCB Muni","COUNTY_LOCATION_ISSUER")</f>
        <v>#N/A Requesting Data...</v>
      </c>
      <c r="F1573" t="str">
        <f>_xll.BDP("97000WCB Muni","DUR_ADJ_MID")</f>
        <v>#N/A Requesting Data...</v>
      </c>
      <c r="G1573" t="str">
        <f>_xll.BDP("97000WCB Muni","SPREAD_AT_ISSUANCE_TO_WORST")</f>
        <v>#N/A Requesting Data...</v>
      </c>
      <c r="H1573" t="str">
        <f>_xll.BDP("97000WCB Muni","ISSUE_DT")</f>
        <v>#N/A Requesting Data...</v>
      </c>
      <c r="I1573" t="str">
        <f>_xll.BDS("97000WCB Muni","MUNI_PURPOSE_SCHED", "aggregate=y")</f>
        <v>#N/A Review</v>
      </c>
      <c r="J1573" t="str">
        <f>_xll.BDP("97000WCB Muni","CPN")</f>
        <v>#N/A Requesting Data...</v>
      </c>
      <c r="K1573" t="str">
        <f>_xll.BDP("97000WCB Muni","MATURITY")</f>
        <v>#N/A Requesting Data...</v>
      </c>
      <c r="L1573">
        <v>180000</v>
      </c>
      <c r="M1573" t="str">
        <f>_xll.BDP("97000WCB Muni","YIELD_ON_ISSUE_DATE")</f>
        <v>#N/A Requesting Data...</v>
      </c>
      <c r="N1573" t="str">
        <f>_xll.BDP("97000WCB Muni","YTW_SPREAD_TO_MATURITY_AT_ISSU")</f>
        <v>#N/A Requesting Data...</v>
      </c>
      <c r="O1573" t="str">
        <f>_xll.BDP("97000WCB Muni","BVAL_MID_YTM")</f>
        <v>#N/A Requesting Data...</v>
      </c>
      <c r="P1573" t="str">
        <f>_xll.BDP("97000WCB Muni","MUNI_TAX_PROV")</f>
        <v>#N/A Requesting Data...</v>
      </c>
      <c r="Q1573" t="str">
        <f>_xll.BDP("97000WCB Muni","MUNI_FED_TAX")</f>
        <v>#N/A Requesting Data...</v>
      </c>
      <c r="R1573" t="str">
        <f>_xll.BDP("97000WCB Muni","MUNI_MSRB_VOLUME")</f>
        <v>#N/A Requesting Data...</v>
      </c>
      <c r="S1573" t="str">
        <f>_xll.BDP("97000WCB Muni","BB_COMPOSITE")</f>
        <v>#N/A Requesting Data...</v>
      </c>
      <c r="T1573" t="str">
        <f>_xll.BDP("97000WCB Muni","LQA_LIQUIDITY_SCORE")</f>
        <v>#N/A Requesting Data...</v>
      </c>
    </row>
    <row r="1574" spans="1:20" x14ac:dyDescent="0.25">
      <c r="A1574" t="str">
        <f>_xll.BDP("97000WCC Muni","ID_CUSIP")</f>
        <v>#N/A Requesting Data...</v>
      </c>
      <c r="B1574" t="s">
        <v>481</v>
      </c>
      <c r="C1574" t="str">
        <f>_xll.BDP("97000WCC Muni","INSURANCE_STATUS")</f>
        <v>#N/A Requesting Data...</v>
      </c>
      <c r="D1574" t="str">
        <f>_xll.BDP("97000WCC Muni","STATE_CODE")</f>
        <v>#N/A Requesting Data...</v>
      </c>
      <c r="E1574" t="str">
        <f>_xll.BDP("97000WCC Muni","COUNTY_LOCATION_ISSUER")</f>
        <v>#N/A Requesting Data...</v>
      </c>
      <c r="F1574" t="str">
        <f>_xll.BDP("97000WCC Muni","DUR_ADJ_MID")</f>
        <v>#N/A Requesting Data...</v>
      </c>
      <c r="G1574" t="str">
        <f>_xll.BDP("97000WCC Muni","SPREAD_AT_ISSUANCE_TO_WORST")</f>
        <v>#N/A Requesting Data...</v>
      </c>
      <c r="H1574" t="str">
        <f>_xll.BDP("97000WCC Muni","ISSUE_DT")</f>
        <v>#N/A Requesting Data...</v>
      </c>
      <c r="I1574" t="str">
        <f>_xll.BDS("97000WCC Muni","MUNI_PURPOSE_SCHED", "aggregate=y")</f>
        <v>#N/A Review</v>
      </c>
      <c r="J1574" t="str">
        <f>_xll.BDP("97000WCC Muni","CPN")</f>
        <v>#N/A Requesting Data...</v>
      </c>
      <c r="K1574" t="str">
        <f>_xll.BDP("97000WCC Muni","MATURITY")</f>
        <v>#N/A Requesting Data...</v>
      </c>
      <c r="L1574">
        <v>190000</v>
      </c>
      <c r="M1574" t="str">
        <f>_xll.BDP("97000WCC Muni","YIELD_ON_ISSUE_DATE")</f>
        <v>#N/A Requesting Data...</v>
      </c>
      <c r="N1574" t="str">
        <f>_xll.BDP("97000WCC Muni","YTW_SPREAD_TO_MATURITY_AT_ISSU")</f>
        <v>#N/A Requesting Data...</v>
      </c>
      <c r="O1574" t="str">
        <f>_xll.BDP("97000WCC Muni","BVAL_MID_YTM")</f>
        <v>#N/A Requesting Data...</v>
      </c>
      <c r="P1574" t="str">
        <f>_xll.BDP("97000WCC Muni","MUNI_TAX_PROV")</f>
        <v>#N/A Requesting Data...</v>
      </c>
      <c r="Q1574" t="str">
        <f>_xll.BDP("97000WCC Muni","MUNI_FED_TAX")</f>
        <v>#N/A Requesting Data...</v>
      </c>
      <c r="R1574" t="str">
        <f>_xll.BDP("97000WCC Muni","MUNI_MSRB_VOLUME")</f>
        <v>#N/A Requesting Data...</v>
      </c>
      <c r="S1574" t="str">
        <f>_xll.BDP("97000WCC Muni","BB_COMPOSITE")</f>
        <v>#N/A Requesting Data...</v>
      </c>
      <c r="T1574" t="str">
        <f>_xll.BDP("97000WCC Muni","LQA_LIQUIDITY_SCORE")</f>
        <v>#N/A Requesting Data...</v>
      </c>
    </row>
    <row r="1575" spans="1:20" x14ac:dyDescent="0.25">
      <c r="A1575" t="str">
        <f>_xll.BDP("97001LBH Muni","ID_CUSIP")</f>
        <v>#N/A Requesting Data...</v>
      </c>
      <c r="B1575" t="s">
        <v>482</v>
      </c>
      <c r="C1575" t="str">
        <f>_xll.BDP("97001LBH Muni","INSURANCE_STATUS")</f>
        <v>#N/A Requesting Data...</v>
      </c>
      <c r="D1575" t="str">
        <f>_xll.BDP("97001LBH Muni","STATE_CODE")</f>
        <v>#N/A Requesting Data...</v>
      </c>
      <c r="E1575" t="str">
        <f>_xll.BDP("97001LBH Muni","COUNTY_LOCATION_ISSUER")</f>
        <v>#N/A Requesting Data...</v>
      </c>
      <c r="F1575" t="str">
        <f>_xll.BDP("97001LBH Muni","DUR_ADJ_MID")</f>
        <v>#N/A Requesting Data...</v>
      </c>
      <c r="G1575" t="str">
        <f>_xll.BDP("97001LBH Muni","SPREAD_AT_ISSUANCE_TO_WORST")</f>
        <v>#N/A Requesting Data...</v>
      </c>
      <c r="H1575" t="str">
        <f>_xll.BDP("97001LBH Muni","ISSUE_DT")</f>
        <v>#N/A Requesting Data...</v>
      </c>
      <c r="I1575" t="str">
        <f>_xll.BDS("97001LBH Muni","MUNI_PURPOSE_SCHED", "aggregate=y")</f>
        <v>#N/A Review</v>
      </c>
      <c r="J1575" t="str">
        <f>_xll.BDP("97001LBH Muni","CPN")</f>
        <v>#N/A Requesting Data...</v>
      </c>
      <c r="K1575" t="str">
        <f>_xll.BDP("97001LBH Muni","MATURITY")</f>
        <v>#N/A Requesting Data...</v>
      </c>
      <c r="L1575">
        <v>40000</v>
      </c>
      <c r="M1575" t="str">
        <f>_xll.BDP("97001LBH Muni","YIELD_ON_ISSUE_DATE")</f>
        <v>#N/A Requesting Data...</v>
      </c>
      <c r="N1575" t="str">
        <f>_xll.BDP("97001LBH Muni","YTW_SPREAD_TO_MATURITY_AT_ISSU")</f>
        <v>#N/A Requesting Data...</v>
      </c>
      <c r="O1575" t="str">
        <f>_xll.BDP("97001LBH Muni","BVAL_MID_YTM")</f>
        <v>#N/A Requesting Data...</v>
      </c>
      <c r="P1575" t="str">
        <f>_xll.BDP("97001LBH Muni","MUNI_TAX_PROV")</f>
        <v>#N/A Requesting Data...</v>
      </c>
      <c r="Q1575" t="str">
        <f>_xll.BDP("97001LBH Muni","MUNI_FED_TAX")</f>
        <v>#N/A Requesting Data...</v>
      </c>
      <c r="R1575" t="str">
        <f>_xll.BDP("97001LBH Muni","MUNI_MSRB_VOLUME")</f>
        <v>#N/A Requesting Data...</v>
      </c>
      <c r="S1575" t="str">
        <f>_xll.BDP("97001LBH Muni","BB_COMPOSITE")</f>
        <v>#N/A Requesting Data...</v>
      </c>
      <c r="T1575" t="str">
        <f>_xll.BDP("97001LBH Muni","LQA_LIQUIDITY_SCORE")</f>
        <v>#N/A Requesting Data...</v>
      </c>
    </row>
    <row r="1576" spans="1:20" x14ac:dyDescent="0.25">
      <c r="A1576" t="str">
        <f>_xll.BDP("97001LBJ Muni","ID_CUSIP")</f>
        <v>#N/A Requesting Data...</v>
      </c>
      <c r="B1576" t="s">
        <v>482</v>
      </c>
      <c r="C1576" t="str">
        <f>_xll.BDP("97001LBJ Muni","INSURANCE_STATUS")</f>
        <v>#N/A Requesting Data...</v>
      </c>
      <c r="D1576" t="str">
        <f>_xll.BDP("97001LBJ Muni","STATE_CODE")</f>
        <v>#N/A Requesting Data...</v>
      </c>
      <c r="E1576" t="str">
        <f>_xll.BDP("97001LBJ Muni","COUNTY_LOCATION_ISSUER")</f>
        <v>#N/A Requesting Data...</v>
      </c>
      <c r="F1576" t="str">
        <f>_xll.BDP("97001LBJ Muni","DUR_ADJ_MID")</f>
        <v>#N/A Requesting Data...</v>
      </c>
      <c r="G1576" t="str">
        <f>_xll.BDP("97001LBJ Muni","SPREAD_AT_ISSUANCE_TO_WORST")</f>
        <v>#N/A Requesting Data...</v>
      </c>
      <c r="H1576" t="str">
        <f>_xll.BDP("97001LBJ Muni","ISSUE_DT")</f>
        <v>#N/A Requesting Data...</v>
      </c>
      <c r="I1576" t="str">
        <f>_xll.BDS("97001LBJ Muni","MUNI_PURPOSE_SCHED", "aggregate=y")</f>
        <v>#N/A Review</v>
      </c>
      <c r="J1576" t="str">
        <f>_xll.BDP("97001LBJ Muni","CPN")</f>
        <v>#N/A Requesting Data...</v>
      </c>
      <c r="K1576" t="str">
        <f>_xll.BDP("97001LBJ Muni","MATURITY")</f>
        <v>#N/A Requesting Data...</v>
      </c>
      <c r="L1576">
        <v>40000</v>
      </c>
      <c r="M1576" t="str">
        <f>_xll.BDP("97001LBJ Muni","YIELD_ON_ISSUE_DATE")</f>
        <v>#N/A Requesting Data...</v>
      </c>
      <c r="N1576" t="str">
        <f>_xll.BDP("97001LBJ Muni","YTW_SPREAD_TO_MATURITY_AT_ISSU")</f>
        <v>#N/A Requesting Data...</v>
      </c>
      <c r="O1576" t="str">
        <f>_xll.BDP("97001LBJ Muni","BVAL_MID_YTM")</f>
        <v>#N/A Requesting Data...</v>
      </c>
      <c r="P1576" t="str">
        <f>_xll.BDP("97001LBJ Muni","MUNI_TAX_PROV")</f>
        <v>#N/A Requesting Data...</v>
      </c>
      <c r="Q1576" t="str">
        <f>_xll.BDP("97001LBJ Muni","MUNI_FED_TAX")</f>
        <v>#N/A Requesting Data...</v>
      </c>
      <c r="R1576" t="str">
        <f>_xll.BDP("97001LBJ Muni","MUNI_MSRB_VOLUME")</f>
        <v>#N/A Requesting Data...</v>
      </c>
      <c r="S1576" t="str">
        <f>_xll.BDP("97001LBJ Muni","BB_COMPOSITE")</f>
        <v>#N/A Requesting Data...</v>
      </c>
      <c r="T1576" t="str">
        <f>_xll.BDP("97001LBJ Muni","LQA_LIQUIDITY_SCORE")</f>
        <v>#N/A Requesting Data...</v>
      </c>
    </row>
    <row r="1577" spans="1:20" x14ac:dyDescent="0.25">
      <c r="A1577" t="str">
        <f>_xll.BDP("97001LBK Muni","ID_CUSIP")</f>
        <v>#N/A Requesting Data...</v>
      </c>
      <c r="B1577" t="s">
        <v>482</v>
      </c>
      <c r="C1577" t="str">
        <f>_xll.BDP("97001LBK Muni","INSURANCE_STATUS")</f>
        <v>#N/A Requesting Data...</v>
      </c>
      <c r="D1577" t="str">
        <f>_xll.BDP("97001LBK Muni","STATE_CODE")</f>
        <v>#N/A Requesting Data...</v>
      </c>
      <c r="E1577" t="str">
        <f>_xll.BDP("97001LBK Muni","COUNTY_LOCATION_ISSUER")</f>
        <v>#N/A Requesting Data...</v>
      </c>
      <c r="F1577" t="str">
        <f>_xll.BDP("97001LBK Muni","DUR_ADJ_MID")</f>
        <v>#N/A Requesting Data...</v>
      </c>
      <c r="G1577" t="str">
        <f>_xll.BDP("97001LBK Muni","SPREAD_AT_ISSUANCE_TO_WORST")</f>
        <v>#N/A Requesting Data...</v>
      </c>
      <c r="H1577" t="str">
        <f>_xll.BDP("97001LBK Muni","ISSUE_DT")</f>
        <v>#N/A Requesting Data...</v>
      </c>
      <c r="I1577" t="str">
        <f>_xll.BDS("97001LBK Muni","MUNI_PURPOSE_SCHED", "aggregate=y")</f>
        <v>#N/A Review</v>
      </c>
      <c r="J1577" t="str">
        <f>_xll.BDP("97001LBK Muni","CPN")</f>
        <v>#N/A Requesting Data...</v>
      </c>
      <c r="K1577" t="str">
        <f>_xll.BDP("97001LBK Muni","MATURITY")</f>
        <v>#N/A Requesting Data...</v>
      </c>
      <c r="L1577">
        <v>40000</v>
      </c>
      <c r="M1577" t="str">
        <f>_xll.BDP("97001LBK Muni","YIELD_ON_ISSUE_DATE")</f>
        <v>#N/A Requesting Data...</v>
      </c>
      <c r="N1577" t="str">
        <f>_xll.BDP("97001LBK Muni","YTW_SPREAD_TO_MATURITY_AT_ISSU")</f>
        <v>#N/A Requesting Data...</v>
      </c>
      <c r="O1577" t="str">
        <f>_xll.BDP("97001LBK Muni","BVAL_MID_YTM")</f>
        <v>#N/A Requesting Data...</v>
      </c>
      <c r="P1577" t="str">
        <f>_xll.BDP("97001LBK Muni","MUNI_TAX_PROV")</f>
        <v>#N/A Requesting Data...</v>
      </c>
      <c r="Q1577" t="str">
        <f>_xll.BDP("97001LBK Muni","MUNI_FED_TAX")</f>
        <v>#N/A Requesting Data...</v>
      </c>
      <c r="R1577" t="str">
        <f>_xll.BDP("97001LBK Muni","MUNI_MSRB_VOLUME")</f>
        <v>#N/A Requesting Data...</v>
      </c>
      <c r="S1577" t="str">
        <f>_xll.BDP("97001LBK Muni","BB_COMPOSITE")</f>
        <v>#N/A Requesting Data...</v>
      </c>
      <c r="T1577" t="str">
        <f>_xll.BDP("97001LBK Muni","LQA_LIQUIDITY_SCORE")</f>
        <v>#N/A Requesting Data...</v>
      </c>
    </row>
    <row r="1578" spans="1:20" x14ac:dyDescent="0.25">
      <c r="A1578" t="str">
        <f>_xll.BDP("97001PAD Muni","ID_CUSIP")</f>
        <v>#N/A Requesting Data...</v>
      </c>
      <c r="B1578" t="s">
        <v>483</v>
      </c>
      <c r="C1578" t="str">
        <f>_xll.BDP("97001PAD Muni","INSURANCE_STATUS")</f>
        <v>#N/A Requesting Data...</v>
      </c>
      <c r="D1578" t="str">
        <f>_xll.BDP("97001PAD Muni","STATE_CODE")</f>
        <v>#N/A Requesting Data...</v>
      </c>
      <c r="E1578" t="str">
        <f>_xll.BDP("97001PAD Muni","COUNTY_LOCATION_ISSUER")</f>
        <v>#N/A Requesting Data...</v>
      </c>
      <c r="F1578" t="str">
        <f>_xll.BDP("97001PAD Muni","DUR_ADJ_MID")</f>
        <v>#N/A Requesting Data...</v>
      </c>
      <c r="G1578" t="str">
        <f>_xll.BDP("97001PAD Muni","SPREAD_AT_ISSUANCE_TO_WORST")</f>
        <v>#N/A Requesting Data...</v>
      </c>
      <c r="H1578" t="str">
        <f>_xll.BDP("97001PAD Muni","ISSUE_DT")</f>
        <v>#N/A Requesting Data...</v>
      </c>
      <c r="I1578" t="str">
        <f>_xll.BDS("97001PAD Muni","MUNI_PURPOSE_SCHED", "aggregate=y")</f>
        <v>#N/A Review</v>
      </c>
      <c r="J1578" t="str">
        <f>_xll.BDP("97001PAD Muni","CPN")</f>
        <v>#N/A Requesting Data...</v>
      </c>
      <c r="K1578" t="str">
        <f>_xll.BDP("97001PAD Muni","MATURITY")</f>
        <v>#N/A Requesting Data...</v>
      </c>
      <c r="L1578">
        <v>80000</v>
      </c>
      <c r="M1578" t="str">
        <f>_xll.BDP("97001PAD Muni","YIELD_ON_ISSUE_DATE")</f>
        <v>#N/A Requesting Data...</v>
      </c>
      <c r="N1578" t="str">
        <f>_xll.BDP("97001PAD Muni","YTW_SPREAD_TO_MATURITY_AT_ISSU")</f>
        <v>#N/A Requesting Data...</v>
      </c>
      <c r="O1578" t="str">
        <f>_xll.BDP("97001PAD Muni","BVAL_MID_YTM")</f>
        <v>#N/A Requesting Data...</v>
      </c>
      <c r="P1578" t="str">
        <f>_xll.BDP("97001PAD Muni","MUNI_TAX_PROV")</f>
        <v>#N/A Requesting Data...</v>
      </c>
      <c r="Q1578" t="str">
        <f>_xll.BDP("97001PAD Muni","MUNI_FED_TAX")</f>
        <v>#N/A Requesting Data...</v>
      </c>
      <c r="R1578" t="str">
        <f>_xll.BDP("97001PAD Muni","MUNI_MSRB_VOLUME")</f>
        <v>#N/A Requesting Data...</v>
      </c>
      <c r="S1578" t="str">
        <f>_xll.BDP("97001PAD Muni","BB_COMPOSITE")</f>
        <v>#N/A Requesting Data...</v>
      </c>
      <c r="T1578" t="str">
        <f>_xll.BDP("97001PAD Muni","LQA_LIQUIDITY_SCORE")</f>
        <v>#N/A Requesting Data...</v>
      </c>
    </row>
    <row r="1579" spans="1:20" x14ac:dyDescent="0.25">
      <c r="A1579" t="str">
        <f>_xll.BDP("97001PAE Muni","ID_CUSIP")</f>
        <v>#N/A Requesting Data...</v>
      </c>
      <c r="B1579" t="s">
        <v>483</v>
      </c>
      <c r="C1579" t="str">
        <f>_xll.BDP("97001PAE Muni","INSURANCE_STATUS")</f>
        <v>#N/A Requesting Data...</v>
      </c>
      <c r="D1579" t="str">
        <f>_xll.BDP("97001PAE Muni","STATE_CODE")</f>
        <v>#N/A Requesting Data...</v>
      </c>
      <c r="E1579" t="str">
        <f>_xll.BDP("97001PAE Muni","COUNTY_LOCATION_ISSUER")</f>
        <v>#N/A Requesting Data...</v>
      </c>
      <c r="F1579" t="str">
        <f>_xll.BDP("97001PAE Muni","DUR_ADJ_MID")</f>
        <v>#N/A Requesting Data...</v>
      </c>
      <c r="G1579" t="str">
        <f>_xll.BDP("97001PAE Muni","SPREAD_AT_ISSUANCE_TO_WORST")</f>
        <v>#N/A Requesting Data...</v>
      </c>
      <c r="H1579" t="str">
        <f>_xll.BDP("97001PAE Muni","ISSUE_DT")</f>
        <v>#N/A Requesting Data...</v>
      </c>
      <c r="I1579" t="str">
        <f>_xll.BDS("97001PAE Muni","MUNI_PURPOSE_SCHED", "aggregate=y")</f>
        <v>#N/A Review</v>
      </c>
      <c r="J1579" t="str">
        <f>_xll.BDP("97001PAE Muni","CPN")</f>
        <v>#N/A Requesting Data...</v>
      </c>
      <c r="K1579" t="str">
        <f>_xll.BDP("97001PAE Muni","MATURITY")</f>
        <v>#N/A Requesting Data...</v>
      </c>
      <c r="L1579">
        <v>85000</v>
      </c>
      <c r="M1579" t="str">
        <f>_xll.BDP("97001PAE Muni","YIELD_ON_ISSUE_DATE")</f>
        <v>#N/A Requesting Data...</v>
      </c>
      <c r="N1579" t="str">
        <f>_xll.BDP("97001PAE Muni","YTW_SPREAD_TO_MATURITY_AT_ISSU")</f>
        <v>#N/A Requesting Data...</v>
      </c>
      <c r="O1579" t="str">
        <f>_xll.BDP("97001PAE Muni","BVAL_MID_YTM")</f>
        <v>#N/A Requesting Data...</v>
      </c>
      <c r="P1579" t="str">
        <f>_xll.BDP("97001PAE Muni","MUNI_TAX_PROV")</f>
        <v>#N/A Requesting Data...</v>
      </c>
      <c r="Q1579" t="str">
        <f>_xll.BDP("97001PAE Muni","MUNI_FED_TAX")</f>
        <v>#N/A Requesting Data...</v>
      </c>
      <c r="R1579" t="str">
        <f>_xll.BDP("97001PAE Muni","MUNI_MSRB_VOLUME")</f>
        <v>#N/A Requesting Data...</v>
      </c>
      <c r="S1579" t="str">
        <f>_xll.BDP("97001PAE Muni","BB_COMPOSITE")</f>
        <v>#N/A Requesting Data...</v>
      </c>
      <c r="T1579" t="str">
        <f>_xll.BDP("97001PAE Muni","LQA_LIQUIDITY_SCORE")</f>
        <v>#N/A Requesting Data...</v>
      </c>
    </row>
    <row r="1580" spans="1:20" x14ac:dyDescent="0.25">
      <c r="A1580" t="str">
        <f>_xll.BDP("97001PAF Muni","ID_CUSIP")</f>
        <v>#N/A Requesting Data...</v>
      </c>
      <c r="B1580" t="s">
        <v>483</v>
      </c>
      <c r="C1580" t="str">
        <f>_xll.BDP("97001PAF Muni","INSURANCE_STATUS")</f>
        <v>#N/A Requesting Data...</v>
      </c>
      <c r="D1580" t="str">
        <f>_xll.BDP("97001PAF Muni","STATE_CODE")</f>
        <v>#N/A Requesting Data...</v>
      </c>
      <c r="E1580" t="str">
        <f>_xll.BDP("97001PAF Muni","COUNTY_LOCATION_ISSUER")</f>
        <v>#N/A Requesting Data...</v>
      </c>
      <c r="F1580" t="str">
        <f>_xll.BDP("97001PAF Muni","DUR_ADJ_MID")</f>
        <v>#N/A Requesting Data...</v>
      </c>
      <c r="G1580" t="str">
        <f>_xll.BDP("97001PAF Muni","SPREAD_AT_ISSUANCE_TO_WORST")</f>
        <v>#N/A Requesting Data...</v>
      </c>
      <c r="H1580" t="str">
        <f>_xll.BDP("97001PAF Muni","ISSUE_DT")</f>
        <v>#N/A Requesting Data...</v>
      </c>
      <c r="I1580" t="str">
        <f>_xll.BDS("97001PAF Muni","MUNI_PURPOSE_SCHED", "aggregate=y")</f>
        <v>#N/A Review</v>
      </c>
      <c r="J1580" t="str">
        <f>_xll.BDP("97001PAF Muni","CPN")</f>
        <v>#N/A Requesting Data...</v>
      </c>
      <c r="K1580" t="str">
        <f>_xll.BDP("97001PAF Muni","MATURITY")</f>
        <v>#N/A Requesting Data...</v>
      </c>
      <c r="L1580">
        <v>90000</v>
      </c>
      <c r="M1580" t="str">
        <f>_xll.BDP("97001PAF Muni","YIELD_ON_ISSUE_DATE")</f>
        <v>#N/A Requesting Data...</v>
      </c>
      <c r="N1580" t="str">
        <f>_xll.BDP("97001PAF Muni","YTW_SPREAD_TO_MATURITY_AT_ISSU")</f>
        <v>#N/A Requesting Data...</v>
      </c>
      <c r="O1580" t="str">
        <f>_xll.BDP("97001PAF Muni","BVAL_MID_YTM")</f>
        <v>#N/A Requesting Data...</v>
      </c>
      <c r="P1580" t="str">
        <f>_xll.BDP("97001PAF Muni","MUNI_TAX_PROV")</f>
        <v>#N/A Requesting Data...</v>
      </c>
      <c r="Q1580" t="str">
        <f>_xll.BDP("97001PAF Muni","MUNI_FED_TAX")</f>
        <v>#N/A Requesting Data...</v>
      </c>
      <c r="R1580" t="str">
        <f>_xll.BDP("97001PAF Muni","MUNI_MSRB_VOLUME")</f>
        <v>#N/A Requesting Data...</v>
      </c>
      <c r="S1580" t="str">
        <f>_xll.BDP("97001PAF Muni","BB_COMPOSITE")</f>
        <v>#N/A Requesting Data...</v>
      </c>
      <c r="T1580" t="str">
        <f>_xll.BDP("97001PAF Muni","LQA_LIQUIDITY_SCORE")</f>
        <v>#N/A Requesting Data...</v>
      </c>
    </row>
    <row r="1581" spans="1:20" x14ac:dyDescent="0.25">
      <c r="A1581" t="str">
        <f>_xll.BDP("97112AJC Muni","ID_CUSIP")</f>
        <v>#N/A Requesting Data...</v>
      </c>
      <c r="B1581" t="s">
        <v>484</v>
      </c>
      <c r="C1581" t="str">
        <f>_xll.BDP("97112AJC Muni","INSURANCE_STATUS")</f>
        <v>#N/A Requesting Data...</v>
      </c>
      <c r="D1581" t="str">
        <f>_xll.BDP("97112AJC Muni","STATE_CODE")</f>
        <v>#N/A Requesting Data...</v>
      </c>
      <c r="E1581" t="str">
        <f>_xll.BDP("97112AJC Muni","COUNTY_LOCATION_ISSUER")</f>
        <v>#N/A Requesting Data...</v>
      </c>
      <c r="F1581" t="str">
        <f>_xll.BDP("97112AJC Muni","DUR_ADJ_MID")</f>
        <v>#N/A Requesting Data...</v>
      </c>
      <c r="G1581" t="str">
        <f>_xll.BDP("97112AJC Muni","SPREAD_AT_ISSUANCE_TO_WORST")</f>
        <v>#N/A Requesting Data...</v>
      </c>
      <c r="H1581" t="str">
        <f>_xll.BDP("97112AJC Muni","ISSUE_DT")</f>
        <v>#N/A Requesting Data...</v>
      </c>
      <c r="I1581" t="str">
        <f>_xll.BDS("97112AJC Muni","MUNI_PURPOSE_SCHED", "aggregate=y")</f>
        <v>#N/A Review</v>
      </c>
      <c r="J1581" t="str">
        <f>_xll.BDP("97112AJC Muni","CPN")</f>
        <v>#N/A Requesting Data...</v>
      </c>
      <c r="K1581" t="str">
        <f>_xll.BDP("97112AJC Muni","MATURITY")</f>
        <v>#N/A Requesting Data...</v>
      </c>
      <c r="L1581">
        <v>265000</v>
      </c>
      <c r="M1581" t="str">
        <f>_xll.BDP("97112AJC Muni","YIELD_ON_ISSUE_DATE")</f>
        <v>#N/A Requesting Data...</v>
      </c>
      <c r="N1581" t="str">
        <f>_xll.BDP("97112AJC Muni","YTW_SPREAD_TO_MATURITY_AT_ISSU")</f>
        <v>#N/A Requesting Data...</v>
      </c>
      <c r="O1581" t="str">
        <f>_xll.BDP("97112AJC Muni","BVAL_MID_YTM")</f>
        <v>#N/A Requesting Data...</v>
      </c>
      <c r="P1581" t="str">
        <f>_xll.BDP("97112AJC Muni","MUNI_TAX_PROV")</f>
        <v>#N/A Requesting Data...</v>
      </c>
      <c r="Q1581" t="str">
        <f>_xll.BDP("97112AJC Muni","MUNI_FED_TAX")</f>
        <v>#N/A Requesting Data...</v>
      </c>
      <c r="R1581" t="str">
        <f>_xll.BDP("97112AJC Muni","MUNI_MSRB_VOLUME")</f>
        <v>#N/A Requesting Data...</v>
      </c>
      <c r="S1581" t="str">
        <f>_xll.BDP("97112AJC Muni","BB_COMPOSITE")</f>
        <v>#N/A Requesting Data...</v>
      </c>
      <c r="T1581" t="str">
        <f>_xll.BDP("97112AJC Muni","LQA_LIQUIDITY_SCORE")</f>
        <v>#N/A Requesting Data...</v>
      </c>
    </row>
    <row r="1582" spans="1:20" x14ac:dyDescent="0.25">
      <c r="A1582" t="str">
        <f>_xll.BDP("955190GA Muni","ID_CUSIP")</f>
        <v>#N/A Requesting Data...</v>
      </c>
      <c r="B1582" t="s">
        <v>485</v>
      </c>
      <c r="C1582" t="str">
        <f>_xll.BDP("955190GA Muni","INSURANCE_STATUS")</f>
        <v>#N/A Requesting Data...</v>
      </c>
      <c r="D1582" t="str">
        <f>_xll.BDP("955190GA Muni","STATE_CODE")</f>
        <v>#N/A Requesting Data...</v>
      </c>
      <c r="E1582" t="str">
        <f>_xll.BDP("955190GA Muni","COUNTY_LOCATION_ISSUER")</f>
        <v>#N/A Requesting Data...</v>
      </c>
      <c r="F1582" t="str">
        <f>_xll.BDP("955190GA Muni","DUR_ADJ_MID")</f>
        <v>#N/A Requesting Data...</v>
      </c>
      <c r="G1582" t="str">
        <f>_xll.BDP("955190GA Muni","SPREAD_AT_ISSUANCE_TO_WORST")</f>
        <v>#N/A Requesting Data...</v>
      </c>
      <c r="H1582" t="str">
        <f>_xll.BDP("955190GA Muni","ISSUE_DT")</f>
        <v>#N/A Requesting Data...</v>
      </c>
      <c r="I1582" t="str">
        <f>_xll.BDS("955190GA Muni","MUNI_PURPOSE_SCHED", "aggregate=y")</f>
        <v>#N/A Review</v>
      </c>
      <c r="J1582" t="str">
        <f>_xll.BDP("955190GA Muni","CPN")</f>
        <v>#N/A Requesting Data...</v>
      </c>
      <c r="K1582" t="str">
        <f>_xll.BDP("955190GA Muni","MATURITY")</f>
        <v>#N/A Requesting Data...</v>
      </c>
      <c r="L1582">
        <v>580000</v>
      </c>
      <c r="M1582" t="str">
        <f>_xll.BDP("955190GA Muni","YIELD_ON_ISSUE_DATE")</f>
        <v>#N/A Requesting Data...</v>
      </c>
      <c r="N1582" t="str">
        <f>_xll.BDP("955190GA Muni","YTW_SPREAD_TO_MATURITY_AT_ISSU")</f>
        <v>#N/A Requesting Data...</v>
      </c>
      <c r="O1582" t="str">
        <f>_xll.BDP("955190GA Muni","BVAL_MID_YTM")</f>
        <v>#N/A Requesting Data...</v>
      </c>
      <c r="P1582" t="str">
        <f>_xll.BDP("955190GA Muni","MUNI_TAX_PROV")</f>
        <v>#N/A Requesting Data...</v>
      </c>
      <c r="Q1582" t="str">
        <f>_xll.BDP("955190GA Muni","MUNI_FED_TAX")</f>
        <v>#N/A Requesting Data...</v>
      </c>
      <c r="R1582" t="str">
        <f>_xll.BDP("955190GA Muni","MUNI_MSRB_VOLUME")</f>
        <v>#N/A Requesting Data...</v>
      </c>
      <c r="S1582" t="str">
        <f>_xll.BDP("955190GA Muni","BB_COMPOSITE")</f>
        <v>#N/A Requesting Data...</v>
      </c>
      <c r="T1582" t="str">
        <f>_xll.BDP("955190GA Muni","LQA_LIQUIDITY_SCORE")</f>
        <v>#N/A Requesting Data...</v>
      </c>
    </row>
    <row r="1583" spans="1:20" x14ac:dyDescent="0.25">
      <c r="A1583" t="str">
        <f>_xll.BDP("882583CV Muni","ID_CUSIP")</f>
        <v>#N/A Requesting Data...</v>
      </c>
      <c r="B1583" t="s">
        <v>486</v>
      </c>
      <c r="C1583" t="str">
        <f>_xll.BDP("882583CV Muni","INSURANCE_STATUS")</f>
        <v>#N/A Requesting Data...</v>
      </c>
      <c r="D1583" t="str">
        <f>_xll.BDP("882583CV Muni","STATE_CODE")</f>
        <v>#N/A Requesting Data...</v>
      </c>
      <c r="E1583" t="str">
        <f>_xll.BDP("882583CV Muni","COUNTY_LOCATION_ISSUER")</f>
        <v>#N/A Requesting Data...</v>
      </c>
      <c r="F1583" t="str">
        <f>_xll.BDP("882583CV Muni","DUR_ADJ_MID")</f>
        <v>#N/A Requesting Data...</v>
      </c>
      <c r="G1583" t="str">
        <f>_xll.BDP("882583CV Muni","SPREAD_AT_ISSUANCE_TO_WORST")</f>
        <v>#N/A Requesting Data...</v>
      </c>
      <c r="H1583" t="str">
        <f>_xll.BDP("882583CV Muni","ISSUE_DT")</f>
        <v>#N/A Requesting Data...</v>
      </c>
      <c r="I1583" t="str">
        <f>_xll.BDS("882583CV Muni","MUNI_PURPOSE_SCHED", "aggregate=y")</f>
        <v>#N/A Review</v>
      </c>
      <c r="J1583" t="str">
        <f>_xll.BDP("882583CV Muni","CPN")</f>
        <v>#N/A Requesting Data...</v>
      </c>
      <c r="K1583" t="str">
        <f>_xll.BDP("882583CV Muni","MATURITY")</f>
        <v>#N/A Requesting Data...</v>
      </c>
      <c r="L1583">
        <v>45000</v>
      </c>
      <c r="M1583" t="str">
        <f>_xll.BDP("882583CV Muni","YIELD_ON_ISSUE_DATE")</f>
        <v>#N/A Requesting Data...</v>
      </c>
      <c r="N1583" t="str">
        <f>_xll.BDP("882583CV Muni","YTW_SPREAD_TO_MATURITY_AT_ISSU")</f>
        <v>#N/A Requesting Data...</v>
      </c>
      <c r="O1583" t="str">
        <f>_xll.BDP("882583CV Muni","BVAL_MID_YTM")</f>
        <v>#N/A Requesting Data...</v>
      </c>
      <c r="P1583" t="str">
        <f>_xll.BDP("882583CV Muni","MUNI_TAX_PROV")</f>
        <v>#N/A Requesting Data...</v>
      </c>
      <c r="Q1583" t="str">
        <f>_xll.BDP("882583CV Muni","MUNI_FED_TAX")</f>
        <v>#N/A Requesting Data...</v>
      </c>
      <c r="R1583" t="str">
        <f>_xll.BDP("882583CV Muni","MUNI_MSRB_VOLUME")</f>
        <v>#N/A Requesting Data...</v>
      </c>
      <c r="S1583" t="str">
        <f>_xll.BDP("882583CV Muni","BB_COMPOSITE")</f>
        <v>#N/A Requesting Data...</v>
      </c>
      <c r="T1583" t="str">
        <f>_xll.BDP("882583CV Muni","LQA_LIQUIDITY_SCORE")</f>
        <v>#N/A Requesting Data...</v>
      </c>
    </row>
    <row r="1584" spans="1:20" x14ac:dyDescent="0.25">
      <c r="A1584" t="str">
        <f>_xll.BDP("882583CW Muni","ID_CUSIP")</f>
        <v>#N/A Requesting Data...</v>
      </c>
      <c r="B1584" t="s">
        <v>486</v>
      </c>
      <c r="C1584" t="str">
        <f>_xll.BDP("882583CW Muni","INSURANCE_STATUS")</f>
        <v>#N/A Requesting Data...</v>
      </c>
      <c r="D1584" t="str">
        <f>_xll.BDP("882583CW Muni","STATE_CODE")</f>
        <v>#N/A Requesting Data...</v>
      </c>
      <c r="E1584" t="str">
        <f>_xll.BDP("882583CW Muni","COUNTY_LOCATION_ISSUER")</f>
        <v>#N/A Requesting Data...</v>
      </c>
      <c r="F1584" t="str">
        <f>_xll.BDP("882583CW Muni","DUR_ADJ_MID")</f>
        <v>#N/A Requesting Data...</v>
      </c>
      <c r="G1584" t="str">
        <f>_xll.BDP("882583CW Muni","SPREAD_AT_ISSUANCE_TO_WORST")</f>
        <v>#N/A Requesting Data...</v>
      </c>
      <c r="H1584" t="str">
        <f>_xll.BDP("882583CW Muni","ISSUE_DT")</f>
        <v>#N/A Requesting Data...</v>
      </c>
      <c r="I1584" t="str">
        <f>_xll.BDS("882583CW Muni","MUNI_PURPOSE_SCHED", "aggregate=y")</f>
        <v>#N/A Review</v>
      </c>
      <c r="J1584" t="str">
        <f>_xll.BDP("882583CW Muni","CPN")</f>
        <v>#N/A Requesting Data...</v>
      </c>
      <c r="K1584" t="str">
        <f>_xll.BDP("882583CW Muni","MATURITY")</f>
        <v>#N/A Requesting Data...</v>
      </c>
      <c r="L1584">
        <v>45000</v>
      </c>
      <c r="M1584" t="str">
        <f>_xll.BDP("882583CW Muni","YIELD_ON_ISSUE_DATE")</f>
        <v>#N/A Requesting Data...</v>
      </c>
      <c r="N1584" t="str">
        <f>_xll.BDP("882583CW Muni","YTW_SPREAD_TO_MATURITY_AT_ISSU")</f>
        <v>#N/A Requesting Data...</v>
      </c>
      <c r="O1584" t="str">
        <f>_xll.BDP("882583CW Muni","BVAL_MID_YTM")</f>
        <v>#N/A Requesting Data...</v>
      </c>
      <c r="P1584" t="str">
        <f>_xll.BDP("882583CW Muni","MUNI_TAX_PROV")</f>
        <v>#N/A Requesting Data...</v>
      </c>
      <c r="Q1584" t="str">
        <f>_xll.BDP("882583CW Muni","MUNI_FED_TAX")</f>
        <v>#N/A Requesting Data...</v>
      </c>
      <c r="R1584" t="str">
        <f>_xll.BDP("882583CW Muni","MUNI_MSRB_VOLUME")</f>
        <v>#N/A Requesting Data...</v>
      </c>
      <c r="S1584" t="str">
        <f>_xll.BDP("882583CW Muni","BB_COMPOSITE")</f>
        <v>#N/A Requesting Data...</v>
      </c>
      <c r="T1584" t="str">
        <f>_xll.BDP("882583CW Muni","LQA_LIQUIDITY_SCORE")</f>
        <v>#N/A Requesting Data...</v>
      </c>
    </row>
    <row r="1585" spans="1:20" x14ac:dyDescent="0.25">
      <c r="A1585" t="str">
        <f>_xll.BDP("882583CX Muni","ID_CUSIP")</f>
        <v>#N/A Requesting Data...</v>
      </c>
      <c r="B1585" t="s">
        <v>486</v>
      </c>
      <c r="C1585" t="str">
        <f>_xll.BDP("882583CX Muni","INSURANCE_STATUS")</f>
        <v>#N/A Requesting Data...</v>
      </c>
      <c r="D1585" t="str">
        <f>_xll.BDP("882583CX Muni","STATE_CODE")</f>
        <v>#N/A Requesting Data...</v>
      </c>
      <c r="E1585" t="str">
        <f>_xll.BDP("882583CX Muni","COUNTY_LOCATION_ISSUER")</f>
        <v>#N/A Requesting Data...</v>
      </c>
      <c r="F1585" t="str">
        <f>_xll.BDP("882583CX Muni","DUR_ADJ_MID")</f>
        <v>#N/A Requesting Data...</v>
      </c>
      <c r="G1585" t="str">
        <f>_xll.BDP("882583CX Muni","SPREAD_AT_ISSUANCE_TO_WORST")</f>
        <v>#N/A Requesting Data...</v>
      </c>
      <c r="H1585" t="str">
        <f>_xll.BDP("882583CX Muni","ISSUE_DT")</f>
        <v>#N/A Requesting Data...</v>
      </c>
      <c r="I1585" t="str">
        <f>_xll.BDS("882583CX Muni","MUNI_PURPOSE_SCHED", "aggregate=y")</f>
        <v>#N/A Review</v>
      </c>
      <c r="J1585" t="str">
        <f>_xll.BDP("882583CX Muni","CPN")</f>
        <v>#N/A Requesting Data...</v>
      </c>
      <c r="K1585" t="str">
        <f>_xll.BDP("882583CX Muni","MATURITY")</f>
        <v>#N/A Requesting Data...</v>
      </c>
      <c r="L1585">
        <v>45000</v>
      </c>
      <c r="M1585" t="str">
        <f>_xll.BDP("882583CX Muni","YIELD_ON_ISSUE_DATE")</f>
        <v>#N/A Requesting Data...</v>
      </c>
      <c r="N1585" t="str">
        <f>_xll.BDP("882583CX Muni","YTW_SPREAD_TO_MATURITY_AT_ISSU")</f>
        <v>#N/A Requesting Data...</v>
      </c>
      <c r="O1585" t="str">
        <f>_xll.BDP("882583CX Muni","BVAL_MID_YTM")</f>
        <v>#N/A Requesting Data...</v>
      </c>
      <c r="P1585" t="str">
        <f>_xll.BDP("882583CX Muni","MUNI_TAX_PROV")</f>
        <v>#N/A Requesting Data...</v>
      </c>
      <c r="Q1585" t="str">
        <f>_xll.BDP("882583CX Muni","MUNI_FED_TAX")</f>
        <v>#N/A Requesting Data...</v>
      </c>
      <c r="R1585" t="str">
        <f>_xll.BDP("882583CX Muni","MUNI_MSRB_VOLUME")</f>
        <v>#N/A Requesting Data...</v>
      </c>
      <c r="S1585" t="str">
        <f>_xll.BDP("882583CX Muni","BB_COMPOSITE")</f>
        <v>#N/A Requesting Data...</v>
      </c>
      <c r="T1585" t="str">
        <f>_xll.BDP("882583CX Muni","LQA_LIQUIDITY_SCORE")</f>
        <v>#N/A Requesting Data...</v>
      </c>
    </row>
    <row r="1586" spans="1:20" x14ac:dyDescent="0.25">
      <c r="A1586" t="str">
        <f>_xll.BDP("882723K6 Muni","ID_CUSIP")</f>
        <v>#N/A Requesting Data...</v>
      </c>
      <c r="B1586" t="s">
        <v>95</v>
      </c>
      <c r="C1586" t="str">
        <f>_xll.BDP("882723K6 Muni","INSURANCE_STATUS")</f>
        <v>#N/A Requesting Data...</v>
      </c>
      <c r="D1586" t="str">
        <f>_xll.BDP("882723K6 Muni","STATE_CODE")</f>
        <v>#N/A Requesting Data...</v>
      </c>
      <c r="E1586" t="str">
        <f>_xll.BDP("882723K6 Muni","COUNTY_LOCATION_ISSUER")</f>
        <v>#N/A Requesting Data...</v>
      </c>
      <c r="F1586" t="str">
        <f>_xll.BDP("882723K6 Muni","DUR_ADJ_MID")</f>
        <v>#N/A Requesting Data...</v>
      </c>
      <c r="G1586" t="str">
        <f>_xll.BDP("882723K6 Muni","SPREAD_AT_ISSUANCE_TO_WORST")</f>
        <v>#N/A Requesting Data...</v>
      </c>
      <c r="H1586" t="str">
        <f>_xll.BDP("882723K6 Muni","ISSUE_DT")</f>
        <v>#N/A Requesting Data...</v>
      </c>
      <c r="I1586" t="str">
        <f>_xll.BDS("882723K6 Muni","MUNI_PURPOSE_SCHED", "aggregate=y")</f>
        <v>#N/A Review</v>
      </c>
      <c r="J1586" t="str">
        <f>_xll.BDP("882723K6 Muni","CPN")</f>
        <v>#N/A Requesting Data...</v>
      </c>
      <c r="K1586" t="str">
        <f>_xll.BDP("882723K6 Muni","MATURITY")</f>
        <v>#N/A Requesting Data...</v>
      </c>
      <c r="L1586">
        <v>2325000</v>
      </c>
      <c r="M1586" t="str">
        <f>_xll.BDP("882723K6 Muni","YIELD_ON_ISSUE_DATE")</f>
        <v>#N/A Requesting Data...</v>
      </c>
      <c r="N1586" t="str">
        <f>_xll.BDP("882723K6 Muni","YTW_SPREAD_TO_MATURITY_AT_ISSU")</f>
        <v>#N/A Requesting Data...</v>
      </c>
      <c r="O1586" t="str">
        <f>_xll.BDP("882723K6 Muni","BVAL_MID_YTM")</f>
        <v>#N/A Requesting Data...</v>
      </c>
      <c r="P1586" t="str">
        <f>_xll.BDP("882723K6 Muni","MUNI_TAX_PROV")</f>
        <v>#N/A Requesting Data...</v>
      </c>
      <c r="Q1586" t="str">
        <f>_xll.BDP("882723K6 Muni","MUNI_FED_TAX")</f>
        <v>#N/A Requesting Data...</v>
      </c>
      <c r="R1586" t="str">
        <f>_xll.BDP("882723K6 Muni","MUNI_MSRB_VOLUME")</f>
        <v>#N/A Requesting Data...</v>
      </c>
      <c r="S1586" t="str">
        <f>_xll.BDP("882723K6 Muni","BB_COMPOSITE")</f>
        <v>#N/A Requesting Data...</v>
      </c>
      <c r="T1586" t="str">
        <f>_xll.BDP("882723K6 Muni","LQA_LIQUIDITY_SCORE")</f>
        <v>#N/A Requesting Data...</v>
      </c>
    </row>
    <row r="1587" spans="1:20" x14ac:dyDescent="0.25">
      <c r="A1587" t="str">
        <f>_xll.BDP("882723K8 Muni","ID_CUSIP")</f>
        <v>#N/A Requesting Data...</v>
      </c>
      <c r="B1587" t="s">
        <v>95</v>
      </c>
      <c r="C1587" t="str">
        <f>_xll.BDP("882723K8 Muni","INSURANCE_STATUS")</f>
        <v>#N/A Requesting Data...</v>
      </c>
      <c r="D1587" t="str">
        <f>_xll.BDP("882723K8 Muni","STATE_CODE")</f>
        <v>#N/A Requesting Data...</v>
      </c>
      <c r="E1587" t="str">
        <f>_xll.BDP("882723K8 Muni","COUNTY_LOCATION_ISSUER")</f>
        <v>#N/A Requesting Data...</v>
      </c>
      <c r="F1587" t="str">
        <f>_xll.BDP("882723K8 Muni","DUR_ADJ_MID")</f>
        <v>#N/A Requesting Data...</v>
      </c>
      <c r="G1587" t="str">
        <f>_xll.BDP("882723K8 Muni","SPREAD_AT_ISSUANCE_TO_WORST")</f>
        <v>#N/A Requesting Data...</v>
      </c>
      <c r="H1587" t="str">
        <f>_xll.BDP("882723K8 Muni","ISSUE_DT")</f>
        <v>#N/A Requesting Data...</v>
      </c>
      <c r="I1587" t="str">
        <f>_xll.BDS("882723K8 Muni","MUNI_PURPOSE_SCHED", "aggregate=y")</f>
        <v>#N/A Review</v>
      </c>
      <c r="J1587" t="str">
        <f>_xll.BDP("882723K8 Muni","CPN")</f>
        <v>#N/A Requesting Data...</v>
      </c>
      <c r="K1587" t="str">
        <f>_xll.BDP("882723K8 Muni","MATURITY")</f>
        <v>#N/A Requesting Data...</v>
      </c>
      <c r="L1587">
        <v>2325000</v>
      </c>
      <c r="M1587" t="str">
        <f>_xll.BDP("882723K8 Muni","YIELD_ON_ISSUE_DATE")</f>
        <v>#N/A Requesting Data...</v>
      </c>
      <c r="N1587" t="str">
        <f>_xll.BDP("882723K8 Muni","YTW_SPREAD_TO_MATURITY_AT_ISSU")</f>
        <v>#N/A Requesting Data...</v>
      </c>
      <c r="O1587" t="str">
        <f>_xll.BDP("882723K8 Muni","BVAL_MID_YTM")</f>
        <v>#N/A Requesting Data...</v>
      </c>
      <c r="P1587" t="str">
        <f>_xll.BDP("882723K8 Muni","MUNI_TAX_PROV")</f>
        <v>#N/A Requesting Data...</v>
      </c>
      <c r="Q1587" t="str">
        <f>_xll.BDP("882723K8 Muni","MUNI_FED_TAX")</f>
        <v>#N/A Requesting Data...</v>
      </c>
      <c r="R1587" t="str">
        <f>_xll.BDP("882723K8 Muni","MUNI_MSRB_VOLUME")</f>
        <v>#N/A Requesting Data...</v>
      </c>
      <c r="S1587" t="str">
        <f>_xll.BDP("882723K8 Muni","BB_COMPOSITE")</f>
        <v>#N/A Requesting Data...</v>
      </c>
      <c r="T1587" t="str">
        <f>_xll.BDP("882723K8 Muni","LQA_LIQUIDITY_SCORE")</f>
        <v>#N/A Requesting Data...</v>
      </c>
    </row>
    <row r="1588" spans="1:20" x14ac:dyDescent="0.25">
      <c r="A1588" t="str">
        <f>_xll.BDP("882723Y7 Muni","ID_CUSIP")</f>
        <v>#N/A Requesting Data...</v>
      </c>
      <c r="B1588" t="s">
        <v>95</v>
      </c>
      <c r="C1588" t="str">
        <f>_xll.BDP("882723Y7 Muni","INSURANCE_STATUS")</f>
        <v>#N/A Requesting Data...</v>
      </c>
      <c r="D1588" t="str">
        <f>_xll.BDP("882723Y7 Muni","STATE_CODE")</f>
        <v>#N/A Requesting Data...</v>
      </c>
      <c r="E1588" t="str">
        <f>_xll.BDP("882723Y7 Muni","COUNTY_LOCATION_ISSUER")</f>
        <v>#N/A Requesting Data...</v>
      </c>
      <c r="F1588" t="str">
        <f>_xll.BDP("882723Y7 Muni","DUR_ADJ_MID")</f>
        <v>#N/A Requesting Data...</v>
      </c>
      <c r="G1588" t="str">
        <f>_xll.BDP("882723Y7 Muni","SPREAD_AT_ISSUANCE_TO_WORST")</f>
        <v>#N/A Requesting Data...</v>
      </c>
      <c r="H1588" t="str">
        <f>_xll.BDP("882723Y7 Muni","ISSUE_DT")</f>
        <v>#N/A Requesting Data...</v>
      </c>
      <c r="I1588" t="str">
        <f>_xll.BDS("882723Y7 Muni","MUNI_PURPOSE_SCHED", "aggregate=y")</f>
        <v>#N/A Review</v>
      </c>
      <c r="J1588" t="str">
        <f>_xll.BDP("882723Y7 Muni","CPN")</f>
        <v>#N/A Requesting Data...</v>
      </c>
      <c r="K1588" t="str">
        <f>_xll.BDP("882723Y7 Muni","MATURITY")</f>
        <v>#N/A Requesting Data...</v>
      </c>
      <c r="L1588">
        <v>2375000</v>
      </c>
      <c r="M1588" t="str">
        <f>_xll.BDP("882723Y7 Muni","YIELD_ON_ISSUE_DATE")</f>
        <v>#N/A Requesting Data...</v>
      </c>
      <c r="N1588" t="str">
        <f>_xll.BDP("882723Y7 Muni","YTW_SPREAD_TO_MATURITY_AT_ISSU")</f>
        <v>#N/A Requesting Data...</v>
      </c>
      <c r="O1588" t="str">
        <f>_xll.BDP("882723Y7 Muni","BVAL_MID_YTM")</f>
        <v>#N/A Requesting Data...</v>
      </c>
      <c r="P1588" t="str">
        <f>_xll.BDP("882723Y7 Muni","MUNI_TAX_PROV")</f>
        <v>#N/A Requesting Data...</v>
      </c>
      <c r="Q1588" t="str">
        <f>_xll.BDP("882723Y7 Muni","MUNI_FED_TAX")</f>
        <v>#N/A Requesting Data...</v>
      </c>
      <c r="R1588" t="str">
        <f>_xll.BDP("882723Y7 Muni","MUNI_MSRB_VOLUME")</f>
        <v>#N/A Requesting Data...</v>
      </c>
      <c r="S1588" t="str">
        <f>_xll.BDP("882723Y7 Muni","BB_COMPOSITE")</f>
        <v>#N/A Requesting Data...</v>
      </c>
      <c r="T1588" t="str">
        <f>_xll.BDP("882723Y7 Muni","LQA_LIQUIDITY_SCORE")</f>
        <v>#N/A Requesting Data...</v>
      </c>
    </row>
    <row r="1589" spans="1:20" x14ac:dyDescent="0.25">
      <c r="A1589" t="str">
        <f>_xll.BDP("882723Z3 Muni","ID_CUSIP")</f>
        <v>#N/A Requesting Data...</v>
      </c>
      <c r="B1589" t="s">
        <v>95</v>
      </c>
      <c r="C1589" t="str">
        <f>_xll.BDP("882723Z3 Muni","INSURANCE_STATUS")</f>
        <v>#N/A Requesting Data...</v>
      </c>
      <c r="D1589" t="str">
        <f>_xll.BDP("882723Z3 Muni","STATE_CODE")</f>
        <v>#N/A Requesting Data...</v>
      </c>
      <c r="E1589" t="str">
        <f>_xll.BDP("882723Z3 Muni","COUNTY_LOCATION_ISSUER")</f>
        <v>#N/A Requesting Data...</v>
      </c>
      <c r="F1589" t="str">
        <f>_xll.BDP("882723Z3 Muni","DUR_ADJ_MID")</f>
        <v>#N/A Requesting Data...</v>
      </c>
      <c r="G1589" t="str">
        <f>_xll.BDP("882723Z3 Muni","SPREAD_AT_ISSUANCE_TO_WORST")</f>
        <v>#N/A Requesting Data...</v>
      </c>
      <c r="H1589" t="str">
        <f>_xll.BDP("882723Z3 Muni","ISSUE_DT")</f>
        <v>#N/A Requesting Data...</v>
      </c>
      <c r="I1589" t="str">
        <f>_xll.BDS("882723Z3 Muni","MUNI_PURPOSE_SCHED", "aggregate=y")</f>
        <v>#N/A Review</v>
      </c>
      <c r="J1589" t="str">
        <f>_xll.BDP("882723Z3 Muni","CPN")</f>
        <v>#N/A Requesting Data...</v>
      </c>
      <c r="K1589" t="str">
        <f>_xll.BDP("882723Z3 Muni","MATURITY")</f>
        <v>#N/A Requesting Data...</v>
      </c>
      <c r="L1589">
        <v>4480000</v>
      </c>
      <c r="M1589" t="str">
        <f>_xll.BDP("882723Z3 Muni","YIELD_ON_ISSUE_DATE")</f>
        <v>#N/A Requesting Data...</v>
      </c>
      <c r="N1589" t="str">
        <f>_xll.BDP("882723Z3 Muni","YTW_SPREAD_TO_MATURITY_AT_ISSU")</f>
        <v>#N/A Requesting Data...</v>
      </c>
      <c r="O1589" t="str">
        <f>_xll.BDP("882723Z3 Muni","BVAL_MID_YTM")</f>
        <v>#N/A Requesting Data...</v>
      </c>
      <c r="P1589" t="str">
        <f>_xll.BDP("882723Z3 Muni","MUNI_TAX_PROV")</f>
        <v>#N/A Requesting Data...</v>
      </c>
      <c r="Q1589" t="str">
        <f>_xll.BDP("882723Z3 Muni","MUNI_FED_TAX")</f>
        <v>#N/A Requesting Data...</v>
      </c>
      <c r="R1589" t="str">
        <f>_xll.BDP("882723Z3 Muni","MUNI_MSRB_VOLUME")</f>
        <v>#N/A Requesting Data...</v>
      </c>
      <c r="S1589" t="str">
        <f>_xll.BDP("882723Z3 Muni","BB_COMPOSITE")</f>
        <v>#N/A Requesting Data...</v>
      </c>
      <c r="T1589" t="str">
        <f>_xll.BDP("882723Z3 Muni","LQA_LIQUIDITY_SCORE")</f>
        <v>#N/A Requesting Data...</v>
      </c>
    </row>
    <row r="1590" spans="1:20" x14ac:dyDescent="0.25">
      <c r="A1590" t="str">
        <f>_xll.BDP("882854XK Muni","ID_CUSIP")</f>
        <v>#N/A Requesting Data...</v>
      </c>
      <c r="B1590" t="s">
        <v>23</v>
      </c>
      <c r="C1590" t="str">
        <f>_xll.BDP("882854XK Muni","INSURANCE_STATUS")</f>
        <v>#N/A Requesting Data...</v>
      </c>
      <c r="D1590" t="str">
        <f>_xll.BDP("882854XK Muni","STATE_CODE")</f>
        <v>#N/A Requesting Data...</v>
      </c>
      <c r="E1590" t="str">
        <f>_xll.BDP("882854XK Muni","COUNTY_LOCATION_ISSUER")</f>
        <v>#N/A Requesting Data...</v>
      </c>
      <c r="F1590" t="str">
        <f>_xll.BDP("882854XK Muni","DUR_ADJ_MID")</f>
        <v>#N/A Requesting Data...</v>
      </c>
      <c r="G1590" t="str">
        <f>_xll.BDP("882854XK Muni","SPREAD_AT_ISSUANCE_TO_WORST")</f>
        <v>#N/A Requesting Data...</v>
      </c>
      <c r="H1590" t="str">
        <f>_xll.BDP("882854XK Muni","ISSUE_DT")</f>
        <v>#N/A Requesting Data...</v>
      </c>
      <c r="I1590" t="str">
        <f>_xll.BDS("882854XK Muni","MUNI_PURPOSE_SCHED", "aggregate=y")</f>
        <v>#N/A Review</v>
      </c>
      <c r="J1590" t="str">
        <f>_xll.BDP("882854XK Muni","CPN")</f>
        <v>#N/A Requesting Data...</v>
      </c>
      <c r="K1590" t="str">
        <f>_xll.BDP("882854XK Muni","MATURITY")</f>
        <v>#N/A Requesting Data...</v>
      </c>
      <c r="L1590">
        <v>450000</v>
      </c>
      <c r="M1590" t="str">
        <f>_xll.BDP("882854XK Muni","YIELD_ON_ISSUE_DATE")</f>
        <v>#N/A Requesting Data...</v>
      </c>
      <c r="N1590" t="str">
        <f>_xll.BDP("882854XK Muni","YTW_SPREAD_TO_MATURITY_AT_ISSU")</f>
        <v>#N/A Requesting Data...</v>
      </c>
      <c r="O1590" t="str">
        <f>_xll.BDP("882854XK Muni","BVAL_MID_YTM")</f>
        <v>#N/A Requesting Data...</v>
      </c>
      <c r="P1590" t="str">
        <f>_xll.BDP("882854XK Muni","MUNI_TAX_PROV")</f>
        <v>#N/A Requesting Data...</v>
      </c>
      <c r="Q1590" t="str">
        <f>_xll.BDP("882854XK Muni","MUNI_FED_TAX")</f>
        <v>#N/A Requesting Data...</v>
      </c>
      <c r="R1590" t="str">
        <f>_xll.BDP("882854XK Muni","MUNI_MSRB_VOLUME")</f>
        <v>#N/A Requesting Data...</v>
      </c>
      <c r="S1590" t="str">
        <f>_xll.BDP("882854XK Muni","BB_COMPOSITE")</f>
        <v>#N/A Requesting Data...</v>
      </c>
      <c r="T1590" t="str">
        <f>_xll.BDP("882854XK Muni","LQA_LIQUIDITY_SCORE")</f>
        <v>#N/A Requesting Data...</v>
      </c>
    </row>
    <row r="1591" spans="1:20" x14ac:dyDescent="0.25">
      <c r="A1591" t="str">
        <f>_xll.BDP("882854XM Muni","ID_CUSIP")</f>
        <v>#N/A Requesting Data...</v>
      </c>
      <c r="B1591" t="s">
        <v>23</v>
      </c>
      <c r="C1591" t="str">
        <f>_xll.BDP("882854XM Muni","INSURANCE_STATUS")</f>
        <v>#N/A Requesting Data...</v>
      </c>
      <c r="D1591" t="str">
        <f>_xll.BDP("882854XM Muni","STATE_CODE")</f>
        <v>#N/A Requesting Data...</v>
      </c>
      <c r="E1591" t="str">
        <f>_xll.BDP("882854XM Muni","COUNTY_LOCATION_ISSUER")</f>
        <v>#N/A Requesting Data...</v>
      </c>
      <c r="F1591" t="str">
        <f>_xll.BDP("882854XM Muni","DUR_ADJ_MID")</f>
        <v>#N/A Requesting Data...</v>
      </c>
      <c r="G1591" t="str">
        <f>_xll.BDP("882854XM Muni","SPREAD_AT_ISSUANCE_TO_WORST")</f>
        <v>#N/A Requesting Data...</v>
      </c>
      <c r="H1591" t="str">
        <f>_xll.BDP("882854XM Muni","ISSUE_DT")</f>
        <v>#N/A Requesting Data...</v>
      </c>
      <c r="I1591" t="str">
        <f>_xll.BDS("882854XM Muni","MUNI_PURPOSE_SCHED", "aggregate=y")</f>
        <v>#N/A Review</v>
      </c>
      <c r="J1591" t="str">
        <f>_xll.BDP("882854XM Muni","CPN")</f>
        <v>#N/A Requesting Data...</v>
      </c>
      <c r="K1591" t="str">
        <f>_xll.BDP("882854XM Muni","MATURITY")</f>
        <v>#N/A Requesting Data...</v>
      </c>
      <c r="L1591">
        <v>340000</v>
      </c>
      <c r="M1591" t="str">
        <f>_xll.BDP("882854XM Muni","YIELD_ON_ISSUE_DATE")</f>
        <v>#N/A Requesting Data...</v>
      </c>
      <c r="N1591" t="str">
        <f>_xll.BDP("882854XM Muni","YTW_SPREAD_TO_MATURITY_AT_ISSU")</f>
        <v>#N/A Requesting Data...</v>
      </c>
      <c r="O1591" t="str">
        <f>_xll.BDP("882854XM Muni","BVAL_MID_YTM")</f>
        <v>#N/A Requesting Data...</v>
      </c>
      <c r="P1591" t="str">
        <f>_xll.BDP("882854XM Muni","MUNI_TAX_PROV")</f>
        <v>#N/A Requesting Data...</v>
      </c>
      <c r="Q1591" t="str">
        <f>_xll.BDP("882854XM Muni","MUNI_FED_TAX")</f>
        <v>#N/A Requesting Data...</v>
      </c>
      <c r="R1591" t="str">
        <f>_xll.BDP("882854XM Muni","MUNI_MSRB_VOLUME")</f>
        <v>#N/A Requesting Data...</v>
      </c>
      <c r="S1591" t="str">
        <f>_xll.BDP("882854XM Muni","BB_COMPOSITE")</f>
        <v>#N/A Requesting Data...</v>
      </c>
      <c r="T1591" t="str">
        <f>_xll.BDP("882854XM Muni","LQA_LIQUIDITY_SCORE")</f>
        <v>#N/A Requesting Data...</v>
      </c>
    </row>
    <row r="1592" spans="1:20" x14ac:dyDescent="0.25">
      <c r="A1592" t="str">
        <f>_xll.BDP("967338ZB Muni","ID_CUSIP")</f>
        <v>#N/A Requesting Data...</v>
      </c>
      <c r="B1592" t="s">
        <v>487</v>
      </c>
      <c r="C1592" t="str">
        <f>_xll.BDP("967338ZB Muni","INSURANCE_STATUS")</f>
        <v>#N/A Requesting Data...</v>
      </c>
      <c r="D1592" t="str">
        <f>_xll.BDP("967338ZB Muni","STATE_CODE")</f>
        <v>#N/A Requesting Data...</v>
      </c>
      <c r="E1592" t="str">
        <f>_xll.BDP("967338ZB Muni","COUNTY_LOCATION_ISSUER")</f>
        <v>#N/A Requesting Data...</v>
      </c>
      <c r="F1592" t="str">
        <f>_xll.BDP("967338ZB Muni","DUR_ADJ_MID")</f>
        <v>#N/A Requesting Data...</v>
      </c>
      <c r="G1592" t="str">
        <f>_xll.BDP("967338ZB Muni","SPREAD_AT_ISSUANCE_TO_WORST")</f>
        <v>#N/A Requesting Data...</v>
      </c>
      <c r="H1592" t="str">
        <f>_xll.BDP("967338ZB Muni","ISSUE_DT")</f>
        <v>#N/A Requesting Data...</v>
      </c>
      <c r="I1592" t="str">
        <f>_xll.BDS("967338ZB Muni","MUNI_PURPOSE_SCHED", "aggregate=y")</f>
        <v>#N/A Review</v>
      </c>
      <c r="J1592" t="str">
        <f>_xll.BDP("967338ZB Muni","CPN")</f>
        <v>#N/A Requesting Data...</v>
      </c>
      <c r="K1592" t="str">
        <f>_xll.BDP("967338ZB Muni","MATURITY")</f>
        <v>#N/A Requesting Data...</v>
      </c>
      <c r="L1592">
        <v>1040000</v>
      </c>
      <c r="M1592" t="str">
        <f>_xll.BDP("967338ZB Muni","YIELD_ON_ISSUE_DATE")</f>
        <v>#N/A Requesting Data...</v>
      </c>
      <c r="N1592" t="str">
        <f>_xll.BDP("967338ZB Muni","YTW_SPREAD_TO_MATURITY_AT_ISSU")</f>
        <v>#N/A Requesting Data...</v>
      </c>
      <c r="O1592" t="str">
        <f>_xll.BDP("967338ZB Muni","BVAL_MID_YTM")</f>
        <v>#N/A Requesting Data...</v>
      </c>
      <c r="P1592" t="str">
        <f>_xll.BDP("967338ZB Muni","MUNI_TAX_PROV")</f>
        <v>#N/A Requesting Data...</v>
      </c>
      <c r="Q1592" t="str">
        <f>_xll.BDP("967338ZB Muni","MUNI_FED_TAX")</f>
        <v>#N/A Requesting Data...</v>
      </c>
      <c r="R1592" t="str">
        <f>_xll.BDP("967338ZB Muni","MUNI_MSRB_VOLUME")</f>
        <v>#N/A Requesting Data...</v>
      </c>
      <c r="S1592" t="str">
        <f>_xll.BDP("967338ZB Muni","BB_COMPOSITE")</f>
        <v>#N/A Requesting Data...</v>
      </c>
      <c r="T1592" t="str">
        <f>_xll.BDP("967338ZB Muni","LQA_LIQUIDITY_SCORE")</f>
        <v>#N/A Requesting Data...</v>
      </c>
    </row>
    <row r="1593" spans="1:20" x14ac:dyDescent="0.25">
      <c r="A1593" t="str">
        <f>_xll.BDP("967338ZC Muni","ID_CUSIP")</f>
        <v>#N/A Requesting Data...</v>
      </c>
      <c r="B1593" t="s">
        <v>487</v>
      </c>
      <c r="C1593" t="str">
        <f>_xll.BDP("967338ZC Muni","INSURANCE_STATUS")</f>
        <v>#N/A Requesting Data...</v>
      </c>
      <c r="D1593" t="str">
        <f>_xll.BDP("967338ZC Muni","STATE_CODE")</f>
        <v>#N/A Requesting Data...</v>
      </c>
      <c r="E1593" t="str">
        <f>_xll.BDP("967338ZC Muni","COUNTY_LOCATION_ISSUER")</f>
        <v>#N/A Requesting Data...</v>
      </c>
      <c r="F1593" t="str">
        <f>_xll.BDP("967338ZC Muni","DUR_ADJ_MID")</f>
        <v>#N/A Requesting Data...</v>
      </c>
      <c r="G1593" t="str">
        <f>_xll.BDP("967338ZC Muni","SPREAD_AT_ISSUANCE_TO_WORST")</f>
        <v>#N/A Requesting Data...</v>
      </c>
      <c r="H1593" t="str">
        <f>_xll.BDP("967338ZC Muni","ISSUE_DT")</f>
        <v>#N/A Requesting Data...</v>
      </c>
      <c r="I1593" t="str">
        <f>_xll.BDS("967338ZC Muni","MUNI_PURPOSE_SCHED", "aggregate=y")</f>
        <v>#N/A Review</v>
      </c>
      <c r="J1593" t="str">
        <f>_xll.BDP("967338ZC Muni","CPN")</f>
        <v>#N/A Requesting Data...</v>
      </c>
      <c r="K1593" t="str">
        <f>_xll.BDP("967338ZC Muni","MATURITY")</f>
        <v>#N/A Requesting Data...</v>
      </c>
      <c r="L1593">
        <v>1095000</v>
      </c>
      <c r="M1593" t="str">
        <f>_xll.BDP("967338ZC Muni","YIELD_ON_ISSUE_DATE")</f>
        <v>#N/A Requesting Data...</v>
      </c>
      <c r="N1593" t="str">
        <f>_xll.BDP("967338ZC Muni","YTW_SPREAD_TO_MATURITY_AT_ISSU")</f>
        <v>#N/A Requesting Data...</v>
      </c>
      <c r="O1593" t="str">
        <f>_xll.BDP("967338ZC Muni","BVAL_MID_YTM")</f>
        <v>#N/A Requesting Data...</v>
      </c>
      <c r="P1593" t="str">
        <f>_xll.BDP("967338ZC Muni","MUNI_TAX_PROV")</f>
        <v>#N/A Requesting Data...</v>
      </c>
      <c r="Q1593" t="str">
        <f>_xll.BDP("967338ZC Muni","MUNI_FED_TAX")</f>
        <v>#N/A Requesting Data...</v>
      </c>
      <c r="R1593" t="str">
        <f>_xll.BDP("967338ZC Muni","MUNI_MSRB_VOLUME")</f>
        <v>#N/A Requesting Data...</v>
      </c>
      <c r="S1593" t="str">
        <f>_xll.BDP("967338ZC Muni","BB_COMPOSITE")</f>
        <v>#N/A Requesting Data...</v>
      </c>
      <c r="T1593" t="str">
        <f>_xll.BDP("967338ZC Muni","LQA_LIQUIDITY_SCORE")</f>
        <v>#N/A Requesting Data...</v>
      </c>
    </row>
    <row r="1594" spans="1:20" x14ac:dyDescent="0.25">
      <c r="A1594" t="str">
        <f>_xll.BDP("967338ZD Muni","ID_CUSIP")</f>
        <v>#N/A Requesting Data...</v>
      </c>
      <c r="B1594" t="s">
        <v>487</v>
      </c>
      <c r="C1594" t="str">
        <f>_xll.BDP("967338ZD Muni","INSURANCE_STATUS")</f>
        <v>#N/A Requesting Data...</v>
      </c>
      <c r="D1594" t="str">
        <f>_xll.BDP("967338ZD Muni","STATE_CODE")</f>
        <v>#N/A Requesting Data...</v>
      </c>
      <c r="E1594" t="str">
        <f>_xll.BDP("967338ZD Muni","COUNTY_LOCATION_ISSUER")</f>
        <v>#N/A Requesting Data...</v>
      </c>
      <c r="F1594" t="str">
        <f>_xll.BDP("967338ZD Muni","DUR_ADJ_MID")</f>
        <v>#N/A Requesting Data...</v>
      </c>
      <c r="G1594" t="str">
        <f>_xll.BDP("967338ZD Muni","SPREAD_AT_ISSUANCE_TO_WORST")</f>
        <v>#N/A Requesting Data...</v>
      </c>
      <c r="H1594" t="str">
        <f>_xll.BDP("967338ZD Muni","ISSUE_DT")</f>
        <v>#N/A Requesting Data...</v>
      </c>
      <c r="I1594" t="str">
        <f>_xll.BDS("967338ZD Muni","MUNI_PURPOSE_SCHED", "aggregate=y")</f>
        <v>#N/A Review</v>
      </c>
      <c r="J1594" t="str">
        <f>_xll.BDP("967338ZD Muni","CPN")</f>
        <v>#N/A Requesting Data...</v>
      </c>
      <c r="K1594" t="str">
        <f>_xll.BDP("967338ZD Muni","MATURITY")</f>
        <v>#N/A Requesting Data...</v>
      </c>
      <c r="L1594">
        <v>1150000</v>
      </c>
      <c r="M1594" t="str">
        <f>_xll.BDP("967338ZD Muni","YIELD_ON_ISSUE_DATE")</f>
        <v>#N/A Requesting Data...</v>
      </c>
      <c r="N1594" t="str">
        <f>_xll.BDP("967338ZD Muni","YTW_SPREAD_TO_MATURITY_AT_ISSU")</f>
        <v>#N/A Requesting Data...</v>
      </c>
      <c r="O1594" t="str">
        <f>_xll.BDP("967338ZD Muni","BVAL_MID_YTM")</f>
        <v>#N/A Requesting Data...</v>
      </c>
      <c r="P1594" t="str">
        <f>_xll.BDP("967338ZD Muni","MUNI_TAX_PROV")</f>
        <v>#N/A Requesting Data...</v>
      </c>
      <c r="Q1594" t="str">
        <f>_xll.BDP("967338ZD Muni","MUNI_FED_TAX")</f>
        <v>#N/A Requesting Data...</v>
      </c>
      <c r="R1594" t="str">
        <f>_xll.BDP("967338ZD Muni","MUNI_MSRB_VOLUME")</f>
        <v>#N/A Requesting Data...</v>
      </c>
      <c r="S1594" t="str">
        <f>_xll.BDP("967338ZD Muni","BB_COMPOSITE")</f>
        <v>#N/A Requesting Data...</v>
      </c>
      <c r="T1594" t="str">
        <f>_xll.BDP("967338ZD Muni","LQA_LIQUIDITY_SCORE")</f>
        <v>#N/A Requesting Data...</v>
      </c>
    </row>
    <row r="1595" spans="1:20" x14ac:dyDescent="0.25">
      <c r="A1595" t="str">
        <f>_xll.BDP("967338ZE Muni","ID_CUSIP")</f>
        <v>#N/A Requesting Data...</v>
      </c>
      <c r="B1595" t="s">
        <v>487</v>
      </c>
      <c r="C1595" t="str">
        <f>_xll.BDP("967338ZE Muni","INSURANCE_STATUS")</f>
        <v>#N/A Requesting Data...</v>
      </c>
      <c r="D1595" t="str">
        <f>_xll.BDP("967338ZE Muni","STATE_CODE")</f>
        <v>#N/A Requesting Data...</v>
      </c>
      <c r="E1595" t="str">
        <f>_xll.BDP("967338ZE Muni","COUNTY_LOCATION_ISSUER")</f>
        <v>#N/A Requesting Data...</v>
      </c>
      <c r="F1595" t="str">
        <f>_xll.BDP("967338ZE Muni","DUR_ADJ_MID")</f>
        <v>#N/A Requesting Data...</v>
      </c>
      <c r="G1595" t="str">
        <f>_xll.BDP("967338ZE Muni","SPREAD_AT_ISSUANCE_TO_WORST")</f>
        <v>#N/A Requesting Data...</v>
      </c>
      <c r="H1595" t="str">
        <f>_xll.BDP("967338ZE Muni","ISSUE_DT")</f>
        <v>#N/A Requesting Data...</v>
      </c>
      <c r="I1595" t="str">
        <f>_xll.BDS("967338ZE Muni","MUNI_PURPOSE_SCHED", "aggregate=y")</f>
        <v>#N/A Review</v>
      </c>
      <c r="J1595" t="str">
        <f>_xll.BDP("967338ZE Muni","CPN")</f>
        <v>#N/A Requesting Data...</v>
      </c>
      <c r="K1595" t="str">
        <f>_xll.BDP("967338ZE Muni","MATURITY")</f>
        <v>#N/A Requesting Data...</v>
      </c>
      <c r="L1595">
        <v>1205000</v>
      </c>
      <c r="M1595" t="str">
        <f>_xll.BDP("967338ZE Muni","YIELD_ON_ISSUE_DATE")</f>
        <v>#N/A Requesting Data...</v>
      </c>
      <c r="N1595" t="str">
        <f>_xll.BDP("967338ZE Muni","YTW_SPREAD_TO_MATURITY_AT_ISSU")</f>
        <v>#N/A Requesting Data...</v>
      </c>
      <c r="O1595" t="str">
        <f>_xll.BDP("967338ZE Muni","BVAL_MID_YTM")</f>
        <v>#N/A Requesting Data...</v>
      </c>
      <c r="P1595" t="str">
        <f>_xll.BDP("967338ZE Muni","MUNI_TAX_PROV")</f>
        <v>#N/A Requesting Data...</v>
      </c>
      <c r="Q1595" t="str">
        <f>_xll.BDP("967338ZE Muni","MUNI_FED_TAX")</f>
        <v>#N/A Requesting Data...</v>
      </c>
      <c r="R1595" t="str">
        <f>_xll.BDP("967338ZE Muni","MUNI_MSRB_VOLUME")</f>
        <v>#N/A Requesting Data...</v>
      </c>
      <c r="S1595" t="str">
        <f>_xll.BDP("967338ZE Muni","BB_COMPOSITE")</f>
        <v>#N/A Requesting Data...</v>
      </c>
      <c r="T1595" t="str">
        <f>_xll.BDP("967338ZE Muni","LQA_LIQUIDITY_SCORE")</f>
        <v>#N/A Requesting Data...</v>
      </c>
    </row>
    <row r="1596" spans="1:20" x14ac:dyDescent="0.25">
      <c r="A1596" t="str">
        <f>_xll.BDP("967338ZF Muni","ID_CUSIP")</f>
        <v>#N/A Requesting Data...</v>
      </c>
      <c r="B1596" t="s">
        <v>487</v>
      </c>
      <c r="C1596" t="str">
        <f>_xll.BDP("967338ZF Muni","INSURANCE_STATUS")</f>
        <v>#N/A Requesting Data...</v>
      </c>
      <c r="D1596" t="str">
        <f>_xll.BDP("967338ZF Muni","STATE_CODE")</f>
        <v>#N/A Requesting Data...</v>
      </c>
      <c r="E1596" t="str">
        <f>_xll.BDP("967338ZF Muni","COUNTY_LOCATION_ISSUER")</f>
        <v>#N/A Requesting Data...</v>
      </c>
      <c r="F1596" t="str">
        <f>_xll.BDP("967338ZF Muni","DUR_ADJ_MID")</f>
        <v>#N/A Requesting Data...</v>
      </c>
      <c r="G1596" t="str">
        <f>_xll.BDP("967338ZF Muni","SPREAD_AT_ISSUANCE_TO_WORST")</f>
        <v>#N/A Requesting Data...</v>
      </c>
      <c r="H1596" t="str">
        <f>_xll.BDP("967338ZF Muni","ISSUE_DT")</f>
        <v>#N/A Requesting Data...</v>
      </c>
      <c r="I1596" t="str">
        <f>_xll.BDS("967338ZF Muni","MUNI_PURPOSE_SCHED", "aggregate=y")</f>
        <v>#N/A Review</v>
      </c>
      <c r="J1596" t="str">
        <f>_xll.BDP("967338ZF Muni","CPN")</f>
        <v>#N/A Requesting Data...</v>
      </c>
      <c r="K1596" t="str">
        <f>_xll.BDP("967338ZF Muni","MATURITY")</f>
        <v>#N/A Requesting Data...</v>
      </c>
      <c r="L1596">
        <v>1265000</v>
      </c>
      <c r="M1596" t="str">
        <f>_xll.BDP("967338ZF Muni","YIELD_ON_ISSUE_DATE")</f>
        <v>#N/A Requesting Data...</v>
      </c>
      <c r="N1596" t="str">
        <f>_xll.BDP("967338ZF Muni","YTW_SPREAD_TO_MATURITY_AT_ISSU")</f>
        <v>#N/A Requesting Data...</v>
      </c>
      <c r="O1596" t="str">
        <f>_xll.BDP("967338ZF Muni","BVAL_MID_YTM")</f>
        <v>#N/A Requesting Data...</v>
      </c>
      <c r="P1596" t="str">
        <f>_xll.BDP("967338ZF Muni","MUNI_TAX_PROV")</f>
        <v>#N/A Requesting Data...</v>
      </c>
      <c r="Q1596" t="str">
        <f>_xll.BDP("967338ZF Muni","MUNI_FED_TAX")</f>
        <v>#N/A Requesting Data...</v>
      </c>
      <c r="R1596" t="str">
        <f>_xll.BDP("967338ZF Muni","MUNI_MSRB_VOLUME")</f>
        <v>#N/A Requesting Data...</v>
      </c>
      <c r="S1596" t="str">
        <f>_xll.BDP("967338ZF Muni","BB_COMPOSITE")</f>
        <v>#N/A Requesting Data...</v>
      </c>
      <c r="T1596" t="str">
        <f>_xll.BDP("967338ZF Muni","LQA_LIQUIDITY_SCORE")</f>
        <v>#N/A Requesting Data...</v>
      </c>
    </row>
    <row r="1597" spans="1:20" x14ac:dyDescent="0.25">
      <c r="A1597" t="str">
        <f>_xll.BDP("898797DJ Muni","ID_CUSIP")</f>
        <v>#N/A Requesting Data...</v>
      </c>
      <c r="B1597" t="s">
        <v>488</v>
      </c>
      <c r="C1597" t="str">
        <f>_xll.BDP("898797DJ Muni","INSURANCE_STATUS")</f>
        <v>#N/A Requesting Data...</v>
      </c>
      <c r="D1597" t="str">
        <f>_xll.BDP("898797DJ Muni","STATE_CODE")</f>
        <v>#N/A Requesting Data...</v>
      </c>
      <c r="E1597" t="str">
        <f>_xll.BDP("898797DJ Muni","COUNTY_LOCATION_ISSUER")</f>
        <v>#N/A Requesting Data...</v>
      </c>
      <c r="F1597" t="str">
        <f>_xll.BDP("898797DJ Muni","DUR_ADJ_MID")</f>
        <v>#N/A Requesting Data...</v>
      </c>
      <c r="G1597" t="str">
        <f>_xll.BDP("898797DJ Muni","SPREAD_AT_ISSUANCE_TO_WORST")</f>
        <v>#N/A Requesting Data...</v>
      </c>
      <c r="H1597" t="str">
        <f>_xll.BDP("898797DJ Muni","ISSUE_DT")</f>
        <v>#N/A Requesting Data...</v>
      </c>
      <c r="I1597" t="str">
        <f>_xll.BDS("898797DJ Muni","MUNI_PURPOSE_SCHED", "aggregate=y")</f>
        <v>#N/A Review</v>
      </c>
      <c r="J1597" t="str">
        <f>_xll.BDP("898797DJ Muni","CPN")</f>
        <v>#N/A Requesting Data...</v>
      </c>
      <c r="K1597" t="str">
        <f>_xll.BDP("898797DJ Muni","MATURITY")</f>
        <v>#N/A Requesting Data...</v>
      </c>
      <c r="L1597">
        <v>500000</v>
      </c>
      <c r="M1597" t="str">
        <f>_xll.BDP("898797DJ Muni","YIELD_ON_ISSUE_DATE")</f>
        <v>#N/A Requesting Data...</v>
      </c>
      <c r="N1597" t="str">
        <f>_xll.BDP("898797DJ Muni","YTW_SPREAD_TO_MATURITY_AT_ISSU")</f>
        <v>#N/A Requesting Data...</v>
      </c>
      <c r="O1597" t="str">
        <f>_xll.BDP("898797DJ Muni","BVAL_MID_YTM")</f>
        <v>#N/A Requesting Data...</v>
      </c>
      <c r="P1597" t="str">
        <f>_xll.BDP("898797DJ Muni","MUNI_TAX_PROV")</f>
        <v>#N/A Requesting Data...</v>
      </c>
      <c r="Q1597" t="str">
        <f>_xll.BDP("898797DJ Muni","MUNI_FED_TAX")</f>
        <v>#N/A Requesting Data...</v>
      </c>
      <c r="R1597" t="str">
        <f>_xll.BDP("898797DJ Muni","MUNI_MSRB_VOLUME")</f>
        <v>#N/A Requesting Data...</v>
      </c>
      <c r="S1597" t="str">
        <f>_xll.BDP("898797DJ Muni","BB_COMPOSITE")</f>
        <v>#N/A Requesting Data...</v>
      </c>
      <c r="T1597" t="str">
        <f>_xll.BDP("898797DJ Muni","LQA_LIQUIDITY_SCORE")</f>
        <v>#N/A Requesting Data...</v>
      </c>
    </row>
    <row r="1598" spans="1:20" x14ac:dyDescent="0.25">
      <c r="A1598" t="str">
        <f>_xll.BDP("898797DK Muni","ID_CUSIP")</f>
        <v>#N/A Requesting Data...</v>
      </c>
      <c r="B1598" t="s">
        <v>488</v>
      </c>
      <c r="C1598" t="str">
        <f>_xll.BDP("898797DK Muni","INSURANCE_STATUS")</f>
        <v>#N/A Requesting Data...</v>
      </c>
      <c r="D1598" t="str">
        <f>_xll.BDP("898797DK Muni","STATE_CODE")</f>
        <v>#N/A Requesting Data...</v>
      </c>
      <c r="E1598" t="str">
        <f>_xll.BDP("898797DK Muni","COUNTY_LOCATION_ISSUER")</f>
        <v>#N/A Requesting Data...</v>
      </c>
      <c r="F1598" t="str">
        <f>_xll.BDP("898797DK Muni","DUR_ADJ_MID")</f>
        <v>#N/A Requesting Data...</v>
      </c>
      <c r="G1598" t="str">
        <f>_xll.BDP("898797DK Muni","SPREAD_AT_ISSUANCE_TO_WORST")</f>
        <v>#N/A Requesting Data...</v>
      </c>
      <c r="H1598" t="str">
        <f>_xll.BDP("898797DK Muni","ISSUE_DT")</f>
        <v>#N/A Requesting Data...</v>
      </c>
      <c r="I1598" t="str">
        <f>_xll.BDS("898797DK Muni","MUNI_PURPOSE_SCHED", "aggregate=y")</f>
        <v>#N/A Review</v>
      </c>
      <c r="J1598" t="str">
        <f>_xll.BDP("898797DK Muni","CPN")</f>
        <v>#N/A Requesting Data...</v>
      </c>
      <c r="K1598" t="str">
        <f>_xll.BDP("898797DK Muni","MATURITY")</f>
        <v>#N/A Requesting Data...</v>
      </c>
      <c r="L1598">
        <v>500000</v>
      </c>
      <c r="M1598" t="str">
        <f>_xll.BDP("898797DK Muni","YIELD_ON_ISSUE_DATE")</f>
        <v>#N/A Requesting Data...</v>
      </c>
      <c r="N1598" t="str">
        <f>_xll.BDP("898797DK Muni","YTW_SPREAD_TO_MATURITY_AT_ISSU")</f>
        <v>#N/A Requesting Data...</v>
      </c>
      <c r="O1598" t="str">
        <f>_xll.BDP("898797DK Muni","BVAL_MID_YTM")</f>
        <v>#N/A Requesting Data...</v>
      </c>
      <c r="P1598" t="str">
        <f>_xll.BDP("898797DK Muni","MUNI_TAX_PROV")</f>
        <v>#N/A Requesting Data...</v>
      </c>
      <c r="Q1598" t="str">
        <f>_xll.BDP("898797DK Muni","MUNI_FED_TAX")</f>
        <v>#N/A Requesting Data...</v>
      </c>
      <c r="R1598" t="str">
        <f>_xll.BDP("898797DK Muni","MUNI_MSRB_VOLUME")</f>
        <v>#N/A Requesting Data...</v>
      </c>
      <c r="S1598" t="str">
        <f>_xll.BDP("898797DK Muni","BB_COMPOSITE")</f>
        <v>#N/A Requesting Data...</v>
      </c>
      <c r="T1598" t="str">
        <f>_xll.BDP("898797DK Muni","LQA_LIQUIDITY_SCORE")</f>
        <v>#N/A Requesting Data...</v>
      </c>
    </row>
    <row r="1599" spans="1:20" x14ac:dyDescent="0.25">
      <c r="A1599" t="str">
        <f>_xll.BDP("898797DL Muni","ID_CUSIP")</f>
        <v>#N/A Requesting Data...</v>
      </c>
      <c r="B1599" t="s">
        <v>488</v>
      </c>
      <c r="C1599" t="str">
        <f>_xll.BDP("898797DL Muni","INSURANCE_STATUS")</f>
        <v>#N/A Requesting Data...</v>
      </c>
      <c r="D1599" t="str">
        <f>_xll.BDP("898797DL Muni","STATE_CODE")</f>
        <v>#N/A Requesting Data...</v>
      </c>
      <c r="E1599" t="str">
        <f>_xll.BDP("898797DL Muni","COUNTY_LOCATION_ISSUER")</f>
        <v>#N/A Requesting Data...</v>
      </c>
      <c r="F1599" t="str">
        <f>_xll.BDP("898797DL Muni","DUR_ADJ_MID")</f>
        <v>#N/A Requesting Data...</v>
      </c>
      <c r="G1599" t="str">
        <f>_xll.BDP("898797DL Muni","SPREAD_AT_ISSUANCE_TO_WORST")</f>
        <v>#N/A Requesting Data...</v>
      </c>
      <c r="H1599" t="str">
        <f>_xll.BDP("898797DL Muni","ISSUE_DT")</f>
        <v>#N/A Requesting Data...</v>
      </c>
      <c r="I1599" t="str">
        <f>_xll.BDS("898797DL Muni","MUNI_PURPOSE_SCHED", "aggregate=y")</f>
        <v>#N/A Review</v>
      </c>
      <c r="J1599" t="str">
        <f>_xll.BDP("898797DL Muni","CPN")</f>
        <v>#N/A Requesting Data...</v>
      </c>
      <c r="K1599" t="str">
        <f>_xll.BDP("898797DL Muni","MATURITY")</f>
        <v>#N/A Requesting Data...</v>
      </c>
      <c r="L1599">
        <v>500000</v>
      </c>
      <c r="M1599" t="str">
        <f>_xll.BDP("898797DL Muni","YIELD_ON_ISSUE_DATE")</f>
        <v>#N/A Requesting Data...</v>
      </c>
      <c r="N1599" t="str">
        <f>_xll.BDP("898797DL Muni","YTW_SPREAD_TO_MATURITY_AT_ISSU")</f>
        <v>#N/A Requesting Data...</v>
      </c>
      <c r="O1599" t="str">
        <f>_xll.BDP("898797DL Muni","BVAL_MID_YTM")</f>
        <v>#N/A Requesting Data...</v>
      </c>
      <c r="P1599" t="str">
        <f>_xll.BDP("898797DL Muni","MUNI_TAX_PROV")</f>
        <v>#N/A Requesting Data...</v>
      </c>
      <c r="Q1599" t="str">
        <f>_xll.BDP("898797DL Muni","MUNI_FED_TAX")</f>
        <v>#N/A Requesting Data...</v>
      </c>
      <c r="R1599" t="str">
        <f>_xll.BDP("898797DL Muni","MUNI_MSRB_VOLUME")</f>
        <v>#N/A Requesting Data...</v>
      </c>
      <c r="S1599" t="str">
        <f>_xll.BDP("898797DL Muni","BB_COMPOSITE")</f>
        <v>#N/A Requesting Data...</v>
      </c>
      <c r="T1599" t="str">
        <f>_xll.BDP("898797DL Muni","LQA_LIQUIDITY_SCORE")</f>
        <v>#N/A Requesting Data...</v>
      </c>
    </row>
    <row r="1600" spans="1:20" x14ac:dyDescent="0.25">
      <c r="A1600" t="str">
        <f>_xll.BDP("899656NU Muni","ID_CUSIP")</f>
        <v>#N/A Requesting Data...</v>
      </c>
      <c r="B1600" t="s">
        <v>102</v>
      </c>
      <c r="C1600" t="str">
        <f>_xll.BDP("899656NU Muni","INSURANCE_STATUS")</f>
        <v>#N/A Requesting Data...</v>
      </c>
      <c r="D1600" t="str">
        <f>_xll.BDP("899656NU Muni","STATE_CODE")</f>
        <v>#N/A Requesting Data...</v>
      </c>
      <c r="E1600" t="str">
        <f>_xll.BDP("899656NU Muni","COUNTY_LOCATION_ISSUER")</f>
        <v>#N/A Requesting Data...</v>
      </c>
      <c r="F1600" t="str">
        <f>_xll.BDP("899656NU Muni","DUR_ADJ_MID")</f>
        <v>#N/A Requesting Data...</v>
      </c>
      <c r="G1600" t="str">
        <f>_xll.BDP("899656NU Muni","SPREAD_AT_ISSUANCE_TO_WORST")</f>
        <v>#N/A Requesting Data...</v>
      </c>
      <c r="H1600" t="str">
        <f>_xll.BDP("899656NU Muni","ISSUE_DT")</f>
        <v>#N/A Requesting Data...</v>
      </c>
      <c r="I1600" t="str">
        <f>_xll.BDS("899656NU Muni","MUNI_PURPOSE_SCHED", "aggregate=y")</f>
        <v>#N/A Review</v>
      </c>
      <c r="J1600" t="str">
        <f>_xll.BDP("899656NU Muni","CPN")</f>
        <v>#N/A Requesting Data...</v>
      </c>
      <c r="K1600" t="str">
        <f>_xll.BDP("899656NU Muni","MATURITY")</f>
        <v>#N/A Requesting Data...</v>
      </c>
      <c r="L1600">
        <v>980000</v>
      </c>
      <c r="M1600" t="str">
        <f>_xll.BDP("899656NU Muni","YIELD_ON_ISSUE_DATE")</f>
        <v>#N/A Requesting Data...</v>
      </c>
      <c r="N1600" t="str">
        <f>_xll.BDP("899656NU Muni","YTW_SPREAD_TO_MATURITY_AT_ISSU")</f>
        <v>#N/A Requesting Data...</v>
      </c>
      <c r="O1600" t="str">
        <f>_xll.BDP("899656NU Muni","BVAL_MID_YTM")</f>
        <v>#N/A Requesting Data...</v>
      </c>
      <c r="P1600" t="str">
        <f>_xll.BDP("899656NU Muni","MUNI_TAX_PROV")</f>
        <v>#N/A Requesting Data...</v>
      </c>
      <c r="Q1600" t="str">
        <f>_xll.BDP("899656NU Muni","MUNI_FED_TAX")</f>
        <v>#N/A Requesting Data...</v>
      </c>
      <c r="R1600" t="str">
        <f>_xll.BDP("899656NU Muni","MUNI_MSRB_VOLUME")</f>
        <v>#N/A Requesting Data...</v>
      </c>
      <c r="S1600" t="str">
        <f>_xll.BDP("899656NU Muni","BB_COMPOSITE")</f>
        <v>#N/A Requesting Data...</v>
      </c>
      <c r="T1600" t="str">
        <f>_xll.BDP("899656NU Muni","LQA_LIQUIDITY_SCORE")</f>
        <v>#N/A Requesting Data...</v>
      </c>
    </row>
    <row r="1601" spans="1:20" x14ac:dyDescent="0.25">
      <c r="A1601" t="str">
        <f>_xll.BDP("942044SH Muni","ID_CUSIP")</f>
        <v>#N/A Requesting Data...</v>
      </c>
      <c r="B1601" t="s">
        <v>489</v>
      </c>
      <c r="C1601" t="str">
        <f>_xll.BDP("942044SH Muni","INSURANCE_STATUS")</f>
        <v>#N/A Requesting Data...</v>
      </c>
      <c r="D1601" t="str">
        <f>_xll.BDP("942044SH Muni","STATE_CODE")</f>
        <v>#N/A Requesting Data...</v>
      </c>
      <c r="E1601" t="str">
        <f>_xll.BDP("942044SH Muni","COUNTY_LOCATION_ISSUER")</f>
        <v>#N/A Requesting Data...</v>
      </c>
      <c r="F1601" t="str">
        <f>_xll.BDP("942044SH Muni","DUR_ADJ_MID")</f>
        <v>#N/A Requesting Data...</v>
      </c>
      <c r="G1601" t="str">
        <f>_xll.BDP("942044SH Muni","SPREAD_AT_ISSUANCE_TO_WORST")</f>
        <v>#N/A Requesting Data...</v>
      </c>
      <c r="H1601" t="str">
        <f>_xll.BDP("942044SH Muni","ISSUE_DT")</f>
        <v>#N/A Requesting Data...</v>
      </c>
      <c r="I1601" t="str">
        <f>_xll.BDS("942044SH Muni","MUNI_PURPOSE_SCHED", "aggregate=y")</f>
        <v>#N/A Review</v>
      </c>
      <c r="J1601" t="str">
        <f>_xll.BDP("942044SH Muni","CPN")</f>
        <v>#N/A Requesting Data...</v>
      </c>
      <c r="K1601" t="str">
        <f>_xll.BDP("942044SH Muni","MATURITY")</f>
        <v>#N/A Requesting Data...</v>
      </c>
      <c r="L1601">
        <v>160000</v>
      </c>
      <c r="M1601" t="str">
        <f>_xll.BDP("942044SH Muni","YIELD_ON_ISSUE_DATE")</f>
        <v>#N/A Requesting Data...</v>
      </c>
      <c r="N1601" t="str">
        <f>_xll.BDP("942044SH Muni","YTW_SPREAD_TO_MATURITY_AT_ISSU")</f>
        <v>#N/A Requesting Data...</v>
      </c>
      <c r="O1601" t="str">
        <f>_xll.BDP("942044SH Muni","BVAL_MID_YTM")</f>
        <v>#N/A Requesting Data...</v>
      </c>
      <c r="P1601" t="str">
        <f>_xll.BDP("942044SH Muni","MUNI_TAX_PROV")</f>
        <v>#N/A Requesting Data...</v>
      </c>
      <c r="Q1601" t="str">
        <f>_xll.BDP("942044SH Muni","MUNI_FED_TAX")</f>
        <v>#N/A Requesting Data...</v>
      </c>
      <c r="R1601" t="str">
        <f>_xll.BDP("942044SH Muni","MUNI_MSRB_VOLUME")</f>
        <v>#N/A Requesting Data...</v>
      </c>
      <c r="S1601" t="str">
        <f>_xll.BDP("942044SH Muni","BB_COMPOSITE")</f>
        <v>#N/A Requesting Data...</v>
      </c>
      <c r="T1601" t="str">
        <f>_xll.BDP("942044SH Muni","LQA_LIQUIDITY_SCORE")</f>
        <v>#N/A Requesting Data...</v>
      </c>
    </row>
    <row r="1602" spans="1:20" x14ac:dyDescent="0.25">
      <c r="A1602" t="str">
        <f>_xll.BDP("942044SJ Muni","ID_CUSIP")</f>
        <v>#N/A Requesting Data...</v>
      </c>
      <c r="B1602" t="s">
        <v>489</v>
      </c>
      <c r="C1602" t="str">
        <f>_xll.BDP("942044SJ Muni","INSURANCE_STATUS")</f>
        <v>#N/A Requesting Data...</v>
      </c>
      <c r="D1602" t="str">
        <f>_xll.BDP("942044SJ Muni","STATE_CODE")</f>
        <v>#N/A Requesting Data...</v>
      </c>
      <c r="E1602" t="str">
        <f>_xll.BDP("942044SJ Muni","COUNTY_LOCATION_ISSUER")</f>
        <v>#N/A Requesting Data...</v>
      </c>
      <c r="F1602" t="str">
        <f>_xll.BDP("942044SJ Muni","DUR_ADJ_MID")</f>
        <v>#N/A Requesting Data...</v>
      </c>
      <c r="G1602" t="str">
        <f>_xll.BDP("942044SJ Muni","SPREAD_AT_ISSUANCE_TO_WORST")</f>
        <v>#N/A Requesting Data...</v>
      </c>
      <c r="H1602" t="str">
        <f>_xll.BDP("942044SJ Muni","ISSUE_DT")</f>
        <v>#N/A Requesting Data...</v>
      </c>
      <c r="I1602" t="str">
        <f>_xll.BDS("942044SJ Muni","MUNI_PURPOSE_SCHED", "aggregate=y")</f>
        <v>#N/A Review</v>
      </c>
      <c r="J1602" t="str">
        <f>_xll.BDP("942044SJ Muni","CPN")</f>
        <v>#N/A Requesting Data...</v>
      </c>
      <c r="K1602" t="str">
        <f>_xll.BDP("942044SJ Muni","MATURITY")</f>
        <v>#N/A Requesting Data...</v>
      </c>
      <c r="L1602">
        <v>155000</v>
      </c>
      <c r="M1602" t="str">
        <f>_xll.BDP("942044SJ Muni","YIELD_ON_ISSUE_DATE")</f>
        <v>#N/A Requesting Data...</v>
      </c>
      <c r="N1602" t="str">
        <f>_xll.BDP("942044SJ Muni","YTW_SPREAD_TO_MATURITY_AT_ISSU")</f>
        <v>#N/A Requesting Data...</v>
      </c>
      <c r="O1602" t="str">
        <f>_xll.BDP("942044SJ Muni","BVAL_MID_YTM")</f>
        <v>#N/A Requesting Data...</v>
      </c>
      <c r="P1602" t="str">
        <f>_xll.BDP("942044SJ Muni","MUNI_TAX_PROV")</f>
        <v>#N/A Requesting Data...</v>
      </c>
      <c r="Q1602" t="str">
        <f>_xll.BDP("942044SJ Muni","MUNI_FED_TAX")</f>
        <v>#N/A Requesting Data...</v>
      </c>
      <c r="R1602" t="str">
        <f>_xll.BDP("942044SJ Muni","MUNI_MSRB_VOLUME")</f>
        <v>#N/A Requesting Data...</v>
      </c>
      <c r="S1602" t="str">
        <f>_xll.BDP("942044SJ Muni","BB_COMPOSITE")</f>
        <v>#N/A Requesting Data...</v>
      </c>
      <c r="T1602" t="str">
        <f>_xll.BDP("942044SJ Muni","LQA_LIQUIDITY_SCORE")</f>
        <v>#N/A Requesting Data...</v>
      </c>
    </row>
    <row r="1603" spans="1:20" x14ac:dyDescent="0.25">
      <c r="A1603" t="str">
        <f>_xll.BDP("942044SK Muni","ID_CUSIP")</f>
        <v>#N/A Requesting Data...</v>
      </c>
      <c r="B1603" t="s">
        <v>489</v>
      </c>
      <c r="C1603" t="str">
        <f>_xll.BDP("942044SK Muni","INSURANCE_STATUS")</f>
        <v>#N/A Requesting Data...</v>
      </c>
      <c r="D1603" t="str">
        <f>_xll.BDP("942044SK Muni","STATE_CODE")</f>
        <v>#N/A Requesting Data...</v>
      </c>
      <c r="E1603" t="str">
        <f>_xll.BDP("942044SK Muni","COUNTY_LOCATION_ISSUER")</f>
        <v>#N/A Requesting Data...</v>
      </c>
      <c r="F1603" t="str">
        <f>_xll.BDP("942044SK Muni","DUR_ADJ_MID")</f>
        <v>#N/A Requesting Data...</v>
      </c>
      <c r="G1603" t="str">
        <f>_xll.BDP("942044SK Muni","SPREAD_AT_ISSUANCE_TO_WORST")</f>
        <v>#N/A Requesting Data...</v>
      </c>
      <c r="H1603" t="str">
        <f>_xll.BDP("942044SK Muni","ISSUE_DT")</f>
        <v>#N/A Requesting Data...</v>
      </c>
      <c r="I1603" t="str">
        <f>_xll.BDS("942044SK Muni","MUNI_PURPOSE_SCHED", "aggregate=y")</f>
        <v>#N/A Review</v>
      </c>
      <c r="J1603" t="str">
        <f>_xll.BDP("942044SK Muni","CPN")</f>
        <v>#N/A Requesting Data...</v>
      </c>
      <c r="K1603" t="str">
        <f>_xll.BDP("942044SK Muni","MATURITY")</f>
        <v>#N/A Requesting Data...</v>
      </c>
      <c r="L1603">
        <v>155000</v>
      </c>
      <c r="M1603" t="str">
        <f>_xll.BDP("942044SK Muni","YIELD_ON_ISSUE_DATE")</f>
        <v>#N/A Requesting Data...</v>
      </c>
      <c r="N1603" t="str">
        <f>_xll.BDP("942044SK Muni","YTW_SPREAD_TO_MATURITY_AT_ISSU")</f>
        <v>#N/A Requesting Data...</v>
      </c>
      <c r="O1603" t="str">
        <f>_xll.BDP("942044SK Muni","BVAL_MID_YTM")</f>
        <v>#N/A Requesting Data...</v>
      </c>
      <c r="P1603" t="str">
        <f>_xll.BDP("942044SK Muni","MUNI_TAX_PROV")</f>
        <v>#N/A Requesting Data...</v>
      </c>
      <c r="Q1603" t="str">
        <f>_xll.BDP("942044SK Muni","MUNI_FED_TAX")</f>
        <v>#N/A Requesting Data...</v>
      </c>
      <c r="R1603" t="str">
        <f>_xll.BDP("942044SK Muni","MUNI_MSRB_VOLUME")</f>
        <v>#N/A Requesting Data...</v>
      </c>
      <c r="S1603" t="str">
        <f>_xll.BDP("942044SK Muni","BB_COMPOSITE")</f>
        <v>#N/A Requesting Data...</v>
      </c>
      <c r="T1603" t="str">
        <f>_xll.BDP("942044SK Muni","LQA_LIQUIDITY_SCORE")</f>
        <v>#N/A Requesting Data...</v>
      </c>
    </row>
    <row r="1604" spans="1:20" x14ac:dyDescent="0.25">
      <c r="A1604" t="str">
        <f>_xll.BDP("943461FA Muni","ID_CUSIP")</f>
        <v>#N/A Requesting Data...</v>
      </c>
      <c r="B1604" t="s">
        <v>490</v>
      </c>
      <c r="C1604" t="str">
        <f>_xll.BDP("943461FA Muni","INSURANCE_STATUS")</f>
        <v>#N/A Requesting Data...</v>
      </c>
      <c r="D1604" t="str">
        <f>_xll.BDP("943461FA Muni","STATE_CODE")</f>
        <v>#N/A Requesting Data...</v>
      </c>
      <c r="E1604" t="str">
        <f>_xll.BDP("943461FA Muni","COUNTY_LOCATION_ISSUER")</f>
        <v>#N/A Requesting Data...</v>
      </c>
      <c r="F1604" t="str">
        <f>_xll.BDP("943461FA Muni","DUR_ADJ_MID")</f>
        <v>#N/A Requesting Data...</v>
      </c>
      <c r="G1604" t="str">
        <f>_xll.BDP("943461FA Muni","SPREAD_AT_ISSUANCE_TO_WORST")</f>
        <v>#N/A Requesting Data...</v>
      </c>
      <c r="H1604" t="str">
        <f>_xll.BDP("943461FA Muni","ISSUE_DT")</f>
        <v>#N/A Requesting Data...</v>
      </c>
      <c r="I1604" t="str">
        <f>_xll.BDS("943461FA Muni","MUNI_PURPOSE_SCHED", "aggregate=y")</f>
        <v>#N/A Review</v>
      </c>
      <c r="J1604" t="str">
        <f>_xll.BDP("943461FA Muni","CPN")</f>
        <v>#N/A Requesting Data...</v>
      </c>
      <c r="K1604" t="str">
        <f>_xll.BDP("943461FA Muni","MATURITY")</f>
        <v>#N/A Requesting Data...</v>
      </c>
      <c r="L1604">
        <v>165000</v>
      </c>
      <c r="M1604" t="str">
        <f>_xll.BDP("943461FA Muni","YIELD_ON_ISSUE_DATE")</f>
        <v>#N/A Requesting Data...</v>
      </c>
      <c r="N1604" t="str">
        <f>_xll.BDP("943461FA Muni","YTW_SPREAD_TO_MATURITY_AT_ISSU")</f>
        <v>#N/A Requesting Data...</v>
      </c>
      <c r="O1604" t="str">
        <f>_xll.BDP("943461FA Muni","BVAL_MID_YTM")</f>
        <v>#N/A Requesting Data...</v>
      </c>
      <c r="P1604" t="str">
        <f>_xll.BDP("943461FA Muni","MUNI_TAX_PROV")</f>
        <v>#N/A Requesting Data...</v>
      </c>
      <c r="Q1604" t="str">
        <f>_xll.BDP("943461FA Muni","MUNI_FED_TAX")</f>
        <v>#N/A Requesting Data...</v>
      </c>
      <c r="R1604" t="str">
        <f>_xll.BDP("943461FA Muni","MUNI_MSRB_VOLUME")</f>
        <v>#N/A Requesting Data...</v>
      </c>
      <c r="S1604" t="str">
        <f>_xll.BDP("943461FA Muni","BB_COMPOSITE")</f>
        <v>#N/A Requesting Data...</v>
      </c>
      <c r="T1604" t="str">
        <f>_xll.BDP("943461FA Muni","LQA_LIQUIDITY_SCORE")</f>
        <v>#N/A Requesting Data...</v>
      </c>
    </row>
    <row r="1605" spans="1:20" x14ac:dyDescent="0.25">
      <c r="A1605" t="str">
        <f>_xll.BDP("943521NP Muni","ID_CUSIP")</f>
        <v>#N/A Requesting Data...</v>
      </c>
      <c r="B1605" t="s">
        <v>491</v>
      </c>
      <c r="C1605" t="str">
        <f>_xll.BDP("943521NP Muni","INSURANCE_STATUS")</f>
        <v>#N/A Requesting Data...</v>
      </c>
      <c r="D1605" t="str">
        <f>_xll.BDP("943521NP Muni","STATE_CODE")</f>
        <v>#N/A Requesting Data...</v>
      </c>
      <c r="E1605" t="str">
        <f>_xll.BDP("943521NP Muni","COUNTY_LOCATION_ISSUER")</f>
        <v>#N/A Requesting Data...</v>
      </c>
      <c r="F1605" t="str">
        <f>_xll.BDP("943521NP Muni","DUR_ADJ_MID")</f>
        <v>#N/A Requesting Data...</v>
      </c>
      <c r="G1605" t="str">
        <f>_xll.BDP("943521NP Muni","SPREAD_AT_ISSUANCE_TO_WORST")</f>
        <v>#N/A Requesting Data...</v>
      </c>
      <c r="H1605" t="str">
        <f>_xll.BDP("943521NP Muni","ISSUE_DT")</f>
        <v>#N/A Requesting Data...</v>
      </c>
      <c r="I1605" t="str">
        <f>_xll.BDS("943521NP Muni","MUNI_PURPOSE_SCHED", "aggregate=y")</f>
        <v>#N/A Review</v>
      </c>
      <c r="J1605" t="str">
        <f>_xll.BDP("943521NP Muni","CPN")</f>
        <v>#N/A Requesting Data...</v>
      </c>
      <c r="K1605" t="str">
        <f>_xll.BDP("943521NP Muni","MATURITY")</f>
        <v>#N/A Requesting Data...</v>
      </c>
      <c r="L1605">
        <v>200000</v>
      </c>
      <c r="M1605" t="str">
        <f>_xll.BDP("943521NP Muni","YIELD_ON_ISSUE_DATE")</f>
        <v>#N/A Requesting Data...</v>
      </c>
      <c r="N1605" t="str">
        <f>_xll.BDP("943521NP Muni","YTW_SPREAD_TO_MATURITY_AT_ISSU")</f>
        <v>#N/A Requesting Data...</v>
      </c>
      <c r="O1605" t="str">
        <f>_xll.BDP("943521NP Muni","BVAL_MID_YTM")</f>
        <v>#N/A Requesting Data...</v>
      </c>
      <c r="P1605" t="str">
        <f>_xll.BDP("943521NP Muni","MUNI_TAX_PROV")</f>
        <v>#N/A Requesting Data...</v>
      </c>
      <c r="Q1605" t="str">
        <f>_xll.BDP("943521NP Muni","MUNI_FED_TAX")</f>
        <v>#N/A Requesting Data...</v>
      </c>
      <c r="R1605" t="str">
        <f>_xll.BDP("943521NP Muni","MUNI_MSRB_VOLUME")</f>
        <v>#N/A Requesting Data...</v>
      </c>
      <c r="S1605" t="str">
        <f>_xll.BDP("943521NP Muni","BB_COMPOSITE")</f>
        <v>#N/A Requesting Data...</v>
      </c>
      <c r="T1605" t="str">
        <f>_xll.BDP("943521NP Muni","LQA_LIQUIDITY_SCORE")</f>
        <v>#N/A Requesting Data...</v>
      </c>
    </row>
    <row r="1606" spans="1:20" x14ac:dyDescent="0.25">
      <c r="A1606" t="str">
        <f>_xll.BDP("943521NQ Muni","ID_CUSIP")</f>
        <v>#N/A Requesting Data...</v>
      </c>
      <c r="B1606" t="s">
        <v>491</v>
      </c>
      <c r="C1606" t="str">
        <f>_xll.BDP("943521NQ Muni","INSURANCE_STATUS")</f>
        <v>#N/A Requesting Data...</v>
      </c>
      <c r="D1606" t="str">
        <f>_xll.BDP("943521NQ Muni","STATE_CODE")</f>
        <v>#N/A Requesting Data...</v>
      </c>
      <c r="E1606" t="str">
        <f>_xll.BDP("943521NQ Muni","COUNTY_LOCATION_ISSUER")</f>
        <v>#N/A Requesting Data...</v>
      </c>
      <c r="F1606" t="str">
        <f>_xll.BDP("943521NQ Muni","DUR_ADJ_MID")</f>
        <v>#N/A Requesting Data...</v>
      </c>
      <c r="G1606" t="str">
        <f>_xll.BDP("943521NQ Muni","SPREAD_AT_ISSUANCE_TO_WORST")</f>
        <v>#N/A Requesting Data...</v>
      </c>
      <c r="H1606" t="str">
        <f>_xll.BDP("943521NQ Muni","ISSUE_DT")</f>
        <v>#N/A Requesting Data...</v>
      </c>
      <c r="I1606" t="str">
        <f>_xll.BDS("943521NQ Muni","MUNI_PURPOSE_SCHED", "aggregate=y")</f>
        <v>#N/A Review</v>
      </c>
      <c r="J1606" t="str">
        <f>_xll.BDP("943521NQ Muni","CPN")</f>
        <v>#N/A Requesting Data...</v>
      </c>
      <c r="K1606" t="str">
        <f>_xll.BDP("943521NQ Muni","MATURITY")</f>
        <v>#N/A Requesting Data...</v>
      </c>
      <c r="L1606">
        <v>200000</v>
      </c>
      <c r="M1606" t="str">
        <f>_xll.BDP("943521NQ Muni","YIELD_ON_ISSUE_DATE")</f>
        <v>#N/A Requesting Data...</v>
      </c>
      <c r="N1606" t="str">
        <f>_xll.BDP("943521NQ Muni","YTW_SPREAD_TO_MATURITY_AT_ISSU")</f>
        <v>#N/A Requesting Data...</v>
      </c>
      <c r="O1606" t="str">
        <f>_xll.BDP("943521NQ Muni","BVAL_MID_YTM")</f>
        <v>#N/A Requesting Data...</v>
      </c>
      <c r="P1606" t="str">
        <f>_xll.BDP("943521NQ Muni","MUNI_TAX_PROV")</f>
        <v>#N/A Requesting Data...</v>
      </c>
      <c r="Q1606" t="str">
        <f>_xll.BDP("943521NQ Muni","MUNI_FED_TAX")</f>
        <v>#N/A Requesting Data...</v>
      </c>
      <c r="R1606" t="str">
        <f>_xll.BDP("943521NQ Muni","MUNI_MSRB_VOLUME")</f>
        <v>#N/A Requesting Data...</v>
      </c>
      <c r="S1606" t="str">
        <f>_xll.BDP("943521NQ Muni","BB_COMPOSITE")</f>
        <v>#N/A Requesting Data...</v>
      </c>
      <c r="T1606" t="str">
        <f>_xll.BDP("943521NQ Muni","LQA_LIQUIDITY_SCORE")</f>
        <v>#N/A Requesting Data...</v>
      </c>
    </row>
    <row r="1607" spans="1:20" x14ac:dyDescent="0.25">
      <c r="A1607" t="str">
        <f>_xll.BDP("943521NR Muni","ID_CUSIP")</f>
        <v>#N/A Requesting Data...</v>
      </c>
      <c r="B1607" t="s">
        <v>491</v>
      </c>
      <c r="C1607" t="str">
        <f>_xll.BDP("943521NR Muni","INSURANCE_STATUS")</f>
        <v>#N/A Requesting Data...</v>
      </c>
      <c r="D1607" t="str">
        <f>_xll.BDP("943521NR Muni","STATE_CODE")</f>
        <v>#N/A Requesting Data...</v>
      </c>
      <c r="E1607" t="str">
        <f>_xll.BDP("943521NR Muni","COUNTY_LOCATION_ISSUER")</f>
        <v>#N/A Requesting Data...</v>
      </c>
      <c r="F1607" t="str">
        <f>_xll.BDP("943521NR Muni","DUR_ADJ_MID")</f>
        <v>#N/A Requesting Data...</v>
      </c>
      <c r="G1607" t="str">
        <f>_xll.BDP("943521NR Muni","SPREAD_AT_ISSUANCE_TO_WORST")</f>
        <v>#N/A Requesting Data...</v>
      </c>
      <c r="H1607" t="str">
        <f>_xll.BDP("943521NR Muni","ISSUE_DT")</f>
        <v>#N/A Requesting Data...</v>
      </c>
      <c r="I1607" t="str">
        <f>_xll.BDS("943521NR Muni","MUNI_PURPOSE_SCHED", "aggregate=y")</f>
        <v>#N/A Review</v>
      </c>
      <c r="J1607" t="str">
        <f>_xll.BDP("943521NR Muni","CPN")</f>
        <v>#N/A Requesting Data...</v>
      </c>
      <c r="K1607" t="str">
        <f>_xll.BDP("943521NR Muni","MATURITY")</f>
        <v>#N/A Requesting Data...</v>
      </c>
      <c r="L1607">
        <v>200000</v>
      </c>
      <c r="M1607" t="str">
        <f>_xll.BDP("943521NR Muni","YIELD_ON_ISSUE_DATE")</f>
        <v>#N/A Requesting Data...</v>
      </c>
      <c r="N1607" t="str">
        <f>_xll.BDP("943521NR Muni","YTW_SPREAD_TO_MATURITY_AT_ISSU")</f>
        <v>#N/A Requesting Data...</v>
      </c>
      <c r="O1607" t="str">
        <f>_xll.BDP("943521NR Muni","BVAL_MID_YTM")</f>
        <v>#N/A Requesting Data...</v>
      </c>
      <c r="P1607" t="str">
        <f>_xll.BDP("943521NR Muni","MUNI_TAX_PROV")</f>
        <v>#N/A Requesting Data...</v>
      </c>
      <c r="Q1607" t="str">
        <f>_xll.BDP("943521NR Muni","MUNI_FED_TAX")</f>
        <v>#N/A Requesting Data...</v>
      </c>
      <c r="R1607" t="str">
        <f>_xll.BDP("943521NR Muni","MUNI_MSRB_VOLUME")</f>
        <v>#N/A Requesting Data...</v>
      </c>
      <c r="S1607" t="str">
        <f>_xll.BDP("943521NR Muni","BB_COMPOSITE")</f>
        <v>#N/A Requesting Data...</v>
      </c>
      <c r="T1607" t="str">
        <f>_xll.BDP("943521NR Muni","LQA_LIQUIDITY_SCORE")</f>
        <v>#N/A Requesting Data...</v>
      </c>
    </row>
    <row r="1608" spans="1:20" x14ac:dyDescent="0.25">
      <c r="A1608" t="str">
        <f>_xll.BDP("943521NS Muni","ID_CUSIP")</f>
        <v>#N/A Requesting Data...</v>
      </c>
      <c r="B1608" t="s">
        <v>491</v>
      </c>
      <c r="C1608" t="str">
        <f>_xll.BDP("943521NS Muni","INSURANCE_STATUS")</f>
        <v>#N/A Requesting Data...</v>
      </c>
      <c r="D1608" t="str">
        <f>_xll.BDP("943521NS Muni","STATE_CODE")</f>
        <v>#N/A Requesting Data...</v>
      </c>
      <c r="E1608" t="str">
        <f>_xll.BDP("943521NS Muni","COUNTY_LOCATION_ISSUER")</f>
        <v>#N/A Requesting Data...</v>
      </c>
      <c r="F1608" t="str">
        <f>_xll.BDP("943521NS Muni","DUR_ADJ_MID")</f>
        <v>#N/A Requesting Data...</v>
      </c>
      <c r="G1608" t="str">
        <f>_xll.BDP("943521NS Muni","SPREAD_AT_ISSUANCE_TO_WORST")</f>
        <v>#N/A Requesting Data...</v>
      </c>
      <c r="H1608" t="str">
        <f>_xll.BDP("943521NS Muni","ISSUE_DT")</f>
        <v>#N/A Requesting Data...</v>
      </c>
      <c r="I1608" t="str">
        <f>_xll.BDS("943521NS Muni","MUNI_PURPOSE_SCHED", "aggregate=y")</f>
        <v>#N/A Review</v>
      </c>
      <c r="J1608" t="str">
        <f>_xll.BDP("943521NS Muni","CPN")</f>
        <v>#N/A Requesting Data...</v>
      </c>
      <c r="K1608" t="str">
        <f>_xll.BDP("943521NS Muni","MATURITY")</f>
        <v>#N/A Requesting Data...</v>
      </c>
      <c r="L1608">
        <v>200000</v>
      </c>
      <c r="M1608" t="str">
        <f>_xll.BDP("943521NS Muni","YIELD_ON_ISSUE_DATE")</f>
        <v>#N/A Requesting Data...</v>
      </c>
      <c r="N1608" t="str">
        <f>_xll.BDP("943521NS Muni","YTW_SPREAD_TO_MATURITY_AT_ISSU")</f>
        <v>#N/A Requesting Data...</v>
      </c>
      <c r="O1608" t="str">
        <f>_xll.BDP("943521NS Muni","BVAL_MID_YTM")</f>
        <v>#N/A Requesting Data...</v>
      </c>
      <c r="P1608" t="str">
        <f>_xll.BDP("943521NS Muni","MUNI_TAX_PROV")</f>
        <v>#N/A Requesting Data...</v>
      </c>
      <c r="Q1608" t="str">
        <f>_xll.BDP("943521NS Muni","MUNI_FED_TAX")</f>
        <v>#N/A Requesting Data...</v>
      </c>
      <c r="R1608" t="str">
        <f>_xll.BDP("943521NS Muni","MUNI_MSRB_VOLUME")</f>
        <v>#N/A Requesting Data...</v>
      </c>
      <c r="S1608" t="str">
        <f>_xll.BDP("943521NS Muni","BB_COMPOSITE")</f>
        <v>#N/A Requesting Data...</v>
      </c>
      <c r="T1608" t="str">
        <f>_xll.BDP("943521NS Muni","LQA_LIQUIDITY_SCORE")</f>
        <v>#N/A Requesting Data...</v>
      </c>
    </row>
    <row r="1609" spans="1:20" x14ac:dyDescent="0.25">
      <c r="A1609" t="str">
        <f>_xll.BDP("960686BU Muni","ID_CUSIP")</f>
        <v>#N/A Requesting Data...</v>
      </c>
      <c r="B1609" t="s">
        <v>144</v>
      </c>
      <c r="C1609" t="str">
        <f>_xll.BDP("960686BU Muni","INSURANCE_STATUS")</f>
        <v>#N/A Requesting Data...</v>
      </c>
      <c r="D1609" t="str">
        <f>_xll.BDP("960686BU Muni","STATE_CODE")</f>
        <v>#N/A Requesting Data...</v>
      </c>
      <c r="E1609" t="str">
        <f>_xll.BDP("960686BU Muni","COUNTY_LOCATION_ISSUER")</f>
        <v>#N/A Requesting Data...</v>
      </c>
      <c r="F1609" t="str">
        <f>_xll.BDP("960686BU Muni","DUR_ADJ_MID")</f>
        <v>#N/A Requesting Data...</v>
      </c>
      <c r="G1609" t="str">
        <f>_xll.BDP("960686BU Muni","SPREAD_AT_ISSUANCE_TO_WORST")</f>
        <v>#N/A Requesting Data...</v>
      </c>
      <c r="H1609" t="str">
        <f>_xll.BDP("960686BU Muni","ISSUE_DT")</f>
        <v>#N/A Requesting Data...</v>
      </c>
      <c r="I1609" t="str">
        <f>_xll.BDS("960686BU Muni","MUNI_PURPOSE_SCHED", "aggregate=y")</f>
        <v>#N/A Review</v>
      </c>
      <c r="J1609" t="str">
        <f>_xll.BDP("960686BU Muni","CPN")</f>
        <v>#N/A Requesting Data...</v>
      </c>
      <c r="K1609" t="str">
        <f>_xll.BDP("960686BU Muni","MATURITY")</f>
        <v>#N/A Requesting Data...</v>
      </c>
      <c r="L1609">
        <v>1760000</v>
      </c>
      <c r="M1609" t="str">
        <f>_xll.BDP("960686BU Muni","YIELD_ON_ISSUE_DATE")</f>
        <v>#N/A Requesting Data...</v>
      </c>
      <c r="N1609" t="str">
        <f>_xll.BDP("960686BU Muni","YTW_SPREAD_TO_MATURITY_AT_ISSU")</f>
        <v>#N/A Requesting Data...</v>
      </c>
      <c r="O1609" t="str">
        <f>_xll.BDP("960686BU Muni","BVAL_MID_YTM")</f>
        <v>#N/A Requesting Data...</v>
      </c>
      <c r="P1609" t="str">
        <f>_xll.BDP("960686BU Muni","MUNI_TAX_PROV")</f>
        <v>#N/A Requesting Data...</v>
      </c>
      <c r="Q1609" t="str">
        <f>_xll.BDP("960686BU Muni","MUNI_FED_TAX")</f>
        <v>#N/A Requesting Data...</v>
      </c>
      <c r="R1609" t="str">
        <f>_xll.BDP("960686BU Muni","MUNI_MSRB_VOLUME")</f>
        <v>#N/A Requesting Data...</v>
      </c>
      <c r="S1609" t="str">
        <f>_xll.BDP("960686BU Muni","BB_COMPOSITE")</f>
        <v>#N/A Requesting Data...</v>
      </c>
      <c r="T1609" t="str">
        <f>_xll.BDP("960686BU Muni","LQA_LIQUIDITY_SCORE")</f>
        <v>#N/A Requesting Data...</v>
      </c>
    </row>
    <row r="1610" spans="1:20" x14ac:dyDescent="0.25">
      <c r="A1610" t="str">
        <f>_xll.BDP("960686BV Muni","ID_CUSIP")</f>
        <v>#N/A Requesting Data...</v>
      </c>
      <c r="B1610" t="s">
        <v>144</v>
      </c>
      <c r="C1610" t="str">
        <f>_xll.BDP("960686BV Muni","INSURANCE_STATUS")</f>
        <v>#N/A Requesting Data...</v>
      </c>
      <c r="D1610" t="str">
        <f>_xll.BDP("960686BV Muni","STATE_CODE")</f>
        <v>#N/A Requesting Data...</v>
      </c>
      <c r="E1610" t="str">
        <f>_xll.BDP("960686BV Muni","COUNTY_LOCATION_ISSUER")</f>
        <v>#N/A Requesting Data...</v>
      </c>
      <c r="F1610" t="str">
        <f>_xll.BDP("960686BV Muni","DUR_ADJ_MID")</f>
        <v>#N/A Requesting Data...</v>
      </c>
      <c r="G1610" t="str">
        <f>_xll.BDP("960686BV Muni","SPREAD_AT_ISSUANCE_TO_WORST")</f>
        <v>#N/A Requesting Data...</v>
      </c>
      <c r="H1610" t="str">
        <f>_xll.BDP("960686BV Muni","ISSUE_DT")</f>
        <v>#N/A Requesting Data...</v>
      </c>
      <c r="I1610" t="str">
        <f>_xll.BDS("960686BV Muni","MUNI_PURPOSE_SCHED", "aggregate=y")</f>
        <v>#N/A Review</v>
      </c>
      <c r="J1610" t="str">
        <f>_xll.BDP("960686BV Muni","CPN")</f>
        <v>#N/A Requesting Data...</v>
      </c>
      <c r="K1610" t="str">
        <f>_xll.BDP("960686BV Muni","MATURITY")</f>
        <v>#N/A Requesting Data...</v>
      </c>
      <c r="L1610">
        <v>1850000</v>
      </c>
      <c r="M1610" t="str">
        <f>_xll.BDP("960686BV Muni","YIELD_ON_ISSUE_DATE")</f>
        <v>#N/A Requesting Data...</v>
      </c>
      <c r="N1610" t="str">
        <f>_xll.BDP("960686BV Muni","YTW_SPREAD_TO_MATURITY_AT_ISSU")</f>
        <v>#N/A Requesting Data...</v>
      </c>
      <c r="O1610" t="str">
        <f>_xll.BDP("960686BV Muni","BVAL_MID_YTM")</f>
        <v>#N/A Requesting Data...</v>
      </c>
      <c r="P1610" t="str">
        <f>_xll.BDP("960686BV Muni","MUNI_TAX_PROV")</f>
        <v>#N/A Requesting Data...</v>
      </c>
      <c r="Q1610" t="str">
        <f>_xll.BDP("960686BV Muni","MUNI_FED_TAX")</f>
        <v>#N/A Requesting Data...</v>
      </c>
      <c r="R1610" t="str">
        <f>_xll.BDP("960686BV Muni","MUNI_MSRB_VOLUME")</f>
        <v>#N/A Requesting Data...</v>
      </c>
      <c r="S1610" t="str">
        <f>_xll.BDP("960686BV Muni","BB_COMPOSITE")</f>
        <v>#N/A Requesting Data...</v>
      </c>
      <c r="T1610" t="str">
        <f>_xll.BDP("960686BV Muni","LQA_LIQUIDITY_SCORE")</f>
        <v>#N/A Requesting Data...</v>
      </c>
    </row>
    <row r="1611" spans="1:20" x14ac:dyDescent="0.25">
      <c r="A1611" t="str">
        <f>_xll.BDP("961017QH Muni","ID_CUSIP")</f>
        <v>#N/A Requesting Data...</v>
      </c>
      <c r="B1611" t="s">
        <v>28</v>
      </c>
      <c r="C1611" t="str">
        <f>_xll.BDP("961017QH Muni","INSURANCE_STATUS")</f>
        <v>#N/A Requesting Data...</v>
      </c>
      <c r="D1611" t="str">
        <f>_xll.BDP("961017QH Muni","STATE_CODE")</f>
        <v>#N/A Requesting Data...</v>
      </c>
      <c r="E1611" t="str">
        <f>_xll.BDP("961017QH Muni","COUNTY_LOCATION_ISSUER")</f>
        <v>#N/A Requesting Data...</v>
      </c>
      <c r="F1611" t="str">
        <f>_xll.BDP("961017QH Muni","DUR_ADJ_MID")</f>
        <v>#N/A Requesting Data...</v>
      </c>
      <c r="G1611" t="str">
        <f>_xll.BDP("961017QH Muni","SPREAD_AT_ISSUANCE_TO_WORST")</f>
        <v>#N/A Requesting Data...</v>
      </c>
      <c r="H1611" t="str">
        <f>_xll.BDP("961017QH Muni","ISSUE_DT")</f>
        <v>#N/A Requesting Data...</v>
      </c>
      <c r="I1611" t="str">
        <f>_xll.BDS("961017QH Muni","MUNI_PURPOSE_SCHED", "aggregate=y")</f>
        <v>#N/A Review</v>
      </c>
      <c r="J1611" t="str">
        <f>_xll.BDP("961017QH Muni","CPN")</f>
        <v>#N/A Requesting Data...</v>
      </c>
      <c r="K1611" t="str">
        <f>_xll.BDP("961017QH Muni","MATURITY")</f>
        <v>#N/A Requesting Data...</v>
      </c>
      <c r="L1611">
        <v>125000</v>
      </c>
      <c r="M1611" t="str">
        <f>_xll.BDP("961017QH Muni","YIELD_ON_ISSUE_DATE")</f>
        <v>#N/A Requesting Data...</v>
      </c>
      <c r="N1611" t="str">
        <f>_xll.BDP("961017QH Muni","YTW_SPREAD_TO_MATURITY_AT_ISSU")</f>
        <v>#N/A Requesting Data...</v>
      </c>
      <c r="O1611" t="str">
        <f>_xll.BDP("961017QH Muni","BVAL_MID_YTM")</f>
        <v>#N/A Requesting Data...</v>
      </c>
      <c r="P1611" t="str">
        <f>_xll.BDP("961017QH Muni","MUNI_TAX_PROV")</f>
        <v>#N/A Requesting Data...</v>
      </c>
      <c r="Q1611" t="str">
        <f>_xll.BDP("961017QH Muni","MUNI_FED_TAX")</f>
        <v>#N/A Requesting Data...</v>
      </c>
      <c r="R1611" t="str">
        <f>_xll.BDP("961017QH Muni","MUNI_MSRB_VOLUME")</f>
        <v>#N/A Requesting Data...</v>
      </c>
      <c r="S1611" t="str">
        <f>_xll.BDP("961017QH Muni","BB_COMPOSITE")</f>
        <v>#N/A Requesting Data...</v>
      </c>
      <c r="T1611" t="str">
        <f>_xll.BDP("961017QH Muni","LQA_LIQUIDITY_SCORE")</f>
        <v>#N/A Requesting Data...</v>
      </c>
    </row>
    <row r="1612" spans="1:20" x14ac:dyDescent="0.25">
      <c r="A1612" t="str">
        <f>_xll.BDP("963851AV Muni","ID_CUSIP")</f>
        <v>#N/A Requesting Data...</v>
      </c>
      <c r="B1612" t="s">
        <v>492</v>
      </c>
      <c r="C1612" t="str">
        <f>_xll.BDP("963851AV Muni","INSURANCE_STATUS")</f>
        <v>#N/A Requesting Data...</v>
      </c>
      <c r="D1612" t="str">
        <f>_xll.BDP("963851AV Muni","STATE_CODE")</f>
        <v>#N/A Requesting Data...</v>
      </c>
      <c r="E1612" t="str">
        <f>_xll.BDP("963851AV Muni","COUNTY_LOCATION_ISSUER")</f>
        <v>#N/A Requesting Data...</v>
      </c>
      <c r="F1612" t="str">
        <f>_xll.BDP("963851AV Muni","DUR_ADJ_MID")</f>
        <v>#N/A Requesting Data...</v>
      </c>
      <c r="G1612" t="str">
        <f>_xll.BDP("963851AV Muni","SPREAD_AT_ISSUANCE_TO_WORST")</f>
        <v>#N/A Requesting Data...</v>
      </c>
      <c r="H1612" t="str">
        <f>_xll.BDP("963851AV Muni","ISSUE_DT")</f>
        <v>#N/A Requesting Data...</v>
      </c>
      <c r="I1612" t="str">
        <f>_xll.BDS("963851AV Muni","MUNI_PURPOSE_SCHED", "aggregate=y")</f>
        <v>#N/A Review</v>
      </c>
      <c r="J1612" t="str">
        <f>_xll.BDP("963851AV Muni","CPN")</f>
        <v>#N/A Requesting Data...</v>
      </c>
      <c r="K1612" t="str">
        <f>_xll.BDP("963851AV Muni","MATURITY")</f>
        <v>#N/A Requesting Data...</v>
      </c>
      <c r="L1612">
        <v>60000</v>
      </c>
      <c r="M1612" t="str">
        <f>_xll.BDP("963851AV Muni","YIELD_ON_ISSUE_DATE")</f>
        <v>#N/A Requesting Data...</v>
      </c>
      <c r="N1612" t="str">
        <f>_xll.BDP("963851AV Muni","YTW_SPREAD_TO_MATURITY_AT_ISSU")</f>
        <v>#N/A Requesting Data...</v>
      </c>
      <c r="O1612" t="str">
        <f>_xll.BDP("963851AV Muni","BVAL_MID_YTM")</f>
        <v>#N/A Requesting Data...</v>
      </c>
      <c r="P1612" t="str">
        <f>_xll.BDP("963851AV Muni","MUNI_TAX_PROV")</f>
        <v>#N/A Requesting Data...</v>
      </c>
      <c r="Q1612" t="str">
        <f>_xll.BDP("963851AV Muni","MUNI_FED_TAX")</f>
        <v>#N/A Requesting Data...</v>
      </c>
      <c r="R1612" t="str">
        <f>_xll.BDP("963851AV Muni","MUNI_MSRB_VOLUME")</f>
        <v>#N/A Requesting Data...</v>
      </c>
      <c r="S1612" t="str">
        <f>_xll.BDP("963851AV Muni","BB_COMPOSITE")</f>
        <v>#N/A Requesting Data...</v>
      </c>
      <c r="T1612" t="str">
        <f>_xll.BDP("963851AV Muni","LQA_LIQUIDITY_SCORE")</f>
        <v>#N/A Requesting Data...</v>
      </c>
    </row>
    <row r="1613" spans="1:20" x14ac:dyDescent="0.25">
      <c r="A1613" t="str">
        <f>_xll.BDP("963851AW Muni","ID_CUSIP")</f>
        <v>#N/A Requesting Data...</v>
      </c>
      <c r="B1613" t="s">
        <v>492</v>
      </c>
      <c r="C1613" t="str">
        <f>_xll.BDP("963851AW Muni","INSURANCE_STATUS")</f>
        <v>#N/A Requesting Data...</v>
      </c>
      <c r="D1613" t="str">
        <f>_xll.BDP("963851AW Muni","STATE_CODE")</f>
        <v>#N/A Requesting Data...</v>
      </c>
      <c r="E1613" t="str">
        <f>_xll.BDP("963851AW Muni","COUNTY_LOCATION_ISSUER")</f>
        <v>#N/A Requesting Data...</v>
      </c>
      <c r="F1613" t="str">
        <f>_xll.BDP("963851AW Muni","DUR_ADJ_MID")</f>
        <v>#N/A Requesting Data...</v>
      </c>
      <c r="G1613" t="str">
        <f>_xll.BDP("963851AW Muni","SPREAD_AT_ISSUANCE_TO_WORST")</f>
        <v>#N/A Requesting Data...</v>
      </c>
      <c r="H1613" t="str">
        <f>_xll.BDP("963851AW Muni","ISSUE_DT")</f>
        <v>#N/A Requesting Data...</v>
      </c>
      <c r="I1613" t="str">
        <f>_xll.BDS("963851AW Muni","MUNI_PURPOSE_SCHED", "aggregate=y")</f>
        <v>#N/A Review</v>
      </c>
      <c r="J1613" t="str">
        <f>_xll.BDP("963851AW Muni","CPN")</f>
        <v>#N/A Requesting Data...</v>
      </c>
      <c r="K1613" t="str">
        <f>_xll.BDP("963851AW Muni","MATURITY")</f>
        <v>#N/A Requesting Data...</v>
      </c>
      <c r="L1613">
        <v>65000</v>
      </c>
      <c r="M1613" t="str">
        <f>_xll.BDP("963851AW Muni","YIELD_ON_ISSUE_DATE")</f>
        <v>#N/A Requesting Data...</v>
      </c>
      <c r="N1613" t="str">
        <f>_xll.BDP("963851AW Muni","YTW_SPREAD_TO_MATURITY_AT_ISSU")</f>
        <v>#N/A Requesting Data...</v>
      </c>
      <c r="O1613" t="str">
        <f>_xll.BDP("963851AW Muni","BVAL_MID_YTM")</f>
        <v>#N/A Requesting Data...</v>
      </c>
      <c r="P1613" t="str">
        <f>_xll.BDP("963851AW Muni","MUNI_TAX_PROV")</f>
        <v>#N/A Requesting Data...</v>
      </c>
      <c r="Q1613" t="str">
        <f>_xll.BDP("963851AW Muni","MUNI_FED_TAX")</f>
        <v>#N/A Requesting Data...</v>
      </c>
      <c r="R1613" t="str">
        <f>_xll.BDP("963851AW Muni","MUNI_MSRB_VOLUME")</f>
        <v>#N/A Requesting Data...</v>
      </c>
      <c r="S1613" t="str">
        <f>_xll.BDP("963851AW Muni","BB_COMPOSITE")</f>
        <v>#N/A Requesting Data...</v>
      </c>
      <c r="T1613" t="str">
        <f>_xll.BDP("963851AW Muni","LQA_LIQUIDITY_SCORE")</f>
        <v>#N/A Requesting Data...</v>
      </c>
    </row>
    <row r="1614" spans="1:20" x14ac:dyDescent="0.25">
      <c r="A1614" t="str">
        <f>_xll.BDP("89453PWK Muni","ID_CUSIP")</f>
        <v>#N/A Requesting Data...</v>
      </c>
      <c r="B1614" t="s">
        <v>493</v>
      </c>
      <c r="C1614" t="str">
        <f>_xll.BDP("89453PWK Muni","INSURANCE_STATUS")</f>
        <v>#N/A Requesting Data...</v>
      </c>
      <c r="D1614" t="str">
        <f>_xll.BDP("89453PWK Muni","STATE_CODE")</f>
        <v>#N/A Requesting Data...</v>
      </c>
      <c r="E1614" t="str">
        <f>_xll.BDP("89453PWK Muni","COUNTY_LOCATION_ISSUER")</f>
        <v>#N/A Requesting Data...</v>
      </c>
      <c r="F1614" t="str">
        <f>_xll.BDP("89453PWK Muni","DUR_ADJ_MID")</f>
        <v>#N/A Requesting Data...</v>
      </c>
      <c r="G1614" t="str">
        <f>_xll.BDP("89453PWK Muni","SPREAD_AT_ISSUANCE_TO_WORST")</f>
        <v>#N/A Requesting Data...</v>
      </c>
      <c r="H1614" t="str">
        <f>_xll.BDP("89453PWK Muni","ISSUE_DT")</f>
        <v>#N/A Requesting Data...</v>
      </c>
      <c r="I1614" t="str">
        <f>_xll.BDS("89453PWK Muni","MUNI_PURPOSE_SCHED", "aggregate=y")</f>
        <v>#N/A Review</v>
      </c>
      <c r="J1614" t="str">
        <f>_xll.BDP("89453PWK Muni","CPN")</f>
        <v>#N/A Requesting Data...</v>
      </c>
      <c r="K1614" t="str">
        <f>_xll.BDP("89453PWK Muni","MATURITY")</f>
        <v>#N/A Requesting Data...</v>
      </c>
      <c r="L1614">
        <v>405000</v>
      </c>
      <c r="M1614" t="str">
        <f>_xll.BDP("89453PWK Muni","YIELD_ON_ISSUE_DATE")</f>
        <v>#N/A Requesting Data...</v>
      </c>
      <c r="N1614" t="str">
        <f>_xll.BDP("89453PWK Muni","YTW_SPREAD_TO_MATURITY_AT_ISSU")</f>
        <v>#N/A Requesting Data...</v>
      </c>
      <c r="O1614" t="str">
        <f>_xll.BDP("89453PWK Muni","BVAL_MID_YTM")</f>
        <v>#N/A Requesting Data...</v>
      </c>
      <c r="P1614" t="str">
        <f>_xll.BDP("89453PWK Muni","MUNI_TAX_PROV")</f>
        <v>#N/A Requesting Data...</v>
      </c>
      <c r="Q1614" t="str">
        <f>_xll.BDP("89453PWK Muni","MUNI_FED_TAX")</f>
        <v>#N/A Requesting Data...</v>
      </c>
      <c r="R1614" t="str">
        <f>_xll.BDP("89453PWK Muni","MUNI_MSRB_VOLUME")</f>
        <v>#N/A Requesting Data...</v>
      </c>
      <c r="S1614" t="str">
        <f>_xll.BDP("89453PWK Muni","BB_COMPOSITE")</f>
        <v>#N/A Requesting Data...</v>
      </c>
      <c r="T1614" t="str">
        <f>_xll.BDP("89453PWK Muni","LQA_LIQUIDITY_SCORE")</f>
        <v>#N/A Requesting Data...</v>
      </c>
    </row>
    <row r="1615" spans="1:20" x14ac:dyDescent="0.25">
      <c r="A1615" t="str">
        <f>_xll.BDP("89453PWL Muni","ID_CUSIP")</f>
        <v>#N/A Requesting Data...</v>
      </c>
      <c r="B1615" t="s">
        <v>493</v>
      </c>
      <c r="C1615" t="str">
        <f>_xll.BDP("89453PWL Muni","INSURANCE_STATUS")</f>
        <v>#N/A Requesting Data...</v>
      </c>
      <c r="D1615" t="str">
        <f>_xll.BDP("89453PWL Muni","STATE_CODE")</f>
        <v>#N/A Requesting Data...</v>
      </c>
      <c r="E1615" t="str">
        <f>_xll.BDP("89453PWL Muni","COUNTY_LOCATION_ISSUER")</f>
        <v>#N/A Requesting Data...</v>
      </c>
      <c r="F1615" t="str">
        <f>_xll.BDP("89453PWL Muni","DUR_ADJ_MID")</f>
        <v>#N/A Requesting Data...</v>
      </c>
      <c r="G1615" t="str">
        <f>_xll.BDP("89453PWL Muni","SPREAD_AT_ISSUANCE_TO_WORST")</f>
        <v>#N/A Requesting Data...</v>
      </c>
      <c r="H1615" t="str">
        <f>_xll.BDP("89453PWL Muni","ISSUE_DT")</f>
        <v>#N/A Requesting Data...</v>
      </c>
      <c r="I1615" t="str">
        <f>_xll.BDS("89453PWL Muni","MUNI_PURPOSE_SCHED", "aggregate=y")</f>
        <v>#N/A Review</v>
      </c>
      <c r="J1615" t="str">
        <f>_xll.BDP("89453PWL Muni","CPN")</f>
        <v>#N/A Requesting Data...</v>
      </c>
      <c r="K1615" t="str">
        <f>_xll.BDP("89453PWL Muni","MATURITY")</f>
        <v>#N/A Requesting Data...</v>
      </c>
      <c r="L1615">
        <v>415000</v>
      </c>
      <c r="M1615" t="str">
        <f>_xll.BDP("89453PWL Muni","YIELD_ON_ISSUE_DATE")</f>
        <v>#N/A Requesting Data...</v>
      </c>
      <c r="N1615" t="str">
        <f>_xll.BDP("89453PWL Muni","YTW_SPREAD_TO_MATURITY_AT_ISSU")</f>
        <v>#N/A Requesting Data...</v>
      </c>
      <c r="O1615" t="str">
        <f>_xll.BDP("89453PWL Muni","BVAL_MID_YTM")</f>
        <v>#N/A Requesting Data...</v>
      </c>
      <c r="P1615" t="str">
        <f>_xll.BDP("89453PWL Muni","MUNI_TAX_PROV")</f>
        <v>#N/A Requesting Data...</v>
      </c>
      <c r="Q1615" t="str">
        <f>_xll.BDP("89453PWL Muni","MUNI_FED_TAX")</f>
        <v>#N/A Requesting Data...</v>
      </c>
      <c r="R1615" t="str">
        <f>_xll.BDP("89453PWL Muni","MUNI_MSRB_VOLUME")</f>
        <v>#N/A Requesting Data...</v>
      </c>
      <c r="S1615" t="str">
        <f>_xll.BDP("89453PWL Muni","BB_COMPOSITE")</f>
        <v>#N/A Requesting Data...</v>
      </c>
      <c r="T1615" t="str">
        <f>_xll.BDP("89453PWL Muni","LQA_LIQUIDITY_SCORE")</f>
        <v>#N/A Requesting Data...</v>
      </c>
    </row>
    <row r="1616" spans="1:20" x14ac:dyDescent="0.25">
      <c r="A1616" t="str">
        <f>_xll.BDP("89453PXH Muni","ID_CUSIP")</f>
        <v>#N/A Requesting Data...</v>
      </c>
      <c r="B1616" t="s">
        <v>493</v>
      </c>
      <c r="C1616" t="str">
        <f>_xll.BDP("89453PXH Muni","INSURANCE_STATUS")</f>
        <v>#N/A Requesting Data...</v>
      </c>
      <c r="D1616" t="str">
        <f>_xll.BDP("89453PXH Muni","STATE_CODE")</f>
        <v>#N/A Requesting Data...</v>
      </c>
      <c r="E1616" t="str">
        <f>_xll.BDP("89453PXH Muni","COUNTY_LOCATION_ISSUER")</f>
        <v>#N/A Requesting Data...</v>
      </c>
      <c r="F1616" t="str">
        <f>_xll.BDP("89453PXH Muni","DUR_ADJ_MID")</f>
        <v>#N/A Requesting Data...</v>
      </c>
      <c r="G1616" t="str">
        <f>_xll.BDP("89453PXH Muni","SPREAD_AT_ISSUANCE_TO_WORST")</f>
        <v>#N/A Requesting Data...</v>
      </c>
      <c r="H1616" t="str">
        <f>_xll.BDP("89453PXH Muni","ISSUE_DT")</f>
        <v>#N/A Requesting Data...</v>
      </c>
      <c r="I1616" t="str">
        <f>_xll.BDS("89453PXH Muni","MUNI_PURPOSE_SCHED", "aggregate=y")</f>
        <v>#N/A Review</v>
      </c>
      <c r="J1616" t="str">
        <f>_xll.BDP("89453PXH Muni","CPN")</f>
        <v>#N/A Requesting Data...</v>
      </c>
      <c r="K1616" t="str">
        <f>_xll.BDP("89453PXH Muni","MATURITY")</f>
        <v>#N/A Requesting Data...</v>
      </c>
      <c r="L1616">
        <v>670000</v>
      </c>
      <c r="M1616" t="str">
        <f>_xll.BDP("89453PXH Muni","YIELD_ON_ISSUE_DATE")</f>
        <v>#N/A Requesting Data...</v>
      </c>
      <c r="N1616" t="str">
        <f>_xll.BDP("89453PXH Muni","YTW_SPREAD_TO_MATURITY_AT_ISSU")</f>
        <v>#N/A Requesting Data...</v>
      </c>
      <c r="O1616" t="str">
        <f>_xll.BDP("89453PXH Muni","BVAL_MID_YTM")</f>
        <v>#N/A Requesting Data...</v>
      </c>
      <c r="P1616" t="str">
        <f>_xll.BDP("89453PXH Muni","MUNI_TAX_PROV")</f>
        <v>#N/A Requesting Data...</v>
      </c>
      <c r="Q1616" t="str">
        <f>_xll.BDP("89453PXH Muni","MUNI_FED_TAX")</f>
        <v>#N/A Requesting Data...</v>
      </c>
      <c r="R1616" t="str">
        <f>_xll.BDP("89453PXH Muni","MUNI_MSRB_VOLUME")</f>
        <v>#N/A Requesting Data...</v>
      </c>
      <c r="S1616" t="str">
        <f>_xll.BDP("89453PXH Muni","BB_COMPOSITE")</f>
        <v>#N/A Requesting Data...</v>
      </c>
      <c r="T1616" t="str">
        <f>_xll.BDP("89453PXH Muni","LQA_LIQUIDITY_SCORE")</f>
        <v>#N/A Requesting Data...</v>
      </c>
    </row>
    <row r="1617" spans="1:20" x14ac:dyDescent="0.25">
      <c r="A1617" t="str">
        <f>_xll.BDP("89453PXJ Muni","ID_CUSIP")</f>
        <v>#N/A Requesting Data...</v>
      </c>
      <c r="B1617" t="s">
        <v>493</v>
      </c>
      <c r="C1617" t="str">
        <f>_xll.BDP("89453PXJ Muni","INSURANCE_STATUS")</f>
        <v>#N/A Requesting Data...</v>
      </c>
      <c r="D1617" t="str">
        <f>_xll.BDP("89453PXJ Muni","STATE_CODE")</f>
        <v>#N/A Requesting Data...</v>
      </c>
      <c r="E1617" t="str">
        <f>_xll.BDP("89453PXJ Muni","COUNTY_LOCATION_ISSUER")</f>
        <v>#N/A Requesting Data...</v>
      </c>
      <c r="F1617" t="str">
        <f>_xll.BDP("89453PXJ Muni","DUR_ADJ_MID")</f>
        <v>#N/A Requesting Data...</v>
      </c>
      <c r="G1617" t="str">
        <f>_xll.BDP("89453PXJ Muni","SPREAD_AT_ISSUANCE_TO_WORST")</f>
        <v>#N/A Requesting Data...</v>
      </c>
      <c r="H1617" t="str">
        <f>_xll.BDP("89453PXJ Muni","ISSUE_DT")</f>
        <v>#N/A Requesting Data...</v>
      </c>
      <c r="I1617" t="str">
        <f>_xll.BDS("89453PXJ Muni","MUNI_PURPOSE_SCHED", "aggregate=y")</f>
        <v>#N/A Review</v>
      </c>
      <c r="J1617" t="str">
        <f>_xll.BDP("89453PXJ Muni","CPN")</f>
        <v>#N/A Requesting Data...</v>
      </c>
      <c r="K1617" t="str">
        <f>_xll.BDP("89453PXJ Muni","MATURITY")</f>
        <v>#N/A Requesting Data...</v>
      </c>
      <c r="L1617">
        <v>685000</v>
      </c>
      <c r="M1617" t="str">
        <f>_xll.BDP("89453PXJ Muni","YIELD_ON_ISSUE_DATE")</f>
        <v>#N/A Requesting Data...</v>
      </c>
      <c r="N1617" t="str">
        <f>_xll.BDP("89453PXJ Muni","YTW_SPREAD_TO_MATURITY_AT_ISSU")</f>
        <v>#N/A Requesting Data...</v>
      </c>
      <c r="O1617" t="str">
        <f>_xll.BDP("89453PXJ Muni","BVAL_MID_YTM")</f>
        <v>#N/A Requesting Data...</v>
      </c>
      <c r="P1617" t="str">
        <f>_xll.BDP("89453PXJ Muni","MUNI_TAX_PROV")</f>
        <v>#N/A Requesting Data...</v>
      </c>
      <c r="Q1617" t="str">
        <f>_xll.BDP("89453PXJ Muni","MUNI_FED_TAX")</f>
        <v>#N/A Requesting Data...</v>
      </c>
      <c r="R1617" t="str">
        <f>_xll.BDP("89453PXJ Muni","MUNI_MSRB_VOLUME")</f>
        <v>#N/A Requesting Data...</v>
      </c>
      <c r="S1617" t="str">
        <f>_xll.BDP("89453PXJ Muni","BB_COMPOSITE")</f>
        <v>#N/A Requesting Data...</v>
      </c>
      <c r="T1617" t="str">
        <f>_xll.BDP("89453PXJ Muni","LQA_LIQUIDITY_SCORE")</f>
        <v>#N/A Requesting Data...</v>
      </c>
    </row>
    <row r="1618" spans="1:20" x14ac:dyDescent="0.25">
      <c r="A1618" t="str">
        <f>_xll.BDP("880064W6 Muni","ID_CUSIP")</f>
        <v>#N/A Requesting Data...</v>
      </c>
      <c r="B1618" t="s">
        <v>146</v>
      </c>
      <c r="C1618" t="str">
        <f>_xll.BDP("880064W6 Muni","INSURANCE_STATUS")</f>
        <v>#N/A Requesting Data...</v>
      </c>
      <c r="D1618" t="str">
        <f>_xll.BDP("880064W6 Muni","STATE_CODE")</f>
        <v>#N/A Requesting Data...</v>
      </c>
      <c r="E1618" t="str">
        <f>_xll.BDP("880064W6 Muni","COUNTY_LOCATION_ISSUER")</f>
        <v>#N/A Requesting Data...</v>
      </c>
      <c r="F1618" t="str">
        <f>_xll.BDP("880064W6 Muni","DUR_ADJ_MID")</f>
        <v>#N/A Requesting Data...</v>
      </c>
      <c r="G1618" t="str">
        <f>_xll.BDP("880064W6 Muni","SPREAD_AT_ISSUANCE_TO_WORST")</f>
        <v>#N/A Requesting Data...</v>
      </c>
      <c r="H1618" t="str">
        <f>_xll.BDP("880064W6 Muni","ISSUE_DT")</f>
        <v>#N/A Requesting Data...</v>
      </c>
      <c r="I1618" t="str">
        <f>_xll.BDS("880064W6 Muni","MUNI_PURPOSE_SCHED", "aggregate=y")</f>
        <v>#N/A Review</v>
      </c>
      <c r="J1618" t="str">
        <f>_xll.BDP("880064W6 Muni","CPN")</f>
        <v>#N/A Requesting Data...</v>
      </c>
      <c r="K1618" t="str">
        <f>_xll.BDP("880064W6 Muni","MATURITY")</f>
        <v>#N/A Requesting Data...</v>
      </c>
      <c r="L1618">
        <v>400000</v>
      </c>
      <c r="M1618" t="str">
        <f>_xll.BDP("880064W6 Muni","YIELD_ON_ISSUE_DATE")</f>
        <v>#N/A Requesting Data...</v>
      </c>
      <c r="N1618" t="str">
        <f>_xll.BDP("880064W6 Muni","YTW_SPREAD_TO_MATURITY_AT_ISSU")</f>
        <v>#N/A Requesting Data...</v>
      </c>
      <c r="O1618" t="str">
        <f>_xll.BDP("880064W6 Muni","BVAL_MID_YTM")</f>
        <v>#N/A Requesting Data...</v>
      </c>
      <c r="P1618" t="str">
        <f>_xll.BDP("880064W6 Muni","MUNI_TAX_PROV")</f>
        <v>#N/A Requesting Data...</v>
      </c>
      <c r="Q1618" t="str">
        <f>_xll.BDP("880064W6 Muni","MUNI_FED_TAX")</f>
        <v>#N/A Requesting Data...</v>
      </c>
      <c r="R1618" t="str">
        <f>_xll.BDP("880064W6 Muni","MUNI_MSRB_VOLUME")</f>
        <v>#N/A Requesting Data...</v>
      </c>
      <c r="S1618" t="str">
        <f>_xll.BDP("880064W6 Muni","BB_COMPOSITE")</f>
        <v>#N/A Requesting Data...</v>
      </c>
      <c r="T1618" t="str">
        <f>_xll.BDP("880064W6 Muni","LQA_LIQUIDITY_SCORE")</f>
        <v>#N/A Requesting Data...</v>
      </c>
    </row>
    <row r="1619" spans="1:20" x14ac:dyDescent="0.25">
      <c r="A1619" t="str">
        <f>_xll.BDP("960686BW Muni","ID_CUSIP")</f>
        <v>#N/A Requesting Data...</v>
      </c>
      <c r="B1619" t="s">
        <v>144</v>
      </c>
      <c r="C1619" t="str">
        <f>_xll.BDP("960686BW Muni","INSURANCE_STATUS")</f>
        <v>#N/A Requesting Data...</v>
      </c>
      <c r="D1619" t="str">
        <f>_xll.BDP("960686BW Muni","STATE_CODE")</f>
        <v>#N/A Requesting Data...</v>
      </c>
      <c r="E1619" t="str">
        <f>_xll.BDP("960686BW Muni","COUNTY_LOCATION_ISSUER")</f>
        <v>#N/A Requesting Data...</v>
      </c>
      <c r="F1619" t="str">
        <f>_xll.BDP("960686BW Muni","DUR_ADJ_MID")</f>
        <v>#N/A Requesting Data...</v>
      </c>
      <c r="G1619" t="str">
        <f>_xll.BDP("960686BW Muni","SPREAD_AT_ISSUANCE_TO_WORST")</f>
        <v>#N/A Requesting Data...</v>
      </c>
      <c r="H1619" t="str">
        <f>_xll.BDP("960686BW Muni","ISSUE_DT")</f>
        <v>#N/A Requesting Data...</v>
      </c>
      <c r="I1619" t="str">
        <f>_xll.BDS("960686BW Muni","MUNI_PURPOSE_SCHED", "aggregate=y")</f>
        <v>#N/A Review</v>
      </c>
      <c r="J1619" t="str">
        <f>_xll.BDP("960686BW Muni","CPN")</f>
        <v>#N/A Requesting Data...</v>
      </c>
      <c r="K1619" t="str">
        <f>_xll.BDP("960686BW Muni","MATURITY")</f>
        <v>#N/A Requesting Data...</v>
      </c>
      <c r="L1619">
        <v>1895000</v>
      </c>
      <c r="M1619" t="str">
        <f>_xll.BDP("960686BW Muni","YIELD_ON_ISSUE_DATE")</f>
        <v>#N/A Requesting Data...</v>
      </c>
      <c r="N1619" t="str">
        <f>_xll.BDP("960686BW Muni","YTW_SPREAD_TO_MATURITY_AT_ISSU")</f>
        <v>#N/A Requesting Data...</v>
      </c>
      <c r="O1619" t="str">
        <f>_xll.BDP("960686BW Muni","BVAL_MID_YTM")</f>
        <v>#N/A Requesting Data...</v>
      </c>
      <c r="P1619" t="str">
        <f>_xll.BDP("960686BW Muni","MUNI_TAX_PROV")</f>
        <v>#N/A Requesting Data...</v>
      </c>
      <c r="Q1619" t="str">
        <f>_xll.BDP("960686BW Muni","MUNI_FED_TAX")</f>
        <v>#N/A Requesting Data...</v>
      </c>
      <c r="R1619" t="str">
        <f>_xll.BDP("960686BW Muni","MUNI_MSRB_VOLUME")</f>
        <v>#N/A Requesting Data...</v>
      </c>
      <c r="S1619" t="str">
        <f>_xll.BDP("960686BW Muni","BB_COMPOSITE")</f>
        <v>#N/A Requesting Data...</v>
      </c>
      <c r="T1619" t="str">
        <f>_xll.BDP("960686BW Muni","LQA_LIQUIDITY_SCORE")</f>
        <v>#N/A Requesting Data...</v>
      </c>
    </row>
    <row r="1620" spans="1:20" x14ac:dyDescent="0.25">
      <c r="A1620" t="str">
        <f>_xll.BDP("961017QJ Muni","ID_CUSIP")</f>
        <v>#N/A Requesting Data...</v>
      </c>
      <c r="B1620" t="s">
        <v>28</v>
      </c>
      <c r="C1620" t="str">
        <f>_xll.BDP("961017QJ Muni","INSURANCE_STATUS")</f>
        <v>#N/A Requesting Data...</v>
      </c>
      <c r="D1620" t="str">
        <f>_xll.BDP("961017QJ Muni","STATE_CODE")</f>
        <v>#N/A Requesting Data...</v>
      </c>
      <c r="E1620" t="str">
        <f>_xll.BDP("961017QJ Muni","COUNTY_LOCATION_ISSUER")</f>
        <v>#N/A Requesting Data...</v>
      </c>
      <c r="F1620" t="str">
        <f>_xll.BDP("961017QJ Muni","DUR_ADJ_MID")</f>
        <v>#N/A Requesting Data...</v>
      </c>
      <c r="G1620" t="str">
        <f>_xll.BDP("961017QJ Muni","SPREAD_AT_ISSUANCE_TO_WORST")</f>
        <v>#N/A Requesting Data...</v>
      </c>
      <c r="H1620" t="str">
        <f>_xll.BDP("961017QJ Muni","ISSUE_DT")</f>
        <v>#N/A Requesting Data...</v>
      </c>
      <c r="I1620" t="str">
        <f>_xll.BDS("961017QJ Muni","MUNI_PURPOSE_SCHED", "aggregate=y")</f>
        <v>#N/A Review</v>
      </c>
      <c r="J1620" t="str">
        <f>_xll.BDP("961017QJ Muni","CPN")</f>
        <v>#N/A Requesting Data...</v>
      </c>
      <c r="K1620" t="str">
        <f>_xll.BDP("961017QJ Muni","MATURITY")</f>
        <v>#N/A Requesting Data...</v>
      </c>
      <c r="L1620">
        <v>120000</v>
      </c>
      <c r="M1620" t="str">
        <f>_xll.BDP("961017QJ Muni","YIELD_ON_ISSUE_DATE")</f>
        <v>#N/A Requesting Data...</v>
      </c>
      <c r="N1620" t="str">
        <f>_xll.BDP("961017QJ Muni","YTW_SPREAD_TO_MATURITY_AT_ISSU")</f>
        <v>#N/A Requesting Data...</v>
      </c>
      <c r="O1620" t="str">
        <f>_xll.BDP("961017QJ Muni","BVAL_MID_YTM")</f>
        <v>#N/A Requesting Data...</v>
      </c>
      <c r="P1620" t="str">
        <f>_xll.BDP("961017QJ Muni","MUNI_TAX_PROV")</f>
        <v>#N/A Requesting Data...</v>
      </c>
      <c r="Q1620" t="str">
        <f>_xll.BDP("961017QJ Muni","MUNI_FED_TAX")</f>
        <v>#N/A Requesting Data...</v>
      </c>
      <c r="R1620" t="str">
        <f>_xll.BDP("961017QJ Muni","MUNI_MSRB_VOLUME")</f>
        <v>#N/A Requesting Data...</v>
      </c>
      <c r="S1620" t="str">
        <f>_xll.BDP("961017QJ Muni","BB_COMPOSITE")</f>
        <v>#N/A Requesting Data...</v>
      </c>
      <c r="T1620" t="str">
        <f>_xll.BDP("961017QJ Muni","LQA_LIQUIDITY_SCORE")</f>
        <v>#N/A Requesting Data...</v>
      </c>
    </row>
    <row r="1621" spans="1:20" x14ac:dyDescent="0.25">
      <c r="A1621" t="str">
        <f>_xll.BDP("961017QK Muni","ID_CUSIP")</f>
        <v>#N/A Requesting Data...</v>
      </c>
      <c r="B1621" t="s">
        <v>28</v>
      </c>
      <c r="C1621" t="str">
        <f>_xll.BDP("961017QK Muni","INSURANCE_STATUS")</f>
        <v>#N/A Requesting Data...</v>
      </c>
      <c r="D1621" t="str">
        <f>_xll.BDP("961017QK Muni","STATE_CODE")</f>
        <v>#N/A Requesting Data...</v>
      </c>
      <c r="E1621" t="str">
        <f>_xll.BDP("961017QK Muni","COUNTY_LOCATION_ISSUER")</f>
        <v>#N/A Requesting Data...</v>
      </c>
      <c r="F1621" t="str">
        <f>_xll.BDP("961017QK Muni","DUR_ADJ_MID")</f>
        <v>#N/A Requesting Data...</v>
      </c>
      <c r="G1621" t="str">
        <f>_xll.BDP("961017QK Muni","SPREAD_AT_ISSUANCE_TO_WORST")</f>
        <v>#N/A Requesting Data...</v>
      </c>
      <c r="H1621" t="str">
        <f>_xll.BDP("961017QK Muni","ISSUE_DT")</f>
        <v>#N/A Requesting Data...</v>
      </c>
      <c r="I1621" t="str">
        <f>_xll.BDS("961017QK Muni","MUNI_PURPOSE_SCHED", "aggregate=y")</f>
        <v>#N/A Review</v>
      </c>
      <c r="J1621" t="str">
        <f>_xll.BDP("961017QK Muni","CPN")</f>
        <v>#N/A Requesting Data...</v>
      </c>
      <c r="K1621" t="str">
        <f>_xll.BDP("961017QK Muni","MATURITY")</f>
        <v>#N/A Requesting Data...</v>
      </c>
      <c r="L1621">
        <v>6960000</v>
      </c>
      <c r="M1621" t="str">
        <f>_xll.BDP("961017QK Muni","YIELD_ON_ISSUE_DATE")</f>
        <v>#N/A Requesting Data...</v>
      </c>
      <c r="N1621" t="str">
        <f>_xll.BDP("961017QK Muni","YTW_SPREAD_TO_MATURITY_AT_ISSU")</f>
        <v>#N/A Requesting Data...</v>
      </c>
      <c r="O1621" t="str">
        <f>_xll.BDP("961017QK Muni","BVAL_MID_YTM")</f>
        <v>#N/A Requesting Data...</v>
      </c>
      <c r="P1621" t="str">
        <f>_xll.BDP("961017QK Muni","MUNI_TAX_PROV")</f>
        <v>#N/A Requesting Data...</v>
      </c>
      <c r="Q1621" t="str">
        <f>_xll.BDP("961017QK Muni","MUNI_FED_TAX")</f>
        <v>#N/A Requesting Data...</v>
      </c>
      <c r="R1621" t="str">
        <f>_xll.BDP("961017QK Muni","MUNI_MSRB_VOLUME")</f>
        <v>#N/A Requesting Data...</v>
      </c>
      <c r="S1621" t="str">
        <f>_xll.BDP("961017QK Muni","BB_COMPOSITE")</f>
        <v>#N/A Requesting Data...</v>
      </c>
      <c r="T1621" t="str">
        <f>_xll.BDP("961017QK Muni","LQA_LIQUIDITY_SCORE")</f>
        <v>#N/A Requesting Data...</v>
      </c>
    </row>
    <row r="1622" spans="1:20" x14ac:dyDescent="0.25">
      <c r="A1622" t="str">
        <f>_xll.BDP("89453PWM Muni","ID_CUSIP")</f>
        <v>#N/A Requesting Data...</v>
      </c>
      <c r="B1622" t="s">
        <v>493</v>
      </c>
      <c r="C1622" t="str">
        <f>_xll.BDP("89453PWM Muni","INSURANCE_STATUS")</f>
        <v>#N/A Requesting Data...</v>
      </c>
      <c r="D1622" t="str">
        <f>_xll.BDP("89453PWM Muni","STATE_CODE")</f>
        <v>#N/A Requesting Data...</v>
      </c>
      <c r="E1622" t="str">
        <f>_xll.BDP("89453PWM Muni","COUNTY_LOCATION_ISSUER")</f>
        <v>#N/A Requesting Data...</v>
      </c>
      <c r="F1622" t="str">
        <f>_xll.BDP("89453PWM Muni","DUR_ADJ_MID")</f>
        <v>#N/A Requesting Data...</v>
      </c>
      <c r="G1622" t="str">
        <f>_xll.BDP("89453PWM Muni","SPREAD_AT_ISSUANCE_TO_WORST")</f>
        <v>#N/A Requesting Data...</v>
      </c>
      <c r="H1622" t="str">
        <f>_xll.BDP("89453PWM Muni","ISSUE_DT")</f>
        <v>#N/A Requesting Data...</v>
      </c>
      <c r="I1622" t="str">
        <f>_xll.BDS("89453PWM Muni","MUNI_PURPOSE_SCHED", "aggregate=y")</f>
        <v>#N/A Review</v>
      </c>
      <c r="J1622" t="str">
        <f>_xll.BDP("89453PWM Muni","CPN")</f>
        <v>#N/A Requesting Data...</v>
      </c>
      <c r="K1622" t="str">
        <f>_xll.BDP("89453PWM Muni","MATURITY")</f>
        <v>#N/A Requesting Data...</v>
      </c>
      <c r="L1622">
        <v>420000</v>
      </c>
      <c r="M1622" t="str">
        <f>_xll.BDP("89453PWM Muni","YIELD_ON_ISSUE_DATE")</f>
        <v>#N/A Requesting Data...</v>
      </c>
      <c r="N1622" t="str">
        <f>_xll.BDP("89453PWM Muni","YTW_SPREAD_TO_MATURITY_AT_ISSU")</f>
        <v>#N/A Requesting Data...</v>
      </c>
      <c r="O1622" t="str">
        <f>_xll.BDP("89453PWM Muni","BVAL_MID_YTM")</f>
        <v>#N/A Requesting Data...</v>
      </c>
      <c r="P1622" t="str">
        <f>_xll.BDP("89453PWM Muni","MUNI_TAX_PROV")</f>
        <v>#N/A Requesting Data...</v>
      </c>
      <c r="Q1622" t="str">
        <f>_xll.BDP("89453PWM Muni","MUNI_FED_TAX")</f>
        <v>#N/A Requesting Data...</v>
      </c>
      <c r="R1622" t="str">
        <f>_xll.BDP("89453PWM Muni","MUNI_MSRB_VOLUME")</f>
        <v>#N/A Requesting Data...</v>
      </c>
      <c r="S1622" t="str">
        <f>_xll.BDP("89453PWM Muni","BB_COMPOSITE")</f>
        <v>#N/A Requesting Data...</v>
      </c>
      <c r="T1622" t="str">
        <f>_xll.BDP("89453PWM Muni","LQA_LIQUIDITY_SCORE")</f>
        <v>#N/A Requesting Data...</v>
      </c>
    </row>
    <row r="1623" spans="1:20" x14ac:dyDescent="0.25">
      <c r="A1623" t="str">
        <f>_xll.BDP("89453PWN Muni","ID_CUSIP")</f>
        <v>#N/A Requesting Data...</v>
      </c>
      <c r="B1623" t="s">
        <v>493</v>
      </c>
      <c r="C1623" t="str">
        <f>_xll.BDP("89453PWN Muni","INSURANCE_STATUS")</f>
        <v>#N/A Requesting Data...</v>
      </c>
      <c r="D1623" t="str">
        <f>_xll.BDP("89453PWN Muni","STATE_CODE")</f>
        <v>#N/A Requesting Data...</v>
      </c>
      <c r="E1623" t="str">
        <f>_xll.BDP("89453PWN Muni","COUNTY_LOCATION_ISSUER")</f>
        <v>#N/A Requesting Data...</v>
      </c>
      <c r="F1623" t="str">
        <f>_xll.BDP("89453PWN Muni","DUR_ADJ_MID")</f>
        <v>#N/A Requesting Data...</v>
      </c>
      <c r="G1623" t="str">
        <f>_xll.BDP("89453PWN Muni","SPREAD_AT_ISSUANCE_TO_WORST")</f>
        <v>#N/A Requesting Data...</v>
      </c>
      <c r="H1623" t="str">
        <f>_xll.BDP("89453PWN Muni","ISSUE_DT")</f>
        <v>#N/A Requesting Data...</v>
      </c>
      <c r="I1623" t="str">
        <f>_xll.BDS("89453PWN Muni","MUNI_PURPOSE_SCHED", "aggregate=y")</f>
        <v>#N/A Review</v>
      </c>
      <c r="J1623" t="str">
        <f>_xll.BDP("89453PWN Muni","CPN")</f>
        <v>#N/A Requesting Data...</v>
      </c>
      <c r="K1623" t="str">
        <f>_xll.BDP("89453PWN Muni","MATURITY")</f>
        <v>#N/A Requesting Data...</v>
      </c>
      <c r="L1623">
        <v>430000</v>
      </c>
      <c r="M1623" t="str">
        <f>_xll.BDP("89453PWN Muni","YIELD_ON_ISSUE_DATE")</f>
        <v>#N/A Requesting Data...</v>
      </c>
      <c r="N1623" t="str">
        <f>_xll.BDP("89453PWN Muni","YTW_SPREAD_TO_MATURITY_AT_ISSU")</f>
        <v>#N/A Requesting Data...</v>
      </c>
      <c r="O1623" t="str">
        <f>_xll.BDP("89453PWN Muni","BVAL_MID_YTM")</f>
        <v>#N/A Requesting Data...</v>
      </c>
      <c r="P1623" t="str">
        <f>_xll.BDP("89453PWN Muni","MUNI_TAX_PROV")</f>
        <v>#N/A Requesting Data...</v>
      </c>
      <c r="Q1623" t="str">
        <f>_xll.BDP("89453PWN Muni","MUNI_FED_TAX")</f>
        <v>#N/A Requesting Data...</v>
      </c>
      <c r="R1623" t="str">
        <f>_xll.BDP("89453PWN Muni","MUNI_MSRB_VOLUME")</f>
        <v>#N/A Requesting Data...</v>
      </c>
      <c r="S1623" t="str">
        <f>_xll.BDP("89453PWN Muni","BB_COMPOSITE")</f>
        <v>#N/A Requesting Data...</v>
      </c>
      <c r="T1623" t="str">
        <f>_xll.BDP("89453PWN Muni","LQA_LIQUIDITY_SCORE")</f>
        <v>#N/A Requesting Data...</v>
      </c>
    </row>
    <row r="1624" spans="1:20" x14ac:dyDescent="0.25">
      <c r="A1624" t="str">
        <f>_xll.BDP("89453PXF Muni","ID_CUSIP")</f>
        <v>#N/A Requesting Data...</v>
      </c>
      <c r="B1624" t="s">
        <v>493</v>
      </c>
      <c r="C1624" t="str">
        <f>_xll.BDP("89453PXF Muni","INSURANCE_STATUS")</f>
        <v>#N/A Requesting Data...</v>
      </c>
      <c r="D1624" t="str">
        <f>_xll.BDP("89453PXF Muni","STATE_CODE")</f>
        <v>#N/A Requesting Data...</v>
      </c>
      <c r="E1624" t="str">
        <f>_xll.BDP("89453PXF Muni","COUNTY_LOCATION_ISSUER")</f>
        <v>#N/A Requesting Data...</v>
      </c>
      <c r="F1624" t="str">
        <f>_xll.BDP("89453PXF Muni","DUR_ADJ_MID")</f>
        <v>#N/A Requesting Data...</v>
      </c>
      <c r="G1624" t="str">
        <f>_xll.BDP("89453PXF Muni","SPREAD_AT_ISSUANCE_TO_WORST")</f>
        <v>#N/A Requesting Data...</v>
      </c>
      <c r="H1624" t="str">
        <f>_xll.BDP("89453PXF Muni","ISSUE_DT")</f>
        <v>#N/A Requesting Data...</v>
      </c>
      <c r="I1624" t="str">
        <f>_xll.BDS("89453PXF Muni","MUNI_PURPOSE_SCHED", "aggregate=y")</f>
        <v>#N/A Review</v>
      </c>
      <c r="J1624" t="str">
        <f>_xll.BDP("89453PXF Muni","CPN")</f>
        <v>#N/A Requesting Data...</v>
      </c>
      <c r="K1624" t="str">
        <f>_xll.BDP("89453PXF Muni","MATURITY")</f>
        <v>#N/A Requesting Data...</v>
      </c>
      <c r="L1624">
        <v>640000</v>
      </c>
      <c r="M1624" t="str">
        <f>_xll.BDP("89453PXF Muni","YIELD_ON_ISSUE_DATE")</f>
        <v>#N/A Requesting Data...</v>
      </c>
      <c r="N1624" t="str">
        <f>_xll.BDP("89453PXF Muni","YTW_SPREAD_TO_MATURITY_AT_ISSU")</f>
        <v>#N/A Requesting Data...</v>
      </c>
      <c r="O1624" t="str">
        <f>_xll.BDP("89453PXF Muni","BVAL_MID_YTM")</f>
        <v>#N/A Requesting Data...</v>
      </c>
      <c r="P1624" t="str">
        <f>_xll.BDP("89453PXF Muni","MUNI_TAX_PROV")</f>
        <v>#N/A Requesting Data...</v>
      </c>
      <c r="Q1624" t="str">
        <f>_xll.BDP("89453PXF Muni","MUNI_FED_TAX")</f>
        <v>#N/A Requesting Data...</v>
      </c>
      <c r="R1624" t="str">
        <f>_xll.BDP("89453PXF Muni","MUNI_MSRB_VOLUME")</f>
        <v>#N/A Requesting Data...</v>
      </c>
      <c r="S1624" t="str">
        <f>_xll.BDP("89453PXF Muni","BB_COMPOSITE")</f>
        <v>#N/A Requesting Data...</v>
      </c>
      <c r="T1624" t="str">
        <f>_xll.BDP("89453PXF Muni","LQA_LIQUIDITY_SCORE")</f>
        <v>#N/A Requesting Data...</v>
      </c>
    </row>
    <row r="1625" spans="1:20" x14ac:dyDescent="0.25">
      <c r="A1625" t="str">
        <f>_xll.BDP("89453PXG Muni","ID_CUSIP")</f>
        <v>#N/A Requesting Data...</v>
      </c>
      <c r="B1625" t="s">
        <v>493</v>
      </c>
      <c r="C1625" t="str">
        <f>_xll.BDP("89453PXG Muni","INSURANCE_STATUS")</f>
        <v>#N/A Requesting Data...</v>
      </c>
      <c r="D1625" t="str">
        <f>_xll.BDP("89453PXG Muni","STATE_CODE")</f>
        <v>#N/A Requesting Data...</v>
      </c>
      <c r="E1625" t="str">
        <f>_xll.BDP("89453PXG Muni","COUNTY_LOCATION_ISSUER")</f>
        <v>#N/A Requesting Data...</v>
      </c>
      <c r="F1625" t="str">
        <f>_xll.BDP("89453PXG Muni","DUR_ADJ_MID")</f>
        <v>#N/A Requesting Data...</v>
      </c>
      <c r="G1625" t="str">
        <f>_xll.BDP("89453PXG Muni","SPREAD_AT_ISSUANCE_TO_WORST")</f>
        <v>#N/A Requesting Data...</v>
      </c>
      <c r="H1625" t="str">
        <f>_xll.BDP("89453PXG Muni","ISSUE_DT")</f>
        <v>#N/A Requesting Data...</v>
      </c>
      <c r="I1625" t="str">
        <f>_xll.BDS("89453PXG Muni","MUNI_PURPOSE_SCHED", "aggregate=y")</f>
        <v>#N/A Review</v>
      </c>
      <c r="J1625" t="str">
        <f>_xll.BDP("89453PXG Muni","CPN")</f>
        <v>#N/A Requesting Data...</v>
      </c>
      <c r="K1625" t="str">
        <f>_xll.BDP("89453PXG Muni","MATURITY")</f>
        <v>#N/A Requesting Data...</v>
      </c>
      <c r="L1625">
        <v>650000</v>
      </c>
      <c r="M1625" t="str">
        <f>_xll.BDP("89453PXG Muni","YIELD_ON_ISSUE_DATE")</f>
        <v>#N/A Requesting Data...</v>
      </c>
      <c r="N1625" t="str">
        <f>_xll.BDP("89453PXG Muni","YTW_SPREAD_TO_MATURITY_AT_ISSU")</f>
        <v>#N/A Requesting Data...</v>
      </c>
      <c r="O1625" t="str">
        <f>_xll.BDP("89453PXG Muni","BVAL_MID_YTM")</f>
        <v>#N/A Requesting Data...</v>
      </c>
      <c r="P1625" t="str">
        <f>_xll.BDP("89453PXG Muni","MUNI_TAX_PROV")</f>
        <v>#N/A Requesting Data...</v>
      </c>
      <c r="Q1625" t="str">
        <f>_xll.BDP("89453PXG Muni","MUNI_FED_TAX")</f>
        <v>#N/A Requesting Data...</v>
      </c>
      <c r="R1625" t="str">
        <f>_xll.BDP("89453PXG Muni","MUNI_MSRB_VOLUME")</f>
        <v>#N/A Requesting Data...</v>
      </c>
      <c r="S1625" t="str">
        <f>_xll.BDP("89453PXG Muni","BB_COMPOSITE")</f>
        <v>#N/A Requesting Data...</v>
      </c>
      <c r="T1625" t="str">
        <f>_xll.BDP("89453PXG Muni","LQA_LIQUIDITY_SCORE")</f>
        <v>#N/A Requesting Data...</v>
      </c>
    </row>
    <row r="1626" spans="1:20" x14ac:dyDescent="0.25">
      <c r="A1626" t="str">
        <f>_xll.BDP("898797DH Muni","ID_CUSIP")</f>
        <v>#N/A Requesting Data...</v>
      </c>
      <c r="B1626" t="s">
        <v>488</v>
      </c>
      <c r="C1626" t="str">
        <f>_xll.BDP("898797DH Muni","INSURANCE_STATUS")</f>
        <v>#N/A Requesting Data...</v>
      </c>
      <c r="D1626" t="str">
        <f>_xll.BDP("898797DH Muni","STATE_CODE")</f>
        <v>#N/A Requesting Data...</v>
      </c>
      <c r="E1626" t="str">
        <f>_xll.BDP("898797DH Muni","COUNTY_LOCATION_ISSUER")</f>
        <v>#N/A Requesting Data...</v>
      </c>
      <c r="F1626" t="str">
        <f>_xll.BDP("898797DH Muni","DUR_ADJ_MID")</f>
        <v>#N/A Requesting Data...</v>
      </c>
      <c r="G1626" t="str">
        <f>_xll.BDP("898797DH Muni","SPREAD_AT_ISSUANCE_TO_WORST")</f>
        <v>#N/A Requesting Data...</v>
      </c>
      <c r="H1626" t="str">
        <f>_xll.BDP("898797DH Muni","ISSUE_DT")</f>
        <v>#N/A Requesting Data...</v>
      </c>
      <c r="I1626" t="str">
        <f>_xll.BDS("898797DH Muni","MUNI_PURPOSE_SCHED", "aggregate=y")</f>
        <v>#N/A Review</v>
      </c>
      <c r="J1626" t="str">
        <f>_xll.BDP("898797DH Muni","CPN")</f>
        <v>#N/A Requesting Data...</v>
      </c>
      <c r="K1626" t="str">
        <f>_xll.BDP("898797DH Muni","MATURITY")</f>
        <v>#N/A Requesting Data...</v>
      </c>
      <c r="L1626">
        <v>250000</v>
      </c>
      <c r="M1626" t="str">
        <f>_xll.BDP("898797DH Muni","YIELD_ON_ISSUE_DATE")</f>
        <v>#N/A Requesting Data...</v>
      </c>
      <c r="N1626" t="str">
        <f>_xll.BDP("898797DH Muni","YTW_SPREAD_TO_MATURITY_AT_ISSU")</f>
        <v>#N/A Requesting Data...</v>
      </c>
      <c r="O1626" t="str">
        <f>_xll.BDP("898797DH Muni","BVAL_MID_YTM")</f>
        <v>#N/A Requesting Data...</v>
      </c>
      <c r="P1626" t="str">
        <f>_xll.BDP("898797DH Muni","MUNI_TAX_PROV")</f>
        <v>#N/A Requesting Data...</v>
      </c>
      <c r="Q1626" t="str">
        <f>_xll.BDP("898797DH Muni","MUNI_FED_TAX")</f>
        <v>#N/A Requesting Data...</v>
      </c>
      <c r="R1626" t="str">
        <f>_xll.BDP("898797DH Muni","MUNI_MSRB_VOLUME")</f>
        <v>#N/A Requesting Data...</v>
      </c>
      <c r="S1626" t="str">
        <f>_xll.BDP("898797DH Muni","BB_COMPOSITE")</f>
        <v>#N/A Requesting Data...</v>
      </c>
      <c r="T1626" t="str">
        <f>_xll.BDP("898797DH Muni","LQA_LIQUIDITY_SCORE")</f>
        <v>#N/A Requesting Data...</v>
      </c>
    </row>
    <row r="1627" spans="1:20" x14ac:dyDescent="0.25">
      <c r="A1627" t="str">
        <f>_xll.BDP("900577YT Muni","ID_CUSIP")</f>
        <v>#N/A Requesting Data...</v>
      </c>
      <c r="B1627" t="s">
        <v>494</v>
      </c>
      <c r="C1627" t="str">
        <f>_xll.BDP("900577YT Muni","INSURANCE_STATUS")</f>
        <v>#N/A Requesting Data...</v>
      </c>
      <c r="D1627" t="str">
        <f>_xll.BDP("900577YT Muni","STATE_CODE")</f>
        <v>#N/A Requesting Data...</v>
      </c>
      <c r="E1627" t="str">
        <f>_xll.BDP("900577YT Muni","COUNTY_LOCATION_ISSUER")</f>
        <v>#N/A Requesting Data...</v>
      </c>
      <c r="F1627" t="str">
        <f>_xll.BDP("900577YT Muni","DUR_ADJ_MID")</f>
        <v>#N/A Requesting Data...</v>
      </c>
      <c r="G1627" t="str">
        <f>_xll.BDP("900577YT Muni","SPREAD_AT_ISSUANCE_TO_WORST")</f>
        <v>#N/A Requesting Data...</v>
      </c>
      <c r="H1627" t="str">
        <f>_xll.BDP("900577YT Muni","ISSUE_DT")</f>
        <v>#N/A Requesting Data...</v>
      </c>
      <c r="I1627" t="str">
        <f>_xll.BDS("900577YT Muni","MUNI_PURPOSE_SCHED", "aggregate=y")</f>
        <v>#N/A Review</v>
      </c>
      <c r="J1627" t="str">
        <f>_xll.BDP("900577YT Muni","CPN")</f>
        <v>#N/A Requesting Data...</v>
      </c>
      <c r="K1627" t="str">
        <f>_xll.BDP("900577YT Muni","MATURITY")</f>
        <v>#N/A Requesting Data...</v>
      </c>
      <c r="L1627">
        <v>730000</v>
      </c>
      <c r="M1627" t="str">
        <f>_xll.BDP("900577YT Muni","YIELD_ON_ISSUE_DATE")</f>
        <v>#N/A Requesting Data...</v>
      </c>
      <c r="N1627" t="str">
        <f>_xll.BDP("900577YT Muni","YTW_SPREAD_TO_MATURITY_AT_ISSU")</f>
        <v>#N/A Requesting Data...</v>
      </c>
      <c r="O1627" t="str">
        <f>_xll.BDP("900577YT Muni","BVAL_MID_YTM")</f>
        <v>#N/A Requesting Data...</v>
      </c>
      <c r="P1627" t="str">
        <f>_xll.BDP("900577YT Muni","MUNI_TAX_PROV")</f>
        <v>#N/A Requesting Data...</v>
      </c>
      <c r="Q1627" t="str">
        <f>_xll.BDP("900577YT Muni","MUNI_FED_TAX")</f>
        <v>#N/A Requesting Data...</v>
      </c>
      <c r="R1627" t="str">
        <f>_xll.BDP("900577YT Muni","MUNI_MSRB_VOLUME")</f>
        <v>#N/A Requesting Data...</v>
      </c>
      <c r="S1627" t="str">
        <f>_xll.BDP("900577YT Muni","BB_COMPOSITE")</f>
        <v>#N/A Requesting Data...</v>
      </c>
      <c r="T1627" t="str">
        <f>_xll.BDP("900577YT Muni","LQA_LIQUIDITY_SCORE")</f>
        <v>#N/A Requesting Data...</v>
      </c>
    </row>
    <row r="1628" spans="1:20" x14ac:dyDescent="0.25">
      <c r="A1628" t="str">
        <f>_xll.BDP("900577YU Muni","ID_CUSIP")</f>
        <v>#N/A Requesting Data...</v>
      </c>
      <c r="B1628" t="s">
        <v>494</v>
      </c>
      <c r="C1628" t="str">
        <f>_xll.BDP("900577YU Muni","INSURANCE_STATUS")</f>
        <v>#N/A Requesting Data...</v>
      </c>
      <c r="D1628" t="str">
        <f>_xll.BDP("900577YU Muni","STATE_CODE")</f>
        <v>#N/A Requesting Data...</v>
      </c>
      <c r="E1628" t="str">
        <f>_xll.BDP("900577YU Muni","COUNTY_LOCATION_ISSUER")</f>
        <v>#N/A Requesting Data...</v>
      </c>
      <c r="F1628" t="str">
        <f>_xll.BDP("900577YU Muni","DUR_ADJ_MID")</f>
        <v>#N/A Requesting Data...</v>
      </c>
      <c r="G1628" t="str">
        <f>_xll.BDP("900577YU Muni","SPREAD_AT_ISSUANCE_TO_WORST")</f>
        <v>#N/A Requesting Data...</v>
      </c>
      <c r="H1628" t="str">
        <f>_xll.BDP("900577YU Muni","ISSUE_DT")</f>
        <v>#N/A Requesting Data...</v>
      </c>
      <c r="I1628" t="str">
        <f>_xll.BDS("900577YU Muni","MUNI_PURPOSE_SCHED", "aggregate=y")</f>
        <v>#N/A Review</v>
      </c>
      <c r="J1628" t="str">
        <f>_xll.BDP("900577YU Muni","CPN")</f>
        <v>#N/A Requesting Data...</v>
      </c>
      <c r="K1628" t="str">
        <f>_xll.BDP("900577YU Muni","MATURITY")</f>
        <v>#N/A Requesting Data...</v>
      </c>
      <c r="L1628">
        <v>765000</v>
      </c>
      <c r="M1628" t="str">
        <f>_xll.BDP("900577YU Muni","YIELD_ON_ISSUE_DATE")</f>
        <v>#N/A Requesting Data...</v>
      </c>
      <c r="N1628" t="str">
        <f>_xll.BDP("900577YU Muni","YTW_SPREAD_TO_MATURITY_AT_ISSU")</f>
        <v>#N/A Requesting Data...</v>
      </c>
      <c r="O1628" t="str">
        <f>_xll.BDP("900577YU Muni","BVAL_MID_YTM")</f>
        <v>#N/A Requesting Data...</v>
      </c>
      <c r="P1628" t="str">
        <f>_xll.BDP("900577YU Muni","MUNI_TAX_PROV")</f>
        <v>#N/A Requesting Data...</v>
      </c>
      <c r="Q1628" t="str">
        <f>_xll.BDP("900577YU Muni","MUNI_FED_TAX")</f>
        <v>#N/A Requesting Data...</v>
      </c>
      <c r="R1628" t="str">
        <f>_xll.BDP("900577YU Muni","MUNI_MSRB_VOLUME")</f>
        <v>#N/A Requesting Data...</v>
      </c>
      <c r="S1628" t="str">
        <f>_xll.BDP("900577YU Muni","BB_COMPOSITE")</f>
        <v>#N/A Requesting Data...</v>
      </c>
      <c r="T1628" t="str">
        <f>_xll.BDP("900577YU Muni","LQA_LIQUIDITY_SCORE")</f>
        <v>#N/A Requesting Data...</v>
      </c>
    </row>
    <row r="1629" spans="1:20" x14ac:dyDescent="0.25">
      <c r="A1629" t="str">
        <f>_xll.BDP("900577YV Muni","ID_CUSIP")</f>
        <v>#N/A Requesting Data...</v>
      </c>
      <c r="B1629" t="s">
        <v>494</v>
      </c>
      <c r="C1629" t="str">
        <f>_xll.BDP("900577YV Muni","INSURANCE_STATUS")</f>
        <v>#N/A Requesting Data...</v>
      </c>
      <c r="D1629" t="str">
        <f>_xll.BDP("900577YV Muni","STATE_CODE")</f>
        <v>#N/A Requesting Data...</v>
      </c>
      <c r="E1629" t="str">
        <f>_xll.BDP("900577YV Muni","COUNTY_LOCATION_ISSUER")</f>
        <v>#N/A Requesting Data...</v>
      </c>
      <c r="F1629" t="str">
        <f>_xll.BDP("900577YV Muni","DUR_ADJ_MID")</f>
        <v>#N/A Requesting Data...</v>
      </c>
      <c r="G1629" t="str">
        <f>_xll.BDP("900577YV Muni","SPREAD_AT_ISSUANCE_TO_WORST")</f>
        <v>#N/A Requesting Data...</v>
      </c>
      <c r="H1629" t="str">
        <f>_xll.BDP("900577YV Muni","ISSUE_DT")</f>
        <v>#N/A Requesting Data...</v>
      </c>
      <c r="I1629" t="str">
        <f>_xll.BDS("900577YV Muni","MUNI_PURPOSE_SCHED", "aggregate=y")</f>
        <v>#N/A Review</v>
      </c>
      <c r="J1629" t="str">
        <f>_xll.BDP("900577YV Muni","CPN")</f>
        <v>#N/A Requesting Data...</v>
      </c>
      <c r="K1629" t="str">
        <f>_xll.BDP("900577YV Muni","MATURITY")</f>
        <v>#N/A Requesting Data...</v>
      </c>
      <c r="L1629">
        <v>800000</v>
      </c>
      <c r="M1629" t="str">
        <f>_xll.BDP("900577YV Muni","YIELD_ON_ISSUE_DATE")</f>
        <v>#N/A Requesting Data...</v>
      </c>
      <c r="N1629" t="str">
        <f>_xll.BDP("900577YV Muni","YTW_SPREAD_TO_MATURITY_AT_ISSU")</f>
        <v>#N/A Requesting Data...</v>
      </c>
      <c r="O1629" t="str">
        <f>_xll.BDP("900577YV Muni","BVAL_MID_YTM")</f>
        <v>#N/A Requesting Data...</v>
      </c>
      <c r="P1629" t="str">
        <f>_xll.BDP("900577YV Muni","MUNI_TAX_PROV")</f>
        <v>#N/A Requesting Data...</v>
      </c>
      <c r="Q1629" t="str">
        <f>_xll.BDP("900577YV Muni","MUNI_FED_TAX")</f>
        <v>#N/A Requesting Data...</v>
      </c>
      <c r="R1629" t="str">
        <f>_xll.BDP("900577YV Muni","MUNI_MSRB_VOLUME")</f>
        <v>#N/A Requesting Data...</v>
      </c>
      <c r="S1629" t="str">
        <f>_xll.BDP("900577YV Muni","BB_COMPOSITE")</f>
        <v>#N/A Requesting Data...</v>
      </c>
      <c r="T1629" t="str">
        <f>_xll.BDP("900577YV Muni","LQA_LIQUIDITY_SCORE")</f>
        <v>#N/A Requesting Data...</v>
      </c>
    </row>
    <row r="1630" spans="1:20" x14ac:dyDescent="0.25">
      <c r="A1630" t="str">
        <f>_xll.BDP("900577YW Muni","ID_CUSIP")</f>
        <v>#N/A Requesting Data...</v>
      </c>
      <c r="B1630" t="s">
        <v>494</v>
      </c>
      <c r="C1630" t="str">
        <f>_xll.BDP("900577YW Muni","INSURANCE_STATUS")</f>
        <v>#N/A Requesting Data...</v>
      </c>
      <c r="D1630" t="str">
        <f>_xll.BDP("900577YW Muni","STATE_CODE")</f>
        <v>#N/A Requesting Data...</v>
      </c>
      <c r="E1630" t="str">
        <f>_xll.BDP("900577YW Muni","COUNTY_LOCATION_ISSUER")</f>
        <v>#N/A Requesting Data...</v>
      </c>
      <c r="F1630" t="str">
        <f>_xll.BDP("900577YW Muni","DUR_ADJ_MID")</f>
        <v>#N/A Requesting Data...</v>
      </c>
      <c r="G1630" t="str">
        <f>_xll.BDP("900577YW Muni","SPREAD_AT_ISSUANCE_TO_WORST")</f>
        <v>#N/A Requesting Data...</v>
      </c>
      <c r="H1630" t="str">
        <f>_xll.BDP("900577YW Muni","ISSUE_DT")</f>
        <v>#N/A Requesting Data...</v>
      </c>
      <c r="I1630" t="str">
        <f>_xll.BDS("900577YW Muni","MUNI_PURPOSE_SCHED", "aggregate=y")</f>
        <v>#N/A Review</v>
      </c>
      <c r="J1630" t="str">
        <f>_xll.BDP("900577YW Muni","CPN")</f>
        <v>#N/A Requesting Data...</v>
      </c>
      <c r="K1630" t="str">
        <f>_xll.BDP("900577YW Muni","MATURITY")</f>
        <v>#N/A Requesting Data...</v>
      </c>
      <c r="L1630">
        <v>840000</v>
      </c>
      <c r="M1630" t="str">
        <f>_xll.BDP("900577YW Muni","YIELD_ON_ISSUE_DATE")</f>
        <v>#N/A Requesting Data...</v>
      </c>
      <c r="N1630" t="str">
        <f>_xll.BDP("900577YW Muni","YTW_SPREAD_TO_MATURITY_AT_ISSU")</f>
        <v>#N/A Requesting Data...</v>
      </c>
      <c r="O1630" t="str">
        <f>_xll.BDP("900577YW Muni","BVAL_MID_YTM")</f>
        <v>#N/A Requesting Data...</v>
      </c>
      <c r="P1630" t="str">
        <f>_xll.BDP("900577YW Muni","MUNI_TAX_PROV")</f>
        <v>#N/A Requesting Data...</v>
      </c>
      <c r="Q1630" t="str">
        <f>_xll.BDP("900577YW Muni","MUNI_FED_TAX")</f>
        <v>#N/A Requesting Data...</v>
      </c>
      <c r="R1630" t="str">
        <f>_xll.BDP("900577YW Muni","MUNI_MSRB_VOLUME")</f>
        <v>#N/A Requesting Data...</v>
      </c>
      <c r="S1630" t="str">
        <f>_xll.BDP("900577YW Muni","BB_COMPOSITE")</f>
        <v>#N/A Requesting Data...</v>
      </c>
      <c r="T1630" t="str">
        <f>_xll.BDP("900577YW Muni","LQA_LIQUIDITY_SCORE")</f>
        <v>#N/A Requesting Data...</v>
      </c>
    </row>
    <row r="1631" spans="1:20" x14ac:dyDescent="0.25">
      <c r="A1631" t="str">
        <f>_xll.BDP("803566BR Muni","ID_CUSIP")</f>
        <v>#N/A Requesting Data...</v>
      </c>
      <c r="B1631" t="s">
        <v>495</v>
      </c>
      <c r="C1631" t="str">
        <f>_xll.BDP("803566BR Muni","INSURANCE_STATUS")</f>
        <v>#N/A Requesting Data...</v>
      </c>
      <c r="D1631" t="str">
        <f>_xll.BDP("803566BR Muni","STATE_CODE")</f>
        <v>#N/A Requesting Data...</v>
      </c>
      <c r="E1631" t="str">
        <f>_xll.BDP("803566BR Muni","COUNTY_LOCATION_ISSUER")</f>
        <v>#N/A Requesting Data...</v>
      </c>
      <c r="F1631" t="str">
        <f>_xll.BDP("803566BR Muni","DUR_ADJ_MID")</f>
        <v>#N/A Requesting Data...</v>
      </c>
      <c r="G1631" t="str">
        <f>_xll.BDP("803566BR Muni","SPREAD_AT_ISSUANCE_TO_WORST")</f>
        <v>#N/A Requesting Data...</v>
      </c>
      <c r="H1631" t="str">
        <f>_xll.BDP("803566BR Muni","ISSUE_DT")</f>
        <v>#N/A Requesting Data...</v>
      </c>
      <c r="I1631" t="str">
        <f>_xll.BDS("803566BR Muni","MUNI_PURPOSE_SCHED", "aggregate=y")</f>
        <v>#N/A Review</v>
      </c>
      <c r="J1631" t="str">
        <f>_xll.BDP("803566BR Muni","CPN")</f>
        <v>#N/A Requesting Data...</v>
      </c>
      <c r="K1631" t="str">
        <f>_xll.BDP("803566BR Muni","MATURITY")</f>
        <v>#N/A Requesting Data...</v>
      </c>
      <c r="L1631">
        <v>410000</v>
      </c>
      <c r="M1631" t="str">
        <f>_xll.BDP("803566BR Muni","YIELD_ON_ISSUE_DATE")</f>
        <v>#N/A Requesting Data...</v>
      </c>
      <c r="N1631" t="str">
        <f>_xll.BDP("803566BR Muni","YTW_SPREAD_TO_MATURITY_AT_ISSU")</f>
        <v>#N/A Requesting Data...</v>
      </c>
      <c r="O1631" t="str">
        <f>_xll.BDP("803566BR Muni","BVAL_MID_YTM")</f>
        <v>#N/A Requesting Data...</v>
      </c>
      <c r="P1631" t="str">
        <f>_xll.BDP("803566BR Muni","MUNI_TAX_PROV")</f>
        <v>#N/A Requesting Data...</v>
      </c>
      <c r="Q1631" t="str">
        <f>_xll.BDP("803566BR Muni","MUNI_FED_TAX")</f>
        <v>#N/A Requesting Data...</v>
      </c>
      <c r="R1631" t="str">
        <f>_xll.BDP("803566BR Muni","MUNI_MSRB_VOLUME")</f>
        <v>#N/A Requesting Data...</v>
      </c>
      <c r="S1631" t="str">
        <f>_xll.BDP("803566BR Muni","BB_COMPOSITE")</f>
        <v>#N/A Requesting Data...</v>
      </c>
      <c r="T1631" t="str">
        <f>_xll.BDP("803566BR Muni","LQA_LIQUIDITY_SCORE")</f>
        <v>#N/A Requesting Data...</v>
      </c>
    </row>
    <row r="1632" spans="1:20" x14ac:dyDescent="0.25">
      <c r="A1632" t="str">
        <f>_xll.BDP("803566BS Muni","ID_CUSIP")</f>
        <v>#N/A Requesting Data...</v>
      </c>
      <c r="B1632" t="s">
        <v>495</v>
      </c>
      <c r="C1632" t="str">
        <f>_xll.BDP("803566BS Muni","INSURANCE_STATUS")</f>
        <v>#N/A Requesting Data...</v>
      </c>
      <c r="D1632" t="str">
        <f>_xll.BDP("803566BS Muni","STATE_CODE")</f>
        <v>#N/A Requesting Data...</v>
      </c>
      <c r="E1632" t="str">
        <f>_xll.BDP("803566BS Muni","COUNTY_LOCATION_ISSUER")</f>
        <v>#N/A Requesting Data...</v>
      </c>
      <c r="F1632" t="str">
        <f>_xll.BDP("803566BS Muni","DUR_ADJ_MID")</f>
        <v>#N/A Requesting Data...</v>
      </c>
      <c r="G1632" t="str">
        <f>_xll.BDP("803566BS Muni","SPREAD_AT_ISSUANCE_TO_WORST")</f>
        <v>#N/A Requesting Data...</v>
      </c>
      <c r="H1632" t="str">
        <f>_xll.BDP("803566BS Muni","ISSUE_DT")</f>
        <v>#N/A Requesting Data...</v>
      </c>
      <c r="I1632" t="str">
        <f>_xll.BDS("803566BS Muni","MUNI_PURPOSE_SCHED", "aggregate=y")</f>
        <v>#N/A Review</v>
      </c>
      <c r="J1632" t="str">
        <f>_xll.BDP("803566BS Muni","CPN")</f>
        <v>#N/A Requesting Data...</v>
      </c>
      <c r="K1632" t="str">
        <f>_xll.BDP("803566BS Muni","MATURITY")</f>
        <v>#N/A Requesting Data...</v>
      </c>
      <c r="L1632">
        <v>425000</v>
      </c>
      <c r="M1632" t="str">
        <f>_xll.BDP("803566BS Muni","YIELD_ON_ISSUE_DATE")</f>
        <v>#N/A Requesting Data...</v>
      </c>
      <c r="N1632" t="str">
        <f>_xll.BDP("803566BS Muni","YTW_SPREAD_TO_MATURITY_AT_ISSU")</f>
        <v>#N/A Requesting Data...</v>
      </c>
      <c r="O1632" t="str">
        <f>_xll.BDP("803566BS Muni","BVAL_MID_YTM")</f>
        <v>#N/A Requesting Data...</v>
      </c>
      <c r="P1632" t="str">
        <f>_xll.BDP("803566BS Muni","MUNI_TAX_PROV")</f>
        <v>#N/A Requesting Data...</v>
      </c>
      <c r="Q1632" t="str">
        <f>_xll.BDP("803566BS Muni","MUNI_FED_TAX")</f>
        <v>#N/A Requesting Data...</v>
      </c>
      <c r="R1632" t="str">
        <f>_xll.BDP("803566BS Muni","MUNI_MSRB_VOLUME")</f>
        <v>#N/A Requesting Data...</v>
      </c>
      <c r="S1632" t="str">
        <f>_xll.BDP("803566BS Muni","BB_COMPOSITE")</f>
        <v>#N/A Requesting Data...</v>
      </c>
      <c r="T1632" t="str">
        <f>_xll.BDP("803566BS Muni","LQA_LIQUIDITY_SCORE")</f>
        <v>#N/A Requesting Data...</v>
      </c>
    </row>
    <row r="1633" spans="1:20" x14ac:dyDescent="0.25">
      <c r="A1633" t="str">
        <f>_xll.BDP("803566BT Muni","ID_CUSIP")</f>
        <v>#N/A Requesting Data...</v>
      </c>
      <c r="B1633" t="s">
        <v>495</v>
      </c>
      <c r="C1633" t="str">
        <f>_xll.BDP("803566BT Muni","INSURANCE_STATUS")</f>
        <v>#N/A Requesting Data...</v>
      </c>
      <c r="D1633" t="str">
        <f>_xll.BDP("803566BT Muni","STATE_CODE")</f>
        <v>#N/A Requesting Data...</v>
      </c>
      <c r="E1633" t="str">
        <f>_xll.BDP("803566BT Muni","COUNTY_LOCATION_ISSUER")</f>
        <v>#N/A Requesting Data...</v>
      </c>
      <c r="F1633" t="str">
        <f>_xll.BDP("803566BT Muni","DUR_ADJ_MID")</f>
        <v>#N/A Requesting Data...</v>
      </c>
      <c r="G1633" t="str">
        <f>_xll.BDP("803566BT Muni","SPREAD_AT_ISSUANCE_TO_WORST")</f>
        <v>#N/A Requesting Data...</v>
      </c>
      <c r="H1633" t="str">
        <f>_xll.BDP("803566BT Muni","ISSUE_DT")</f>
        <v>#N/A Requesting Data...</v>
      </c>
      <c r="I1633" t="str">
        <f>_xll.BDS("803566BT Muni","MUNI_PURPOSE_SCHED", "aggregate=y")</f>
        <v>#N/A Review</v>
      </c>
      <c r="J1633" t="str">
        <f>_xll.BDP("803566BT Muni","CPN")</f>
        <v>#N/A Requesting Data...</v>
      </c>
      <c r="K1633" t="str">
        <f>_xll.BDP("803566BT Muni","MATURITY")</f>
        <v>#N/A Requesting Data...</v>
      </c>
      <c r="L1633">
        <v>445000</v>
      </c>
      <c r="M1633" t="str">
        <f>_xll.BDP("803566BT Muni","YIELD_ON_ISSUE_DATE")</f>
        <v>#N/A Requesting Data...</v>
      </c>
      <c r="N1633" t="str">
        <f>_xll.BDP("803566BT Muni","YTW_SPREAD_TO_MATURITY_AT_ISSU")</f>
        <v>#N/A Requesting Data...</v>
      </c>
      <c r="O1633" t="str">
        <f>_xll.BDP("803566BT Muni","BVAL_MID_YTM")</f>
        <v>#N/A Requesting Data...</v>
      </c>
      <c r="P1633" t="str">
        <f>_xll.BDP("803566BT Muni","MUNI_TAX_PROV")</f>
        <v>#N/A Requesting Data...</v>
      </c>
      <c r="Q1633" t="str">
        <f>_xll.BDP("803566BT Muni","MUNI_FED_TAX")</f>
        <v>#N/A Requesting Data...</v>
      </c>
      <c r="R1633" t="str">
        <f>_xll.BDP("803566BT Muni","MUNI_MSRB_VOLUME")</f>
        <v>#N/A Requesting Data...</v>
      </c>
      <c r="S1633" t="str">
        <f>_xll.BDP("803566BT Muni","BB_COMPOSITE")</f>
        <v>#N/A Requesting Data...</v>
      </c>
      <c r="T1633" t="str">
        <f>_xll.BDP("803566BT Muni","LQA_LIQUIDITY_SCORE")</f>
        <v>#N/A Requesting Data...</v>
      </c>
    </row>
    <row r="1634" spans="1:20" x14ac:dyDescent="0.25">
      <c r="A1634" t="str">
        <f>_xll.BDP("803566BU Muni","ID_CUSIP")</f>
        <v>#N/A Requesting Data...</v>
      </c>
      <c r="B1634" t="s">
        <v>495</v>
      </c>
      <c r="C1634" t="str">
        <f>_xll.BDP("803566BU Muni","INSURANCE_STATUS")</f>
        <v>#N/A Requesting Data...</v>
      </c>
      <c r="D1634" t="str">
        <f>_xll.BDP("803566BU Muni","STATE_CODE")</f>
        <v>#N/A Requesting Data...</v>
      </c>
      <c r="E1634" t="str">
        <f>_xll.BDP("803566BU Muni","COUNTY_LOCATION_ISSUER")</f>
        <v>#N/A Requesting Data...</v>
      </c>
      <c r="F1634" t="str">
        <f>_xll.BDP("803566BU Muni","DUR_ADJ_MID")</f>
        <v>#N/A Requesting Data...</v>
      </c>
      <c r="G1634" t="str">
        <f>_xll.BDP("803566BU Muni","SPREAD_AT_ISSUANCE_TO_WORST")</f>
        <v>#N/A Requesting Data...</v>
      </c>
      <c r="H1634" t="str">
        <f>_xll.BDP("803566BU Muni","ISSUE_DT")</f>
        <v>#N/A Requesting Data...</v>
      </c>
      <c r="I1634" t="str">
        <f>_xll.BDS("803566BU Muni","MUNI_PURPOSE_SCHED", "aggregate=y")</f>
        <v>#N/A Review</v>
      </c>
      <c r="J1634" t="str">
        <f>_xll.BDP("803566BU Muni","CPN")</f>
        <v>#N/A Requesting Data...</v>
      </c>
      <c r="K1634" t="str">
        <f>_xll.BDP("803566BU Muni","MATURITY")</f>
        <v>#N/A Requesting Data...</v>
      </c>
      <c r="L1634">
        <v>470000</v>
      </c>
      <c r="M1634" t="str">
        <f>_xll.BDP("803566BU Muni","YIELD_ON_ISSUE_DATE")</f>
        <v>#N/A Requesting Data...</v>
      </c>
      <c r="N1634" t="str">
        <f>_xll.BDP("803566BU Muni","YTW_SPREAD_TO_MATURITY_AT_ISSU")</f>
        <v>#N/A Requesting Data...</v>
      </c>
      <c r="O1634" t="str">
        <f>_xll.BDP("803566BU Muni","BVAL_MID_YTM")</f>
        <v>#N/A Requesting Data...</v>
      </c>
      <c r="P1634" t="str">
        <f>_xll.BDP("803566BU Muni","MUNI_TAX_PROV")</f>
        <v>#N/A Requesting Data...</v>
      </c>
      <c r="Q1634" t="str">
        <f>_xll.BDP("803566BU Muni","MUNI_FED_TAX")</f>
        <v>#N/A Requesting Data...</v>
      </c>
      <c r="R1634" t="str">
        <f>_xll.BDP("803566BU Muni","MUNI_MSRB_VOLUME")</f>
        <v>#N/A Requesting Data...</v>
      </c>
      <c r="S1634" t="str">
        <f>_xll.BDP("803566BU Muni","BB_COMPOSITE")</f>
        <v>#N/A Requesting Data...</v>
      </c>
      <c r="T1634" t="str">
        <f>_xll.BDP("803566BU Muni","LQA_LIQUIDITY_SCORE")</f>
        <v>#N/A Requesting Data...</v>
      </c>
    </row>
    <row r="1635" spans="1:20" x14ac:dyDescent="0.25">
      <c r="A1635" t="str">
        <f>_xll.BDP("940157D9 Muni","ID_CUSIP")</f>
        <v>#N/A Requesting Data...</v>
      </c>
      <c r="B1635" t="s">
        <v>68</v>
      </c>
      <c r="C1635" t="str">
        <f>_xll.BDP("940157D9 Muni","INSURANCE_STATUS")</f>
        <v>#N/A Requesting Data...</v>
      </c>
      <c r="D1635" t="str">
        <f>_xll.BDP("940157D9 Muni","STATE_CODE")</f>
        <v>#N/A Requesting Data...</v>
      </c>
      <c r="E1635" t="str">
        <f>_xll.BDP("940157D9 Muni","COUNTY_LOCATION_ISSUER")</f>
        <v>#N/A Requesting Data...</v>
      </c>
      <c r="F1635" t="str">
        <f>_xll.BDP("940157D9 Muni","DUR_ADJ_MID")</f>
        <v>#N/A Requesting Data...</v>
      </c>
      <c r="G1635" t="str">
        <f>_xll.BDP("940157D9 Muni","SPREAD_AT_ISSUANCE_TO_WORST")</f>
        <v>#N/A Requesting Data...</v>
      </c>
      <c r="H1635" t="str">
        <f>_xll.BDP("940157D9 Muni","ISSUE_DT")</f>
        <v>#N/A Requesting Data...</v>
      </c>
      <c r="I1635" t="str">
        <f>_xll.BDS("940157D9 Muni","MUNI_PURPOSE_SCHED", "aggregate=y")</f>
        <v>#N/A Review</v>
      </c>
      <c r="J1635" t="str">
        <f>_xll.BDP("940157D9 Muni","CPN")</f>
        <v>#N/A Requesting Data...</v>
      </c>
      <c r="K1635" t="str">
        <f>_xll.BDP("940157D9 Muni","MATURITY")</f>
        <v>#N/A Requesting Data...</v>
      </c>
      <c r="L1635">
        <v>3425000</v>
      </c>
      <c r="M1635" t="str">
        <f>_xll.BDP("940157D9 Muni","YIELD_ON_ISSUE_DATE")</f>
        <v>#N/A Requesting Data...</v>
      </c>
      <c r="N1635" t="str">
        <f>_xll.BDP("940157D9 Muni","YTW_SPREAD_TO_MATURITY_AT_ISSU")</f>
        <v>#N/A Requesting Data...</v>
      </c>
      <c r="O1635" t="str">
        <f>_xll.BDP("940157D9 Muni","BVAL_MID_YTM")</f>
        <v>#N/A Requesting Data...</v>
      </c>
      <c r="P1635" t="str">
        <f>_xll.BDP("940157D9 Muni","MUNI_TAX_PROV")</f>
        <v>#N/A Requesting Data...</v>
      </c>
      <c r="Q1635" t="str">
        <f>_xll.BDP("940157D9 Muni","MUNI_FED_TAX")</f>
        <v>#N/A Requesting Data...</v>
      </c>
      <c r="R1635" t="str">
        <f>_xll.BDP("940157D9 Muni","MUNI_MSRB_VOLUME")</f>
        <v>#N/A Requesting Data...</v>
      </c>
      <c r="S1635" t="str">
        <f>_xll.BDP("940157D9 Muni","BB_COMPOSITE")</f>
        <v>#N/A Requesting Data...</v>
      </c>
      <c r="T1635" t="str">
        <f>_xll.BDP("940157D9 Muni","LQA_LIQUIDITY_SCORE")</f>
        <v>#N/A Requesting Data...</v>
      </c>
    </row>
    <row r="1636" spans="1:20" x14ac:dyDescent="0.25">
      <c r="A1636" t="str">
        <f>_xll.BDP("940157E3 Muni","ID_CUSIP")</f>
        <v>#N/A Requesting Data...</v>
      </c>
      <c r="B1636" t="s">
        <v>68</v>
      </c>
      <c r="C1636" t="str">
        <f>_xll.BDP("940157E3 Muni","INSURANCE_STATUS")</f>
        <v>#N/A Requesting Data...</v>
      </c>
      <c r="D1636" t="str">
        <f>_xll.BDP("940157E3 Muni","STATE_CODE")</f>
        <v>#N/A Requesting Data...</v>
      </c>
      <c r="E1636" t="str">
        <f>_xll.BDP("940157E3 Muni","COUNTY_LOCATION_ISSUER")</f>
        <v>#N/A Requesting Data...</v>
      </c>
      <c r="F1636" t="str">
        <f>_xll.BDP("940157E3 Muni","DUR_ADJ_MID")</f>
        <v>#N/A Requesting Data...</v>
      </c>
      <c r="G1636" t="str">
        <f>_xll.BDP("940157E3 Muni","SPREAD_AT_ISSUANCE_TO_WORST")</f>
        <v>#N/A Requesting Data...</v>
      </c>
      <c r="H1636" t="str">
        <f>_xll.BDP("940157E3 Muni","ISSUE_DT")</f>
        <v>#N/A Requesting Data...</v>
      </c>
      <c r="I1636" t="str">
        <f>_xll.BDS("940157E3 Muni","MUNI_PURPOSE_SCHED", "aggregate=y")</f>
        <v>#N/A Review</v>
      </c>
      <c r="J1636" t="str">
        <f>_xll.BDP("940157E3 Muni","CPN")</f>
        <v>#N/A Requesting Data...</v>
      </c>
      <c r="K1636" t="str">
        <f>_xll.BDP("940157E3 Muni","MATURITY")</f>
        <v>#N/A Requesting Data...</v>
      </c>
      <c r="L1636">
        <v>3780000</v>
      </c>
      <c r="M1636" t="str">
        <f>_xll.BDP("940157E3 Muni","YIELD_ON_ISSUE_DATE")</f>
        <v>#N/A Requesting Data...</v>
      </c>
      <c r="N1636" t="str">
        <f>_xll.BDP("940157E3 Muni","YTW_SPREAD_TO_MATURITY_AT_ISSU")</f>
        <v>#N/A Requesting Data...</v>
      </c>
      <c r="O1636" t="str">
        <f>_xll.BDP("940157E3 Muni","BVAL_MID_YTM")</f>
        <v>#N/A Requesting Data...</v>
      </c>
      <c r="P1636" t="str">
        <f>_xll.BDP("940157E3 Muni","MUNI_TAX_PROV")</f>
        <v>#N/A Requesting Data...</v>
      </c>
      <c r="Q1636" t="str">
        <f>_xll.BDP("940157E3 Muni","MUNI_FED_TAX")</f>
        <v>#N/A Requesting Data...</v>
      </c>
      <c r="R1636" t="str">
        <f>_xll.BDP("940157E3 Muni","MUNI_MSRB_VOLUME")</f>
        <v>#N/A Requesting Data...</v>
      </c>
      <c r="S1636" t="str">
        <f>_xll.BDP("940157E3 Muni","BB_COMPOSITE")</f>
        <v>#N/A Requesting Data...</v>
      </c>
      <c r="T1636" t="str">
        <f>_xll.BDP("940157E3 Muni","LQA_LIQUIDITY_SCORE")</f>
        <v>#N/A Requesting Data...</v>
      </c>
    </row>
    <row r="1637" spans="1:20" x14ac:dyDescent="0.25">
      <c r="A1637" t="str">
        <f>_xll.BDP("940157K4 Muni","ID_CUSIP")</f>
        <v>#N/A Requesting Data...</v>
      </c>
      <c r="B1637" t="s">
        <v>68</v>
      </c>
      <c r="C1637" t="str">
        <f>_xll.BDP("940157K4 Muni","INSURANCE_STATUS")</f>
        <v>#N/A Requesting Data...</v>
      </c>
      <c r="D1637" t="str">
        <f>_xll.BDP("940157K4 Muni","STATE_CODE")</f>
        <v>#N/A Requesting Data...</v>
      </c>
      <c r="E1637" t="str">
        <f>_xll.BDP("940157K4 Muni","COUNTY_LOCATION_ISSUER")</f>
        <v>#N/A Requesting Data...</v>
      </c>
      <c r="F1637" t="str">
        <f>_xll.BDP("940157K4 Muni","DUR_ADJ_MID")</f>
        <v>#N/A Requesting Data...</v>
      </c>
      <c r="G1637" t="str">
        <f>_xll.BDP("940157K4 Muni","SPREAD_AT_ISSUANCE_TO_WORST")</f>
        <v>#N/A Requesting Data...</v>
      </c>
      <c r="H1637" t="str">
        <f>_xll.BDP("940157K4 Muni","ISSUE_DT")</f>
        <v>#N/A Requesting Data...</v>
      </c>
      <c r="I1637" t="str">
        <f>_xll.BDS("940157K4 Muni","MUNI_PURPOSE_SCHED", "aggregate=y")</f>
        <v>#N/A Review</v>
      </c>
      <c r="J1637" t="str">
        <f>_xll.BDP("940157K4 Muni","CPN")</f>
        <v>#N/A Requesting Data...</v>
      </c>
      <c r="K1637" t="str">
        <f>_xll.BDP("940157K4 Muni","MATURITY")</f>
        <v>#N/A Requesting Data...</v>
      </c>
      <c r="L1637">
        <v>8115000</v>
      </c>
      <c r="M1637" t="str">
        <f>_xll.BDP("940157K4 Muni","YIELD_ON_ISSUE_DATE")</f>
        <v>#N/A Requesting Data...</v>
      </c>
      <c r="N1637" t="str">
        <f>_xll.BDP("940157K4 Muni","YTW_SPREAD_TO_MATURITY_AT_ISSU")</f>
        <v>#N/A Requesting Data...</v>
      </c>
      <c r="O1637" t="str">
        <f>_xll.BDP("940157K4 Muni","BVAL_MID_YTM")</f>
        <v>#N/A Requesting Data...</v>
      </c>
      <c r="P1637" t="str">
        <f>_xll.BDP("940157K4 Muni","MUNI_TAX_PROV")</f>
        <v>#N/A Requesting Data...</v>
      </c>
      <c r="Q1637" t="str">
        <f>_xll.BDP("940157K4 Muni","MUNI_FED_TAX")</f>
        <v>#N/A Requesting Data...</v>
      </c>
      <c r="R1637" t="str">
        <f>_xll.BDP("940157K4 Muni","MUNI_MSRB_VOLUME")</f>
        <v>#N/A Requesting Data...</v>
      </c>
      <c r="S1637" t="str">
        <f>_xll.BDP("940157K4 Muni","BB_COMPOSITE")</f>
        <v>#N/A Requesting Data...</v>
      </c>
      <c r="T1637" t="str">
        <f>_xll.BDP("940157K4 Muni","LQA_LIQUIDITY_SCORE")</f>
        <v>#N/A Requesting Data...</v>
      </c>
    </row>
    <row r="1638" spans="1:20" x14ac:dyDescent="0.25">
      <c r="A1638" t="str">
        <f>_xll.BDP("940157K6 Muni","ID_CUSIP")</f>
        <v>#N/A Requesting Data...</v>
      </c>
      <c r="B1638" t="s">
        <v>68</v>
      </c>
      <c r="C1638" t="str">
        <f>_xll.BDP("940157K6 Muni","INSURANCE_STATUS")</f>
        <v>#N/A Requesting Data...</v>
      </c>
      <c r="D1638" t="str">
        <f>_xll.BDP("940157K6 Muni","STATE_CODE")</f>
        <v>#N/A Requesting Data...</v>
      </c>
      <c r="E1638" t="str">
        <f>_xll.BDP("940157K6 Muni","COUNTY_LOCATION_ISSUER")</f>
        <v>#N/A Requesting Data...</v>
      </c>
      <c r="F1638" t="str">
        <f>_xll.BDP("940157K6 Muni","DUR_ADJ_MID")</f>
        <v>#N/A Requesting Data...</v>
      </c>
      <c r="G1638" t="str">
        <f>_xll.BDP("940157K6 Muni","SPREAD_AT_ISSUANCE_TO_WORST")</f>
        <v>#N/A Requesting Data...</v>
      </c>
      <c r="H1638" t="str">
        <f>_xll.BDP("940157K6 Muni","ISSUE_DT")</f>
        <v>#N/A Requesting Data...</v>
      </c>
      <c r="I1638" t="str">
        <f>_xll.BDS("940157K6 Muni","MUNI_PURPOSE_SCHED", "aggregate=y")</f>
        <v>#N/A Review</v>
      </c>
      <c r="J1638" t="str">
        <f>_xll.BDP("940157K6 Muni","CPN")</f>
        <v>#N/A Requesting Data...</v>
      </c>
      <c r="K1638" t="str">
        <f>_xll.BDP("940157K6 Muni","MATURITY")</f>
        <v>#N/A Requesting Data...</v>
      </c>
      <c r="L1638">
        <v>8950000</v>
      </c>
      <c r="M1638" t="str">
        <f>_xll.BDP("940157K6 Muni","YIELD_ON_ISSUE_DATE")</f>
        <v>#N/A Requesting Data...</v>
      </c>
      <c r="N1638" t="str">
        <f>_xll.BDP("940157K6 Muni","YTW_SPREAD_TO_MATURITY_AT_ISSU")</f>
        <v>#N/A Requesting Data...</v>
      </c>
      <c r="O1638" t="str">
        <f>_xll.BDP("940157K6 Muni","BVAL_MID_YTM")</f>
        <v>#N/A Requesting Data...</v>
      </c>
      <c r="P1638" t="str">
        <f>_xll.BDP("940157K6 Muni","MUNI_TAX_PROV")</f>
        <v>#N/A Requesting Data...</v>
      </c>
      <c r="Q1638" t="str">
        <f>_xll.BDP("940157K6 Muni","MUNI_FED_TAX")</f>
        <v>#N/A Requesting Data...</v>
      </c>
      <c r="R1638" t="str">
        <f>_xll.BDP("940157K6 Muni","MUNI_MSRB_VOLUME")</f>
        <v>#N/A Requesting Data...</v>
      </c>
      <c r="S1638" t="str">
        <f>_xll.BDP("940157K6 Muni","BB_COMPOSITE")</f>
        <v>#N/A Requesting Data...</v>
      </c>
      <c r="T1638" t="str">
        <f>_xll.BDP("940157K6 Muni","LQA_LIQUIDITY_SCORE")</f>
        <v>#N/A Requesting Data...</v>
      </c>
    </row>
    <row r="1639" spans="1:20" x14ac:dyDescent="0.25">
      <c r="A1639" t="str">
        <f>_xll.BDP("978642AG Muni","ID_CUSIP")</f>
        <v>#N/A Requesting Data...</v>
      </c>
      <c r="B1639" t="s">
        <v>496</v>
      </c>
      <c r="C1639" t="str">
        <f>_xll.BDP("978642AG Muni","INSURANCE_STATUS")</f>
        <v>#N/A Requesting Data...</v>
      </c>
      <c r="D1639" t="str">
        <f>_xll.BDP("978642AG Muni","STATE_CODE")</f>
        <v>#N/A Requesting Data...</v>
      </c>
      <c r="E1639" t="str">
        <f>_xll.BDP("978642AG Muni","COUNTY_LOCATION_ISSUER")</f>
        <v>#N/A Requesting Data...</v>
      </c>
      <c r="F1639" t="str">
        <f>_xll.BDP("978642AG Muni","DUR_ADJ_MID")</f>
        <v>#N/A Requesting Data...</v>
      </c>
      <c r="G1639" t="str">
        <f>_xll.BDP("978642AG Muni","SPREAD_AT_ISSUANCE_TO_WORST")</f>
        <v>#N/A Requesting Data...</v>
      </c>
      <c r="H1639" t="str">
        <f>_xll.BDP("978642AG Muni","ISSUE_DT")</f>
        <v>#N/A Requesting Data...</v>
      </c>
      <c r="I1639" t="str">
        <f>_xll.BDS("978642AG Muni","MUNI_PURPOSE_SCHED", "aggregate=y")</f>
        <v>#N/A Review</v>
      </c>
      <c r="J1639" t="str">
        <f>_xll.BDP("978642AG Muni","CPN")</f>
        <v>#N/A Requesting Data...</v>
      </c>
      <c r="K1639" t="str">
        <f>_xll.BDP("978642AG Muni","MATURITY")</f>
        <v>#N/A Requesting Data...</v>
      </c>
      <c r="L1639">
        <v>100000</v>
      </c>
      <c r="M1639" t="str">
        <f>_xll.BDP("978642AG Muni","YIELD_ON_ISSUE_DATE")</f>
        <v>#N/A Requesting Data...</v>
      </c>
      <c r="N1639" t="str">
        <f>_xll.BDP("978642AG Muni","YTW_SPREAD_TO_MATURITY_AT_ISSU")</f>
        <v>#N/A Requesting Data...</v>
      </c>
      <c r="O1639" t="str">
        <f>_xll.BDP("978642AG Muni","BVAL_MID_YTM")</f>
        <v>#N/A Requesting Data...</v>
      </c>
      <c r="P1639" t="str">
        <f>_xll.BDP("978642AG Muni","MUNI_TAX_PROV")</f>
        <v>#N/A Requesting Data...</v>
      </c>
      <c r="Q1639" t="str">
        <f>_xll.BDP("978642AG Muni","MUNI_FED_TAX")</f>
        <v>#N/A Requesting Data...</v>
      </c>
      <c r="R1639" t="str">
        <f>_xll.BDP("978642AG Muni","MUNI_MSRB_VOLUME")</f>
        <v>#N/A Requesting Data...</v>
      </c>
      <c r="S1639" t="str">
        <f>_xll.BDP("978642AG Muni","BB_COMPOSITE")</f>
        <v>#N/A Requesting Data...</v>
      </c>
      <c r="T1639" t="str">
        <f>_xll.BDP("978642AG Muni","LQA_LIQUIDITY_SCORE")</f>
        <v>#N/A Requesting Data...</v>
      </c>
    </row>
    <row r="1640" spans="1:20" x14ac:dyDescent="0.25">
      <c r="A1640" t="str">
        <f>_xll.BDP("979259EK Muni","ID_CUSIP")</f>
        <v>#N/A Requesting Data...</v>
      </c>
      <c r="B1640" t="s">
        <v>497</v>
      </c>
      <c r="C1640" t="str">
        <f>_xll.BDP("979259EK Muni","INSURANCE_STATUS")</f>
        <v>#N/A Requesting Data...</v>
      </c>
      <c r="D1640" t="str">
        <f>_xll.BDP("979259EK Muni","STATE_CODE")</f>
        <v>#N/A Requesting Data...</v>
      </c>
      <c r="E1640" t="str">
        <f>_xll.BDP("979259EK Muni","COUNTY_LOCATION_ISSUER")</f>
        <v>#N/A Requesting Data...</v>
      </c>
      <c r="F1640" t="str">
        <f>_xll.BDP("979259EK Muni","DUR_ADJ_MID")</f>
        <v>#N/A Requesting Data...</v>
      </c>
      <c r="G1640" t="str">
        <f>_xll.BDP("979259EK Muni","SPREAD_AT_ISSUANCE_TO_WORST")</f>
        <v>#N/A Requesting Data...</v>
      </c>
      <c r="H1640" t="str">
        <f>_xll.BDP("979259EK Muni","ISSUE_DT")</f>
        <v>#N/A Requesting Data...</v>
      </c>
      <c r="I1640" t="str">
        <f>_xll.BDS("979259EK Muni","MUNI_PURPOSE_SCHED", "aggregate=y")</f>
        <v>#N/A Review</v>
      </c>
      <c r="J1640" t="str">
        <f>_xll.BDP("979259EK Muni","CPN")</f>
        <v>#N/A Requesting Data...</v>
      </c>
      <c r="K1640" t="str">
        <f>_xll.BDP("979259EK Muni","MATURITY")</f>
        <v>#N/A Requesting Data...</v>
      </c>
      <c r="L1640">
        <v>150000</v>
      </c>
      <c r="M1640" t="str">
        <f>_xll.BDP("979259EK Muni","YIELD_ON_ISSUE_DATE")</f>
        <v>#N/A Requesting Data...</v>
      </c>
      <c r="N1640" t="str">
        <f>_xll.BDP("979259EK Muni","YTW_SPREAD_TO_MATURITY_AT_ISSU")</f>
        <v>#N/A Requesting Data...</v>
      </c>
      <c r="O1640" t="str">
        <f>_xll.BDP("979259EK Muni","BVAL_MID_YTM")</f>
        <v>#N/A Requesting Data...</v>
      </c>
      <c r="P1640" t="str">
        <f>_xll.BDP("979259EK Muni","MUNI_TAX_PROV")</f>
        <v>#N/A Requesting Data...</v>
      </c>
      <c r="Q1640" t="str">
        <f>_xll.BDP("979259EK Muni","MUNI_FED_TAX")</f>
        <v>#N/A Requesting Data...</v>
      </c>
      <c r="R1640" t="str">
        <f>_xll.BDP("979259EK Muni","MUNI_MSRB_VOLUME")</f>
        <v>#N/A Requesting Data...</v>
      </c>
      <c r="S1640" t="str">
        <f>_xll.BDP("979259EK Muni","BB_COMPOSITE")</f>
        <v>#N/A Requesting Data...</v>
      </c>
      <c r="T1640" t="str">
        <f>_xll.BDP("979259EK Muni","LQA_LIQUIDITY_SCORE")</f>
        <v>#N/A Requesting Data...</v>
      </c>
    </row>
    <row r="1641" spans="1:20" x14ac:dyDescent="0.25">
      <c r="A1641" t="str">
        <f>_xll.BDP("979259EL Muni","ID_CUSIP")</f>
        <v>#N/A Requesting Data...</v>
      </c>
      <c r="B1641" t="s">
        <v>497</v>
      </c>
      <c r="C1641" t="str">
        <f>_xll.BDP("979259EL Muni","INSURANCE_STATUS")</f>
        <v>#N/A Requesting Data...</v>
      </c>
      <c r="D1641" t="str">
        <f>_xll.BDP("979259EL Muni","STATE_CODE")</f>
        <v>#N/A Requesting Data...</v>
      </c>
      <c r="E1641" t="str">
        <f>_xll.BDP("979259EL Muni","COUNTY_LOCATION_ISSUER")</f>
        <v>#N/A Requesting Data...</v>
      </c>
      <c r="F1641" t="str">
        <f>_xll.BDP("979259EL Muni","DUR_ADJ_MID")</f>
        <v>#N/A Requesting Data...</v>
      </c>
      <c r="G1641" t="str">
        <f>_xll.BDP("979259EL Muni","SPREAD_AT_ISSUANCE_TO_WORST")</f>
        <v>#N/A Requesting Data...</v>
      </c>
      <c r="H1641" t="str">
        <f>_xll.BDP("979259EL Muni","ISSUE_DT")</f>
        <v>#N/A Requesting Data...</v>
      </c>
      <c r="I1641" t="str">
        <f>_xll.BDS("979259EL Muni","MUNI_PURPOSE_SCHED", "aggregate=y")</f>
        <v>#N/A Review</v>
      </c>
      <c r="J1641" t="str">
        <f>_xll.BDP("979259EL Muni","CPN")</f>
        <v>#N/A Requesting Data...</v>
      </c>
      <c r="K1641" t="str">
        <f>_xll.BDP("979259EL Muni","MATURITY")</f>
        <v>#N/A Requesting Data...</v>
      </c>
      <c r="L1641">
        <v>150000</v>
      </c>
      <c r="M1641" t="str">
        <f>_xll.BDP("979259EL Muni","YIELD_ON_ISSUE_DATE")</f>
        <v>#N/A Requesting Data...</v>
      </c>
      <c r="N1641" t="str">
        <f>_xll.BDP("979259EL Muni","YTW_SPREAD_TO_MATURITY_AT_ISSU")</f>
        <v>#N/A Requesting Data...</v>
      </c>
      <c r="O1641" t="str">
        <f>_xll.BDP("979259EL Muni","BVAL_MID_YTM")</f>
        <v>#N/A Requesting Data...</v>
      </c>
      <c r="P1641" t="str">
        <f>_xll.BDP("979259EL Muni","MUNI_TAX_PROV")</f>
        <v>#N/A Requesting Data...</v>
      </c>
      <c r="Q1641" t="str">
        <f>_xll.BDP("979259EL Muni","MUNI_FED_TAX")</f>
        <v>#N/A Requesting Data...</v>
      </c>
      <c r="R1641" t="str">
        <f>_xll.BDP("979259EL Muni","MUNI_MSRB_VOLUME")</f>
        <v>#N/A Requesting Data...</v>
      </c>
      <c r="S1641" t="str">
        <f>_xll.BDP("979259EL Muni","BB_COMPOSITE")</f>
        <v>#N/A Requesting Data...</v>
      </c>
      <c r="T1641" t="str">
        <f>_xll.BDP("979259EL Muni","LQA_LIQUIDITY_SCORE")</f>
        <v>#N/A Requesting Data...</v>
      </c>
    </row>
    <row r="1642" spans="1:20" x14ac:dyDescent="0.25">
      <c r="A1642" t="str">
        <f>_xll.BDP("97989WAF Muni","ID_CUSIP")</f>
        <v>#N/A Requesting Data...</v>
      </c>
      <c r="B1642" t="s">
        <v>498</v>
      </c>
      <c r="C1642" t="str">
        <f>_xll.BDP("97989WAF Muni","INSURANCE_STATUS")</f>
        <v>#N/A Requesting Data...</v>
      </c>
      <c r="D1642" t="str">
        <f>_xll.BDP("97989WAF Muni","STATE_CODE")</f>
        <v>#N/A Requesting Data...</v>
      </c>
      <c r="E1642" t="str">
        <f>_xll.BDP("97989WAF Muni","COUNTY_LOCATION_ISSUER")</f>
        <v>#N/A Requesting Data...</v>
      </c>
      <c r="F1642" t="str">
        <f>_xll.BDP("97989WAF Muni","DUR_ADJ_MID")</f>
        <v>#N/A Requesting Data...</v>
      </c>
      <c r="G1642" t="str">
        <f>_xll.BDP("97989WAF Muni","SPREAD_AT_ISSUANCE_TO_WORST")</f>
        <v>#N/A Requesting Data...</v>
      </c>
      <c r="H1642" t="str">
        <f>_xll.BDP("97989WAF Muni","ISSUE_DT")</f>
        <v>#N/A Requesting Data...</v>
      </c>
      <c r="I1642" t="str">
        <f>_xll.BDS("97989WAF Muni","MUNI_PURPOSE_SCHED", "aggregate=y")</f>
        <v>#N/A Review</v>
      </c>
      <c r="J1642" t="str">
        <f>_xll.BDP("97989WAF Muni","CPN")</f>
        <v>#N/A Requesting Data...</v>
      </c>
      <c r="K1642" t="str">
        <f>_xll.BDP("97989WAF Muni","MATURITY")</f>
        <v>#N/A Requesting Data...</v>
      </c>
      <c r="L1642">
        <v>145000</v>
      </c>
      <c r="M1642" t="str">
        <f>_xll.BDP("97989WAF Muni","YIELD_ON_ISSUE_DATE")</f>
        <v>#N/A Requesting Data...</v>
      </c>
      <c r="N1642" t="str">
        <f>_xll.BDP("97989WAF Muni","YTW_SPREAD_TO_MATURITY_AT_ISSU")</f>
        <v>#N/A Requesting Data...</v>
      </c>
      <c r="O1642" t="str">
        <f>_xll.BDP("97989WAF Muni","BVAL_MID_YTM")</f>
        <v>#N/A Requesting Data...</v>
      </c>
      <c r="P1642" t="str">
        <f>_xll.BDP("97989WAF Muni","MUNI_TAX_PROV")</f>
        <v>#N/A Requesting Data...</v>
      </c>
      <c r="Q1642" t="str">
        <f>_xll.BDP("97989WAF Muni","MUNI_FED_TAX")</f>
        <v>#N/A Requesting Data...</v>
      </c>
      <c r="R1642" t="str">
        <f>_xll.BDP("97989WAF Muni","MUNI_MSRB_VOLUME")</f>
        <v>#N/A Requesting Data...</v>
      </c>
      <c r="S1642" t="str">
        <f>_xll.BDP("97989WAF Muni","BB_COMPOSITE")</f>
        <v>#N/A Requesting Data...</v>
      </c>
      <c r="T1642" t="str">
        <f>_xll.BDP("97989WAF Muni","LQA_LIQUIDITY_SCORE")</f>
        <v>#N/A Requesting Data...</v>
      </c>
    </row>
    <row r="1643" spans="1:20" x14ac:dyDescent="0.25">
      <c r="A1643" t="str">
        <f>_xll.BDP("980805RC Muni","ID_CUSIP")</f>
        <v>#N/A Requesting Data...</v>
      </c>
      <c r="B1643" t="s">
        <v>499</v>
      </c>
      <c r="C1643" t="str">
        <f>_xll.BDP("980805RC Muni","INSURANCE_STATUS")</f>
        <v>#N/A Requesting Data...</v>
      </c>
      <c r="D1643" t="str">
        <f>_xll.BDP("980805RC Muni","STATE_CODE")</f>
        <v>#N/A Requesting Data...</v>
      </c>
      <c r="E1643" t="str">
        <f>_xll.BDP("980805RC Muni","COUNTY_LOCATION_ISSUER")</f>
        <v>#N/A Requesting Data...</v>
      </c>
      <c r="F1643" t="str">
        <f>_xll.BDP("980805RC Muni","DUR_ADJ_MID")</f>
        <v>#N/A Requesting Data...</v>
      </c>
      <c r="G1643" t="str">
        <f>_xll.BDP("980805RC Muni","SPREAD_AT_ISSUANCE_TO_WORST")</f>
        <v>#N/A Requesting Data...</v>
      </c>
      <c r="H1643" t="str">
        <f>_xll.BDP("980805RC Muni","ISSUE_DT")</f>
        <v>#N/A Requesting Data...</v>
      </c>
      <c r="I1643" t="str">
        <f>_xll.BDS("980805RC Muni","MUNI_PURPOSE_SCHED", "aggregate=y")</f>
        <v>#N/A Review</v>
      </c>
      <c r="J1643" t="str">
        <f>_xll.BDP("980805RC Muni","CPN")</f>
        <v>#N/A Requesting Data...</v>
      </c>
      <c r="K1643" t="str">
        <f>_xll.BDP("980805RC Muni","MATURITY")</f>
        <v>#N/A Requesting Data...</v>
      </c>
      <c r="L1643">
        <v>235000</v>
      </c>
      <c r="M1643" t="str">
        <f>_xll.BDP("980805RC Muni","YIELD_ON_ISSUE_DATE")</f>
        <v>#N/A Requesting Data...</v>
      </c>
      <c r="N1643" t="str">
        <f>_xll.BDP("980805RC Muni","YTW_SPREAD_TO_MATURITY_AT_ISSU")</f>
        <v>#N/A Requesting Data...</v>
      </c>
      <c r="O1643" t="str">
        <f>_xll.BDP("980805RC Muni","BVAL_MID_YTM")</f>
        <v>#N/A Requesting Data...</v>
      </c>
      <c r="P1643" t="str">
        <f>_xll.BDP("980805RC Muni","MUNI_TAX_PROV")</f>
        <v>#N/A Requesting Data...</v>
      </c>
      <c r="Q1643" t="str">
        <f>_xll.BDP("980805RC Muni","MUNI_FED_TAX")</f>
        <v>#N/A Requesting Data...</v>
      </c>
      <c r="R1643" t="str">
        <f>_xll.BDP("980805RC Muni","MUNI_MSRB_VOLUME")</f>
        <v>#N/A Requesting Data...</v>
      </c>
      <c r="S1643" t="str">
        <f>_xll.BDP("980805RC Muni","BB_COMPOSITE")</f>
        <v>#N/A Requesting Data...</v>
      </c>
      <c r="T1643" t="str">
        <f>_xll.BDP("980805RC Muni","LQA_LIQUIDITY_SCORE")</f>
        <v>#N/A Requesting Data...</v>
      </c>
    </row>
    <row r="1644" spans="1:20" x14ac:dyDescent="0.25">
      <c r="A1644" t="str">
        <f>_xll.BDP("980805RD Muni","ID_CUSIP")</f>
        <v>#N/A Requesting Data...</v>
      </c>
      <c r="B1644" t="s">
        <v>499</v>
      </c>
      <c r="C1644" t="str">
        <f>_xll.BDP("980805RD Muni","INSURANCE_STATUS")</f>
        <v>#N/A Requesting Data...</v>
      </c>
      <c r="D1644" t="str">
        <f>_xll.BDP("980805RD Muni","STATE_CODE")</f>
        <v>#N/A Requesting Data...</v>
      </c>
      <c r="E1644" t="str">
        <f>_xll.BDP("980805RD Muni","COUNTY_LOCATION_ISSUER")</f>
        <v>#N/A Requesting Data...</v>
      </c>
      <c r="F1644" t="str">
        <f>_xll.BDP("980805RD Muni","DUR_ADJ_MID")</f>
        <v>#N/A Requesting Data...</v>
      </c>
      <c r="G1644" t="str">
        <f>_xll.BDP("980805RD Muni","SPREAD_AT_ISSUANCE_TO_WORST")</f>
        <v>#N/A Requesting Data...</v>
      </c>
      <c r="H1644" t="str">
        <f>_xll.BDP("980805RD Muni","ISSUE_DT")</f>
        <v>#N/A Requesting Data...</v>
      </c>
      <c r="I1644" t="str">
        <f>_xll.BDS("980805RD Muni","MUNI_PURPOSE_SCHED", "aggregate=y")</f>
        <v>#N/A Review</v>
      </c>
      <c r="J1644" t="str">
        <f>_xll.BDP("980805RD Muni","CPN")</f>
        <v>#N/A Requesting Data...</v>
      </c>
      <c r="K1644" t="str">
        <f>_xll.BDP("980805RD Muni","MATURITY")</f>
        <v>#N/A Requesting Data...</v>
      </c>
      <c r="L1644">
        <v>240000</v>
      </c>
      <c r="M1644" t="str">
        <f>_xll.BDP("980805RD Muni","YIELD_ON_ISSUE_DATE")</f>
        <v>#N/A Requesting Data...</v>
      </c>
      <c r="N1644" t="str">
        <f>_xll.BDP("980805RD Muni","YTW_SPREAD_TO_MATURITY_AT_ISSU")</f>
        <v>#N/A Requesting Data...</v>
      </c>
      <c r="O1644" t="str">
        <f>_xll.BDP("980805RD Muni","BVAL_MID_YTM")</f>
        <v>#N/A Requesting Data...</v>
      </c>
      <c r="P1644" t="str">
        <f>_xll.BDP("980805RD Muni","MUNI_TAX_PROV")</f>
        <v>#N/A Requesting Data...</v>
      </c>
      <c r="Q1644" t="str">
        <f>_xll.BDP("980805RD Muni","MUNI_FED_TAX")</f>
        <v>#N/A Requesting Data...</v>
      </c>
      <c r="R1644" t="str">
        <f>_xll.BDP("980805RD Muni","MUNI_MSRB_VOLUME")</f>
        <v>#N/A Requesting Data...</v>
      </c>
      <c r="S1644" t="str">
        <f>_xll.BDP("980805RD Muni","BB_COMPOSITE")</f>
        <v>#N/A Requesting Data...</v>
      </c>
      <c r="T1644" t="str">
        <f>_xll.BDP("980805RD Muni","LQA_LIQUIDITY_SCORE")</f>
        <v>#N/A Requesting Data...</v>
      </c>
    </row>
    <row r="1645" spans="1:20" x14ac:dyDescent="0.25">
      <c r="A1645" t="str">
        <f>_xll.BDP("980805RE Muni","ID_CUSIP")</f>
        <v>#N/A Requesting Data...</v>
      </c>
      <c r="B1645" t="s">
        <v>499</v>
      </c>
      <c r="C1645" t="str">
        <f>_xll.BDP("980805RE Muni","INSURANCE_STATUS")</f>
        <v>#N/A Requesting Data...</v>
      </c>
      <c r="D1645" t="str">
        <f>_xll.BDP("980805RE Muni","STATE_CODE")</f>
        <v>#N/A Requesting Data...</v>
      </c>
      <c r="E1645" t="str">
        <f>_xll.BDP("980805RE Muni","COUNTY_LOCATION_ISSUER")</f>
        <v>#N/A Requesting Data...</v>
      </c>
      <c r="F1645" t="str">
        <f>_xll.BDP("980805RE Muni","DUR_ADJ_MID")</f>
        <v>#N/A Requesting Data...</v>
      </c>
      <c r="G1645" t="str">
        <f>_xll.BDP("980805RE Muni","SPREAD_AT_ISSUANCE_TO_WORST")</f>
        <v>#N/A Requesting Data...</v>
      </c>
      <c r="H1645" t="str">
        <f>_xll.BDP("980805RE Muni","ISSUE_DT")</f>
        <v>#N/A Requesting Data...</v>
      </c>
      <c r="I1645" t="str">
        <f>_xll.BDS("980805RE Muni","MUNI_PURPOSE_SCHED", "aggregate=y")</f>
        <v>#N/A Review</v>
      </c>
      <c r="J1645" t="str">
        <f>_xll.BDP("980805RE Muni","CPN")</f>
        <v>#N/A Requesting Data...</v>
      </c>
      <c r="K1645" t="str">
        <f>_xll.BDP("980805RE Muni","MATURITY")</f>
        <v>#N/A Requesting Data...</v>
      </c>
      <c r="L1645">
        <v>245000</v>
      </c>
      <c r="M1645" t="str">
        <f>_xll.BDP("980805RE Muni","YIELD_ON_ISSUE_DATE")</f>
        <v>#N/A Requesting Data...</v>
      </c>
      <c r="N1645" t="str">
        <f>_xll.BDP("980805RE Muni","YTW_SPREAD_TO_MATURITY_AT_ISSU")</f>
        <v>#N/A Requesting Data...</v>
      </c>
      <c r="O1645" t="str">
        <f>_xll.BDP("980805RE Muni","BVAL_MID_YTM")</f>
        <v>#N/A Requesting Data...</v>
      </c>
      <c r="P1645" t="str">
        <f>_xll.BDP("980805RE Muni","MUNI_TAX_PROV")</f>
        <v>#N/A Requesting Data...</v>
      </c>
      <c r="Q1645" t="str">
        <f>_xll.BDP("980805RE Muni","MUNI_FED_TAX")</f>
        <v>#N/A Requesting Data...</v>
      </c>
      <c r="R1645" t="str">
        <f>_xll.BDP("980805RE Muni","MUNI_MSRB_VOLUME")</f>
        <v>#N/A Requesting Data...</v>
      </c>
      <c r="S1645" t="str">
        <f>_xll.BDP("980805RE Muni","BB_COMPOSITE")</f>
        <v>#N/A Requesting Data...</v>
      </c>
      <c r="T1645" t="str">
        <f>_xll.BDP("980805RE Muni","LQA_LIQUIDITY_SCORE")</f>
        <v>#N/A Requesting Data...</v>
      </c>
    </row>
    <row r="1646" spans="1:20" x14ac:dyDescent="0.25">
      <c r="A1646" t="str">
        <f>_xll.BDP("980805RF Muni","ID_CUSIP")</f>
        <v>#N/A Requesting Data...</v>
      </c>
      <c r="B1646" t="s">
        <v>499</v>
      </c>
      <c r="C1646" t="str">
        <f>_xll.BDP("980805RF Muni","INSURANCE_STATUS")</f>
        <v>#N/A Requesting Data...</v>
      </c>
      <c r="D1646" t="str">
        <f>_xll.BDP("980805RF Muni","STATE_CODE")</f>
        <v>#N/A Requesting Data...</v>
      </c>
      <c r="E1646" t="str">
        <f>_xll.BDP("980805RF Muni","COUNTY_LOCATION_ISSUER")</f>
        <v>#N/A Requesting Data...</v>
      </c>
      <c r="F1646" t="str">
        <f>_xll.BDP("980805RF Muni","DUR_ADJ_MID")</f>
        <v>#N/A Requesting Data...</v>
      </c>
      <c r="G1646" t="str">
        <f>_xll.BDP("980805RF Muni","SPREAD_AT_ISSUANCE_TO_WORST")</f>
        <v>#N/A Requesting Data...</v>
      </c>
      <c r="H1646" t="str">
        <f>_xll.BDP("980805RF Muni","ISSUE_DT")</f>
        <v>#N/A Requesting Data...</v>
      </c>
      <c r="I1646" t="str">
        <f>_xll.BDS("980805RF Muni","MUNI_PURPOSE_SCHED", "aggregate=y")</f>
        <v>#N/A Review</v>
      </c>
      <c r="J1646" t="str">
        <f>_xll.BDP("980805RF Muni","CPN")</f>
        <v>#N/A Requesting Data...</v>
      </c>
      <c r="K1646" t="str">
        <f>_xll.BDP("980805RF Muni","MATURITY")</f>
        <v>#N/A Requesting Data...</v>
      </c>
      <c r="L1646">
        <v>250000</v>
      </c>
      <c r="M1646" t="str">
        <f>_xll.BDP("980805RF Muni","YIELD_ON_ISSUE_DATE")</f>
        <v>#N/A Requesting Data...</v>
      </c>
      <c r="N1646" t="str">
        <f>_xll.BDP("980805RF Muni","YTW_SPREAD_TO_MATURITY_AT_ISSU")</f>
        <v>#N/A Requesting Data...</v>
      </c>
      <c r="O1646" t="str">
        <f>_xll.BDP("980805RF Muni","BVAL_MID_YTM")</f>
        <v>#N/A Requesting Data...</v>
      </c>
      <c r="P1646" t="str">
        <f>_xll.BDP("980805RF Muni","MUNI_TAX_PROV")</f>
        <v>#N/A Requesting Data...</v>
      </c>
      <c r="Q1646" t="str">
        <f>_xll.BDP("980805RF Muni","MUNI_FED_TAX")</f>
        <v>#N/A Requesting Data...</v>
      </c>
      <c r="R1646" t="str">
        <f>_xll.BDP("980805RF Muni","MUNI_MSRB_VOLUME")</f>
        <v>#N/A Requesting Data...</v>
      </c>
      <c r="S1646" t="str">
        <f>_xll.BDP("980805RF Muni","BB_COMPOSITE")</f>
        <v>#N/A Requesting Data...</v>
      </c>
      <c r="T1646" t="str">
        <f>_xll.BDP("980805RF Muni","LQA_LIQUIDITY_SCORE")</f>
        <v>#N/A Requesting Data...</v>
      </c>
    </row>
    <row r="1647" spans="1:20" x14ac:dyDescent="0.25">
      <c r="A1647" t="str">
        <f>_xll.BDP("982674KK Muni","ID_CUSIP")</f>
        <v>#N/A Requesting Data...</v>
      </c>
      <c r="B1647" t="s">
        <v>109</v>
      </c>
      <c r="C1647" t="str">
        <f>_xll.BDP("982674KK Muni","INSURANCE_STATUS")</f>
        <v>#N/A Requesting Data...</v>
      </c>
      <c r="D1647" t="str">
        <f>_xll.BDP("982674KK Muni","STATE_CODE")</f>
        <v>#N/A Requesting Data...</v>
      </c>
      <c r="E1647" t="str">
        <f>_xll.BDP("982674KK Muni","COUNTY_LOCATION_ISSUER")</f>
        <v>#N/A Requesting Data...</v>
      </c>
      <c r="F1647" t="str">
        <f>_xll.BDP("982674KK Muni","DUR_ADJ_MID")</f>
        <v>#N/A Requesting Data...</v>
      </c>
      <c r="G1647" t="str">
        <f>_xll.BDP("982674KK Muni","SPREAD_AT_ISSUANCE_TO_WORST")</f>
        <v>#N/A Requesting Data...</v>
      </c>
      <c r="H1647" t="str">
        <f>_xll.BDP("982674KK Muni","ISSUE_DT")</f>
        <v>#N/A Requesting Data...</v>
      </c>
      <c r="I1647" t="str">
        <f>_xll.BDS("982674KK Muni","MUNI_PURPOSE_SCHED", "aggregate=y")</f>
        <v>#N/A Review</v>
      </c>
      <c r="J1647" t="str">
        <f>_xll.BDP("982674KK Muni","CPN")</f>
        <v>#N/A Requesting Data...</v>
      </c>
      <c r="K1647" t="str">
        <f>_xll.BDP("982674KK Muni","MATURITY")</f>
        <v>#N/A Requesting Data...</v>
      </c>
      <c r="L1647">
        <v>2735000</v>
      </c>
      <c r="M1647" t="str">
        <f>_xll.BDP("982674KK Muni","YIELD_ON_ISSUE_DATE")</f>
        <v>#N/A Requesting Data...</v>
      </c>
      <c r="N1647" t="str">
        <f>_xll.BDP("982674KK Muni","YTW_SPREAD_TO_MATURITY_AT_ISSU")</f>
        <v>#N/A Requesting Data...</v>
      </c>
      <c r="O1647" t="str">
        <f>_xll.BDP("982674KK Muni","BVAL_MID_YTM")</f>
        <v>#N/A Requesting Data...</v>
      </c>
      <c r="P1647" t="str">
        <f>_xll.BDP("982674KK Muni","MUNI_TAX_PROV")</f>
        <v>#N/A Requesting Data...</v>
      </c>
      <c r="Q1647" t="str">
        <f>_xll.BDP("982674KK Muni","MUNI_FED_TAX")</f>
        <v>#N/A Requesting Data...</v>
      </c>
      <c r="R1647" t="str">
        <f>_xll.BDP("982674KK Muni","MUNI_MSRB_VOLUME")</f>
        <v>#N/A Requesting Data...</v>
      </c>
      <c r="S1647" t="str">
        <f>_xll.BDP("982674KK Muni","BB_COMPOSITE")</f>
        <v>#N/A Requesting Data...</v>
      </c>
      <c r="T1647" t="str">
        <f>_xll.BDP("982674KK Muni","LQA_LIQUIDITY_SCORE")</f>
        <v>#N/A Requesting Data...</v>
      </c>
    </row>
    <row r="1648" spans="1:20" x14ac:dyDescent="0.25">
      <c r="A1648" t="str">
        <f>_xll.BDP("982674KL Muni","ID_CUSIP")</f>
        <v>#N/A Requesting Data...</v>
      </c>
      <c r="B1648" t="s">
        <v>109</v>
      </c>
      <c r="C1648" t="str">
        <f>_xll.BDP("982674KL Muni","INSURANCE_STATUS")</f>
        <v>#N/A Requesting Data...</v>
      </c>
      <c r="D1648" t="str">
        <f>_xll.BDP("982674KL Muni","STATE_CODE")</f>
        <v>#N/A Requesting Data...</v>
      </c>
      <c r="E1648" t="str">
        <f>_xll.BDP("982674KL Muni","COUNTY_LOCATION_ISSUER")</f>
        <v>#N/A Requesting Data...</v>
      </c>
      <c r="F1648" t="str">
        <f>_xll.BDP("982674KL Muni","DUR_ADJ_MID")</f>
        <v>#N/A Requesting Data...</v>
      </c>
      <c r="G1648" t="str">
        <f>_xll.BDP("982674KL Muni","SPREAD_AT_ISSUANCE_TO_WORST")</f>
        <v>#N/A Requesting Data...</v>
      </c>
      <c r="H1648" t="str">
        <f>_xll.BDP("982674KL Muni","ISSUE_DT")</f>
        <v>#N/A Requesting Data...</v>
      </c>
      <c r="I1648" t="str">
        <f>_xll.BDS("982674KL Muni","MUNI_PURPOSE_SCHED", "aggregate=y")</f>
        <v>#N/A Review</v>
      </c>
      <c r="J1648" t="str">
        <f>_xll.BDP("982674KL Muni","CPN")</f>
        <v>#N/A Requesting Data...</v>
      </c>
      <c r="K1648" t="str">
        <f>_xll.BDP("982674KL Muni","MATURITY")</f>
        <v>#N/A Requesting Data...</v>
      </c>
      <c r="L1648">
        <v>2870000</v>
      </c>
      <c r="M1648" t="str">
        <f>_xll.BDP("982674KL Muni","YIELD_ON_ISSUE_DATE")</f>
        <v>#N/A Requesting Data...</v>
      </c>
      <c r="N1648" t="str">
        <f>_xll.BDP("982674KL Muni","YTW_SPREAD_TO_MATURITY_AT_ISSU")</f>
        <v>#N/A Requesting Data...</v>
      </c>
      <c r="O1648" t="str">
        <f>_xll.BDP("982674KL Muni","BVAL_MID_YTM")</f>
        <v>#N/A Requesting Data...</v>
      </c>
      <c r="P1648" t="str">
        <f>_xll.BDP("982674KL Muni","MUNI_TAX_PROV")</f>
        <v>#N/A Requesting Data...</v>
      </c>
      <c r="Q1648" t="str">
        <f>_xll.BDP("982674KL Muni","MUNI_FED_TAX")</f>
        <v>#N/A Requesting Data...</v>
      </c>
      <c r="R1648" t="str">
        <f>_xll.BDP("982674KL Muni","MUNI_MSRB_VOLUME")</f>
        <v>#N/A Requesting Data...</v>
      </c>
      <c r="S1648" t="str">
        <f>_xll.BDP("982674KL Muni","BB_COMPOSITE")</f>
        <v>#N/A Requesting Data...</v>
      </c>
      <c r="T1648" t="str">
        <f>_xll.BDP("982674KL Muni","LQA_LIQUIDITY_SCORE")</f>
        <v>#N/A Requesting Data...</v>
      </c>
    </row>
    <row r="1649" spans="1:20" x14ac:dyDescent="0.25">
      <c r="A1649" t="str">
        <f>_xll.BDP("982674KM Muni","ID_CUSIP")</f>
        <v>#N/A Requesting Data...</v>
      </c>
      <c r="B1649" t="s">
        <v>109</v>
      </c>
      <c r="C1649" t="str">
        <f>_xll.BDP("982674KM Muni","INSURANCE_STATUS")</f>
        <v>#N/A Requesting Data...</v>
      </c>
      <c r="D1649" t="str">
        <f>_xll.BDP("982674KM Muni","STATE_CODE")</f>
        <v>#N/A Requesting Data...</v>
      </c>
      <c r="E1649" t="str">
        <f>_xll.BDP("982674KM Muni","COUNTY_LOCATION_ISSUER")</f>
        <v>#N/A Requesting Data...</v>
      </c>
      <c r="F1649" t="str">
        <f>_xll.BDP("982674KM Muni","DUR_ADJ_MID")</f>
        <v>#N/A Requesting Data...</v>
      </c>
      <c r="G1649" t="str">
        <f>_xll.BDP("982674KM Muni","SPREAD_AT_ISSUANCE_TO_WORST")</f>
        <v>#N/A Requesting Data...</v>
      </c>
      <c r="H1649" t="str">
        <f>_xll.BDP("982674KM Muni","ISSUE_DT")</f>
        <v>#N/A Requesting Data...</v>
      </c>
      <c r="I1649" t="str">
        <f>_xll.BDS("982674KM Muni","MUNI_PURPOSE_SCHED", "aggregate=y")</f>
        <v>#N/A Review</v>
      </c>
      <c r="J1649" t="str">
        <f>_xll.BDP("982674KM Muni","CPN")</f>
        <v>#N/A Requesting Data...</v>
      </c>
      <c r="K1649" t="str">
        <f>_xll.BDP("982674KM Muni","MATURITY")</f>
        <v>#N/A Requesting Data...</v>
      </c>
      <c r="L1649">
        <v>3015000</v>
      </c>
      <c r="M1649" t="str">
        <f>_xll.BDP("982674KM Muni","YIELD_ON_ISSUE_DATE")</f>
        <v>#N/A Requesting Data...</v>
      </c>
      <c r="N1649" t="str">
        <f>_xll.BDP("982674KM Muni","YTW_SPREAD_TO_MATURITY_AT_ISSU")</f>
        <v>#N/A Requesting Data...</v>
      </c>
      <c r="O1649" t="str">
        <f>_xll.BDP("982674KM Muni","BVAL_MID_YTM")</f>
        <v>#N/A Requesting Data...</v>
      </c>
      <c r="P1649" t="str">
        <f>_xll.BDP("982674KM Muni","MUNI_TAX_PROV")</f>
        <v>#N/A Requesting Data...</v>
      </c>
      <c r="Q1649" t="str">
        <f>_xll.BDP("982674KM Muni","MUNI_FED_TAX")</f>
        <v>#N/A Requesting Data...</v>
      </c>
      <c r="R1649" t="str">
        <f>_xll.BDP("982674KM Muni","MUNI_MSRB_VOLUME")</f>
        <v>#N/A Requesting Data...</v>
      </c>
      <c r="S1649" t="str">
        <f>_xll.BDP("982674KM Muni","BB_COMPOSITE")</f>
        <v>#N/A Requesting Data...</v>
      </c>
      <c r="T1649" t="str">
        <f>_xll.BDP("982674KM Muni","LQA_LIQUIDITY_SCORE")</f>
        <v>#N/A Requesting Data...</v>
      </c>
    </row>
    <row r="1650" spans="1:20" x14ac:dyDescent="0.25">
      <c r="A1650" t="str">
        <f>_xll.BDP("982674LU Muni","ID_CUSIP")</f>
        <v>#N/A Requesting Data...</v>
      </c>
      <c r="B1650" t="s">
        <v>109</v>
      </c>
      <c r="C1650" t="str">
        <f>_xll.BDP("982674LU Muni","INSURANCE_STATUS")</f>
        <v>#N/A Requesting Data...</v>
      </c>
      <c r="D1650" t="str">
        <f>_xll.BDP("982674LU Muni","STATE_CODE")</f>
        <v>#N/A Requesting Data...</v>
      </c>
      <c r="E1650" t="str">
        <f>_xll.BDP("982674LU Muni","COUNTY_LOCATION_ISSUER")</f>
        <v>#N/A Requesting Data...</v>
      </c>
      <c r="F1650" t="str">
        <f>_xll.BDP("982674LU Muni","DUR_ADJ_MID")</f>
        <v>#N/A Requesting Data...</v>
      </c>
      <c r="G1650" t="str">
        <f>_xll.BDP("982674LU Muni","SPREAD_AT_ISSUANCE_TO_WORST")</f>
        <v>#N/A Requesting Data...</v>
      </c>
      <c r="H1650" t="str">
        <f>_xll.BDP("982674LU Muni","ISSUE_DT")</f>
        <v>#N/A Requesting Data...</v>
      </c>
      <c r="I1650" t="str">
        <f>_xll.BDS("982674LU Muni","MUNI_PURPOSE_SCHED", "aggregate=y")</f>
        <v>#N/A Review</v>
      </c>
      <c r="J1650" t="str">
        <f>_xll.BDP("982674LU Muni","CPN")</f>
        <v>#N/A Requesting Data...</v>
      </c>
      <c r="K1650" t="str">
        <f>_xll.BDP("982674LU Muni","MATURITY")</f>
        <v>#N/A Requesting Data...</v>
      </c>
      <c r="L1650">
        <v>1360000</v>
      </c>
      <c r="M1650" t="str">
        <f>_xll.BDP("982674LU Muni","YIELD_ON_ISSUE_DATE")</f>
        <v>#N/A Requesting Data...</v>
      </c>
      <c r="N1650" t="str">
        <f>_xll.BDP("982674LU Muni","YTW_SPREAD_TO_MATURITY_AT_ISSU")</f>
        <v>#N/A Requesting Data...</v>
      </c>
      <c r="O1650" t="str">
        <f>_xll.BDP("982674LU Muni","BVAL_MID_YTM")</f>
        <v>#N/A Requesting Data...</v>
      </c>
      <c r="P1650" t="str">
        <f>_xll.BDP("982674LU Muni","MUNI_TAX_PROV")</f>
        <v>#N/A Requesting Data...</v>
      </c>
      <c r="Q1650" t="str">
        <f>_xll.BDP("982674LU Muni","MUNI_FED_TAX")</f>
        <v>#N/A Requesting Data...</v>
      </c>
      <c r="R1650" t="str">
        <f>_xll.BDP("982674LU Muni","MUNI_MSRB_VOLUME")</f>
        <v>#N/A Requesting Data...</v>
      </c>
      <c r="S1650" t="str">
        <f>_xll.BDP("982674LU Muni","BB_COMPOSITE")</f>
        <v>#N/A Requesting Data...</v>
      </c>
      <c r="T1650" t="str">
        <f>_xll.BDP("982674LU Muni","LQA_LIQUIDITY_SCORE")</f>
        <v>#N/A Requesting Data...</v>
      </c>
    </row>
    <row r="1651" spans="1:20" x14ac:dyDescent="0.25">
      <c r="A1651" t="str">
        <f>_xll.BDP("982674LV Muni","ID_CUSIP")</f>
        <v>#N/A Requesting Data...</v>
      </c>
      <c r="B1651" t="s">
        <v>109</v>
      </c>
      <c r="C1651" t="str">
        <f>_xll.BDP("982674LV Muni","INSURANCE_STATUS")</f>
        <v>#N/A Requesting Data...</v>
      </c>
      <c r="D1651" t="str">
        <f>_xll.BDP("982674LV Muni","STATE_CODE")</f>
        <v>#N/A Requesting Data...</v>
      </c>
      <c r="E1651" t="str">
        <f>_xll.BDP("982674LV Muni","COUNTY_LOCATION_ISSUER")</f>
        <v>#N/A Requesting Data...</v>
      </c>
      <c r="F1651" t="str">
        <f>_xll.BDP("982674LV Muni","DUR_ADJ_MID")</f>
        <v>#N/A Requesting Data...</v>
      </c>
      <c r="G1651" t="str">
        <f>_xll.BDP("982674LV Muni","SPREAD_AT_ISSUANCE_TO_WORST")</f>
        <v>#N/A Requesting Data...</v>
      </c>
      <c r="H1651" t="str">
        <f>_xll.BDP("982674LV Muni","ISSUE_DT")</f>
        <v>#N/A Requesting Data...</v>
      </c>
      <c r="I1651" t="str">
        <f>_xll.BDS("982674LV Muni","MUNI_PURPOSE_SCHED", "aggregate=y")</f>
        <v>#N/A Review</v>
      </c>
      <c r="J1651" t="str">
        <f>_xll.BDP("982674LV Muni","CPN")</f>
        <v>#N/A Requesting Data...</v>
      </c>
      <c r="K1651" t="str">
        <f>_xll.BDP("982674LV Muni","MATURITY")</f>
        <v>#N/A Requesting Data...</v>
      </c>
      <c r="L1651">
        <v>1425000</v>
      </c>
      <c r="M1651" t="str">
        <f>_xll.BDP("982674LV Muni","YIELD_ON_ISSUE_DATE")</f>
        <v>#N/A Requesting Data...</v>
      </c>
      <c r="N1651" t="str">
        <f>_xll.BDP("982674LV Muni","YTW_SPREAD_TO_MATURITY_AT_ISSU")</f>
        <v>#N/A Requesting Data...</v>
      </c>
      <c r="O1651" t="str">
        <f>_xll.BDP("982674LV Muni","BVAL_MID_YTM")</f>
        <v>#N/A Requesting Data...</v>
      </c>
      <c r="P1651" t="str">
        <f>_xll.BDP("982674LV Muni","MUNI_TAX_PROV")</f>
        <v>#N/A Requesting Data...</v>
      </c>
      <c r="Q1651" t="str">
        <f>_xll.BDP("982674LV Muni","MUNI_FED_TAX")</f>
        <v>#N/A Requesting Data...</v>
      </c>
      <c r="R1651" t="str">
        <f>_xll.BDP("982674LV Muni","MUNI_MSRB_VOLUME")</f>
        <v>#N/A Requesting Data...</v>
      </c>
      <c r="S1651" t="str">
        <f>_xll.BDP("982674LV Muni","BB_COMPOSITE")</f>
        <v>#N/A Requesting Data...</v>
      </c>
      <c r="T1651" t="str">
        <f>_xll.BDP("982674LV Muni","LQA_LIQUIDITY_SCORE")</f>
        <v>#N/A Requesting Data...</v>
      </c>
    </row>
    <row r="1652" spans="1:20" x14ac:dyDescent="0.25">
      <c r="A1652" t="str">
        <f>_xll.BDP("982674LW Muni","ID_CUSIP")</f>
        <v>#N/A Requesting Data...</v>
      </c>
      <c r="B1652" t="s">
        <v>109</v>
      </c>
      <c r="C1652" t="str">
        <f>_xll.BDP("982674LW Muni","INSURANCE_STATUS")</f>
        <v>#N/A Requesting Data...</v>
      </c>
      <c r="D1652" t="str">
        <f>_xll.BDP("982674LW Muni","STATE_CODE")</f>
        <v>#N/A Requesting Data...</v>
      </c>
      <c r="E1652" t="str">
        <f>_xll.BDP("982674LW Muni","COUNTY_LOCATION_ISSUER")</f>
        <v>#N/A Requesting Data...</v>
      </c>
      <c r="F1652" t="str">
        <f>_xll.BDP("982674LW Muni","DUR_ADJ_MID")</f>
        <v>#N/A Requesting Data...</v>
      </c>
      <c r="G1652" t="str">
        <f>_xll.BDP("982674LW Muni","SPREAD_AT_ISSUANCE_TO_WORST")</f>
        <v>#N/A Requesting Data...</v>
      </c>
      <c r="H1652" t="str">
        <f>_xll.BDP("982674LW Muni","ISSUE_DT")</f>
        <v>#N/A Requesting Data...</v>
      </c>
      <c r="I1652" t="str">
        <f>_xll.BDS("982674LW Muni","MUNI_PURPOSE_SCHED", "aggregate=y")</f>
        <v>#N/A Review</v>
      </c>
      <c r="J1652" t="str">
        <f>_xll.BDP("982674LW Muni","CPN")</f>
        <v>#N/A Requesting Data...</v>
      </c>
      <c r="K1652" t="str">
        <f>_xll.BDP("982674LW Muni","MATURITY")</f>
        <v>#N/A Requesting Data...</v>
      </c>
      <c r="L1652">
        <v>1500000</v>
      </c>
      <c r="M1652" t="str">
        <f>_xll.BDP("982674LW Muni","YIELD_ON_ISSUE_DATE")</f>
        <v>#N/A Requesting Data...</v>
      </c>
      <c r="N1652" t="str">
        <f>_xll.BDP("982674LW Muni","YTW_SPREAD_TO_MATURITY_AT_ISSU")</f>
        <v>#N/A Requesting Data...</v>
      </c>
      <c r="O1652" t="str">
        <f>_xll.BDP("982674LW Muni","BVAL_MID_YTM")</f>
        <v>#N/A Requesting Data...</v>
      </c>
      <c r="P1652" t="str">
        <f>_xll.BDP("982674LW Muni","MUNI_TAX_PROV")</f>
        <v>#N/A Requesting Data...</v>
      </c>
      <c r="Q1652" t="str">
        <f>_xll.BDP("982674LW Muni","MUNI_FED_TAX")</f>
        <v>#N/A Requesting Data...</v>
      </c>
      <c r="R1652" t="str">
        <f>_xll.BDP("982674LW Muni","MUNI_MSRB_VOLUME")</f>
        <v>#N/A Requesting Data...</v>
      </c>
      <c r="S1652" t="str">
        <f>_xll.BDP("982674LW Muni","BB_COMPOSITE")</f>
        <v>#N/A Requesting Data...</v>
      </c>
      <c r="T1652" t="str">
        <f>_xll.BDP("982674LW Muni","LQA_LIQUIDITY_SCORE")</f>
        <v>#N/A Requesting Data...</v>
      </c>
    </row>
    <row r="1653" spans="1:20" x14ac:dyDescent="0.25">
      <c r="A1653" t="str">
        <f>_xll.BDP("862342DX Muni","ID_CUSIP")</f>
        <v>#N/A Requesting Data...</v>
      </c>
      <c r="B1653" t="s">
        <v>500</v>
      </c>
      <c r="C1653" t="str">
        <f>_xll.BDP("862342DX Muni","INSURANCE_STATUS")</f>
        <v>#N/A Requesting Data...</v>
      </c>
      <c r="D1653" t="str">
        <f>_xll.BDP("862342DX Muni","STATE_CODE")</f>
        <v>#N/A Requesting Data...</v>
      </c>
      <c r="E1653" t="str">
        <f>_xll.BDP("862342DX Muni","COUNTY_LOCATION_ISSUER")</f>
        <v>#N/A Requesting Data...</v>
      </c>
      <c r="F1653" t="str">
        <f>_xll.BDP("862342DX Muni","DUR_ADJ_MID")</f>
        <v>#N/A Requesting Data...</v>
      </c>
      <c r="G1653" t="str">
        <f>_xll.BDP("862342DX Muni","SPREAD_AT_ISSUANCE_TO_WORST")</f>
        <v>#N/A Requesting Data...</v>
      </c>
      <c r="H1653" t="str">
        <f>_xll.BDP("862342DX Muni","ISSUE_DT")</f>
        <v>#N/A Requesting Data...</v>
      </c>
      <c r="I1653" t="str">
        <f>_xll.BDS("862342DX Muni","MUNI_PURPOSE_SCHED", "aggregate=y")</f>
        <v>#N/A Review</v>
      </c>
      <c r="J1653" t="str">
        <f>_xll.BDP("862342DX Muni","CPN")</f>
        <v>#N/A Requesting Data...</v>
      </c>
      <c r="K1653" t="str">
        <f>_xll.BDP("862342DX Muni","MATURITY")</f>
        <v>#N/A Requesting Data...</v>
      </c>
      <c r="L1653">
        <v>320000</v>
      </c>
      <c r="M1653" t="str">
        <f>_xll.BDP("862342DX Muni","YIELD_ON_ISSUE_DATE")</f>
        <v>#N/A Requesting Data...</v>
      </c>
      <c r="N1653" t="str">
        <f>_xll.BDP("862342DX Muni","YTW_SPREAD_TO_MATURITY_AT_ISSU")</f>
        <v>#N/A Requesting Data...</v>
      </c>
      <c r="O1653" t="str">
        <f>_xll.BDP("862342DX Muni","BVAL_MID_YTM")</f>
        <v>#N/A Requesting Data...</v>
      </c>
      <c r="P1653" t="str">
        <f>_xll.BDP("862342DX Muni","MUNI_TAX_PROV")</f>
        <v>#N/A Requesting Data...</v>
      </c>
      <c r="Q1653" t="str">
        <f>_xll.BDP("862342DX Muni","MUNI_FED_TAX")</f>
        <v>#N/A Requesting Data...</v>
      </c>
      <c r="R1653" t="str">
        <f>_xll.BDP("862342DX Muni","MUNI_MSRB_VOLUME")</f>
        <v>#N/A Requesting Data...</v>
      </c>
      <c r="S1653" t="str">
        <f>_xll.BDP("862342DX Muni","BB_COMPOSITE")</f>
        <v>#N/A Requesting Data...</v>
      </c>
      <c r="T1653" t="str">
        <f>_xll.BDP("862342DX Muni","LQA_LIQUIDITY_SCORE")</f>
        <v>#N/A Requesting Data...</v>
      </c>
    </row>
    <row r="1654" spans="1:20" x14ac:dyDescent="0.25">
      <c r="A1654" t="str">
        <f>_xll.BDP("862342DY Muni","ID_CUSIP")</f>
        <v>#N/A Requesting Data...</v>
      </c>
      <c r="B1654" t="s">
        <v>500</v>
      </c>
      <c r="C1654" t="str">
        <f>_xll.BDP("862342DY Muni","INSURANCE_STATUS")</f>
        <v>#N/A Requesting Data...</v>
      </c>
      <c r="D1654" t="str">
        <f>_xll.BDP("862342DY Muni","STATE_CODE")</f>
        <v>#N/A Requesting Data...</v>
      </c>
      <c r="E1654" t="str">
        <f>_xll.BDP("862342DY Muni","COUNTY_LOCATION_ISSUER")</f>
        <v>#N/A Requesting Data...</v>
      </c>
      <c r="F1654" t="str">
        <f>_xll.BDP("862342DY Muni","DUR_ADJ_MID")</f>
        <v>#N/A Requesting Data...</v>
      </c>
      <c r="G1654" t="str">
        <f>_xll.BDP("862342DY Muni","SPREAD_AT_ISSUANCE_TO_WORST")</f>
        <v>#N/A Requesting Data...</v>
      </c>
      <c r="H1654" t="str">
        <f>_xll.BDP("862342DY Muni","ISSUE_DT")</f>
        <v>#N/A Requesting Data...</v>
      </c>
      <c r="I1654" t="str">
        <f>_xll.BDS("862342DY Muni","MUNI_PURPOSE_SCHED", "aggregate=y")</f>
        <v>#N/A Review</v>
      </c>
      <c r="J1654" t="str">
        <f>_xll.BDP("862342DY Muni","CPN")</f>
        <v>#N/A Requesting Data...</v>
      </c>
      <c r="K1654" t="str">
        <f>_xll.BDP("862342DY Muni","MATURITY")</f>
        <v>#N/A Requesting Data...</v>
      </c>
      <c r="L1654">
        <v>135000</v>
      </c>
      <c r="M1654" t="str">
        <f>_xll.BDP("862342DY Muni","YIELD_ON_ISSUE_DATE")</f>
        <v>#N/A Requesting Data...</v>
      </c>
      <c r="N1654" t="str">
        <f>_xll.BDP("862342DY Muni","YTW_SPREAD_TO_MATURITY_AT_ISSU")</f>
        <v>#N/A Requesting Data...</v>
      </c>
      <c r="O1654" t="str">
        <f>_xll.BDP("862342DY Muni","BVAL_MID_YTM")</f>
        <v>#N/A Requesting Data...</v>
      </c>
      <c r="P1654" t="str">
        <f>_xll.BDP("862342DY Muni","MUNI_TAX_PROV")</f>
        <v>#N/A Requesting Data...</v>
      </c>
      <c r="Q1654" t="str">
        <f>_xll.BDP("862342DY Muni","MUNI_FED_TAX")</f>
        <v>#N/A Requesting Data...</v>
      </c>
      <c r="R1654" t="str">
        <f>_xll.BDP("862342DY Muni","MUNI_MSRB_VOLUME")</f>
        <v>#N/A Requesting Data...</v>
      </c>
      <c r="S1654" t="str">
        <f>_xll.BDP("862342DY Muni","BB_COMPOSITE")</f>
        <v>#N/A Requesting Data...</v>
      </c>
      <c r="T1654" t="str">
        <f>_xll.BDP("862342DY Muni","LQA_LIQUIDITY_SCORE")</f>
        <v>#N/A Requesting Data...</v>
      </c>
    </row>
    <row r="1655" spans="1:20" x14ac:dyDescent="0.25">
      <c r="A1655" t="str">
        <f>_xll.BDP("932219KP Muni","ID_CUSIP")</f>
        <v>#N/A Requesting Data...</v>
      </c>
      <c r="B1655" t="s">
        <v>501</v>
      </c>
      <c r="C1655" t="str">
        <f>_xll.BDP("932219KP Muni","INSURANCE_STATUS")</f>
        <v>#N/A Requesting Data...</v>
      </c>
      <c r="D1655" t="str">
        <f>_xll.BDP("932219KP Muni","STATE_CODE")</f>
        <v>#N/A Requesting Data...</v>
      </c>
      <c r="E1655" t="str">
        <f>_xll.BDP("932219KP Muni","COUNTY_LOCATION_ISSUER")</f>
        <v>#N/A Requesting Data...</v>
      </c>
      <c r="F1655" t="str">
        <f>_xll.BDP("932219KP Muni","DUR_ADJ_MID")</f>
        <v>#N/A Requesting Data...</v>
      </c>
      <c r="G1655" t="str">
        <f>_xll.BDP("932219KP Muni","SPREAD_AT_ISSUANCE_TO_WORST")</f>
        <v>#N/A Requesting Data...</v>
      </c>
      <c r="H1655" t="str">
        <f>_xll.BDP("932219KP Muni","ISSUE_DT")</f>
        <v>#N/A Requesting Data...</v>
      </c>
      <c r="I1655" t="str">
        <f>_xll.BDS("932219KP Muni","MUNI_PURPOSE_SCHED", "aggregate=y")</f>
        <v>#N/A Review</v>
      </c>
      <c r="J1655" t="str">
        <f>_xll.BDP("932219KP Muni","CPN")</f>
        <v>#N/A Requesting Data...</v>
      </c>
      <c r="K1655" t="str">
        <f>_xll.BDP("932219KP Muni","MATURITY")</f>
        <v>#N/A Requesting Data...</v>
      </c>
      <c r="L1655">
        <v>375000</v>
      </c>
      <c r="M1655" t="str">
        <f>_xll.BDP("932219KP Muni","YIELD_ON_ISSUE_DATE")</f>
        <v>#N/A Requesting Data...</v>
      </c>
      <c r="N1655" t="str">
        <f>_xll.BDP("932219KP Muni","YTW_SPREAD_TO_MATURITY_AT_ISSU")</f>
        <v>#N/A Requesting Data...</v>
      </c>
      <c r="O1655" t="str">
        <f>_xll.BDP("932219KP Muni","BVAL_MID_YTM")</f>
        <v>#N/A Requesting Data...</v>
      </c>
      <c r="P1655" t="str">
        <f>_xll.BDP("932219KP Muni","MUNI_TAX_PROV")</f>
        <v>#N/A Requesting Data...</v>
      </c>
      <c r="Q1655" t="str">
        <f>_xll.BDP("932219KP Muni","MUNI_FED_TAX")</f>
        <v>#N/A Requesting Data...</v>
      </c>
      <c r="R1655" t="str">
        <f>_xll.BDP("932219KP Muni","MUNI_MSRB_VOLUME")</f>
        <v>#N/A Requesting Data...</v>
      </c>
      <c r="S1655" t="str">
        <f>_xll.BDP("932219KP Muni","BB_COMPOSITE")</f>
        <v>#N/A Requesting Data...</v>
      </c>
      <c r="T1655" t="str">
        <f>_xll.BDP("932219KP Muni","LQA_LIQUIDITY_SCORE")</f>
        <v>#N/A Requesting Data...</v>
      </c>
    </row>
    <row r="1656" spans="1:20" x14ac:dyDescent="0.25">
      <c r="A1656" t="str">
        <f>_xll.BDP("932219KQ Muni","ID_CUSIP")</f>
        <v>#N/A Requesting Data...</v>
      </c>
      <c r="B1656" t="s">
        <v>501</v>
      </c>
      <c r="C1656" t="str">
        <f>_xll.BDP("932219KQ Muni","INSURANCE_STATUS")</f>
        <v>#N/A Requesting Data...</v>
      </c>
      <c r="D1656" t="str">
        <f>_xll.BDP("932219KQ Muni","STATE_CODE")</f>
        <v>#N/A Requesting Data...</v>
      </c>
      <c r="E1656" t="str">
        <f>_xll.BDP("932219KQ Muni","COUNTY_LOCATION_ISSUER")</f>
        <v>#N/A Requesting Data...</v>
      </c>
      <c r="F1656" t="str">
        <f>_xll.BDP("932219KQ Muni","DUR_ADJ_MID")</f>
        <v>#N/A Requesting Data...</v>
      </c>
      <c r="G1656" t="str">
        <f>_xll.BDP("932219KQ Muni","SPREAD_AT_ISSUANCE_TO_WORST")</f>
        <v>#N/A Requesting Data...</v>
      </c>
      <c r="H1656" t="str">
        <f>_xll.BDP("932219KQ Muni","ISSUE_DT")</f>
        <v>#N/A Requesting Data...</v>
      </c>
      <c r="I1656" t="str">
        <f>_xll.BDS("932219KQ Muni","MUNI_PURPOSE_SCHED", "aggregate=y")</f>
        <v>#N/A Review</v>
      </c>
      <c r="J1656" t="str">
        <f>_xll.BDP("932219KQ Muni","CPN")</f>
        <v>#N/A Requesting Data...</v>
      </c>
      <c r="K1656" t="str">
        <f>_xll.BDP("932219KQ Muni","MATURITY")</f>
        <v>#N/A Requesting Data...</v>
      </c>
      <c r="L1656">
        <v>385000</v>
      </c>
      <c r="M1656" t="str">
        <f>_xll.BDP("932219KQ Muni","YIELD_ON_ISSUE_DATE")</f>
        <v>#N/A Requesting Data...</v>
      </c>
      <c r="N1656" t="str">
        <f>_xll.BDP("932219KQ Muni","YTW_SPREAD_TO_MATURITY_AT_ISSU")</f>
        <v>#N/A Requesting Data...</v>
      </c>
      <c r="O1656" t="str">
        <f>_xll.BDP("932219KQ Muni","BVAL_MID_YTM")</f>
        <v>#N/A Requesting Data...</v>
      </c>
      <c r="P1656" t="str">
        <f>_xll.BDP("932219KQ Muni","MUNI_TAX_PROV")</f>
        <v>#N/A Requesting Data...</v>
      </c>
      <c r="Q1656" t="str">
        <f>_xll.BDP("932219KQ Muni","MUNI_FED_TAX")</f>
        <v>#N/A Requesting Data...</v>
      </c>
      <c r="R1656" t="str">
        <f>_xll.BDP("932219KQ Muni","MUNI_MSRB_VOLUME")</f>
        <v>#N/A Requesting Data...</v>
      </c>
      <c r="S1656" t="str">
        <f>_xll.BDP("932219KQ Muni","BB_COMPOSITE")</f>
        <v>#N/A Requesting Data...</v>
      </c>
      <c r="T1656" t="str">
        <f>_xll.BDP("932219KQ Muni","LQA_LIQUIDITY_SCORE")</f>
        <v>#N/A Requesting Data...</v>
      </c>
    </row>
    <row r="1657" spans="1:20" x14ac:dyDescent="0.25">
      <c r="A1657" t="str">
        <f>_xll.BDP("932219KR Muni","ID_CUSIP")</f>
        <v>#N/A Requesting Data...</v>
      </c>
      <c r="B1657" t="s">
        <v>501</v>
      </c>
      <c r="C1657" t="str">
        <f>_xll.BDP("932219KR Muni","INSURANCE_STATUS")</f>
        <v>#N/A Requesting Data...</v>
      </c>
      <c r="D1657" t="str">
        <f>_xll.BDP("932219KR Muni","STATE_CODE")</f>
        <v>#N/A Requesting Data...</v>
      </c>
      <c r="E1657" t="str">
        <f>_xll.BDP("932219KR Muni","COUNTY_LOCATION_ISSUER")</f>
        <v>#N/A Requesting Data...</v>
      </c>
      <c r="F1657" t="str">
        <f>_xll.BDP("932219KR Muni","DUR_ADJ_MID")</f>
        <v>#N/A Requesting Data...</v>
      </c>
      <c r="G1657" t="str">
        <f>_xll.BDP("932219KR Muni","SPREAD_AT_ISSUANCE_TO_WORST")</f>
        <v>#N/A Requesting Data...</v>
      </c>
      <c r="H1657" t="str">
        <f>_xll.BDP("932219KR Muni","ISSUE_DT")</f>
        <v>#N/A Requesting Data...</v>
      </c>
      <c r="I1657" t="str">
        <f>_xll.BDS("932219KR Muni","MUNI_PURPOSE_SCHED", "aggregate=y")</f>
        <v>#N/A Review</v>
      </c>
      <c r="J1657" t="str">
        <f>_xll.BDP("932219KR Muni","CPN")</f>
        <v>#N/A Requesting Data...</v>
      </c>
      <c r="K1657" t="str">
        <f>_xll.BDP("932219KR Muni","MATURITY")</f>
        <v>#N/A Requesting Data...</v>
      </c>
      <c r="L1657">
        <v>395000</v>
      </c>
      <c r="M1657" t="str">
        <f>_xll.BDP("932219KR Muni","YIELD_ON_ISSUE_DATE")</f>
        <v>#N/A Requesting Data...</v>
      </c>
      <c r="N1657" t="str">
        <f>_xll.BDP("932219KR Muni","YTW_SPREAD_TO_MATURITY_AT_ISSU")</f>
        <v>#N/A Requesting Data...</v>
      </c>
      <c r="O1657" t="str">
        <f>_xll.BDP("932219KR Muni","BVAL_MID_YTM")</f>
        <v>#N/A Requesting Data...</v>
      </c>
      <c r="P1657" t="str">
        <f>_xll.BDP("932219KR Muni","MUNI_TAX_PROV")</f>
        <v>#N/A Requesting Data...</v>
      </c>
      <c r="Q1657" t="str">
        <f>_xll.BDP("932219KR Muni","MUNI_FED_TAX")</f>
        <v>#N/A Requesting Data...</v>
      </c>
      <c r="R1657" t="str">
        <f>_xll.BDP("932219KR Muni","MUNI_MSRB_VOLUME")</f>
        <v>#N/A Requesting Data...</v>
      </c>
      <c r="S1657" t="str">
        <f>_xll.BDP("932219KR Muni","BB_COMPOSITE")</f>
        <v>#N/A Requesting Data...</v>
      </c>
      <c r="T1657" t="str">
        <f>_xll.BDP("932219KR Muni","LQA_LIQUIDITY_SCORE")</f>
        <v>#N/A Requesting Data...</v>
      </c>
    </row>
    <row r="1658" spans="1:20" x14ac:dyDescent="0.25">
      <c r="A1658" t="str">
        <f>_xll.BDP("932219KS Muni","ID_CUSIP")</f>
        <v>#N/A Requesting Data...</v>
      </c>
      <c r="B1658" t="s">
        <v>501</v>
      </c>
      <c r="C1658" t="str">
        <f>_xll.BDP("932219KS Muni","INSURANCE_STATUS")</f>
        <v>#N/A Requesting Data...</v>
      </c>
      <c r="D1658" t="str">
        <f>_xll.BDP("932219KS Muni","STATE_CODE")</f>
        <v>#N/A Requesting Data...</v>
      </c>
      <c r="E1658" t="str">
        <f>_xll.BDP("932219KS Muni","COUNTY_LOCATION_ISSUER")</f>
        <v>#N/A Requesting Data...</v>
      </c>
      <c r="F1658" t="str">
        <f>_xll.BDP("932219KS Muni","DUR_ADJ_MID")</f>
        <v>#N/A Requesting Data...</v>
      </c>
      <c r="G1658" t="str">
        <f>_xll.BDP("932219KS Muni","SPREAD_AT_ISSUANCE_TO_WORST")</f>
        <v>#N/A Requesting Data...</v>
      </c>
      <c r="H1658" t="str">
        <f>_xll.BDP("932219KS Muni","ISSUE_DT")</f>
        <v>#N/A Requesting Data...</v>
      </c>
      <c r="I1658" t="str">
        <f>_xll.BDS("932219KS Muni","MUNI_PURPOSE_SCHED", "aggregate=y")</f>
        <v>#N/A Review</v>
      </c>
      <c r="J1658" t="str">
        <f>_xll.BDP("932219KS Muni","CPN")</f>
        <v>#N/A Requesting Data...</v>
      </c>
      <c r="K1658" t="str">
        <f>_xll.BDP("932219KS Muni","MATURITY")</f>
        <v>#N/A Requesting Data...</v>
      </c>
      <c r="L1658">
        <v>410000</v>
      </c>
      <c r="M1658" t="str">
        <f>_xll.BDP("932219KS Muni","YIELD_ON_ISSUE_DATE")</f>
        <v>#N/A Requesting Data...</v>
      </c>
      <c r="N1658" t="str">
        <f>_xll.BDP("932219KS Muni","YTW_SPREAD_TO_MATURITY_AT_ISSU")</f>
        <v>#N/A Requesting Data...</v>
      </c>
      <c r="O1658" t="str">
        <f>_xll.BDP("932219KS Muni","BVAL_MID_YTM")</f>
        <v>#N/A Requesting Data...</v>
      </c>
      <c r="P1658" t="str">
        <f>_xll.BDP("932219KS Muni","MUNI_TAX_PROV")</f>
        <v>#N/A Requesting Data...</v>
      </c>
      <c r="Q1658" t="str">
        <f>_xll.BDP("932219KS Muni","MUNI_FED_TAX")</f>
        <v>#N/A Requesting Data...</v>
      </c>
      <c r="R1658" t="str">
        <f>_xll.BDP("932219KS Muni","MUNI_MSRB_VOLUME")</f>
        <v>#N/A Requesting Data...</v>
      </c>
      <c r="S1658" t="str">
        <f>_xll.BDP("932219KS Muni","BB_COMPOSITE")</f>
        <v>#N/A Requesting Data...</v>
      </c>
      <c r="T1658" t="str">
        <f>_xll.BDP("932219KS Muni","LQA_LIQUIDITY_SCORE")</f>
        <v>#N/A Requesting Data...</v>
      </c>
    </row>
    <row r="1659" spans="1:20" x14ac:dyDescent="0.25">
      <c r="A1659" t="str">
        <f>_xll.BDP("932610QU Muni","ID_CUSIP")</f>
        <v>#N/A Requesting Data...</v>
      </c>
      <c r="B1659" t="s">
        <v>145</v>
      </c>
      <c r="C1659" t="str">
        <f>_xll.BDP("932610QU Muni","INSURANCE_STATUS")</f>
        <v>#N/A Requesting Data...</v>
      </c>
      <c r="D1659" t="str">
        <f>_xll.BDP("932610QU Muni","STATE_CODE")</f>
        <v>#N/A Requesting Data...</v>
      </c>
      <c r="E1659" t="str">
        <f>_xll.BDP("932610QU Muni","COUNTY_LOCATION_ISSUER")</f>
        <v>#N/A Requesting Data...</v>
      </c>
      <c r="F1659" t="str">
        <f>_xll.BDP("932610QU Muni","DUR_ADJ_MID")</f>
        <v>#N/A Requesting Data...</v>
      </c>
      <c r="G1659" t="str">
        <f>_xll.BDP("932610QU Muni","SPREAD_AT_ISSUANCE_TO_WORST")</f>
        <v>#N/A Requesting Data...</v>
      </c>
      <c r="H1659" t="str">
        <f>_xll.BDP("932610QU Muni","ISSUE_DT")</f>
        <v>#N/A Requesting Data...</v>
      </c>
      <c r="I1659" t="str">
        <f>_xll.BDS("932610QU Muni","MUNI_PURPOSE_SCHED", "aggregate=y")</f>
        <v>#N/A Review</v>
      </c>
      <c r="J1659" t="str">
        <f>_xll.BDP("932610QU Muni","CPN")</f>
        <v>#N/A Requesting Data...</v>
      </c>
      <c r="K1659" t="str">
        <f>_xll.BDP("932610QU Muni","MATURITY")</f>
        <v>#N/A Requesting Data...</v>
      </c>
      <c r="L1659">
        <v>115000</v>
      </c>
      <c r="M1659" t="str">
        <f>_xll.BDP("932610QU Muni","YIELD_ON_ISSUE_DATE")</f>
        <v>#N/A Requesting Data...</v>
      </c>
      <c r="N1659" t="str">
        <f>_xll.BDP("932610QU Muni","YTW_SPREAD_TO_MATURITY_AT_ISSU")</f>
        <v>#N/A Requesting Data...</v>
      </c>
      <c r="O1659" t="str">
        <f>_xll.BDP("932610QU Muni","BVAL_MID_YTM")</f>
        <v>#N/A Requesting Data...</v>
      </c>
      <c r="P1659" t="str">
        <f>_xll.BDP("932610QU Muni","MUNI_TAX_PROV")</f>
        <v>#N/A Requesting Data...</v>
      </c>
      <c r="Q1659" t="str">
        <f>_xll.BDP("932610QU Muni","MUNI_FED_TAX")</f>
        <v>#N/A Requesting Data...</v>
      </c>
      <c r="R1659" t="str">
        <f>_xll.BDP("932610QU Muni","MUNI_MSRB_VOLUME")</f>
        <v>#N/A Requesting Data...</v>
      </c>
      <c r="S1659" t="str">
        <f>_xll.BDP("932610QU Muni","BB_COMPOSITE")</f>
        <v>#N/A Requesting Data...</v>
      </c>
      <c r="T1659" t="str">
        <f>_xll.BDP("932610QU Muni","LQA_LIQUIDITY_SCORE")</f>
        <v>#N/A Requesting Data...</v>
      </c>
    </row>
    <row r="1660" spans="1:20" x14ac:dyDescent="0.25">
      <c r="A1660" t="str">
        <f>_xll.BDP("932610QW Muni","ID_CUSIP")</f>
        <v>#N/A Requesting Data...</v>
      </c>
      <c r="B1660" t="s">
        <v>145</v>
      </c>
      <c r="C1660" t="str">
        <f>_xll.BDP("932610QW Muni","INSURANCE_STATUS")</f>
        <v>#N/A Requesting Data...</v>
      </c>
      <c r="D1660" t="str">
        <f>_xll.BDP("932610QW Muni","STATE_CODE")</f>
        <v>#N/A Requesting Data...</v>
      </c>
      <c r="E1660" t="str">
        <f>_xll.BDP("932610QW Muni","COUNTY_LOCATION_ISSUER")</f>
        <v>#N/A Requesting Data...</v>
      </c>
      <c r="F1660" t="str">
        <f>_xll.BDP("932610QW Muni","DUR_ADJ_MID")</f>
        <v>#N/A Requesting Data...</v>
      </c>
      <c r="G1660" t="str">
        <f>_xll.BDP("932610QW Muni","SPREAD_AT_ISSUANCE_TO_WORST")</f>
        <v>#N/A Requesting Data...</v>
      </c>
      <c r="H1660" t="str">
        <f>_xll.BDP("932610QW Muni","ISSUE_DT")</f>
        <v>#N/A Requesting Data...</v>
      </c>
      <c r="I1660" t="str">
        <f>_xll.BDS("932610QW Muni","MUNI_PURPOSE_SCHED", "aggregate=y")</f>
        <v>#N/A Review</v>
      </c>
      <c r="J1660" t="str">
        <f>_xll.BDP("932610QW Muni","CPN")</f>
        <v>#N/A Requesting Data...</v>
      </c>
      <c r="K1660" t="str">
        <f>_xll.BDP("932610QW Muni","MATURITY")</f>
        <v>#N/A Requesting Data...</v>
      </c>
      <c r="L1660">
        <v>120000</v>
      </c>
      <c r="M1660" t="str">
        <f>_xll.BDP("932610QW Muni","YIELD_ON_ISSUE_DATE")</f>
        <v>#N/A Requesting Data...</v>
      </c>
      <c r="N1660" t="str">
        <f>_xll.BDP("932610QW Muni","YTW_SPREAD_TO_MATURITY_AT_ISSU")</f>
        <v>#N/A Requesting Data...</v>
      </c>
      <c r="O1660" t="str">
        <f>_xll.BDP("932610QW Muni","BVAL_MID_YTM")</f>
        <v>#N/A Requesting Data...</v>
      </c>
      <c r="P1660" t="str">
        <f>_xll.BDP("932610QW Muni","MUNI_TAX_PROV")</f>
        <v>#N/A Requesting Data...</v>
      </c>
      <c r="Q1660" t="str">
        <f>_xll.BDP("932610QW Muni","MUNI_FED_TAX")</f>
        <v>#N/A Requesting Data...</v>
      </c>
      <c r="R1660" t="str">
        <f>_xll.BDP("932610QW Muni","MUNI_MSRB_VOLUME")</f>
        <v>#N/A Requesting Data...</v>
      </c>
      <c r="S1660" t="str">
        <f>_xll.BDP("932610QW Muni","BB_COMPOSITE")</f>
        <v>#N/A Requesting Data...</v>
      </c>
      <c r="T1660" t="str">
        <f>_xll.BDP("932610QW Muni","LQA_LIQUIDITY_SCORE")</f>
        <v>#N/A Requesting Data...</v>
      </c>
    </row>
    <row r="1661" spans="1:20" x14ac:dyDescent="0.25">
      <c r="A1661" t="str">
        <f>_xll.BDP("932737EG Muni","ID_CUSIP")</f>
        <v>#N/A Requesting Data...</v>
      </c>
      <c r="B1661" t="s">
        <v>502</v>
      </c>
      <c r="C1661" t="str">
        <f>_xll.BDP("932737EG Muni","INSURANCE_STATUS")</f>
        <v>#N/A Requesting Data...</v>
      </c>
      <c r="D1661" t="str">
        <f>_xll.BDP("932737EG Muni","STATE_CODE")</f>
        <v>#N/A Requesting Data...</v>
      </c>
      <c r="E1661" t="str">
        <f>_xll.BDP("932737EG Muni","COUNTY_LOCATION_ISSUER")</f>
        <v>#N/A Requesting Data...</v>
      </c>
      <c r="F1661" t="str">
        <f>_xll.BDP("932737EG Muni","DUR_ADJ_MID")</f>
        <v>#N/A Requesting Data...</v>
      </c>
      <c r="G1661" t="str">
        <f>_xll.BDP("932737EG Muni","SPREAD_AT_ISSUANCE_TO_WORST")</f>
        <v>#N/A Requesting Data...</v>
      </c>
      <c r="H1661" t="str">
        <f>_xll.BDP("932737EG Muni","ISSUE_DT")</f>
        <v>#N/A Requesting Data...</v>
      </c>
      <c r="I1661" t="str">
        <f>_xll.BDS("932737EG Muni","MUNI_PURPOSE_SCHED", "aggregate=y")</f>
        <v>#N/A Review</v>
      </c>
      <c r="J1661" t="str">
        <f>_xll.BDP("932737EG Muni","CPN")</f>
        <v>#N/A Requesting Data...</v>
      </c>
      <c r="K1661" t="str">
        <f>_xll.BDP("932737EG Muni","MATURITY")</f>
        <v>#N/A Requesting Data...</v>
      </c>
      <c r="L1661">
        <v>200000</v>
      </c>
      <c r="M1661" t="str">
        <f>_xll.BDP("932737EG Muni","YIELD_ON_ISSUE_DATE")</f>
        <v>#N/A Requesting Data...</v>
      </c>
      <c r="N1661" t="str">
        <f>_xll.BDP("932737EG Muni","YTW_SPREAD_TO_MATURITY_AT_ISSU")</f>
        <v>#N/A Requesting Data...</v>
      </c>
      <c r="O1661" t="str">
        <f>_xll.BDP("932737EG Muni","BVAL_MID_YTM")</f>
        <v>#N/A Requesting Data...</v>
      </c>
      <c r="P1661" t="str">
        <f>_xll.BDP("932737EG Muni","MUNI_TAX_PROV")</f>
        <v>#N/A Requesting Data...</v>
      </c>
      <c r="Q1661" t="str">
        <f>_xll.BDP("932737EG Muni","MUNI_FED_TAX")</f>
        <v>#N/A Requesting Data...</v>
      </c>
      <c r="R1661" t="str">
        <f>_xll.BDP("932737EG Muni","MUNI_MSRB_VOLUME")</f>
        <v>#N/A Requesting Data...</v>
      </c>
      <c r="S1661" t="str">
        <f>_xll.BDP("932737EG Muni","BB_COMPOSITE")</f>
        <v>#N/A Requesting Data...</v>
      </c>
      <c r="T1661" t="str">
        <f>_xll.BDP("932737EG Muni","LQA_LIQUIDITY_SCORE")</f>
        <v>#N/A Requesting Data...</v>
      </c>
    </row>
    <row r="1662" spans="1:20" x14ac:dyDescent="0.25">
      <c r="A1662" t="str">
        <f>_xll.BDP("932737EH Muni","ID_CUSIP")</f>
        <v>#N/A Requesting Data...</v>
      </c>
      <c r="B1662" t="s">
        <v>502</v>
      </c>
      <c r="C1662" t="str">
        <f>_xll.BDP("932737EH Muni","INSURANCE_STATUS")</f>
        <v>#N/A Requesting Data...</v>
      </c>
      <c r="D1662" t="str">
        <f>_xll.BDP("932737EH Muni","STATE_CODE")</f>
        <v>#N/A Requesting Data...</v>
      </c>
      <c r="E1662" t="str">
        <f>_xll.BDP("932737EH Muni","COUNTY_LOCATION_ISSUER")</f>
        <v>#N/A Requesting Data...</v>
      </c>
      <c r="F1662" t="str">
        <f>_xll.BDP("932737EH Muni","DUR_ADJ_MID")</f>
        <v>#N/A Requesting Data...</v>
      </c>
      <c r="G1662" t="str">
        <f>_xll.BDP("932737EH Muni","SPREAD_AT_ISSUANCE_TO_WORST")</f>
        <v>#N/A Requesting Data...</v>
      </c>
      <c r="H1662" t="str">
        <f>_xll.BDP("932737EH Muni","ISSUE_DT")</f>
        <v>#N/A Requesting Data...</v>
      </c>
      <c r="I1662" t="str">
        <f>_xll.BDS("932737EH Muni","MUNI_PURPOSE_SCHED", "aggregate=y")</f>
        <v>#N/A Review</v>
      </c>
      <c r="J1662" t="str">
        <f>_xll.BDP("932737EH Muni","CPN")</f>
        <v>#N/A Requesting Data...</v>
      </c>
      <c r="K1662" t="str">
        <f>_xll.BDP("932737EH Muni","MATURITY")</f>
        <v>#N/A Requesting Data...</v>
      </c>
      <c r="L1662">
        <v>205000</v>
      </c>
      <c r="M1662" t="str">
        <f>_xll.BDP("932737EH Muni","YIELD_ON_ISSUE_DATE")</f>
        <v>#N/A Requesting Data...</v>
      </c>
      <c r="N1662" t="str">
        <f>_xll.BDP("932737EH Muni","YTW_SPREAD_TO_MATURITY_AT_ISSU")</f>
        <v>#N/A Requesting Data...</v>
      </c>
      <c r="O1662" t="str">
        <f>_xll.BDP("932737EH Muni","BVAL_MID_YTM")</f>
        <v>#N/A Requesting Data...</v>
      </c>
      <c r="P1662" t="str">
        <f>_xll.BDP("932737EH Muni","MUNI_TAX_PROV")</f>
        <v>#N/A Requesting Data...</v>
      </c>
      <c r="Q1662" t="str">
        <f>_xll.BDP("932737EH Muni","MUNI_FED_TAX")</f>
        <v>#N/A Requesting Data...</v>
      </c>
      <c r="R1662" t="str">
        <f>_xll.BDP("932737EH Muni","MUNI_MSRB_VOLUME")</f>
        <v>#N/A Requesting Data...</v>
      </c>
      <c r="S1662" t="str">
        <f>_xll.BDP("932737EH Muni","BB_COMPOSITE")</f>
        <v>#N/A Requesting Data...</v>
      </c>
      <c r="T1662" t="str">
        <f>_xll.BDP("932737EH Muni","LQA_LIQUIDITY_SCORE")</f>
        <v>#N/A Requesting Data...</v>
      </c>
    </row>
    <row r="1663" spans="1:20" x14ac:dyDescent="0.25">
      <c r="A1663" t="str">
        <f>_xll.BDP("932737EJ Muni","ID_CUSIP")</f>
        <v>#N/A Requesting Data...</v>
      </c>
      <c r="B1663" t="s">
        <v>502</v>
      </c>
      <c r="C1663" t="str">
        <f>_xll.BDP("932737EJ Muni","INSURANCE_STATUS")</f>
        <v>#N/A Requesting Data...</v>
      </c>
      <c r="D1663" t="str">
        <f>_xll.BDP("932737EJ Muni","STATE_CODE")</f>
        <v>#N/A Requesting Data...</v>
      </c>
      <c r="E1663" t="str">
        <f>_xll.BDP("932737EJ Muni","COUNTY_LOCATION_ISSUER")</f>
        <v>#N/A Requesting Data...</v>
      </c>
      <c r="F1663" t="str">
        <f>_xll.BDP("932737EJ Muni","DUR_ADJ_MID")</f>
        <v>#N/A Requesting Data...</v>
      </c>
      <c r="G1663" t="str">
        <f>_xll.BDP("932737EJ Muni","SPREAD_AT_ISSUANCE_TO_WORST")</f>
        <v>#N/A Requesting Data...</v>
      </c>
      <c r="H1663" t="str">
        <f>_xll.BDP("932737EJ Muni","ISSUE_DT")</f>
        <v>#N/A Requesting Data...</v>
      </c>
      <c r="I1663" t="str">
        <f>_xll.BDS("932737EJ Muni","MUNI_PURPOSE_SCHED", "aggregate=y")</f>
        <v>#N/A Review</v>
      </c>
      <c r="J1663" t="str">
        <f>_xll.BDP("932737EJ Muni","CPN")</f>
        <v>#N/A Requesting Data...</v>
      </c>
      <c r="K1663" t="str">
        <f>_xll.BDP("932737EJ Muni","MATURITY")</f>
        <v>#N/A Requesting Data...</v>
      </c>
      <c r="L1663">
        <v>210000</v>
      </c>
      <c r="M1663" t="str">
        <f>_xll.BDP("932737EJ Muni","YIELD_ON_ISSUE_DATE")</f>
        <v>#N/A Requesting Data...</v>
      </c>
      <c r="N1663" t="str">
        <f>_xll.BDP("932737EJ Muni","YTW_SPREAD_TO_MATURITY_AT_ISSU")</f>
        <v>#N/A Requesting Data...</v>
      </c>
      <c r="O1663" t="str">
        <f>_xll.BDP("932737EJ Muni","BVAL_MID_YTM")</f>
        <v>#N/A Requesting Data...</v>
      </c>
      <c r="P1663" t="str">
        <f>_xll.BDP("932737EJ Muni","MUNI_TAX_PROV")</f>
        <v>#N/A Requesting Data...</v>
      </c>
      <c r="Q1663" t="str">
        <f>_xll.BDP("932737EJ Muni","MUNI_FED_TAX")</f>
        <v>#N/A Requesting Data...</v>
      </c>
      <c r="R1663" t="str">
        <f>_xll.BDP("932737EJ Muni","MUNI_MSRB_VOLUME")</f>
        <v>#N/A Requesting Data...</v>
      </c>
      <c r="S1663" t="str">
        <f>_xll.BDP("932737EJ Muni","BB_COMPOSITE")</f>
        <v>#N/A Requesting Data...</v>
      </c>
      <c r="T1663" t="str">
        <f>_xll.BDP("932737EJ Muni","LQA_LIQUIDITY_SCORE")</f>
        <v>#N/A Requesting Data...</v>
      </c>
    </row>
    <row r="1664" spans="1:20" x14ac:dyDescent="0.25">
      <c r="A1664" t="str">
        <f>_xll.BDP("932737EK Muni","ID_CUSIP")</f>
        <v>#N/A Requesting Data...</v>
      </c>
      <c r="B1664" t="s">
        <v>502</v>
      </c>
      <c r="C1664" t="str">
        <f>_xll.BDP("932737EK Muni","INSURANCE_STATUS")</f>
        <v>#N/A Requesting Data...</v>
      </c>
      <c r="D1664" t="str">
        <f>_xll.BDP("932737EK Muni","STATE_CODE")</f>
        <v>#N/A Requesting Data...</v>
      </c>
      <c r="E1664" t="str">
        <f>_xll.BDP("932737EK Muni","COUNTY_LOCATION_ISSUER")</f>
        <v>#N/A Requesting Data...</v>
      </c>
      <c r="F1664" t="str">
        <f>_xll.BDP("932737EK Muni","DUR_ADJ_MID")</f>
        <v>#N/A Requesting Data...</v>
      </c>
      <c r="G1664" t="str">
        <f>_xll.BDP("932737EK Muni","SPREAD_AT_ISSUANCE_TO_WORST")</f>
        <v>#N/A Requesting Data...</v>
      </c>
      <c r="H1664" t="str">
        <f>_xll.BDP("932737EK Muni","ISSUE_DT")</f>
        <v>#N/A Requesting Data...</v>
      </c>
      <c r="I1664" t="str">
        <f>_xll.BDS("932737EK Muni","MUNI_PURPOSE_SCHED", "aggregate=y")</f>
        <v>#N/A Review</v>
      </c>
      <c r="J1664" t="str">
        <f>_xll.BDP("932737EK Muni","CPN")</f>
        <v>#N/A Requesting Data...</v>
      </c>
      <c r="K1664" t="str">
        <f>_xll.BDP("932737EK Muni","MATURITY")</f>
        <v>#N/A Requesting Data...</v>
      </c>
      <c r="L1664">
        <v>220000</v>
      </c>
      <c r="M1664" t="str">
        <f>_xll.BDP("932737EK Muni","YIELD_ON_ISSUE_DATE")</f>
        <v>#N/A Requesting Data...</v>
      </c>
      <c r="N1664" t="str">
        <f>_xll.BDP("932737EK Muni","YTW_SPREAD_TO_MATURITY_AT_ISSU")</f>
        <v>#N/A Requesting Data...</v>
      </c>
      <c r="O1664" t="str">
        <f>_xll.BDP("932737EK Muni","BVAL_MID_YTM")</f>
        <v>#N/A Requesting Data...</v>
      </c>
      <c r="P1664" t="str">
        <f>_xll.BDP("932737EK Muni","MUNI_TAX_PROV")</f>
        <v>#N/A Requesting Data...</v>
      </c>
      <c r="Q1664" t="str">
        <f>_xll.BDP("932737EK Muni","MUNI_FED_TAX")</f>
        <v>#N/A Requesting Data...</v>
      </c>
      <c r="R1664" t="str">
        <f>_xll.BDP("932737EK Muni","MUNI_MSRB_VOLUME")</f>
        <v>#N/A Requesting Data...</v>
      </c>
      <c r="S1664" t="str">
        <f>_xll.BDP("932737EK Muni","BB_COMPOSITE")</f>
        <v>#N/A Requesting Data...</v>
      </c>
      <c r="T1664" t="str">
        <f>_xll.BDP("932737EK Muni","LQA_LIQUIDITY_SCORE")</f>
        <v>#N/A Requesting Data...</v>
      </c>
    </row>
    <row r="1665" spans="1:20" x14ac:dyDescent="0.25">
      <c r="A1665" t="str">
        <f>_xll.BDP("76131MBD Muni","ID_CUSIP")</f>
        <v>#N/A Requesting Data...</v>
      </c>
      <c r="B1665" t="s">
        <v>503</v>
      </c>
      <c r="C1665" t="str">
        <f>_xll.BDP("76131MBD Muni","INSURANCE_STATUS")</f>
        <v>#N/A Requesting Data...</v>
      </c>
      <c r="D1665" t="str">
        <f>_xll.BDP("76131MBD Muni","STATE_CODE")</f>
        <v>#N/A Requesting Data...</v>
      </c>
      <c r="E1665" t="str">
        <f>_xll.BDP("76131MBD Muni","COUNTY_LOCATION_ISSUER")</f>
        <v>#N/A Requesting Data...</v>
      </c>
      <c r="F1665" t="str">
        <f>_xll.BDP("76131MBD Muni","DUR_ADJ_MID")</f>
        <v>#N/A Requesting Data...</v>
      </c>
      <c r="G1665" t="str">
        <f>_xll.BDP("76131MBD Muni","SPREAD_AT_ISSUANCE_TO_WORST")</f>
        <v>#N/A Requesting Data...</v>
      </c>
      <c r="H1665" t="str">
        <f>_xll.BDP("76131MBD Muni","ISSUE_DT")</f>
        <v>#N/A Requesting Data...</v>
      </c>
      <c r="I1665" t="str">
        <f>_xll.BDS("76131MBD Muni","MUNI_PURPOSE_SCHED", "aggregate=y")</f>
        <v>#N/A Review</v>
      </c>
      <c r="J1665" t="str">
        <f>_xll.BDP("76131MBD Muni","CPN")</f>
        <v>#N/A Requesting Data...</v>
      </c>
      <c r="K1665" t="str">
        <f>_xll.BDP("76131MBD Muni","MATURITY")</f>
        <v>#N/A Requesting Data...</v>
      </c>
      <c r="L1665">
        <v>105000</v>
      </c>
      <c r="M1665" t="str">
        <f>_xll.BDP("76131MBD Muni","YIELD_ON_ISSUE_DATE")</f>
        <v>#N/A Requesting Data...</v>
      </c>
      <c r="N1665" t="str">
        <f>_xll.BDP("76131MBD Muni","YTW_SPREAD_TO_MATURITY_AT_ISSU")</f>
        <v>#N/A Requesting Data...</v>
      </c>
      <c r="O1665" t="str">
        <f>_xll.BDP("76131MBD Muni","BVAL_MID_YTM")</f>
        <v>#N/A Requesting Data...</v>
      </c>
      <c r="P1665" t="str">
        <f>_xll.BDP("76131MBD Muni","MUNI_TAX_PROV")</f>
        <v>#N/A Requesting Data...</v>
      </c>
      <c r="Q1665" t="str">
        <f>_xll.BDP("76131MBD Muni","MUNI_FED_TAX")</f>
        <v>#N/A Requesting Data...</v>
      </c>
      <c r="R1665" t="str">
        <f>_xll.BDP("76131MBD Muni","MUNI_MSRB_VOLUME")</f>
        <v>#N/A Requesting Data...</v>
      </c>
      <c r="S1665" t="str">
        <f>_xll.BDP("76131MBD Muni","BB_COMPOSITE")</f>
        <v>#N/A Requesting Data...</v>
      </c>
      <c r="T1665" t="str">
        <f>_xll.BDP("76131MBD Muni","LQA_LIQUIDITY_SCORE")</f>
        <v>#N/A Requesting Data...</v>
      </c>
    </row>
    <row r="1666" spans="1:20" x14ac:dyDescent="0.25">
      <c r="A1666" t="str">
        <f>_xll.BDP("76131MBE Muni","ID_CUSIP")</f>
        <v>#N/A Requesting Data...</v>
      </c>
      <c r="B1666" t="s">
        <v>503</v>
      </c>
      <c r="C1666" t="str">
        <f>_xll.BDP("76131MBE Muni","INSURANCE_STATUS")</f>
        <v>#N/A Requesting Data...</v>
      </c>
      <c r="D1666" t="str">
        <f>_xll.BDP("76131MBE Muni","STATE_CODE")</f>
        <v>#N/A Requesting Data...</v>
      </c>
      <c r="E1666" t="str">
        <f>_xll.BDP("76131MBE Muni","COUNTY_LOCATION_ISSUER")</f>
        <v>#N/A Requesting Data...</v>
      </c>
      <c r="F1666" t="str">
        <f>_xll.BDP("76131MBE Muni","DUR_ADJ_MID")</f>
        <v>#N/A Requesting Data...</v>
      </c>
      <c r="G1666" t="str">
        <f>_xll.BDP("76131MBE Muni","SPREAD_AT_ISSUANCE_TO_WORST")</f>
        <v>#N/A Requesting Data...</v>
      </c>
      <c r="H1666" t="str">
        <f>_xll.BDP("76131MBE Muni","ISSUE_DT")</f>
        <v>#N/A Requesting Data...</v>
      </c>
      <c r="I1666" t="str">
        <f>_xll.BDS("76131MBE Muni","MUNI_PURPOSE_SCHED", "aggregate=y")</f>
        <v>#N/A Review</v>
      </c>
      <c r="J1666" t="str">
        <f>_xll.BDP("76131MBE Muni","CPN")</f>
        <v>#N/A Requesting Data...</v>
      </c>
      <c r="K1666" t="str">
        <f>_xll.BDP("76131MBE Muni","MATURITY")</f>
        <v>#N/A Requesting Data...</v>
      </c>
      <c r="L1666">
        <v>110000</v>
      </c>
      <c r="M1666" t="str">
        <f>_xll.BDP("76131MBE Muni","YIELD_ON_ISSUE_DATE")</f>
        <v>#N/A Requesting Data...</v>
      </c>
      <c r="N1666" t="str">
        <f>_xll.BDP("76131MBE Muni","YTW_SPREAD_TO_MATURITY_AT_ISSU")</f>
        <v>#N/A Requesting Data...</v>
      </c>
      <c r="O1666" t="str">
        <f>_xll.BDP("76131MBE Muni","BVAL_MID_YTM")</f>
        <v>#N/A Requesting Data...</v>
      </c>
      <c r="P1666" t="str">
        <f>_xll.BDP("76131MBE Muni","MUNI_TAX_PROV")</f>
        <v>#N/A Requesting Data...</v>
      </c>
      <c r="Q1666" t="str">
        <f>_xll.BDP("76131MBE Muni","MUNI_FED_TAX")</f>
        <v>#N/A Requesting Data...</v>
      </c>
      <c r="R1666" t="str">
        <f>_xll.BDP("76131MBE Muni","MUNI_MSRB_VOLUME")</f>
        <v>#N/A Requesting Data...</v>
      </c>
      <c r="S1666" t="str">
        <f>_xll.BDP("76131MBE Muni","BB_COMPOSITE")</f>
        <v>#N/A Requesting Data...</v>
      </c>
      <c r="T1666" t="str">
        <f>_xll.BDP("76131MBE Muni","LQA_LIQUIDITY_SCORE")</f>
        <v>#N/A Requesting Data...</v>
      </c>
    </row>
    <row r="1667" spans="1:20" x14ac:dyDescent="0.25">
      <c r="A1667" t="str">
        <f>_xll.BDP("929831KF Muni","ID_CUSIP")</f>
        <v>#N/A Requesting Data...</v>
      </c>
      <c r="B1667" t="s">
        <v>112</v>
      </c>
      <c r="C1667" t="str">
        <f>_xll.BDP("929831KF Muni","INSURANCE_STATUS")</f>
        <v>#N/A Requesting Data...</v>
      </c>
      <c r="D1667" t="str">
        <f>_xll.BDP("929831KF Muni","STATE_CODE")</f>
        <v>#N/A Requesting Data...</v>
      </c>
      <c r="E1667" t="str">
        <f>_xll.BDP("929831KF Muni","COUNTY_LOCATION_ISSUER")</f>
        <v>#N/A Requesting Data...</v>
      </c>
      <c r="F1667" t="str">
        <f>_xll.BDP("929831KF Muni","DUR_ADJ_MID")</f>
        <v>#N/A Requesting Data...</v>
      </c>
      <c r="G1667" t="str">
        <f>_xll.BDP("929831KF Muni","SPREAD_AT_ISSUANCE_TO_WORST")</f>
        <v>#N/A Requesting Data...</v>
      </c>
      <c r="H1667" t="str">
        <f>_xll.BDP("929831KF Muni","ISSUE_DT")</f>
        <v>#N/A Requesting Data...</v>
      </c>
      <c r="I1667" t="str">
        <f>_xll.BDS("929831KF Muni","MUNI_PURPOSE_SCHED", "aggregate=y")</f>
        <v>#N/A Review</v>
      </c>
      <c r="J1667" t="str">
        <f>_xll.BDP("929831KF Muni","CPN")</f>
        <v>#N/A Requesting Data...</v>
      </c>
      <c r="K1667" t="str">
        <f>_xll.BDP("929831KF Muni","MATURITY")</f>
        <v>#N/A Requesting Data...</v>
      </c>
      <c r="L1667">
        <v>3555000</v>
      </c>
      <c r="M1667" t="str">
        <f>_xll.BDP("929831KF Muni","YIELD_ON_ISSUE_DATE")</f>
        <v>#N/A Requesting Data...</v>
      </c>
      <c r="N1667" t="str">
        <f>_xll.BDP("929831KF Muni","YTW_SPREAD_TO_MATURITY_AT_ISSU")</f>
        <v>#N/A Requesting Data...</v>
      </c>
      <c r="O1667" t="str">
        <f>_xll.BDP("929831KF Muni","BVAL_MID_YTM")</f>
        <v>#N/A Requesting Data...</v>
      </c>
      <c r="P1667" t="str">
        <f>_xll.BDP("929831KF Muni","MUNI_TAX_PROV")</f>
        <v>#N/A Requesting Data...</v>
      </c>
      <c r="Q1667" t="str">
        <f>_xll.BDP("929831KF Muni","MUNI_FED_TAX")</f>
        <v>#N/A Requesting Data...</v>
      </c>
      <c r="R1667" t="str">
        <f>_xll.BDP("929831KF Muni","MUNI_MSRB_VOLUME")</f>
        <v>#N/A Requesting Data...</v>
      </c>
      <c r="S1667" t="str">
        <f>_xll.BDP("929831KF Muni","BB_COMPOSITE")</f>
        <v>#N/A Requesting Data...</v>
      </c>
      <c r="T1667" t="str">
        <f>_xll.BDP("929831KF Muni","LQA_LIQUIDITY_SCORE")</f>
        <v>#N/A Requesting Data...</v>
      </c>
    </row>
    <row r="1668" spans="1:20" x14ac:dyDescent="0.25">
      <c r="A1668" t="str">
        <f>_xll.BDP("837838AJ Muni","ID_CUSIP")</f>
        <v>#N/A Requesting Data...</v>
      </c>
      <c r="B1668" t="s">
        <v>24</v>
      </c>
      <c r="C1668" t="str">
        <f>_xll.BDP("837838AJ Muni","INSURANCE_STATUS")</f>
        <v>#N/A Requesting Data...</v>
      </c>
      <c r="D1668" t="str">
        <f>_xll.BDP("837838AJ Muni","STATE_CODE")</f>
        <v>#N/A Requesting Data...</v>
      </c>
      <c r="E1668" t="str">
        <f>_xll.BDP("837838AJ Muni","COUNTY_LOCATION_ISSUER")</f>
        <v>#N/A Requesting Data...</v>
      </c>
      <c r="F1668" t="str">
        <f>_xll.BDP("837838AJ Muni","DUR_ADJ_MID")</f>
        <v>#N/A Requesting Data...</v>
      </c>
      <c r="G1668" t="str">
        <f>_xll.BDP("837838AJ Muni","SPREAD_AT_ISSUANCE_TO_WORST")</f>
        <v>#N/A Requesting Data...</v>
      </c>
      <c r="H1668" t="str">
        <f>_xll.BDP("837838AJ Muni","ISSUE_DT")</f>
        <v>#N/A Requesting Data...</v>
      </c>
      <c r="I1668" t="str">
        <f>_xll.BDS("837838AJ Muni","MUNI_PURPOSE_SCHED", "aggregate=y")</f>
        <v>#N/A Review</v>
      </c>
      <c r="J1668" t="str">
        <f>_xll.BDP("837838AJ Muni","CPN")</f>
        <v>#N/A Requesting Data...</v>
      </c>
      <c r="K1668" t="str">
        <f>_xll.BDP("837838AJ Muni","MATURITY")</f>
        <v>#N/A Requesting Data...</v>
      </c>
      <c r="L1668">
        <v>655000</v>
      </c>
      <c r="M1668" t="str">
        <f>_xll.BDP("837838AJ Muni","YIELD_ON_ISSUE_DATE")</f>
        <v>#N/A Requesting Data...</v>
      </c>
      <c r="N1668" t="str">
        <f>_xll.BDP("837838AJ Muni","YTW_SPREAD_TO_MATURITY_AT_ISSU")</f>
        <v>#N/A Requesting Data...</v>
      </c>
      <c r="O1668" t="str">
        <f>_xll.BDP("837838AJ Muni","BVAL_MID_YTM")</f>
        <v>#N/A Requesting Data...</v>
      </c>
      <c r="P1668" t="str">
        <f>_xll.BDP("837838AJ Muni","MUNI_TAX_PROV")</f>
        <v>#N/A Requesting Data...</v>
      </c>
      <c r="Q1668" t="str">
        <f>_xll.BDP("837838AJ Muni","MUNI_FED_TAX")</f>
        <v>#N/A Requesting Data...</v>
      </c>
      <c r="R1668" t="str">
        <f>_xll.BDP("837838AJ Muni","MUNI_MSRB_VOLUME")</f>
        <v>#N/A Requesting Data...</v>
      </c>
      <c r="S1668" t="str">
        <f>_xll.BDP("837838AJ Muni","BB_COMPOSITE")</f>
        <v>#N/A Requesting Data...</v>
      </c>
      <c r="T1668" t="str">
        <f>_xll.BDP("837838AJ Muni","LQA_LIQUIDITY_SCORE")</f>
        <v>#N/A Requesting Data...</v>
      </c>
    </row>
    <row r="1669" spans="1:20" x14ac:dyDescent="0.25">
      <c r="A1669" t="str">
        <f>_xll.BDP("837838AK Muni","ID_CUSIP")</f>
        <v>#N/A Requesting Data...</v>
      </c>
      <c r="B1669" t="s">
        <v>24</v>
      </c>
      <c r="C1669" t="str">
        <f>_xll.BDP("837838AK Muni","INSURANCE_STATUS")</f>
        <v>#N/A Requesting Data...</v>
      </c>
      <c r="D1669" t="str">
        <f>_xll.BDP("837838AK Muni","STATE_CODE")</f>
        <v>#N/A Requesting Data...</v>
      </c>
      <c r="E1669" t="str">
        <f>_xll.BDP("837838AK Muni","COUNTY_LOCATION_ISSUER")</f>
        <v>#N/A Requesting Data...</v>
      </c>
      <c r="F1669" t="str">
        <f>_xll.BDP("837838AK Muni","DUR_ADJ_MID")</f>
        <v>#N/A Requesting Data...</v>
      </c>
      <c r="G1669" t="str">
        <f>_xll.BDP("837838AK Muni","SPREAD_AT_ISSUANCE_TO_WORST")</f>
        <v>#N/A Requesting Data...</v>
      </c>
      <c r="H1669" t="str">
        <f>_xll.BDP("837838AK Muni","ISSUE_DT")</f>
        <v>#N/A Requesting Data...</v>
      </c>
      <c r="I1669" t="str">
        <f>_xll.BDS("837838AK Muni","MUNI_PURPOSE_SCHED", "aggregate=y")</f>
        <v>#N/A Review</v>
      </c>
      <c r="J1669" t="str">
        <f>_xll.BDP("837838AK Muni","CPN")</f>
        <v>#N/A Requesting Data...</v>
      </c>
      <c r="K1669" t="str">
        <f>_xll.BDP("837838AK Muni","MATURITY")</f>
        <v>#N/A Requesting Data...</v>
      </c>
      <c r="L1669">
        <v>675000</v>
      </c>
      <c r="M1669" t="str">
        <f>_xll.BDP("837838AK Muni","YIELD_ON_ISSUE_DATE")</f>
        <v>#N/A Requesting Data...</v>
      </c>
      <c r="N1669" t="str">
        <f>_xll.BDP("837838AK Muni","YTW_SPREAD_TO_MATURITY_AT_ISSU")</f>
        <v>#N/A Requesting Data...</v>
      </c>
      <c r="O1669" t="str">
        <f>_xll.BDP("837838AK Muni","BVAL_MID_YTM")</f>
        <v>#N/A Requesting Data...</v>
      </c>
      <c r="P1669" t="str">
        <f>_xll.BDP("837838AK Muni","MUNI_TAX_PROV")</f>
        <v>#N/A Requesting Data...</v>
      </c>
      <c r="Q1669" t="str">
        <f>_xll.BDP("837838AK Muni","MUNI_FED_TAX")</f>
        <v>#N/A Requesting Data...</v>
      </c>
      <c r="R1669" t="str">
        <f>_xll.BDP("837838AK Muni","MUNI_MSRB_VOLUME")</f>
        <v>#N/A Requesting Data...</v>
      </c>
      <c r="S1669" t="str">
        <f>_xll.BDP("837838AK Muni","BB_COMPOSITE")</f>
        <v>#N/A Requesting Data...</v>
      </c>
      <c r="T1669" t="str">
        <f>_xll.BDP("837838AK Muni","LQA_LIQUIDITY_SCORE")</f>
        <v>#N/A Requesting Data...</v>
      </c>
    </row>
    <row r="1670" spans="1:20" x14ac:dyDescent="0.25">
      <c r="A1670" t="str">
        <f>_xll.BDP("837838AM Muni","ID_CUSIP")</f>
        <v>#N/A Requesting Data...</v>
      </c>
      <c r="B1670" t="s">
        <v>24</v>
      </c>
      <c r="C1670" t="str">
        <f>_xll.BDP("837838AM Muni","INSURANCE_STATUS")</f>
        <v>#N/A Requesting Data...</v>
      </c>
      <c r="D1670" t="str">
        <f>_xll.BDP("837838AM Muni","STATE_CODE")</f>
        <v>#N/A Requesting Data...</v>
      </c>
      <c r="E1670" t="str">
        <f>_xll.BDP("837838AM Muni","COUNTY_LOCATION_ISSUER")</f>
        <v>#N/A Requesting Data...</v>
      </c>
      <c r="F1670" t="str">
        <f>_xll.BDP("837838AM Muni","DUR_ADJ_MID")</f>
        <v>#N/A Requesting Data...</v>
      </c>
      <c r="G1670" t="str">
        <f>_xll.BDP("837838AM Muni","SPREAD_AT_ISSUANCE_TO_WORST")</f>
        <v>#N/A Requesting Data...</v>
      </c>
      <c r="H1670" t="str">
        <f>_xll.BDP("837838AM Muni","ISSUE_DT")</f>
        <v>#N/A Requesting Data...</v>
      </c>
      <c r="I1670" t="str">
        <f>_xll.BDS("837838AM Muni","MUNI_PURPOSE_SCHED", "aggregate=y")</f>
        <v>#N/A Review</v>
      </c>
      <c r="J1670" t="str">
        <f>_xll.BDP("837838AM Muni","CPN")</f>
        <v>#N/A Requesting Data...</v>
      </c>
      <c r="K1670" t="str">
        <f>_xll.BDP("837838AM Muni","MATURITY")</f>
        <v>#N/A Requesting Data...</v>
      </c>
      <c r="L1670">
        <v>720000</v>
      </c>
      <c r="M1670" t="str">
        <f>_xll.BDP("837838AM Muni","YIELD_ON_ISSUE_DATE")</f>
        <v>#N/A Requesting Data...</v>
      </c>
      <c r="N1670" t="str">
        <f>_xll.BDP("837838AM Muni","YTW_SPREAD_TO_MATURITY_AT_ISSU")</f>
        <v>#N/A Requesting Data...</v>
      </c>
      <c r="O1670" t="str">
        <f>_xll.BDP("837838AM Muni","BVAL_MID_YTM")</f>
        <v>#N/A Requesting Data...</v>
      </c>
      <c r="P1670" t="str">
        <f>_xll.BDP("837838AM Muni","MUNI_TAX_PROV")</f>
        <v>#N/A Requesting Data...</v>
      </c>
      <c r="Q1670" t="str">
        <f>_xll.BDP("837838AM Muni","MUNI_FED_TAX")</f>
        <v>#N/A Requesting Data...</v>
      </c>
      <c r="R1670" t="str">
        <f>_xll.BDP("837838AM Muni","MUNI_MSRB_VOLUME")</f>
        <v>#N/A Requesting Data...</v>
      </c>
      <c r="S1670" t="str">
        <f>_xll.BDP("837838AM Muni","BB_COMPOSITE")</f>
        <v>#N/A Requesting Data...</v>
      </c>
      <c r="T1670" t="str">
        <f>_xll.BDP("837838AM Muni","LQA_LIQUIDITY_SCORE")</f>
        <v>#N/A Requesting Data...</v>
      </c>
    </row>
    <row r="1671" spans="1:20" x14ac:dyDescent="0.25">
      <c r="A1671" t="str">
        <f>_xll.BDP("838243MH Muni","ID_CUSIP")</f>
        <v>#N/A Requesting Data...</v>
      </c>
      <c r="B1671" t="s">
        <v>504</v>
      </c>
      <c r="C1671" t="str">
        <f>_xll.BDP("838243MH Muni","INSURANCE_STATUS")</f>
        <v>#N/A Requesting Data...</v>
      </c>
      <c r="D1671" t="str">
        <f>_xll.BDP("838243MH Muni","STATE_CODE")</f>
        <v>#N/A Requesting Data...</v>
      </c>
      <c r="E1671" t="str">
        <f>_xll.BDP("838243MH Muni","COUNTY_LOCATION_ISSUER")</f>
        <v>#N/A Requesting Data...</v>
      </c>
      <c r="F1671" t="str">
        <f>_xll.BDP("838243MH Muni","DUR_ADJ_MID")</f>
        <v>#N/A Requesting Data...</v>
      </c>
      <c r="G1671" t="str">
        <f>_xll.BDP("838243MH Muni","SPREAD_AT_ISSUANCE_TO_WORST")</f>
        <v>#N/A Requesting Data...</v>
      </c>
      <c r="H1671" t="str">
        <f>_xll.BDP("838243MH Muni","ISSUE_DT")</f>
        <v>#N/A Requesting Data...</v>
      </c>
      <c r="I1671" t="str">
        <f>_xll.BDS("838243MH Muni","MUNI_PURPOSE_SCHED", "aggregate=y")</f>
        <v>#N/A Review</v>
      </c>
      <c r="J1671" t="str">
        <f>_xll.BDP("838243MH Muni","CPN")</f>
        <v>#N/A Requesting Data...</v>
      </c>
      <c r="K1671" t="str">
        <f>_xll.BDP("838243MH Muni","MATURITY")</f>
        <v>#N/A Requesting Data...</v>
      </c>
      <c r="L1671">
        <v>640000</v>
      </c>
      <c r="M1671" t="str">
        <f>_xll.BDP("838243MH Muni","YIELD_ON_ISSUE_DATE")</f>
        <v>#N/A Requesting Data...</v>
      </c>
      <c r="N1671" t="str">
        <f>_xll.BDP("838243MH Muni","YTW_SPREAD_TO_MATURITY_AT_ISSU")</f>
        <v>#N/A Requesting Data...</v>
      </c>
      <c r="O1671" t="str">
        <f>_xll.BDP("838243MH Muni","BVAL_MID_YTM")</f>
        <v>#N/A Requesting Data...</v>
      </c>
      <c r="P1671" t="str">
        <f>_xll.BDP("838243MH Muni","MUNI_TAX_PROV")</f>
        <v>#N/A Requesting Data...</v>
      </c>
      <c r="Q1671" t="str">
        <f>_xll.BDP("838243MH Muni","MUNI_FED_TAX")</f>
        <v>#N/A Requesting Data...</v>
      </c>
      <c r="R1671" t="str">
        <f>_xll.BDP("838243MH Muni","MUNI_MSRB_VOLUME")</f>
        <v>#N/A Requesting Data...</v>
      </c>
      <c r="S1671" t="str">
        <f>_xll.BDP("838243MH Muni","BB_COMPOSITE")</f>
        <v>#N/A Requesting Data...</v>
      </c>
      <c r="T1671" t="str">
        <f>_xll.BDP("838243MH Muni","LQA_LIQUIDITY_SCORE")</f>
        <v>#N/A Requesting Data...</v>
      </c>
    </row>
    <row r="1672" spans="1:20" x14ac:dyDescent="0.25">
      <c r="A1672" t="str">
        <f>_xll.BDP("838243MJ Muni","ID_CUSIP")</f>
        <v>#N/A Requesting Data...</v>
      </c>
      <c r="B1672" t="s">
        <v>504</v>
      </c>
      <c r="C1672" t="str">
        <f>_xll.BDP("838243MJ Muni","INSURANCE_STATUS")</f>
        <v>#N/A Requesting Data...</v>
      </c>
      <c r="D1672" t="str">
        <f>_xll.BDP("838243MJ Muni","STATE_CODE")</f>
        <v>#N/A Requesting Data...</v>
      </c>
      <c r="E1672" t="str">
        <f>_xll.BDP("838243MJ Muni","COUNTY_LOCATION_ISSUER")</f>
        <v>#N/A Requesting Data...</v>
      </c>
      <c r="F1672" t="str">
        <f>_xll.BDP("838243MJ Muni","DUR_ADJ_MID")</f>
        <v>#N/A Requesting Data...</v>
      </c>
      <c r="G1672" t="str">
        <f>_xll.BDP("838243MJ Muni","SPREAD_AT_ISSUANCE_TO_WORST")</f>
        <v>#N/A Requesting Data...</v>
      </c>
      <c r="H1672" t="str">
        <f>_xll.BDP("838243MJ Muni","ISSUE_DT")</f>
        <v>#N/A Requesting Data...</v>
      </c>
      <c r="I1672" t="str">
        <f>_xll.BDS("838243MJ Muni","MUNI_PURPOSE_SCHED", "aggregate=y")</f>
        <v>#N/A Review</v>
      </c>
      <c r="J1672" t="str">
        <f>_xll.BDP("838243MJ Muni","CPN")</f>
        <v>#N/A Requesting Data...</v>
      </c>
      <c r="K1672" t="str">
        <f>_xll.BDP("838243MJ Muni","MATURITY")</f>
        <v>#N/A Requesting Data...</v>
      </c>
      <c r="L1672">
        <v>680000</v>
      </c>
      <c r="M1672" t="str">
        <f>_xll.BDP("838243MJ Muni","YIELD_ON_ISSUE_DATE")</f>
        <v>#N/A Requesting Data...</v>
      </c>
      <c r="N1672" t="str">
        <f>_xll.BDP("838243MJ Muni","YTW_SPREAD_TO_MATURITY_AT_ISSU")</f>
        <v>#N/A Requesting Data...</v>
      </c>
      <c r="O1672" t="str">
        <f>_xll.BDP("838243MJ Muni","BVAL_MID_YTM")</f>
        <v>#N/A Requesting Data...</v>
      </c>
      <c r="P1672" t="str">
        <f>_xll.BDP("838243MJ Muni","MUNI_TAX_PROV")</f>
        <v>#N/A Requesting Data...</v>
      </c>
      <c r="Q1672" t="str">
        <f>_xll.BDP("838243MJ Muni","MUNI_FED_TAX")</f>
        <v>#N/A Requesting Data...</v>
      </c>
      <c r="R1672" t="str">
        <f>_xll.BDP("838243MJ Muni","MUNI_MSRB_VOLUME")</f>
        <v>#N/A Requesting Data...</v>
      </c>
      <c r="S1672" t="str">
        <f>_xll.BDP("838243MJ Muni","BB_COMPOSITE")</f>
        <v>#N/A Requesting Data...</v>
      </c>
      <c r="T1672" t="str">
        <f>_xll.BDP("838243MJ Muni","LQA_LIQUIDITY_SCORE")</f>
        <v>#N/A Requesting Data...</v>
      </c>
    </row>
    <row r="1673" spans="1:20" x14ac:dyDescent="0.25">
      <c r="A1673" t="str">
        <f>_xll.BDP("838243MK Muni","ID_CUSIP")</f>
        <v>#N/A Requesting Data...</v>
      </c>
      <c r="B1673" t="s">
        <v>504</v>
      </c>
      <c r="C1673" t="str">
        <f>_xll.BDP("838243MK Muni","INSURANCE_STATUS")</f>
        <v>#N/A Requesting Data...</v>
      </c>
      <c r="D1673" t="str">
        <f>_xll.BDP("838243MK Muni","STATE_CODE")</f>
        <v>#N/A Requesting Data...</v>
      </c>
      <c r="E1673" t="str">
        <f>_xll.BDP("838243MK Muni","COUNTY_LOCATION_ISSUER")</f>
        <v>#N/A Requesting Data...</v>
      </c>
      <c r="F1673" t="str">
        <f>_xll.BDP("838243MK Muni","DUR_ADJ_MID")</f>
        <v>#N/A Requesting Data...</v>
      </c>
      <c r="G1673" t="str">
        <f>_xll.BDP("838243MK Muni","SPREAD_AT_ISSUANCE_TO_WORST")</f>
        <v>#N/A Requesting Data...</v>
      </c>
      <c r="H1673" t="str">
        <f>_xll.BDP("838243MK Muni","ISSUE_DT")</f>
        <v>#N/A Requesting Data...</v>
      </c>
      <c r="I1673" t="str">
        <f>_xll.BDS("838243MK Muni","MUNI_PURPOSE_SCHED", "aggregate=y")</f>
        <v>#N/A Review</v>
      </c>
      <c r="J1673" t="str">
        <f>_xll.BDP("838243MK Muni","CPN")</f>
        <v>#N/A Requesting Data...</v>
      </c>
      <c r="K1673" t="str">
        <f>_xll.BDP("838243MK Muni","MATURITY")</f>
        <v>#N/A Requesting Data...</v>
      </c>
      <c r="L1673">
        <v>695000</v>
      </c>
      <c r="M1673" t="str">
        <f>_xll.BDP("838243MK Muni","YIELD_ON_ISSUE_DATE")</f>
        <v>#N/A Requesting Data...</v>
      </c>
      <c r="N1673" t="str">
        <f>_xll.BDP("838243MK Muni","YTW_SPREAD_TO_MATURITY_AT_ISSU")</f>
        <v>#N/A Requesting Data...</v>
      </c>
      <c r="O1673" t="str">
        <f>_xll.BDP("838243MK Muni","BVAL_MID_YTM")</f>
        <v>#N/A Requesting Data...</v>
      </c>
      <c r="P1673" t="str">
        <f>_xll.BDP("838243MK Muni","MUNI_TAX_PROV")</f>
        <v>#N/A Requesting Data...</v>
      </c>
      <c r="Q1673" t="str">
        <f>_xll.BDP("838243MK Muni","MUNI_FED_TAX")</f>
        <v>#N/A Requesting Data...</v>
      </c>
      <c r="R1673" t="str">
        <f>_xll.BDP("838243MK Muni","MUNI_MSRB_VOLUME")</f>
        <v>#N/A Requesting Data...</v>
      </c>
      <c r="S1673" t="str">
        <f>_xll.BDP("838243MK Muni","BB_COMPOSITE")</f>
        <v>#N/A Requesting Data...</v>
      </c>
      <c r="T1673" t="str">
        <f>_xll.BDP("838243MK Muni","LQA_LIQUIDITY_SCORE")</f>
        <v>#N/A Requesting Data...</v>
      </c>
    </row>
    <row r="1674" spans="1:20" x14ac:dyDescent="0.25">
      <c r="A1674" t="str">
        <f>_xll.BDP("838243ML Muni","ID_CUSIP")</f>
        <v>#N/A Requesting Data...</v>
      </c>
      <c r="B1674" t="s">
        <v>504</v>
      </c>
      <c r="C1674" t="str">
        <f>_xll.BDP("838243ML Muni","INSURANCE_STATUS")</f>
        <v>#N/A Requesting Data...</v>
      </c>
      <c r="D1674" t="str">
        <f>_xll.BDP("838243ML Muni","STATE_CODE")</f>
        <v>#N/A Requesting Data...</v>
      </c>
      <c r="E1674" t="str">
        <f>_xll.BDP("838243ML Muni","COUNTY_LOCATION_ISSUER")</f>
        <v>#N/A Requesting Data...</v>
      </c>
      <c r="F1674" t="str">
        <f>_xll.BDP("838243ML Muni","DUR_ADJ_MID")</f>
        <v>#N/A Requesting Data...</v>
      </c>
      <c r="G1674" t="str">
        <f>_xll.BDP("838243ML Muni","SPREAD_AT_ISSUANCE_TO_WORST")</f>
        <v>#N/A Requesting Data...</v>
      </c>
      <c r="H1674" t="str">
        <f>_xll.BDP("838243ML Muni","ISSUE_DT")</f>
        <v>#N/A Requesting Data...</v>
      </c>
      <c r="I1674" t="str">
        <f>_xll.BDS("838243ML Muni","MUNI_PURPOSE_SCHED", "aggregate=y")</f>
        <v>#N/A Review</v>
      </c>
      <c r="J1674" t="str">
        <f>_xll.BDP("838243ML Muni","CPN")</f>
        <v>#N/A Requesting Data...</v>
      </c>
      <c r="K1674" t="str">
        <f>_xll.BDP("838243ML Muni","MATURITY")</f>
        <v>#N/A Requesting Data...</v>
      </c>
      <c r="L1674">
        <v>750000</v>
      </c>
      <c r="M1674" t="str">
        <f>_xll.BDP("838243ML Muni","YIELD_ON_ISSUE_DATE")</f>
        <v>#N/A Requesting Data...</v>
      </c>
      <c r="N1674" t="str">
        <f>_xll.BDP("838243ML Muni","YTW_SPREAD_TO_MATURITY_AT_ISSU")</f>
        <v>#N/A Requesting Data...</v>
      </c>
      <c r="O1674" t="str">
        <f>_xll.BDP("838243ML Muni","BVAL_MID_YTM")</f>
        <v>#N/A Requesting Data...</v>
      </c>
      <c r="P1674" t="str">
        <f>_xll.BDP("838243ML Muni","MUNI_TAX_PROV")</f>
        <v>#N/A Requesting Data...</v>
      </c>
      <c r="Q1674" t="str">
        <f>_xll.BDP("838243ML Muni","MUNI_FED_TAX")</f>
        <v>#N/A Requesting Data...</v>
      </c>
      <c r="R1674" t="str">
        <f>_xll.BDP("838243ML Muni","MUNI_MSRB_VOLUME")</f>
        <v>#N/A Requesting Data...</v>
      </c>
      <c r="S1674" t="str">
        <f>_xll.BDP("838243ML Muni","BB_COMPOSITE")</f>
        <v>#N/A Requesting Data...</v>
      </c>
      <c r="T1674" t="str">
        <f>_xll.BDP("838243ML Muni","LQA_LIQUIDITY_SCORE")</f>
        <v>#N/A Requesting Data...</v>
      </c>
    </row>
    <row r="1675" spans="1:20" x14ac:dyDescent="0.25">
      <c r="A1675" t="str">
        <f>_xll.BDP("838243MM Muni","ID_CUSIP")</f>
        <v>#N/A Requesting Data...</v>
      </c>
      <c r="B1675" t="s">
        <v>504</v>
      </c>
      <c r="C1675" t="str">
        <f>_xll.BDP("838243MM Muni","INSURANCE_STATUS")</f>
        <v>#N/A Requesting Data...</v>
      </c>
      <c r="D1675" t="str">
        <f>_xll.BDP("838243MM Muni","STATE_CODE")</f>
        <v>#N/A Requesting Data...</v>
      </c>
      <c r="E1675" t="str">
        <f>_xll.BDP("838243MM Muni","COUNTY_LOCATION_ISSUER")</f>
        <v>#N/A Requesting Data...</v>
      </c>
      <c r="F1675" t="str">
        <f>_xll.BDP("838243MM Muni","DUR_ADJ_MID")</f>
        <v>#N/A Requesting Data...</v>
      </c>
      <c r="G1675" t="str">
        <f>_xll.BDP("838243MM Muni","SPREAD_AT_ISSUANCE_TO_WORST")</f>
        <v>#N/A Requesting Data...</v>
      </c>
      <c r="H1675" t="str">
        <f>_xll.BDP("838243MM Muni","ISSUE_DT")</f>
        <v>#N/A Requesting Data...</v>
      </c>
      <c r="I1675" t="str">
        <f>_xll.BDS("838243MM Muni","MUNI_PURPOSE_SCHED", "aggregate=y")</f>
        <v>#N/A Review</v>
      </c>
      <c r="J1675" t="str">
        <f>_xll.BDP("838243MM Muni","CPN")</f>
        <v>#N/A Requesting Data...</v>
      </c>
      <c r="K1675" t="str">
        <f>_xll.BDP("838243MM Muni","MATURITY")</f>
        <v>#N/A Requesting Data...</v>
      </c>
      <c r="L1675">
        <v>755000</v>
      </c>
      <c r="M1675" t="str">
        <f>_xll.BDP("838243MM Muni","YIELD_ON_ISSUE_DATE")</f>
        <v>#N/A Requesting Data...</v>
      </c>
      <c r="N1675" t="str">
        <f>_xll.BDP("838243MM Muni","YTW_SPREAD_TO_MATURITY_AT_ISSU")</f>
        <v>#N/A Requesting Data...</v>
      </c>
      <c r="O1675" t="str">
        <f>_xll.BDP("838243MM Muni","BVAL_MID_YTM")</f>
        <v>#N/A Requesting Data...</v>
      </c>
      <c r="P1675" t="str">
        <f>_xll.BDP("838243MM Muni","MUNI_TAX_PROV")</f>
        <v>#N/A Requesting Data...</v>
      </c>
      <c r="Q1675" t="str">
        <f>_xll.BDP("838243MM Muni","MUNI_FED_TAX")</f>
        <v>#N/A Requesting Data...</v>
      </c>
      <c r="R1675" t="str">
        <f>_xll.BDP("838243MM Muni","MUNI_MSRB_VOLUME")</f>
        <v>#N/A Requesting Data...</v>
      </c>
      <c r="S1675" t="str">
        <f>_xll.BDP("838243MM Muni","BB_COMPOSITE")</f>
        <v>#N/A Requesting Data...</v>
      </c>
      <c r="T1675" t="str">
        <f>_xll.BDP("838243MM Muni","LQA_LIQUIDITY_SCORE")</f>
        <v>#N/A Requesting Data...</v>
      </c>
    </row>
    <row r="1676" spans="1:20" x14ac:dyDescent="0.25">
      <c r="A1676" t="str">
        <f>_xll.BDP("83854MAL Muni","ID_CUSIP")</f>
        <v>#N/A Requesting Data...</v>
      </c>
      <c r="B1676" t="s">
        <v>505</v>
      </c>
      <c r="C1676" t="str">
        <f>_xll.BDP("83854MAL Muni","INSURANCE_STATUS")</f>
        <v>#N/A Requesting Data...</v>
      </c>
      <c r="D1676" t="str">
        <f>_xll.BDP("83854MAL Muni","STATE_CODE")</f>
        <v>#N/A Requesting Data...</v>
      </c>
      <c r="E1676" t="str">
        <f>_xll.BDP("83854MAL Muni","COUNTY_LOCATION_ISSUER")</f>
        <v>#N/A Requesting Data...</v>
      </c>
      <c r="F1676" t="str">
        <f>_xll.BDP("83854MAL Muni","DUR_ADJ_MID")</f>
        <v>#N/A Requesting Data...</v>
      </c>
      <c r="G1676" t="str">
        <f>_xll.BDP("83854MAL Muni","SPREAD_AT_ISSUANCE_TO_WORST")</f>
        <v>#N/A Requesting Data...</v>
      </c>
      <c r="H1676" t="str">
        <f>_xll.BDP("83854MAL Muni","ISSUE_DT")</f>
        <v>#N/A Requesting Data...</v>
      </c>
      <c r="I1676" t="str">
        <f>_xll.BDS("83854MAL Muni","MUNI_PURPOSE_SCHED", "aggregate=y")</f>
        <v>#N/A Review</v>
      </c>
      <c r="J1676" t="str">
        <f>_xll.BDP("83854MAL Muni","CPN")</f>
        <v>#N/A Requesting Data...</v>
      </c>
      <c r="K1676" t="str">
        <f>_xll.BDP("83854MAL Muni","MATURITY")</f>
        <v>#N/A Requesting Data...</v>
      </c>
      <c r="L1676">
        <v>1485000</v>
      </c>
      <c r="M1676" t="str">
        <f>_xll.BDP("83854MAL Muni","YIELD_ON_ISSUE_DATE")</f>
        <v>#N/A Requesting Data...</v>
      </c>
      <c r="N1676" t="str">
        <f>_xll.BDP("83854MAL Muni","YTW_SPREAD_TO_MATURITY_AT_ISSU")</f>
        <v>#N/A Requesting Data...</v>
      </c>
      <c r="O1676" t="str">
        <f>_xll.BDP("83854MAL Muni","BVAL_MID_YTM")</f>
        <v>#N/A Requesting Data...</v>
      </c>
      <c r="P1676" t="str">
        <f>_xll.BDP("83854MAL Muni","MUNI_TAX_PROV")</f>
        <v>#N/A Requesting Data...</v>
      </c>
      <c r="Q1676" t="str">
        <f>_xll.BDP("83854MAL Muni","MUNI_FED_TAX")</f>
        <v>#N/A Requesting Data...</v>
      </c>
      <c r="R1676" t="str">
        <f>_xll.BDP("83854MAL Muni","MUNI_MSRB_VOLUME")</f>
        <v>#N/A Requesting Data...</v>
      </c>
      <c r="S1676" t="str">
        <f>_xll.BDP("83854MAL Muni","BB_COMPOSITE")</f>
        <v>#N/A Requesting Data...</v>
      </c>
      <c r="T1676" t="str">
        <f>_xll.BDP("83854MAL Muni","LQA_LIQUIDITY_SCORE")</f>
        <v>#N/A Requesting Data...</v>
      </c>
    </row>
    <row r="1677" spans="1:20" x14ac:dyDescent="0.25">
      <c r="A1677" t="str">
        <f>_xll.BDP("83854MAM Muni","ID_CUSIP")</f>
        <v>#N/A Requesting Data...</v>
      </c>
      <c r="B1677" t="s">
        <v>505</v>
      </c>
      <c r="C1677" t="str">
        <f>_xll.BDP("83854MAM Muni","INSURANCE_STATUS")</f>
        <v>#N/A Requesting Data...</v>
      </c>
      <c r="D1677" t="str">
        <f>_xll.BDP("83854MAM Muni","STATE_CODE")</f>
        <v>#N/A Requesting Data...</v>
      </c>
      <c r="E1677" t="str">
        <f>_xll.BDP("83854MAM Muni","COUNTY_LOCATION_ISSUER")</f>
        <v>#N/A Requesting Data...</v>
      </c>
      <c r="F1677" t="str">
        <f>_xll.BDP("83854MAM Muni","DUR_ADJ_MID")</f>
        <v>#N/A Requesting Data...</v>
      </c>
      <c r="G1677" t="str">
        <f>_xll.BDP("83854MAM Muni","SPREAD_AT_ISSUANCE_TO_WORST")</f>
        <v>#N/A Requesting Data...</v>
      </c>
      <c r="H1677" t="str">
        <f>_xll.BDP("83854MAM Muni","ISSUE_DT")</f>
        <v>#N/A Requesting Data...</v>
      </c>
      <c r="I1677" t="str">
        <f>_xll.BDS("83854MAM Muni","MUNI_PURPOSE_SCHED", "aggregate=y")</f>
        <v>#N/A Review</v>
      </c>
      <c r="J1677" t="str">
        <f>_xll.BDP("83854MAM Muni","CPN")</f>
        <v>#N/A Requesting Data...</v>
      </c>
      <c r="K1677" t="str">
        <f>_xll.BDP("83854MAM Muni","MATURITY")</f>
        <v>#N/A Requesting Data...</v>
      </c>
      <c r="L1677">
        <v>1540000</v>
      </c>
      <c r="M1677" t="str">
        <f>_xll.BDP("83854MAM Muni","YIELD_ON_ISSUE_DATE")</f>
        <v>#N/A Requesting Data...</v>
      </c>
      <c r="N1677" t="str">
        <f>_xll.BDP("83854MAM Muni","YTW_SPREAD_TO_MATURITY_AT_ISSU")</f>
        <v>#N/A Requesting Data...</v>
      </c>
      <c r="O1677" t="str">
        <f>_xll.BDP("83854MAM Muni","BVAL_MID_YTM")</f>
        <v>#N/A Requesting Data...</v>
      </c>
      <c r="P1677" t="str">
        <f>_xll.BDP("83854MAM Muni","MUNI_TAX_PROV")</f>
        <v>#N/A Requesting Data...</v>
      </c>
      <c r="Q1677" t="str">
        <f>_xll.BDP("83854MAM Muni","MUNI_FED_TAX")</f>
        <v>#N/A Requesting Data...</v>
      </c>
      <c r="R1677" t="str">
        <f>_xll.BDP("83854MAM Muni","MUNI_MSRB_VOLUME")</f>
        <v>#N/A Requesting Data...</v>
      </c>
      <c r="S1677" t="str">
        <f>_xll.BDP("83854MAM Muni","BB_COMPOSITE")</f>
        <v>#N/A Requesting Data...</v>
      </c>
      <c r="T1677" t="str">
        <f>_xll.BDP("83854MAM Muni","LQA_LIQUIDITY_SCORE")</f>
        <v>#N/A Requesting Data...</v>
      </c>
    </row>
    <row r="1678" spans="1:20" x14ac:dyDescent="0.25">
      <c r="A1678" t="str">
        <f>_xll.BDP("83854MAP Muni","ID_CUSIP")</f>
        <v>#N/A Requesting Data...</v>
      </c>
      <c r="B1678" t="s">
        <v>505</v>
      </c>
      <c r="C1678" t="str">
        <f>_xll.BDP("83854MAP Muni","INSURANCE_STATUS")</f>
        <v>#N/A Requesting Data...</v>
      </c>
      <c r="D1678" t="str">
        <f>_xll.BDP("83854MAP Muni","STATE_CODE")</f>
        <v>#N/A Requesting Data...</v>
      </c>
      <c r="E1678" t="str">
        <f>_xll.BDP("83854MAP Muni","COUNTY_LOCATION_ISSUER")</f>
        <v>#N/A Requesting Data...</v>
      </c>
      <c r="F1678" t="str">
        <f>_xll.BDP("83854MAP Muni","DUR_ADJ_MID")</f>
        <v>#N/A Requesting Data...</v>
      </c>
      <c r="G1678" t="str">
        <f>_xll.BDP("83854MAP Muni","SPREAD_AT_ISSUANCE_TO_WORST")</f>
        <v>#N/A Requesting Data...</v>
      </c>
      <c r="H1678" t="str">
        <f>_xll.BDP("83854MAP Muni","ISSUE_DT")</f>
        <v>#N/A Requesting Data...</v>
      </c>
      <c r="I1678" t="str">
        <f>_xll.BDS("83854MAP Muni","MUNI_PURPOSE_SCHED", "aggregate=y")</f>
        <v>#N/A Review</v>
      </c>
      <c r="J1678" t="str">
        <f>_xll.BDP("83854MAP Muni","CPN")</f>
        <v>#N/A Requesting Data...</v>
      </c>
      <c r="K1678" t="str">
        <f>_xll.BDP("83854MAP Muni","MATURITY")</f>
        <v>#N/A Requesting Data...</v>
      </c>
      <c r="L1678">
        <v>1615000</v>
      </c>
      <c r="M1678" t="str">
        <f>_xll.BDP("83854MAP Muni","YIELD_ON_ISSUE_DATE")</f>
        <v>#N/A Requesting Data...</v>
      </c>
      <c r="N1678" t="str">
        <f>_xll.BDP("83854MAP Muni","YTW_SPREAD_TO_MATURITY_AT_ISSU")</f>
        <v>#N/A Requesting Data...</v>
      </c>
      <c r="O1678" t="str">
        <f>_xll.BDP("83854MAP Muni","BVAL_MID_YTM")</f>
        <v>#N/A Requesting Data...</v>
      </c>
      <c r="P1678" t="str">
        <f>_xll.BDP("83854MAP Muni","MUNI_TAX_PROV")</f>
        <v>#N/A Requesting Data...</v>
      </c>
      <c r="Q1678" t="str">
        <f>_xll.BDP("83854MAP Muni","MUNI_FED_TAX")</f>
        <v>#N/A Requesting Data...</v>
      </c>
      <c r="R1678" t="str">
        <f>_xll.BDP("83854MAP Muni","MUNI_MSRB_VOLUME")</f>
        <v>#N/A Requesting Data...</v>
      </c>
      <c r="S1678" t="str">
        <f>_xll.BDP("83854MAP Muni","BB_COMPOSITE")</f>
        <v>#N/A Requesting Data...</v>
      </c>
      <c r="T1678" t="str">
        <f>_xll.BDP("83854MAP Muni","LQA_LIQUIDITY_SCORE")</f>
        <v>#N/A Requesting Data...</v>
      </c>
    </row>
    <row r="1679" spans="1:20" x14ac:dyDescent="0.25">
      <c r="A1679" t="str">
        <f>_xll.BDP("774221CV Muni","ID_CUSIP")</f>
        <v>#N/A Requesting Data...</v>
      </c>
      <c r="B1679" t="s">
        <v>506</v>
      </c>
      <c r="C1679" t="str">
        <f>_xll.BDP("774221CV Muni","INSURANCE_STATUS")</f>
        <v>#N/A Requesting Data...</v>
      </c>
      <c r="D1679" t="str">
        <f>_xll.BDP("774221CV Muni","STATE_CODE")</f>
        <v>#N/A Requesting Data...</v>
      </c>
      <c r="E1679" t="str">
        <f>_xll.BDP("774221CV Muni","COUNTY_LOCATION_ISSUER")</f>
        <v>#N/A Requesting Data...</v>
      </c>
      <c r="F1679" t="str">
        <f>_xll.BDP("774221CV Muni","DUR_ADJ_MID")</f>
        <v>#N/A Requesting Data...</v>
      </c>
      <c r="G1679" t="str">
        <f>_xll.BDP("774221CV Muni","SPREAD_AT_ISSUANCE_TO_WORST")</f>
        <v>#N/A Requesting Data...</v>
      </c>
      <c r="H1679" t="str">
        <f>_xll.BDP("774221CV Muni","ISSUE_DT")</f>
        <v>#N/A Requesting Data...</v>
      </c>
      <c r="I1679" t="str">
        <f>_xll.BDS("774221CV Muni","MUNI_PURPOSE_SCHED", "aggregate=y")</f>
        <v>#N/A Review</v>
      </c>
      <c r="J1679" t="str">
        <f>_xll.BDP("774221CV Muni","CPN")</f>
        <v>#N/A Requesting Data...</v>
      </c>
      <c r="K1679" t="str">
        <f>_xll.BDP("774221CV Muni","MATURITY")</f>
        <v>#N/A Requesting Data...</v>
      </c>
      <c r="L1679">
        <v>315000</v>
      </c>
      <c r="M1679" t="str">
        <f>_xll.BDP("774221CV Muni","YIELD_ON_ISSUE_DATE")</f>
        <v>#N/A Requesting Data...</v>
      </c>
      <c r="N1679" t="str">
        <f>_xll.BDP("774221CV Muni","YTW_SPREAD_TO_MATURITY_AT_ISSU")</f>
        <v>#N/A Requesting Data...</v>
      </c>
      <c r="O1679" t="str">
        <f>_xll.BDP("774221CV Muni","BVAL_MID_YTM")</f>
        <v>#N/A Requesting Data...</v>
      </c>
      <c r="P1679" t="str">
        <f>_xll.BDP("774221CV Muni","MUNI_TAX_PROV")</f>
        <v>#N/A Requesting Data...</v>
      </c>
      <c r="Q1679" t="str">
        <f>_xll.BDP("774221CV Muni","MUNI_FED_TAX")</f>
        <v>#N/A Requesting Data...</v>
      </c>
      <c r="R1679" t="str">
        <f>_xll.BDP("774221CV Muni","MUNI_MSRB_VOLUME")</f>
        <v>#N/A Requesting Data...</v>
      </c>
      <c r="S1679" t="str">
        <f>_xll.BDP("774221CV Muni","BB_COMPOSITE")</f>
        <v>#N/A Requesting Data...</v>
      </c>
      <c r="T1679" t="str">
        <f>_xll.BDP("774221CV Muni","LQA_LIQUIDITY_SCORE")</f>
        <v>#N/A Requesting Data...</v>
      </c>
    </row>
    <row r="1680" spans="1:20" x14ac:dyDescent="0.25">
      <c r="A1680" t="str">
        <f>_xll.BDP("77426PDT Muni","ID_CUSIP")</f>
        <v>#N/A Requesting Data...</v>
      </c>
      <c r="B1680" t="s">
        <v>507</v>
      </c>
      <c r="C1680" t="str">
        <f>_xll.BDP("77426PDT Muni","INSURANCE_STATUS")</f>
        <v>#N/A Requesting Data...</v>
      </c>
      <c r="D1680" t="str">
        <f>_xll.BDP("77426PDT Muni","STATE_CODE")</f>
        <v>#N/A Requesting Data...</v>
      </c>
      <c r="E1680" t="str">
        <f>_xll.BDP("77426PDT Muni","COUNTY_LOCATION_ISSUER")</f>
        <v>#N/A Requesting Data...</v>
      </c>
      <c r="F1680" t="str">
        <f>_xll.BDP("77426PDT Muni","DUR_ADJ_MID")</f>
        <v>#N/A Requesting Data...</v>
      </c>
      <c r="G1680" t="str">
        <f>_xll.BDP("77426PDT Muni","SPREAD_AT_ISSUANCE_TO_WORST")</f>
        <v>#N/A Requesting Data...</v>
      </c>
      <c r="H1680" t="str">
        <f>_xll.BDP("77426PDT Muni","ISSUE_DT")</f>
        <v>#N/A Requesting Data...</v>
      </c>
      <c r="I1680" t="str">
        <f>_xll.BDS("77426PDT Muni","MUNI_PURPOSE_SCHED", "aggregate=y")</f>
        <v>#N/A Review</v>
      </c>
      <c r="J1680" t="str">
        <f>_xll.BDP("77426PDT Muni","CPN")</f>
        <v>#N/A Requesting Data...</v>
      </c>
      <c r="K1680" t="str">
        <f>_xll.BDP("77426PDT Muni","MATURITY")</f>
        <v>#N/A Requesting Data...</v>
      </c>
      <c r="L1680">
        <v>95000</v>
      </c>
      <c r="M1680" t="str">
        <f>_xll.BDP("77426PDT Muni","YIELD_ON_ISSUE_DATE")</f>
        <v>#N/A Requesting Data...</v>
      </c>
      <c r="N1680" t="str">
        <f>_xll.BDP("77426PDT Muni","YTW_SPREAD_TO_MATURITY_AT_ISSU")</f>
        <v>#N/A Requesting Data...</v>
      </c>
      <c r="O1680" t="str">
        <f>_xll.BDP("77426PDT Muni","BVAL_MID_YTM")</f>
        <v>#N/A Requesting Data...</v>
      </c>
      <c r="P1680" t="str">
        <f>_xll.BDP("77426PDT Muni","MUNI_TAX_PROV")</f>
        <v>#N/A Requesting Data...</v>
      </c>
      <c r="Q1680" t="str">
        <f>_xll.BDP("77426PDT Muni","MUNI_FED_TAX")</f>
        <v>#N/A Requesting Data...</v>
      </c>
      <c r="R1680" t="str">
        <f>_xll.BDP("77426PDT Muni","MUNI_MSRB_VOLUME")</f>
        <v>#N/A Requesting Data...</v>
      </c>
      <c r="S1680" t="str">
        <f>_xll.BDP("77426PDT Muni","BB_COMPOSITE")</f>
        <v>#N/A Requesting Data...</v>
      </c>
      <c r="T1680" t="str">
        <f>_xll.BDP("77426PDT Muni","LQA_LIQUIDITY_SCORE")</f>
        <v>#N/A Requesting Data...</v>
      </c>
    </row>
    <row r="1681" spans="1:20" x14ac:dyDescent="0.25">
      <c r="A1681" t="str">
        <f>_xll.BDP("77426PDV Muni","ID_CUSIP")</f>
        <v>#N/A Requesting Data...</v>
      </c>
      <c r="B1681" t="s">
        <v>507</v>
      </c>
      <c r="C1681" t="str">
        <f>_xll.BDP("77426PDV Muni","INSURANCE_STATUS")</f>
        <v>#N/A Requesting Data...</v>
      </c>
      <c r="D1681" t="str">
        <f>_xll.BDP("77426PDV Muni","STATE_CODE")</f>
        <v>#N/A Requesting Data...</v>
      </c>
      <c r="E1681" t="str">
        <f>_xll.BDP("77426PDV Muni","COUNTY_LOCATION_ISSUER")</f>
        <v>#N/A Requesting Data...</v>
      </c>
      <c r="F1681" t="str">
        <f>_xll.BDP("77426PDV Muni","DUR_ADJ_MID")</f>
        <v>#N/A Requesting Data...</v>
      </c>
      <c r="G1681" t="str">
        <f>_xll.BDP("77426PDV Muni","SPREAD_AT_ISSUANCE_TO_WORST")</f>
        <v>#N/A Requesting Data...</v>
      </c>
      <c r="H1681" t="str">
        <f>_xll.BDP("77426PDV Muni","ISSUE_DT")</f>
        <v>#N/A Requesting Data...</v>
      </c>
      <c r="I1681" t="str">
        <f>_xll.BDS("77426PDV Muni","MUNI_PURPOSE_SCHED", "aggregate=y")</f>
        <v>#N/A Review</v>
      </c>
      <c r="J1681" t="str">
        <f>_xll.BDP("77426PDV Muni","CPN")</f>
        <v>#N/A Requesting Data...</v>
      </c>
      <c r="K1681" t="str">
        <f>_xll.BDP("77426PDV Muni","MATURITY")</f>
        <v>#N/A Requesting Data...</v>
      </c>
      <c r="L1681">
        <v>90000</v>
      </c>
      <c r="M1681" t="str">
        <f>_xll.BDP("77426PDV Muni","YIELD_ON_ISSUE_DATE")</f>
        <v>#N/A Requesting Data...</v>
      </c>
      <c r="N1681" t="str">
        <f>_xll.BDP("77426PDV Muni","YTW_SPREAD_TO_MATURITY_AT_ISSU")</f>
        <v>#N/A Requesting Data...</v>
      </c>
      <c r="O1681" t="str">
        <f>_xll.BDP("77426PDV Muni","BVAL_MID_YTM")</f>
        <v>#N/A Requesting Data...</v>
      </c>
      <c r="P1681" t="str">
        <f>_xll.BDP("77426PDV Muni","MUNI_TAX_PROV")</f>
        <v>#N/A Requesting Data...</v>
      </c>
      <c r="Q1681" t="str">
        <f>_xll.BDP("77426PDV Muni","MUNI_FED_TAX")</f>
        <v>#N/A Requesting Data...</v>
      </c>
      <c r="R1681" t="str">
        <f>_xll.BDP("77426PDV Muni","MUNI_MSRB_VOLUME")</f>
        <v>#N/A Requesting Data...</v>
      </c>
      <c r="S1681" t="str">
        <f>_xll.BDP("77426PDV Muni","BB_COMPOSITE")</f>
        <v>#N/A Requesting Data...</v>
      </c>
      <c r="T1681" t="str">
        <f>_xll.BDP("77426PDV Muni","LQA_LIQUIDITY_SCORE")</f>
        <v>#N/A Requesting Data...</v>
      </c>
    </row>
    <row r="1682" spans="1:20" x14ac:dyDescent="0.25">
      <c r="A1682" t="str">
        <f>_xll.BDP("774280T3 Muni","ID_CUSIP")</f>
        <v>#N/A Requesting Data...</v>
      </c>
      <c r="B1682" t="s">
        <v>508</v>
      </c>
      <c r="C1682" t="str">
        <f>_xll.BDP("774280T3 Muni","INSURANCE_STATUS")</f>
        <v>#N/A Requesting Data...</v>
      </c>
      <c r="D1682" t="str">
        <f>_xll.BDP("774280T3 Muni","STATE_CODE")</f>
        <v>#N/A Requesting Data...</v>
      </c>
      <c r="E1682" t="str">
        <f>_xll.BDP("774280T3 Muni","COUNTY_LOCATION_ISSUER")</f>
        <v>#N/A Requesting Data...</v>
      </c>
      <c r="F1682" t="str">
        <f>_xll.BDP("774280T3 Muni","DUR_ADJ_MID")</f>
        <v>#N/A Requesting Data...</v>
      </c>
      <c r="G1682" t="str">
        <f>_xll.BDP("774280T3 Muni","SPREAD_AT_ISSUANCE_TO_WORST")</f>
        <v>#N/A Requesting Data...</v>
      </c>
      <c r="H1682" t="str">
        <f>_xll.BDP("774280T3 Muni","ISSUE_DT")</f>
        <v>#N/A Requesting Data...</v>
      </c>
      <c r="I1682" t="str">
        <f>_xll.BDS("774280T3 Muni","MUNI_PURPOSE_SCHED", "aggregate=y")</f>
        <v>#N/A Review</v>
      </c>
      <c r="J1682" t="str">
        <f>_xll.BDP("774280T3 Muni","CPN")</f>
        <v>#N/A Requesting Data...</v>
      </c>
      <c r="K1682" t="str">
        <f>_xll.BDP("774280T3 Muni","MATURITY")</f>
        <v>#N/A Requesting Data...</v>
      </c>
      <c r="L1682">
        <v>260000</v>
      </c>
      <c r="M1682" t="str">
        <f>_xll.BDP("774280T3 Muni","YIELD_ON_ISSUE_DATE")</f>
        <v>#N/A Requesting Data...</v>
      </c>
      <c r="N1682" t="str">
        <f>_xll.BDP("774280T3 Muni","YTW_SPREAD_TO_MATURITY_AT_ISSU")</f>
        <v>#N/A Requesting Data...</v>
      </c>
      <c r="O1682" t="str">
        <f>_xll.BDP("774280T3 Muni","BVAL_MID_YTM")</f>
        <v>#N/A Requesting Data...</v>
      </c>
      <c r="P1682" t="str">
        <f>_xll.BDP("774280T3 Muni","MUNI_TAX_PROV")</f>
        <v>#N/A Requesting Data...</v>
      </c>
      <c r="Q1682" t="str">
        <f>_xll.BDP("774280T3 Muni","MUNI_FED_TAX")</f>
        <v>#N/A Requesting Data...</v>
      </c>
      <c r="R1682" t="str">
        <f>_xll.BDP("774280T3 Muni","MUNI_MSRB_VOLUME")</f>
        <v>#N/A Requesting Data...</v>
      </c>
      <c r="S1682" t="str">
        <f>_xll.BDP("774280T3 Muni","BB_COMPOSITE")</f>
        <v>#N/A Requesting Data...</v>
      </c>
      <c r="T1682" t="str">
        <f>_xll.BDP("774280T3 Muni","LQA_LIQUIDITY_SCORE")</f>
        <v>#N/A Requesting Data...</v>
      </c>
    </row>
    <row r="1683" spans="1:20" x14ac:dyDescent="0.25">
      <c r="A1683" t="str">
        <f>_xll.BDP("774280T4 Muni","ID_CUSIP")</f>
        <v>#N/A Requesting Data...</v>
      </c>
      <c r="B1683" t="s">
        <v>508</v>
      </c>
      <c r="C1683" t="str">
        <f>_xll.BDP("774280T4 Muni","INSURANCE_STATUS")</f>
        <v>#N/A Requesting Data...</v>
      </c>
      <c r="D1683" t="str">
        <f>_xll.BDP("774280T4 Muni","STATE_CODE")</f>
        <v>#N/A Requesting Data...</v>
      </c>
      <c r="E1683" t="str">
        <f>_xll.BDP("774280T4 Muni","COUNTY_LOCATION_ISSUER")</f>
        <v>#N/A Requesting Data...</v>
      </c>
      <c r="F1683" t="str">
        <f>_xll.BDP("774280T4 Muni","DUR_ADJ_MID")</f>
        <v>#N/A Requesting Data...</v>
      </c>
      <c r="G1683" t="str">
        <f>_xll.BDP("774280T4 Muni","SPREAD_AT_ISSUANCE_TO_WORST")</f>
        <v>#N/A Requesting Data...</v>
      </c>
      <c r="H1683" t="str">
        <f>_xll.BDP("774280T4 Muni","ISSUE_DT")</f>
        <v>#N/A Requesting Data...</v>
      </c>
      <c r="I1683" t="str">
        <f>_xll.BDS("774280T4 Muni","MUNI_PURPOSE_SCHED", "aggregate=y")</f>
        <v>#N/A Review</v>
      </c>
      <c r="J1683" t="str">
        <f>_xll.BDP("774280T4 Muni","CPN")</f>
        <v>#N/A Requesting Data...</v>
      </c>
      <c r="K1683" t="str">
        <f>_xll.BDP("774280T4 Muni","MATURITY")</f>
        <v>#N/A Requesting Data...</v>
      </c>
      <c r="L1683">
        <v>265000</v>
      </c>
      <c r="M1683" t="str">
        <f>_xll.BDP("774280T4 Muni","YIELD_ON_ISSUE_DATE")</f>
        <v>#N/A Requesting Data...</v>
      </c>
      <c r="N1683" t="str">
        <f>_xll.BDP("774280T4 Muni","YTW_SPREAD_TO_MATURITY_AT_ISSU")</f>
        <v>#N/A Requesting Data...</v>
      </c>
      <c r="O1683" t="str">
        <f>_xll.BDP("774280T4 Muni","BVAL_MID_YTM")</f>
        <v>#N/A Requesting Data...</v>
      </c>
      <c r="P1683" t="str">
        <f>_xll.BDP("774280T4 Muni","MUNI_TAX_PROV")</f>
        <v>#N/A Requesting Data...</v>
      </c>
      <c r="Q1683" t="str">
        <f>_xll.BDP("774280T4 Muni","MUNI_FED_TAX")</f>
        <v>#N/A Requesting Data...</v>
      </c>
      <c r="R1683" t="str">
        <f>_xll.BDP("774280T4 Muni","MUNI_MSRB_VOLUME")</f>
        <v>#N/A Requesting Data...</v>
      </c>
      <c r="S1683" t="str">
        <f>_xll.BDP("774280T4 Muni","BB_COMPOSITE")</f>
        <v>#N/A Requesting Data...</v>
      </c>
      <c r="T1683" t="str">
        <f>_xll.BDP("774280T4 Muni","LQA_LIQUIDITY_SCORE")</f>
        <v>#N/A Requesting Data...</v>
      </c>
    </row>
    <row r="1684" spans="1:20" x14ac:dyDescent="0.25">
      <c r="A1684" t="str">
        <f>_xll.BDP("774280T5 Muni","ID_CUSIP")</f>
        <v>#N/A Requesting Data...</v>
      </c>
      <c r="B1684" t="s">
        <v>508</v>
      </c>
      <c r="C1684" t="str">
        <f>_xll.BDP("774280T5 Muni","INSURANCE_STATUS")</f>
        <v>#N/A Requesting Data...</v>
      </c>
      <c r="D1684" t="str">
        <f>_xll.BDP("774280T5 Muni","STATE_CODE")</f>
        <v>#N/A Requesting Data...</v>
      </c>
      <c r="E1684" t="str">
        <f>_xll.BDP("774280T5 Muni","COUNTY_LOCATION_ISSUER")</f>
        <v>#N/A Requesting Data...</v>
      </c>
      <c r="F1684" t="str">
        <f>_xll.BDP("774280T5 Muni","DUR_ADJ_MID")</f>
        <v>#N/A Requesting Data...</v>
      </c>
      <c r="G1684" t="str">
        <f>_xll.BDP("774280T5 Muni","SPREAD_AT_ISSUANCE_TO_WORST")</f>
        <v>#N/A Requesting Data...</v>
      </c>
      <c r="H1684" t="str">
        <f>_xll.BDP("774280T5 Muni","ISSUE_DT")</f>
        <v>#N/A Requesting Data...</v>
      </c>
      <c r="I1684" t="str">
        <f>_xll.BDS("774280T5 Muni","MUNI_PURPOSE_SCHED", "aggregate=y")</f>
        <v>#N/A Review</v>
      </c>
      <c r="J1684" t="str">
        <f>_xll.BDP("774280T5 Muni","CPN")</f>
        <v>#N/A Requesting Data...</v>
      </c>
      <c r="K1684" t="str">
        <f>_xll.BDP("774280T5 Muni","MATURITY")</f>
        <v>#N/A Requesting Data...</v>
      </c>
      <c r="L1684">
        <v>270000</v>
      </c>
      <c r="M1684" t="str">
        <f>_xll.BDP("774280T5 Muni","YIELD_ON_ISSUE_DATE")</f>
        <v>#N/A Requesting Data...</v>
      </c>
      <c r="N1684" t="str">
        <f>_xll.BDP("774280T5 Muni","YTW_SPREAD_TO_MATURITY_AT_ISSU")</f>
        <v>#N/A Requesting Data...</v>
      </c>
      <c r="O1684" t="str">
        <f>_xll.BDP("774280T5 Muni","BVAL_MID_YTM")</f>
        <v>#N/A Requesting Data...</v>
      </c>
      <c r="P1684" t="str">
        <f>_xll.BDP("774280T5 Muni","MUNI_TAX_PROV")</f>
        <v>#N/A Requesting Data...</v>
      </c>
      <c r="Q1684" t="str">
        <f>_xll.BDP("774280T5 Muni","MUNI_FED_TAX")</f>
        <v>#N/A Requesting Data...</v>
      </c>
      <c r="R1684" t="str">
        <f>_xll.BDP("774280T5 Muni","MUNI_MSRB_VOLUME")</f>
        <v>#N/A Requesting Data...</v>
      </c>
      <c r="S1684" t="str">
        <f>_xll.BDP("774280T5 Muni","BB_COMPOSITE")</f>
        <v>#N/A Requesting Data...</v>
      </c>
      <c r="T1684" t="str">
        <f>_xll.BDP("774280T5 Muni","LQA_LIQUIDITY_SCORE")</f>
        <v>#N/A Requesting Data...</v>
      </c>
    </row>
    <row r="1685" spans="1:20" x14ac:dyDescent="0.25">
      <c r="A1685" t="str">
        <f>_xll.BDP("735626BB Muni","ID_CUSIP")</f>
        <v>#N/A Requesting Data...</v>
      </c>
      <c r="B1685" t="s">
        <v>509</v>
      </c>
      <c r="C1685" t="str">
        <f>_xll.BDP("735626BB Muni","INSURANCE_STATUS")</f>
        <v>#N/A Requesting Data...</v>
      </c>
      <c r="D1685" t="str">
        <f>_xll.BDP("735626BB Muni","STATE_CODE")</f>
        <v>#N/A Requesting Data...</v>
      </c>
      <c r="E1685" t="str">
        <f>_xll.BDP("735626BB Muni","COUNTY_LOCATION_ISSUER")</f>
        <v>#N/A Requesting Data...</v>
      </c>
      <c r="F1685" t="str">
        <f>_xll.BDP("735626BB Muni","DUR_ADJ_MID")</f>
        <v>#N/A Requesting Data...</v>
      </c>
      <c r="G1685" t="str">
        <f>_xll.BDP("735626BB Muni","SPREAD_AT_ISSUANCE_TO_WORST")</f>
        <v>#N/A Requesting Data...</v>
      </c>
      <c r="H1685" t="str">
        <f>_xll.BDP("735626BB Muni","ISSUE_DT")</f>
        <v>#N/A Requesting Data...</v>
      </c>
      <c r="I1685" t="str">
        <f>_xll.BDS("735626BB Muni","MUNI_PURPOSE_SCHED", "aggregate=y")</f>
        <v>#N/A Review</v>
      </c>
      <c r="J1685" t="str">
        <f>_xll.BDP("735626BB Muni","CPN")</f>
        <v>#N/A Requesting Data...</v>
      </c>
      <c r="K1685" t="str">
        <f>_xll.BDP("735626BB Muni","MATURITY")</f>
        <v>#N/A Requesting Data...</v>
      </c>
      <c r="L1685">
        <v>120000</v>
      </c>
      <c r="M1685" t="str">
        <f>_xll.BDP("735626BB Muni","YIELD_ON_ISSUE_DATE")</f>
        <v>#N/A Requesting Data...</v>
      </c>
      <c r="N1685" t="str">
        <f>_xll.BDP("735626BB Muni","YTW_SPREAD_TO_MATURITY_AT_ISSU")</f>
        <v>#N/A Requesting Data...</v>
      </c>
      <c r="O1685" t="str">
        <f>_xll.BDP("735626BB Muni","BVAL_MID_YTM")</f>
        <v>#N/A Requesting Data...</v>
      </c>
      <c r="P1685" t="str">
        <f>_xll.BDP("735626BB Muni","MUNI_TAX_PROV")</f>
        <v>#N/A Requesting Data...</v>
      </c>
      <c r="Q1685" t="str">
        <f>_xll.BDP("735626BB Muni","MUNI_FED_TAX")</f>
        <v>#N/A Requesting Data...</v>
      </c>
      <c r="R1685" t="str">
        <f>_xll.BDP("735626BB Muni","MUNI_MSRB_VOLUME")</f>
        <v>#N/A Requesting Data...</v>
      </c>
      <c r="S1685" t="str">
        <f>_xll.BDP("735626BB Muni","BB_COMPOSITE")</f>
        <v>#N/A Requesting Data...</v>
      </c>
      <c r="T1685" t="str">
        <f>_xll.BDP("735626BB Muni","LQA_LIQUIDITY_SCORE")</f>
        <v>#N/A Requesting Data...</v>
      </c>
    </row>
    <row r="1686" spans="1:20" x14ac:dyDescent="0.25">
      <c r="A1686" t="str">
        <f>_xll.BDP("735626BC Muni","ID_CUSIP")</f>
        <v>#N/A Requesting Data...</v>
      </c>
      <c r="B1686" t="s">
        <v>509</v>
      </c>
      <c r="C1686" t="str">
        <f>_xll.BDP("735626BC Muni","INSURANCE_STATUS")</f>
        <v>#N/A Requesting Data...</v>
      </c>
      <c r="D1686" t="str">
        <f>_xll.BDP("735626BC Muni","STATE_CODE")</f>
        <v>#N/A Requesting Data...</v>
      </c>
      <c r="E1686" t="str">
        <f>_xll.BDP("735626BC Muni","COUNTY_LOCATION_ISSUER")</f>
        <v>#N/A Requesting Data...</v>
      </c>
      <c r="F1686" t="str">
        <f>_xll.BDP("735626BC Muni","DUR_ADJ_MID")</f>
        <v>#N/A Requesting Data...</v>
      </c>
      <c r="G1686" t="str">
        <f>_xll.BDP("735626BC Muni","SPREAD_AT_ISSUANCE_TO_WORST")</f>
        <v>#N/A Requesting Data...</v>
      </c>
      <c r="H1686" t="str">
        <f>_xll.BDP("735626BC Muni","ISSUE_DT")</f>
        <v>#N/A Requesting Data...</v>
      </c>
      <c r="I1686" t="str">
        <f>_xll.BDS("735626BC Muni","MUNI_PURPOSE_SCHED", "aggregate=y")</f>
        <v>#N/A Review</v>
      </c>
      <c r="J1686" t="str">
        <f>_xll.BDP("735626BC Muni","CPN")</f>
        <v>#N/A Requesting Data...</v>
      </c>
      <c r="K1686" t="str">
        <f>_xll.BDP("735626BC Muni","MATURITY")</f>
        <v>#N/A Requesting Data...</v>
      </c>
      <c r="L1686">
        <v>120000</v>
      </c>
      <c r="M1686" t="str">
        <f>_xll.BDP("735626BC Muni","YIELD_ON_ISSUE_DATE")</f>
        <v>#N/A Requesting Data...</v>
      </c>
      <c r="N1686" t="str">
        <f>_xll.BDP("735626BC Muni","YTW_SPREAD_TO_MATURITY_AT_ISSU")</f>
        <v>#N/A Requesting Data...</v>
      </c>
      <c r="O1686" t="str">
        <f>_xll.BDP("735626BC Muni","BVAL_MID_YTM")</f>
        <v>#N/A Requesting Data...</v>
      </c>
      <c r="P1686" t="str">
        <f>_xll.BDP("735626BC Muni","MUNI_TAX_PROV")</f>
        <v>#N/A Requesting Data...</v>
      </c>
      <c r="Q1686" t="str">
        <f>_xll.BDP("735626BC Muni","MUNI_FED_TAX")</f>
        <v>#N/A Requesting Data...</v>
      </c>
      <c r="R1686" t="str">
        <f>_xll.BDP("735626BC Muni","MUNI_MSRB_VOLUME")</f>
        <v>#N/A Requesting Data...</v>
      </c>
      <c r="S1686" t="str">
        <f>_xll.BDP("735626BC Muni","BB_COMPOSITE")</f>
        <v>#N/A Requesting Data...</v>
      </c>
      <c r="T1686" t="str">
        <f>_xll.BDP("735626BC Muni","LQA_LIQUIDITY_SCORE")</f>
        <v>#N/A Requesting Data...</v>
      </c>
    </row>
    <row r="1687" spans="1:20" x14ac:dyDescent="0.25">
      <c r="A1687" t="str">
        <f>_xll.BDP("735626BD Muni","ID_CUSIP")</f>
        <v>#N/A Requesting Data...</v>
      </c>
      <c r="B1687" t="s">
        <v>509</v>
      </c>
      <c r="C1687" t="str">
        <f>_xll.BDP("735626BD Muni","INSURANCE_STATUS")</f>
        <v>#N/A Requesting Data...</v>
      </c>
      <c r="D1687" t="str">
        <f>_xll.BDP("735626BD Muni","STATE_CODE")</f>
        <v>#N/A Requesting Data...</v>
      </c>
      <c r="E1687" t="str">
        <f>_xll.BDP("735626BD Muni","COUNTY_LOCATION_ISSUER")</f>
        <v>#N/A Requesting Data...</v>
      </c>
      <c r="F1687" t="str">
        <f>_xll.BDP("735626BD Muni","DUR_ADJ_MID")</f>
        <v>#N/A Requesting Data...</v>
      </c>
      <c r="G1687" t="str">
        <f>_xll.BDP("735626BD Muni","SPREAD_AT_ISSUANCE_TO_WORST")</f>
        <v>#N/A Requesting Data...</v>
      </c>
      <c r="H1687" t="str">
        <f>_xll.BDP("735626BD Muni","ISSUE_DT")</f>
        <v>#N/A Requesting Data...</v>
      </c>
      <c r="I1687" t="str">
        <f>_xll.BDS("735626BD Muni","MUNI_PURPOSE_SCHED", "aggregate=y")</f>
        <v>#N/A Review</v>
      </c>
      <c r="J1687" t="str">
        <f>_xll.BDP("735626BD Muni","CPN")</f>
        <v>#N/A Requesting Data...</v>
      </c>
      <c r="K1687" t="str">
        <f>_xll.BDP("735626BD Muni","MATURITY")</f>
        <v>#N/A Requesting Data...</v>
      </c>
      <c r="L1687">
        <v>125000</v>
      </c>
      <c r="M1687" t="str">
        <f>_xll.BDP("735626BD Muni","YIELD_ON_ISSUE_DATE")</f>
        <v>#N/A Requesting Data...</v>
      </c>
      <c r="N1687" t="str">
        <f>_xll.BDP("735626BD Muni","YTW_SPREAD_TO_MATURITY_AT_ISSU")</f>
        <v>#N/A Requesting Data...</v>
      </c>
      <c r="O1687" t="str">
        <f>_xll.BDP("735626BD Muni","BVAL_MID_YTM")</f>
        <v>#N/A Requesting Data...</v>
      </c>
      <c r="P1687" t="str">
        <f>_xll.BDP("735626BD Muni","MUNI_TAX_PROV")</f>
        <v>#N/A Requesting Data...</v>
      </c>
      <c r="Q1687" t="str">
        <f>_xll.BDP("735626BD Muni","MUNI_FED_TAX")</f>
        <v>#N/A Requesting Data...</v>
      </c>
      <c r="R1687" t="str">
        <f>_xll.BDP("735626BD Muni","MUNI_MSRB_VOLUME")</f>
        <v>#N/A Requesting Data...</v>
      </c>
      <c r="S1687" t="str">
        <f>_xll.BDP("735626BD Muni","BB_COMPOSITE")</f>
        <v>#N/A Requesting Data...</v>
      </c>
      <c r="T1687" t="str">
        <f>_xll.BDP("735626BD Muni","LQA_LIQUIDITY_SCORE")</f>
        <v>#N/A Requesting Data...</v>
      </c>
    </row>
    <row r="1688" spans="1:20" x14ac:dyDescent="0.25">
      <c r="A1688" t="str">
        <f>_xll.BDP("735626BE Muni","ID_CUSIP")</f>
        <v>#N/A Requesting Data...</v>
      </c>
      <c r="B1688" t="s">
        <v>509</v>
      </c>
      <c r="C1688" t="str">
        <f>_xll.BDP("735626BE Muni","INSURANCE_STATUS")</f>
        <v>#N/A Requesting Data...</v>
      </c>
      <c r="D1688" t="str">
        <f>_xll.BDP("735626BE Muni","STATE_CODE")</f>
        <v>#N/A Requesting Data...</v>
      </c>
      <c r="E1688" t="str">
        <f>_xll.BDP("735626BE Muni","COUNTY_LOCATION_ISSUER")</f>
        <v>#N/A Requesting Data...</v>
      </c>
      <c r="F1688" t="str">
        <f>_xll.BDP("735626BE Muni","DUR_ADJ_MID")</f>
        <v>#N/A Requesting Data...</v>
      </c>
      <c r="G1688" t="str">
        <f>_xll.BDP("735626BE Muni","SPREAD_AT_ISSUANCE_TO_WORST")</f>
        <v>#N/A Requesting Data...</v>
      </c>
      <c r="H1688" t="str">
        <f>_xll.BDP("735626BE Muni","ISSUE_DT")</f>
        <v>#N/A Requesting Data...</v>
      </c>
      <c r="I1688" t="str">
        <f>_xll.BDS("735626BE Muni","MUNI_PURPOSE_SCHED", "aggregate=y")</f>
        <v>#N/A Review</v>
      </c>
      <c r="J1688" t="str">
        <f>_xll.BDP("735626BE Muni","CPN")</f>
        <v>#N/A Requesting Data...</v>
      </c>
      <c r="K1688" t="str">
        <f>_xll.BDP("735626BE Muni","MATURITY")</f>
        <v>#N/A Requesting Data...</v>
      </c>
      <c r="L1688">
        <v>125000</v>
      </c>
      <c r="M1688" t="str">
        <f>_xll.BDP("735626BE Muni","YIELD_ON_ISSUE_DATE")</f>
        <v>#N/A Requesting Data...</v>
      </c>
      <c r="N1688" t="str">
        <f>_xll.BDP("735626BE Muni","YTW_SPREAD_TO_MATURITY_AT_ISSU")</f>
        <v>#N/A Requesting Data...</v>
      </c>
      <c r="O1688" t="str">
        <f>_xll.BDP("735626BE Muni","BVAL_MID_YTM")</f>
        <v>#N/A Requesting Data...</v>
      </c>
      <c r="P1688" t="str">
        <f>_xll.BDP("735626BE Muni","MUNI_TAX_PROV")</f>
        <v>#N/A Requesting Data...</v>
      </c>
      <c r="Q1688" t="str">
        <f>_xll.BDP("735626BE Muni","MUNI_FED_TAX")</f>
        <v>#N/A Requesting Data...</v>
      </c>
      <c r="R1688" t="str">
        <f>_xll.BDP("735626BE Muni","MUNI_MSRB_VOLUME")</f>
        <v>#N/A Requesting Data...</v>
      </c>
      <c r="S1688" t="str">
        <f>_xll.BDP("735626BE Muni","BB_COMPOSITE")</f>
        <v>#N/A Requesting Data...</v>
      </c>
      <c r="T1688" t="str">
        <f>_xll.BDP("735626BE Muni","LQA_LIQUIDITY_SCORE")</f>
        <v>#N/A Requesting Data...</v>
      </c>
    </row>
    <row r="1689" spans="1:20" x14ac:dyDescent="0.25">
      <c r="A1689" t="str">
        <f>_xll.BDP("736075BT Muni","ID_CUSIP")</f>
        <v>#N/A Requesting Data...</v>
      </c>
      <c r="B1689" t="s">
        <v>510</v>
      </c>
      <c r="C1689" t="str">
        <f>_xll.BDP("736075BT Muni","INSURANCE_STATUS")</f>
        <v>#N/A Requesting Data...</v>
      </c>
      <c r="D1689" t="str">
        <f>_xll.BDP("736075BT Muni","STATE_CODE")</f>
        <v>#N/A Requesting Data...</v>
      </c>
      <c r="E1689" t="str">
        <f>_xll.BDP("736075BT Muni","COUNTY_LOCATION_ISSUER")</f>
        <v>#N/A Requesting Data...</v>
      </c>
      <c r="F1689" t="str">
        <f>_xll.BDP("736075BT Muni","DUR_ADJ_MID")</f>
        <v>#N/A Requesting Data...</v>
      </c>
      <c r="G1689" t="str">
        <f>_xll.BDP("736075BT Muni","SPREAD_AT_ISSUANCE_TO_WORST")</f>
        <v>#N/A Requesting Data...</v>
      </c>
      <c r="H1689" t="str">
        <f>_xll.BDP("736075BT Muni","ISSUE_DT")</f>
        <v>#N/A Requesting Data...</v>
      </c>
      <c r="I1689" t="str">
        <f>_xll.BDS("736075BT Muni","MUNI_PURPOSE_SCHED", "aggregate=y")</f>
        <v>#N/A Review</v>
      </c>
      <c r="J1689" t="str">
        <f>_xll.BDP("736075BT Muni","CPN")</f>
        <v>#N/A Requesting Data...</v>
      </c>
      <c r="K1689" t="str">
        <f>_xll.BDP("736075BT Muni","MATURITY")</f>
        <v>#N/A Requesting Data...</v>
      </c>
      <c r="L1689">
        <v>100000</v>
      </c>
      <c r="M1689" t="str">
        <f>_xll.BDP("736075BT Muni","YIELD_ON_ISSUE_DATE")</f>
        <v>#N/A Requesting Data...</v>
      </c>
      <c r="N1689" t="str">
        <f>_xll.BDP("736075BT Muni","YTW_SPREAD_TO_MATURITY_AT_ISSU")</f>
        <v>#N/A Requesting Data...</v>
      </c>
      <c r="O1689" t="str">
        <f>_xll.BDP("736075BT Muni","BVAL_MID_YTM")</f>
        <v>#N/A Requesting Data...</v>
      </c>
      <c r="P1689" t="str">
        <f>_xll.BDP("736075BT Muni","MUNI_TAX_PROV")</f>
        <v>#N/A Requesting Data...</v>
      </c>
      <c r="Q1689" t="str">
        <f>_xll.BDP("736075BT Muni","MUNI_FED_TAX")</f>
        <v>#N/A Requesting Data...</v>
      </c>
      <c r="R1689" t="str">
        <f>_xll.BDP("736075BT Muni","MUNI_MSRB_VOLUME")</f>
        <v>#N/A Requesting Data...</v>
      </c>
      <c r="S1689" t="str">
        <f>_xll.BDP("736075BT Muni","BB_COMPOSITE")</f>
        <v>#N/A Requesting Data...</v>
      </c>
      <c r="T1689" t="str">
        <f>_xll.BDP("736075BT Muni","LQA_LIQUIDITY_SCORE")</f>
        <v>#N/A Requesting Data...</v>
      </c>
    </row>
    <row r="1690" spans="1:20" x14ac:dyDescent="0.25">
      <c r="A1690" t="str">
        <f>_xll.BDP("736075BU Muni","ID_CUSIP")</f>
        <v>#N/A Requesting Data...</v>
      </c>
      <c r="B1690" t="s">
        <v>510</v>
      </c>
      <c r="C1690" t="str">
        <f>_xll.BDP("736075BU Muni","INSURANCE_STATUS")</f>
        <v>#N/A Requesting Data...</v>
      </c>
      <c r="D1690" t="str">
        <f>_xll.BDP("736075BU Muni","STATE_CODE")</f>
        <v>#N/A Requesting Data...</v>
      </c>
      <c r="E1690" t="str">
        <f>_xll.BDP("736075BU Muni","COUNTY_LOCATION_ISSUER")</f>
        <v>#N/A Requesting Data...</v>
      </c>
      <c r="F1690" t="str">
        <f>_xll.BDP("736075BU Muni","DUR_ADJ_MID")</f>
        <v>#N/A Requesting Data...</v>
      </c>
      <c r="G1690" t="str">
        <f>_xll.BDP("736075BU Muni","SPREAD_AT_ISSUANCE_TO_WORST")</f>
        <v>#N/A Requesting Data...</v>
      </c>
      <c r="H1690" t="str">
        <f>_xll.BDP("736075BU Muni","ISSUE_DT")</f>
        <v>#N/A Requesting Data...</v>
      </c>
      <c r="I1690" t="str">
        <f>_xll.BDS("736075BU Muni","MUNI_PURPOSE_SCHED", "aggregate=y")</f>
        <v>#N/A Review</v>
      </c>
      <c r="J1690" t="str">
        <f>_xll.BDP("736075BU Muni","CPN")</f>
        <v>#N/A Requesting Data...</v>
      </c>
      <c r="K1690" t="str">
        <f>_xll.BDP("736075BU Muni","MATURITY")</f>
        <v>#N/A Requesting Data...</v>
      </c>
      <c r="L1690">
        <v>100000</v>
      </c>
      <c r="M1690" t="str">
        <f>_xll.BDP("736075BU Muni","YIELD_ON_ISSUE_DATE")</f>
        <v>#N/A Requesting Data...</v>
      </c>
      <c r="N1690" t="str">
        <f>_xll.BDP("736075BU Muni","YTW_SPREAD_TO_MATURITY_AT_ISSU")</f>
        <v>#N/A Requesting Data...</v>
      </c>
      <c r="O1690" t="str">
        <f>_xll.BDP("736075BU Muni","BVAL_MID_YTM")</f>
        <v>#N/A Requesting Data...</v>
      </c>
      <c r="P1690" t="str">
        <f>_xll.BDP("736075BU Muni","MUNI_TAX_PROV")</f>
        <v>#N/A Requesting Data...</v>
      </c>
      <c r="Q1690" t="str">
        <f>_xll.BDP("736075BU Muni","MUNI_FED_TAX")</f>
        <v>#N/A Requesting Data...</v>
      </c>
      <c r="R1690" t="str">
        <f>_xll.BDP("736075BU Muni","MUNI_MSRB_VOLUME")</f>
        <v>#N/A Requesting Data...</v>
      </c>
      <c r="S1690" t="str">
        <f>_xll.BDP("736075BU Muni","BB_COMPOSITE")</f>
        <v>#N/A Requesting Data...</v>
      </c>
      <c r="T1690" t="str">
        <f>_xll.BDP("736075BU Muni","LQA_LIQUIDITY_SCORE")</f>
        <v>#N/A Requesting Data...</v>
      </c>
    </row>
    <row r="1691" spans="1:20" x14ac:dyDescent="0.25">
      <c r="A1691" t="str">
        <f>_xll.BDP("736075BV Muni","ID_CUSIP")</f>
        <v>#N/A Requesting Data...</v>
      </c>
      <c r="B1691" t="s">
        <v>510</v>
      </c>
      <c r="C1691" t="str">
        <f>_xll.BDP("736075BV Muni","INSURANCE_STATUS")</f>
        <v>#N/A Requesting Data...</v>
      </c>
      <c r="D1691" t="str">
        <f>_xll.BDP("736075BV Muni","STATE_CODE")</f>
        <v>#N/A Requesting Data...</v>
      </c>
      <c r="E1691" t="str">
        <f>_xll.BDP("736075BV Muni","COUNTY_LOCATION_ISSUER")</f>
        <v>#N/A Requesting Data...</v>
      </c>
      <c r="F1691" t="str">
        <f>_xll.BDP("736075BV Muni","DUR_ADJ_MID")</f>
        <v>#N/A Requesting Data...</v>
      </c>
      <c r="G1691" t="str">
        <f>_xll.BDP("736075BV Muni","SPREAD_AT_ISSUANCE_TO_WORST")</f>
        <v>#N/A Requesting Data...</v>
      </c>
      <c r="H1691" t="str">
        <f>_xll.BDP("736075BV Muni","ISSUE_DT")</f>
        <v>#N/A Requesting Data...</v>
      </c>
      <c r="I1691" t="str">
        <f>_xll.BDS("736075BV Muni","MUNI_PURPOSE_SCHED", "aggregate=y")</f>
        <v>#N/A Review</v>
      </c>
      <c r="J1691" t="str">
        <f>_xll.BDP("736075BV Muni","CPN")</f>
        <v>#N/A Requesting Data...</v>
      </c>
      <c r="K1691" t="str">
        <f>_xll.BDP("736075BV Muni","MATURITY")</f>
        <v>#N/A Requesting Data...</v>
      </c>
      <c r="L1691">
        <v>150000</v>
      </c>
      <c r="M1691" t="str">
        <f>_xll.BDP("736075BV Muni","YIELD_ON_ISSUE_DATE")</f>
        <v>#N/A Requesting Data...</v>
      </c>
      <c r="N1691" t="str">
        <f>_xll.BDP("736075BV Muni","YTW_SPREAD_TO_MATURITY_AT_ISSU")</f>
        <v>#N/A Requesting Data...</v>
      </c>
      <c r="O1691" t="str">
        <f>_xll.BDP("736075BV Muni","BVAL_MID_YTM")</f>
        <v>#N/A Requesting Data...</v>
      </c>
      <c r="P1691" t="str">
        <f>_xll.BDP("736075BV Muni","MUNI_TAX_PROV")</f>
        <v>#N/A Requesting Data...</v>
      </c>
      <c r="Q1691" t="str">
        <f>_xll.BDP("736075BV Muni","MUNI_FED_TAX")</f>
        <v>#N/A Requesting Data...</v>
      </c>
      <c r="R1691" t="str">
        <f>_xll.BDP("736075BV Muni","MUNI_MSRB_VOLUME")</f>
        <v>#N/A Requesting Data...</v>
      </c>
      <c r="S1691" t="str">
        <f>_xll.BDP("736075BV Muni","BB_COMPOSITE")</f>
        <v>#N/A Requesting Data...</v>
      </c>
      <c r="T1691" t="str">
        <f>_xll.BDP("736075BV Muni","LQA_LIQUIDITY_SCORE")</f>
        <v>#N/A Requesting Data...</v>
      </c>
    </row>
    <row r="1692" spans="1:20" x14ac:dyDescent="0.25">
      <c r="A1692" t="str">
        <f>_xll.BDP("73629WAG Muni","ID_CUSIP")</f>
        <v>#N/A Requesting Data...</v>
      </c>
      <c r="B1692" t="s">
        <v>511</v>
      </c>
      <c r="C1692" t="str">
        <f>_xll.BDP("73629WAG Muni","INSURANCE_STATUS")</f>
        <v>#N/A Requesting Data...</v>
      </c>
      <c r="D1692" t="str">
        <f>_xll.BDP("73629WAG Muni","STATE_CODE")</f>
        <v>#N/A Requesting Data...</v>
      </c>
      <c r="E1692" t="str">
        <f>_xll.BDP("73629WAG Muni","COUNTY_LOCATION_ISSUER")</f>
        <v>#N/A Requesting Data...</v>
      </c>
      <c r="F1692" t="str">
        <f>_xll.BDP("73629WAG Muni","DUR_ADJ_MID")</f>
        <v>#N/A Requesting Data...</v>
      </c>
      <c r="G1692" t="str">
        <f>_xll.BDP("73629WAG Muni","SPREAD_AT_ISSUANCE_TO_WORST")</f>
        <v>#N/A Requesting Data...</v>
      </c>
      <c r="H1692" t="str">
        <f>_xll.BDP("73629WAG Muni","ISSUE_DT")</f>
        <v>#N/A Requesting Data...</v>
      </c>
      <c r="I1692" t="str">
        <f>_xll.BDS("73629WAG Muni","MUNI_PURPOSE_SCHED", "aggregate=y")</f>
        <v>#N/A Review</v>
      </c>
      <c r="J1692" t="str">
        <f>_xll.BDP("73629WAG Muni","CPN")</f>
        <v>#N/A Requesting Data...</v>
      </c>
      <c r="K1692" t="str">
        <f>_xll.BDP("73629WAG Muni","MATURITY")</f>
        <v>#N/A Requesting Data...</v>
      </c>
      <c r="L1692">
        <v>45000</v>
      </c>
      <c r="M1692" t="str">
        <f>_xll.BDP("73629WAG Muni","YIELD_ON_ISSUE_DATE")</f>
        <v>#N/A Requesting Data...</v>
      </c>
      <c r="N1692" t="str">
        <f>_xll.BDP("73629WAG Muni","YTW_SPREAD_TO_MATURITY_AT_ISSU")</f>
        <v>#N/A Requesting Data...</v>
      </c>
      <c r="O1692" t="str">
        <f>_xll.BDP("73629WAG Muni","BVAL_MID_YTM")</f>
        <v>#N/A Requesting Data...</v>
      </c>
      <c r="P1692" t="str">
        <f>_xll.BDP("73629WAG Muni","MUNI_TAX_PROV")</f>
        <v>#N/A Requesting Data...</v>
      </c>
      <c r="Q1692" t="str">
        <f>_xll.BDP("73629WAG Muni","MUNI_FED_TAX")</f>
        <v>#N/A Requesting Data...</v>
      </c>
      <c r="R1692" t="str">
        <f>_xll.BDP("73629WAG Muni","MUNI_MSRB_VOLUME")</f>
        <v>#N/A Requesting Data...</v>
      </c>
      <c r="S1692" t="str">
        <f>_xll.BDP("73629WAG Muni","BB_COMPOSITE")</f>
        <v>#N/A Requesting Data...</v>
      </c>
      <c r="T1692" t="str">
        <f>_xll.BDP("73629WAG Muni","LQA_LIQUIDITY_SCORE")</f>
        <v>#N/A Requesting Data...</v>
      </c>
    </row>
    <row r="1693" spans="1:20" x14ac:dyDescent="0.25">
      <c r="A1693" t="str">
        <f>_xll.BDP("736606CG Muni","ID_CUSIP")</f>
        <v>#N/A Requesting Data...</v>
      </c>
      <c r="B1693" t="s">
        <v>512</v>
      </c>
      <c r="C1693" t="str">
        <f>_xll.BDP("736606CG Muni","INSURANCE_STATUS")</f>
        <v>#N/A Requesting Data...</v>
      </c>
      <c r="D1693" t="str">
        <f>_xll.BDP("736606CG Muni","STATE_CODE")</f>
        <v>#N/A Requesting Data...</v>
      </c>
      <c r="E1693" t="str">
        <f>_xll.BDP("736606CG Muni","COUNTY_LOCATION_ISSUER")</f>
        <v>#N/A Requesting Data...</v>
      </c>
      <c r="F1693" t="str">
        <f>_xll.BDP("736606CG Muni","DUR_ADJ_MID")</f>
        <v>#N/A Requesting Data...</v>
      </c>
      <c r="G1693" t="str">
        <f>_xll.BDP("736606CG Muni","SPREAD_AT_ISSUANCE_TO_WORST")</f>
        <v>#N/A Requesting Data...</v>
      </c>
      <c r="H1693" t="str">
        <f>_xll.BDP("736606CG Muni","ISSUE_DT")</f>
        <v>#N/A Requesting Data...</v>
      </c>
      <c r="I1693" t="str">
        <f>_xll.BDS("736606CG Muni","MUNI_PURPOSE_SCHED", "aggregate=y")</f>
        <v>#N/A Review</v>
      </c>
      <c r="J1693" t="str">
        <f>_xll.BDP("736606CG Muni","CPN")</f>
        <v>#N/A Requesting Data...</v>
      </c>
      <c r="K1693" t="str">
        <f>_xll.BDP("736606CG Muni","MATURITY")</f>
        <v>#N/A Requesting Data...</v>
      </c>
      <c r="L1693">
        <v>825000</v>
      </c>
      <c r="M1693" t="str">
        <f>_xll.BDP("736606CG Muni","YIELD_ON_ISSUE_DATE")</f>
        <v>#N/A Requesting Data...</v>
      </c>
      <c r="N1693" t="str">
        <f>_xll.BDP("736606CG Muni","YTW_SPREAD_TO_MATURITY_AT_ISSU")</f>
        <v>#N/A Requesting Data...</v>
      </c>
      <c r="O1693" t="str">
        <f>_xll.BDP("736606CG Muni","BVAL_MID_YTM")</f>
        <v>#N/A Requesting Data...</v>
      </c>
      <c r="P1693" t="str">
        <f>_xll.BDP("736606CG Muni","MUNI_TAX_PROV")</f>
        <v>#N/A Requesting Data...</v>
      </c>
      <c r="Q1693" t="str">
        <f>_xll.BDP("736606CG Muni","MUNI_FED_TAX")</f>
        <v>#N/A Requesting Data...</v>
      </c>
      <c r="R1693" t="str">
        <f>_xll.BDP("736606CG Muni","MUNI_MSRB_VOLUME")</f>
        <v>#N/A Requesting Data...</v>
      </c>
      <c r="S1693" t="str">
        <f>_xll.BDP("736606CG Muni","BB_COMPOSITE")</f>
        <v>#N/A Requesting Data...</v>
      </c>
      <c r="T1693" t="str">
        <f>_xll.BDP("736606CG Muni","LQA_LIQUIDITY_SCORE")</f>
        <v>#N/A Requesting Data...</v>
      </c>
    </row>
    <row r="1694" spans="1:20" x14ac:dyDescent="0.25">
      <c r="A1694" t="str">
        <f>_xll.BDP("736606CH Muni","ID_CUSIP")</f>
        <v>#N/A Requesting Data...</v>
      </c>
      <c r="B1694" t="s">
        <v>512</v>
      </c>
      <c r="C1694" t="str">
        <f>_xll.BDP("736606CH Muni","INSURANCE_STATUS")</f>
        <v>#N/A Requesting Data...</v>
      </c>
      <c r="D1694" t="str">
        <f>_xll.BDP("736606CH Muni","STATE_CODE")</f>
        <v>#N/A Requesting Data...</v>
      </c>
      <c r="E1694" t="str">
        <f>_xll.BDP("736606CH Muni","COUNTY_LOCATION_ISSUER")</f>
        <v>#N/A Requesting Data...</v>
      </c>
      <c r="F1694" t="str">
        <f>_xll.BDP("736606CH Muni","DUR_ADJ_MID")</f>
        <v>#N/A Requesting Data...</v>
      </c>
      <c r="G1694" t="str">
        <f>_xll.BDP("736606CH Muni","SPREAD_AT_ISSUANCE_TO_WORST")</f>
        <v>#N/A Requesting Data...</v>
      </c>
      <c r="H1694" t="str">
        <f>_xll.BDP("736606CH Muni","ISSUE_DT")</f>
        <v>#N/A Requesting Data...</v>
      </c>
      <c r="I1694" t="str">
        <f>_xll.BDS("736606CH Muni","MUNI_PURPOSE_SCHED", "aggregate=y")</f>
        <v>#N/A Review</v>
      </c>
      <c r="J1694" t="str">
        <f>_xll.BDP("736606CH Muni","CPN")</f>
        <v>#N/A Requesting Data...</v>
      </c>
      <c r="K1694" t="str">
        <f>_xll.BDP("736606CH Muni","MATURITY")</f>
        <v>#N/A Requesting Data...</v>
      </c>
      <c r="L1694">
        <v>840000</v>
      </c>
      <c r="M1694" t="str">
        <f>_xll.BDP("736606CH Muni","YIELD_ON_ISSUE_DATE")</f>
        <v>#N/A Requesting Data...</v>
      </c>
      <c r="N1694" t="str">
        <f>_xll.BDP("736606CH Muni","YTW_SPREAD_TO_MATURITY_AT_ISSU")</f>
        <v>#N/A Requesting Data...</v>
      </c>
      <c r="O1694" t="str">
        <f>_xll.BDP("736606CH Muni","BVAL_MID_YTM")</f>
        <v>#N/A Requesting Data...</v>
      </c>
      <c r="P1694" t="str">
        <f>_xll.BDP("736606CH Muni","MUNI_TAX_PROV")</f>
        <v>#N/A Requesting Data...</v>
      </c>
      <c r="Q1694" t="str">
        <f>_xll.BDP("736606CH Muni","MUNI_FED_TAX")</f>
        <v>#N/A Requesting Data...</v>
      </c>
      <c r="R1694" t="str">
        <f>_xll.BDP("736606CH Muni","MUNI_MSRB_VOLUME")</f>
        <v>#N/A Requesting Data...</v>
      </c>
      <c r="S1694" t="str">
        <f>_xll.BDP("736606CH Muni","BB_COMPOSITE")</f>
        <v>#N/A Requesting Data...</v>
      </c>
      <c r="T1694" t="str">
        <f>_xll.BDP("736606CH Muni","LQA_LIQUIDITY_SCORE")</f>
        <v>#N/A Requesting Data...</v>
      </c>
    </row>
    <row r="1695" spans="1:20" x14ac:dyDescent="0.25">
      <c r="A1695" t="str">
        <f>_xll.BDP("736606CJ Muni","ID_CUSIP")</f>
        <v>#N/A Requesting Data...</v>
      </c>
      <c r="B1695" t="s">
        <v>512</v>
      </c>
      <c r="C1695" t="str">
        <f>_xll.BDP("736606CJ Muni","INSURANCE_STATUS")</f>
        <v>#N/A Requesting Data...</v>
      </c>
      <c r="D1695" t="str">
        <f>_xll.BDP("736606CJ Muni","STATE_CODE")</f>
        <v>#N/A Requesting Data...</v>
      </c>
      <c r="E1695" t="str">
        <f>_xll.BDP("736606CJ Muni","COUNTY_LOCATION_ISSUER")</f>
        <v>#N/A Requesting Data...</v>
      </c>
      <c r="F1695" t="str">
        <f>_xll.BDP("736606CJ Muni","DUR_ADJ_MID")</f>
        <v>#N/A Requesting Data...</v>
      </c>
      <c r="G1695" t="str">
        <f>_xll.BDP("736606CJ Muni","SPREAD_AT_ISSUANCE_TO_WORST")</f>
        <v>#N/A Requesting Data...</v>
      </c>
      <c r="H1695" t="str">
        <f>_xll.BDP("736606CJ Muni","ISSUE_DT")</f>
        <v>#N/A Requesting Data...</v>
      </c>
      <c r="I1695" t="str">
        <f>_xll.BDS("736606CJ Muni","MUNI_PURPOSE_SCHED", "aggregate=y")</f>
        <v>#N/A Review</v>
      </c>
      <c r="J1695" t="str">
        <f>_xll.BDP("736606CJ Muni","CPN")</f>
        <v>#N/A Requesting Data...</v>
      </c>
      <c r="K1695" t="str">
        <f>_xll.BDP("736606CJ Muni","MATURITY")</f>
        <v>#N/A Requesting Data...</v>
      </c>
      <c r="L1695">
        <v>815000</v>
      </c>
      <c r="M1695" t="str">
        <f>_xll.BDP("736606CJ Muni","YIELD_ON_ISSUE_DATE")</f>
        <v>#N/A Requesting Data...</v>
      </c>
      <c r="N1695" t="str">
        <f>_xll.BDP("736606CJ Muni","YTW_SPREAD_TO_MATURITY_AT_ISSU")</f>
        <v>#N/A Requesting Data...</v>
      </c>
      <c r="O1695" t="str">
        <f>_xll.BDP("736606CJ Muni","BVAL_MID_YTM")</f>
        <v>#N/A Requesting Data...</v>
      </c>
      <c r="P1695" t="str">
        <f>_xll.BDP("736606CJ Muni","MUNI_TAX_PROV")</f>
        <v>#N/A Requesting Data...</v>
      </c>
      <c r="Q1695" t="str">
        <f>_xll.BDP("736606CJ Muni","MUNI_FED_TAX")</f>
        <v>#N/A Requesting Data...</v>
      </c>
      <c r="R1695" t="str">
        <f>_xll.BDP("736606CJ Muni","MUNI_MSRB_VOLUME")</f>
        <v>#N/A Requesting Data...</v>
      </c>
      <c r="S1695" t="str">
        <f>_xll.BDP("736606CJ Muni","BB_COMPOSITE")</f>
        <v>#N/A Requesting Data...</v>
      </c>
      <c r="T1695" t="str">
        <f>_xll.BDP("736606CJ Muni","LQA_LIQUIDITY_SCORE")</f>
        <v>#N/A Requesting Data...</v>
      </c>
    </row>
    <row r="1696" spans="1:20" x14ac:dyDescent="0.25">
      <c r="A1696" t="str">
        <f>_xll.BDP("736075BW Muni","ID_CUSIP")</f>
        <v>#N/A Requesting Data...</v>
      </c>
      <c r="B1696" t="s">
        <v>510</v>
      </c>
      <c r="C1696" t="str">
        <f>_xll.BDP("736075BW Muni","INSURANCE_STATUS")</f>
        <v>#N/A Requesting Data...</v>
      </c>
      <c r="D1696" t="str">
        <f>_xll.BDP("736075BW Muni","STATE_CODE")</f>
        <v>#N/A Requesting Data...</v>
      </c>
      <c r="E1696" t="str">
        <f>_xll.BDP("736075BW Muni","COUNTY_LOCATION_ISSUER")</f>
        <v>#N/A Requesting Data...</v>
      </c>
      <c r="F1696" t="str">
        <f>_xll.BDP("736075BW Muni","DUR_ADJ_MID")</f>
        <v>#N/A Requesting Data...</v>
      </c>
      <c r="G1696" t="str">
        <f>_xll.BDP("736075BW Muni","SPREAD_AT_ISSUANCE_TO_WORST")</f>
        <v>#N/A Requesting Data...</v>
      </c>
      <c r="H1696" t="str">
        <f>_xll.BDP("736075BW Muni","ISSUE_DT")</f>
        <v>#N/A Requesting Data...</v>
      </c>
      <c r="I1696" t="str">
        <f>_xll.BDS("736075BW Muni","MUNI_PURPOSE_SCHED", "aggregate=y")</f>
        <v>#N/A Review</v>
      </c>
      <c r="J1696" t="str">
        <f>_xll.BDP("736075BW Muni","CPN")</f>
        <v>#N/A Requesting Data...</v>
      </c>
      <c r="K1696" t="str">
        <f>_xll.BDP("736075BW Muni","MATURITY")</f>
        <v>#N/A Requesting Data...</v>
      </c>
      <c r="L1696">
        <v>150000</v>
      </c>
      <c r="M1696" t="str">
        <f>_xll.BDP("736075BW Muni","YIELD_ON_ISSUE_DATE")</f>
        <v>#N/A Requesting Data...</v>
      </c>
      <c r="N1696" t="str">
        <f>_xll.BDP("736075BW Muni","YTW_SPREAD_TO_MATURITY_AT_ISSU")</f>
        <v>#N/A Requesting Data...</v>
      </c>
      <c r="O1696" t="str">
        <f>_xll.BDP("736075BW Muni","BVAL_MID_YTM")</f>
        <v>#N/A Requesting Data...</v>
      </c>
      <c r="P1696" t="str">
        <f>_xll.BDP("736075BW Muni","MUNI_TAX_PROV")</f>
        <v>#N/A Requesting Data...</v>
      </c>
      <c r="Q1696" t="str">
        <f>_xll.BDP("736075BW Muni","MUNI_FED_TAX")</f>
        <v>#N/A Requesting Data...</v>
      </c>
      <c r="R1696" t="str">
        <f>_xll.BDP("736075BW Muni","MUNI_MSRB_VOLUME")</f>
        <v>#N/A Requesting Data...</v>
      </c>
      <c r="S1696" t="str">
        <f>_xll.BDP("736075BW Muni","BB_COMPOSITE")</f>
        <v>#N/A Requesting Data...</v>
      </c>
      <c r="T1696" t="str">
        <f>_xll.BDP("736075BW Muni","LQA_LIQUIDITY_SCORE")</f>
        <v>#N/A Requesting Data...</v>
      </c>
    </row>
    <row r="1697" spans="1:20" x14ac:dyDescent="0.25">
      <c r="A1697" t="str">
        <f>_xll.BDP("736606CF Muni","ID_CUSIP")</f>
        <v>#N/A Requesting Data...</v>
      </c>
      <c r="B1697" t="s">
        <v>512</v>
      </c>
      <c r="C1697" t="str">
        <f>_xll.BDP("736606CF Muni","INSURANCE_STATUS")</f>
        <v>#N/A Requesting Data...</v>
      </c>
      <c r="D1697" t="str">
        <f>_xll.BDP("736606CF Muni","STATE_CODE")</f>
        <v>#N/A Requesting Data...</v>
      </c>
      <c r="E1697" t="str">
        <f>_xll.BDP("736606CF Muni","COUNTY_LOCATION_ISSUER")</f>
        <v>#N/A Requesting Data...</v>
      </c>
      <c r="F1697" t="str">
        <f>_xll.BDP("736606CF Muni","DUR_ADJ_MID")</f>
        <v>#N/A Requesting Data...</v>
      </c>
      <c r="G1697" t="str">
        <f>_xll.BDP("736606CF Muni","SPREAD_AT_ISSUANCE_TO_WORST")</f>
        <v>#N/A Requesting Data...</v>
      </c>
      <c r="H1697" t="str">
        <f>_xll.BDP("736606CF Muni","ISSUE_DT")</f>
        <v>#N/A Requesting Data...</v>
      </c>
      <c r="I1697" t="str">
        <f>_xll.BDS("736606CF Muni","MUNI_PURPOSE_SCHED", "aggregate=y")</f>
        <v>#N/A Review</v>
      </c>
      <c r="J1697" t="str">
        <f>_xll.BDP("736606CF Muni","CPN")</f>
        <v>#N/A Requesting Data...</v>
      </c>
      <c r="K1697" t="str">
        <f>_xll.BDP("736606CF Muni","MATURITY")</f>
        <v>#N/A Requesting Data...</v>
      </c>
      <c r="L1697">
        <v>825000</v>
      </c>
      <c r="M1697" t="str">
        <f>_xll.BDP("736606CF Muni","YIELD_ON_ISSUE_DATE")</f>
        <v>#N/A Requesting Data...</v>
      </c>
      <c r="N1697" t="str">
        <f>_xll.BDP("736606CF Muni","YTW_SPREAD_TO_MATURITY_AT_ISSU")</f>
        <v>#N/A Requesting Data...</v>
      </c>
      <c r="O1697" t="str">
        <f>_xll.BDP("736606CF Muni","BVAL_MID_YTM")</f>
        <v>#N/A Requesting Data...</v>
      </c>
      <c r="P1697" t="str">
        <f>_xll.BDP("736606CF Muni","MUNI_TAX_PROV")</f>
        <v>#N/A Requesting Data...</v>
      </c>
      <c r="Q1697" t="str">
        <f>_xll.BDP("736606CF Muni","MUNI_FED_TAX")</f>
        <v>#N/A Requesting Data...</v>
      </c>
      <c r="R1697" t="str">
        <f>_xll.BDP("736606CF Muni","MUNI_MSRB_VOLUME")</f>
        <v>#N/A Requesting Data...</v>
      </c>
      <c r="S1697" t="str">
        <f>_xll.BDP("736606CF Muni","BB_COMPOSITE")</f>
        <v>#N/A Requesting Data...</v>
      </c>
      <c r="T1697" t="str">
        <f>_xll.BDP("736606CF Muni","LQA_LIQUIDITY_SCORE")</f>
        <v>#N/A Requesting Data...</v>
      </c>
    </row>
    <row r="1698" spans="1:20" x14ac:dyDescent="0.25">
      <c r="A1698" t="str">
        <f>_xll.BDP("736606CK Muni","ID_CUSIP")</f>
        <v>#N/A Requesting Data...</v>
      </c>
      <c r="B1698" t="s">
        <v>512</v>
      </c>
      <c r="C1698" t="str">
        <f>_xll.BDP("736606CK Muni","INSURANCE_STATUS")</f>
        <v>#N/A Requesting Data...</v>
      </c>
      <c r="D1698" t="str">
        <f>_xll.BDP("736606CK Muni","STATE_CODE")</f>
        <v>#N/A Requesting Data...</v>
      </c>
      <c r="E1698" t="str">
        <f>_xll.BDP("736606CK Muni","COUNTY_LOCATION_ISSUER")</f>
        <v>#N/A Requesting Data...</v>
      </c>
      <c r="F1698" t="str">
        <f>_xll.BDP("736606CK Muni","DUR_ADJ_MID")</f>
        <v>#N/A Requesting Data...</v>
      </c>
      <c r="G1698" t="str">
        <f>_xll.BDP("736606CK Muni","SPREAD_AT_ISSUANCE_TO_WORST")</f>
        <v>#N/A Requesting Data...</v>
      </c>
      <c r="H1698" t="str">
        <f>_xll.BDP("736606CK Muni","ISSUE_DT")</f>
        <v>#N/A Requesting Data...</v>
      </c>
      <c r="I1698" t="str">
        <f>_xll.BDS("736606CK Muni","MUNI_PURPOSE_SCHED", "aggregate=y")</f>
        <v>#N/A Review</v>
      </c>
      <c r="J1698" t="str">
        <f>_xll.BDP("736606CK Muni","CPN")</f>
        <v>#N/A Requesting Data...</v>
      </c>
      <c r="K1698" t="str">
        <f>_xll.BDP("736606CK Muni","MATURITY")</f>
        <v>#N/A Requesting Data...</v>
      </c>
      <c r="L1698">
        <v>825000</v>
      </c>
      <c r="M1698" t="str">
        <f>_xll.BDP("736606CK Muni","YIELD_ON_ISSUE_DATE")</f>
        <v>#N/A Requesting Data...</v>
      </c>
      <c r="N1698" t="str">
        <f>_xll.BDP("736606CK Muni","YTW_SPREAD_TO_MATURITY_AT_ISSU")</f>
        <v>#N/A Requesting Data...</v>
      </c>
      <c r="O1698" t="str">
        <f>_xll.BDP("736606CK Muni","BVAL_MID_YTM")</f>
        <v>#N/A Requesting Data...</v>
      </c>
      <c r="P1698" t="str">
        <f>_xll.BDP("736606CK Muni","MUNI_TAX_PROV")</f>
        <v>#N/A Requesting Data...</v>
      </c>
      <c r="Q1698" t="str">
        <f>_xll.BDP("736606CK Muni","MUNI_FED_TAX")</f>
        <v>#N/A Requesting Data...</v>
      </c>
      <c r="R1698" t="str">
        <f>_xll.BDP("736606CK Muni","MUNI_MSRB_VOLUME")</f>
        <v>#N/A Requesting Data...</v>
      </c>
      <c r="S1698" t="str">
        <f>_xll.BDP("736606CK Muni","BB_COMPOSITE")</f>
        <v>#N/A Requesting Data...</v>
      </c>
      <c r="T1698" t="str">
        <f>_xll.BDP("736606CK Muni","LQA_LIQUIDITY_SCORE")</f>
        <v>#N/A Requesting Data...</v>
      </c>
    </row>
    <row r="1699" spans="1:20" x14ac:dyDescent="0.25">
      <c r="A1699" t="str">
        <f>_xll.BDP("841205Y9 Muni","ID_CUSIP")</f>
        <v>#N/A Requesting Data...</v>
      </c>
      <c r="B1699" t="s">
        <v>513</v>
      </c>
      <c r="C1699" t="str">
        <f>_xll.BDP("841205Y9 Muni","INSURANCE_STATUS")</f>
        <v>#N/A Requesting Data...</v>
      </c>
      <c r="D1699" t="str">
        <f>_xll.BDP("841205Y9 Muni","STATE_CODE")</f>
        <v>#N/A Requesting Data...</v>
      </c>
      <c r="E1699" t="str">
        <f>_xll.BDP("841205Y9 Muni","COUNTY_LOCATION_ISSUER")</f>
        <v>#N/A Requesting Data...</v>
      </c>
      <c r="F1699" t="str">
        <f>_xll.BDP("841205Y9 Muni","DUR_ADJ_MID")</f>
        <v>#N/A Requesting Data...</v>
      </c>
      <c r="G1699" t="str">
        <f>_xll.BDP("841205Y9 Muni","SPREAD_AT_ISSUANCE_TO_WORST")</f>
        <v>#N/A Requesting Data...</v>
      </c>
      <c r="H1699" t="str">
        <f>_xll.BDP("841205Y9 Muni","ISSUE_DT")</f>
        <v>#N/A Requesting Data...</v>
      </c>
      <c r="I1699" t="str">
        <f>_xll.BDS("841205Y9 Muni","MUNI_PURPOSE_SCHED", "aggregate=y")</f>
        <v>#N/A Review</v>
      </c>
      <c r="J1699" t="str">
        <f>_xll.BDP("841205Y9 Muni","CPN")</f>
        <v>#N/A Requesting Data...</v>
      </c>
      <c r="K1699" t="str">
        <f>_xll.BDP("841205Y9 Muni","MATURITY")</f>
        <v>#N/A Requesting Data...</v>
      </c>
      <c r="L1699">
        <v>615000</v>
      </c>
      <c r="M1699" t="str">
        <f>_xll.BDP("841205Y9 Muni","YIELD_ON_ISSUE_DATE")</f>
        <v>#N/A Requesting Data...</v>
      </c>
      <c r="N1699" t="str">
        <f>_xll.BDP("841205Y9 Muni","YTW_SPREAD_TO_MATURITY_AT_ISSU")</f>
        <v>#N/A Requesting Data...</v>
      </c>
      <c r="O1699" t="str">
        <f>_xll.BDP("841205Y9 Muni","BVAL_MID_YTM")</f>
        <v>#N/A Requesting Data...</v>
      </c>
      <c r="P1699" t="str">
        <f>_xll.BDP("841205Y9 Muni","MUNI_TAX_PROV")</f>
        <v>#N/A Requesting Data...</v>
      </c>
      <c r="Q1699" t="str">
        <f>_xll.BDP("841205Y9 Muni","MUNI_FED_TAX")</f>
        <v>#N/A Requesting Data...</v>
      </c>
      <c r="R1699" t="str">
        <f>_xll.BDP("841205Y9 Muni","MUNI_MSRB_VOLUME")</f>
        <v>#N/A Requesting Data...</v>
      </c>
      <c r="S1699" t="str">
        <f>_xll.BDP("841205Y9 Muni","BB_COMPOSITE")</f>
        <v>#N/A Requesting Data...</v>
      </c>
      <c r="T1699" t="str">
        <f>_xll.BDP("841205Y9 Muni","LQA_LIQUIDITY_SCORE")</f>
        <v>#N/A Requesting Data...</v>
      </c>
    </row>
    <row r="1700" spans="1:20" x14ac:dyDescent="0.25">
      <c r="A1700" t="str">
        <f>_xll.BDP("940157E2 Muni","ID_CUSIP")</f>
        <v>#N/A Requesting Data...</v>
      </c>
      <c r="B1700" t="s">
        <v>68</v>
      </c>
      <c r="C1700" t="str">
        <f>_xll.BDP("940157E2 Muni","INSURANCE_STATUS")</f>
        <v>#N/A Requesting Data...</v>
      </c>
      <c r="D1700" t="str">
        <f>_xll.BDP("940157E2 Muni","STATE_CODE")</f>
        <v>#N/A Requesting Data...</v>
      </c>
      <c r="E1700" t="str">
        <f>_xll.BDP("940157E2 Muni","COUNTY_LOCATION_ISSUER")</f>
        <v>#N/A Requesting Data...</v>
      </c>
      <c r="F1700" t="str">
        <f>_xll.BDP("940157E2 Muni","DUR_ADJ_MID")</f>
        <v>#N/A Requesting Data...</v>
      </c>
      <c r="G1700" t="str">
        <f>_xll.BDP("940157E2 Muni","SPREAD_AT_ISSUANCE_TO_WORST")</f>
        <v>#N/A Requesting Data...</v>
      </c>
      <c r="H1700" t="str">
        <f>_xll.BDP("940157E2 Muni","ISSUE_DT")</f>
        <v>#N/A Requesting Data...</v>
      </c>
      <c r="I1700" t="str">
        <f>_xll.BDS("940157E2 Muni","MUNI_PURPOSE_SCHED", "aggregate=y")</f>
        <v>#N/A Review</v>
      </c>
      <c r="J1700" t="str">
        <f>_xll.BDP("940157E2 Muni","CPN")</f>
        <v>#N/A Requesting Data...</v>
      </c>
      <c r="K1700" t="str">
        <f>_xll.BDP("940157E2 Muni","MATURITY")</f>
        <v>#N/A Requesting Data...</v>
      </c>
      <c r="L1700">
        <v>3600000</v>
      </c>
      <c r="M1700" t="str">
        <f>_xll.BDP("940157E2 Muni","YIELD_ON_ISSUE_DATE")</f>
        <v>#N/A Requesting Data...</v>
      </c>
      <c r="N1700" t="str">
        <f>_xll.BDP("940157E2 Muni","YTW_SPREAD_TO_MATURITY_AT_ISSU")</f>
        <v>#N/A Requesting Data...</v>
      </c>
      <c r="O1700" t="str">
        <f>_xll.BDP("940157E2 Muni","BVAL_MID_YTM")</f>
        <v>#N/A Requesting Data...</v>
      </c>
      <c r="P1700" t="str">
        <f>_xll.BDP("940157E2 Muni","MUNI_TAX_PROV")</f>
        <v>#N/A Requesting Data...</v>
      </c>
      <c r="Q1700" t="str">
        <f>_xll.BDP("940157E2 Muni","MUNI_FED_TAX")</f>
        <v>#N/A Requesting Data...</v>
      </c>
      <c r="R1700" t="str">
        <f>_xll.BDP("940157E2 Muni","MUNI_MSRB_VOLUME")</f>
        <v>#N/A Requesting Data...</v>
      </c>
      <c r="S1700" t="str">
        <f>_xll.BDP("940157E2 Muni","BB_COMPOSITE")</f>
        <v>#N/A Requesting Data...</v>
      </c>
      <c r="T1700" t="str">
        <f>_xll.BDP("940157E2 Muni","LQA_LIQUIDITY_SCORE")</f>
        <v>#N/A Requesting Data...</v>
      </c>
    </row>
    <row r="1701" spans="1:20" x14ac:dyDescent="0.25">
      <c r="A1701" t="str">
        <f>_xll.BDP("940157E4 Muni","ID_CUSIP")</f>
        <v>#N/A Requesting Data...</v>
      </c>
      <c r="B1701" t="s">
        <v>68</v>
      </c>
      <c r="C1701" t="str">
        <f>_xll.BDP("940157E4 Muni","INSURANCE_STATUS")</f>
        <v>#N/A Requesting Data...</v>
      </c>
      <c r="D1701" t="str">
        <f>_xll.BDP("940157E4 Muni","STATE_CODE")</f>
        <v>#N/A Requesting Data...</v>
      </c>
      <c r="E1701" t="str">
        <f>_xll.BDP("940157E4 Muni","COUNTY_LOCATION_ISSUER")</f>
        <v>#N/A Requesting Data...</v>
      </c>
      <c r="F1701" t="str">
        <f>_xll.BDP("940157E4 Muni","DUR_ADJ_MID")</f>
        <v>#N/A Requesting Data...</v>
      </c>
      <c r="G1701" t="str">
        <f>_xll.BDP("940157E4 Muni","SPREAD_AT_ISSUANCE_TO_WORST")</f>
        <v>#N/A Requesting Data...</v>
      </c>
      <c r="H1701" t="str">
        <f>_xll.BDP("940157E4 Muni","ISSUE_DT")</f>
        <v>#N/A Requesting Data...</v>
      </c>
      <c r="I1701" t="str">
        <f>_xll.BDS("940157E4 Muni","MUNI_PURPOSE_SCHED", "aggregate=y")</f>
        <v>#N/A Review</v>
      </c>
      <c r="J1701" t="str">
        <f>_xll.BDP("940157E4 Muni","CPN")</f>
        <v>#N/A Requesting Data...</v>
      </c>
      <c r="K1701" t="str">
        <f>_xll.BDP("940157E4 Muni","MATURITY")</f>
        <v>#N/A Requesting Data...</v>
      </c>
      <c r="L1701">
        <v>3965000</v>
      </c>
      <c r="M1701" t="str">
        <f>_xll.BDP("940157E4 Muni","YIELD_ON_ISSUE_DATE")</f>
        <v>#N/A Requesting Data...</v>
      </c>
      <c r="N1701" t="str">
        <f>_xll.BDP("940157E4 Muni","YTW_SPREAD_TO_MATURITY_AT_ISSU")</f>
        <v>#N/A Requesting Data...</v>
      </c>
      <c r="O1701" t="str">
        <f>_xll.BDP("940157E4 Muni","BVAL_MID_YTM")</f>
        <v>#N/A Requesting Data...</v>
      </c>
      <c r="P1701" t="str">
        <f>_xll.BDP("940157E4 Muni","MUNI_TAX_PROV")</f>
        <v>#N/A Requesting Data...</v>
      </c>
      <c r="Q1701" t="str">
        <f>_xll.BDP("940157E4 Muni","MUNI_FED_TAX")</f>
        <v>#N/A Requesting Data...</v>
      </c>
      <c r="R1701" t="str">
        <f>_xll.BDP("940157E4 Muni","MUNI_MSRB_VOLUME")</f>
        <v>#N/A Requesting Data...</v>
      </c>
      <c r="S1701" t="str">
        <f>_xll.BDP("940157E4 Muni","BB_COMPOSITE")</f>
        <v>#N/A Requesting Data...</v>
      </c>
      <c r="T1701" t="str">
        <f>_xll.BDP("940157E4 Muni","LQA_LIQUIDITY_SCORE")</f>
        <v>#N/A Requesting Data...</v>
      </c>
    </row>
    <row r="1702" spans="1:20" x14ac:dyDescent="0.25">
      <c r="A1702" t="str">
        <f>_xll.BDP("951173MY Muni","ID_CUSIP")</f>
        <v>#N/A Requesting Data...</v>
      </c>
      <c r="B1702" t="s">
        <v>514</v>
      </c>
      <c r="C1702" t="str">
        <f>_xll.BDP("951173MY Muni","INSURANCE_STATUS")</f>
        <v>#N/A Requesting Data...</v>
      </c>
      <c r="D1702" t="str">
        <f>_xll.BDP("951173MY Muni","STATE_CODE")</f>
        <v>#N/A Requesting Data...</v>
      </c>
      <c r="E1702" t="str">
        <f>_xll.BDP("951173MY Muni","COUNTY_LOCATION_ISSUER")</f>
        <v>#N/A Requesting Data...</v>
      </c>
      <c r="F1702" t="str">
        <f>_xll.BDP("951173MY Muni","DUR_ADJ_MID")</f>
        <v>#N/A Requesting Data...</v>
      </c>
      <c r="G1702" t="str">
        <f>_xll.BDP("951173MY Muni","SPREAD_AT_ISSUANCE_TO_WORST")</f>
        <v>#N/A Requesting Data...</v>
      </c>
      <c r="H1702" t="str">
        <f>_xll.BDP("951173MY Muni","ISSUE_DT")</f>
        <v>#N/A Requesting Data...</v>
      </c>
      <c r="I1702" t="str">
        <f>_xll.BDS("951173MY Muni","MUNI_PURPOSE_SCHED", "aggregate=y")</f>
        <v>#N/A Review</v>
      </c>
      <c r="J1702" t="str">
        <f>_xll.BDP("951173MY Muni","CPN")</f>
        <v>#N/A Requesting Data...</v>
      </c>
      <c r="K1702" t="str">
        <f>_xll.BDP("951173MY Muni","MATURITY")</f>
        <v>#N/A Requesting Data...</v>
      </c>
      <c r="L1702">
        <v>500000</v>
      </c>
      <c r="M1702" t="str">
        <f>_xll.BDP("951173MY Muni","YIELD_ON_ISSUE_DATE")</f>
        <v>#N/A Requesting Data...</v>
      </c>
      <c r="N1702" t="str">
        <f>_xll.BDP("951173MY Muni","YTW_SPREAD_TO_MATURITY_AT_ISSU")</f>
        <v>#N/A Requesting Data...</v>
      </c>
      <c r="O1702" t="str">
        <f>_xll.BDP("951173MY Muni","BVAL_MID_YTM")</f>
        <v>#N/A Requesting Data...</v>
      </c>
      <c r="P1702" t="str">
        <f>_xll.BDP("951173MY Muni","MUNI_TAX_PROV")</f>
        <v>#N/A Requesting Data...</v>
      </c>
      <c r="Q1702" t="str">
        <f>_xll.BDP("951173MY Muni","MUNI_FED_TAX")</f>
        <v>#N/A Requesting Data...</v>
      </c>
      <c r="R1702" t="str">
        <f>_xll.BDP("951173MY Muni","MUNI_MSRB_VOLUME")</f>
        <v>#N/A Requesting Data...</v>
      </c>
      <c r="S1702" t="str">
        <f>_xll.BDP("951173MY Muni","BB_COMPOSITE")</f>
        <v>#N/A Requesting Data...</v>
      </c>
      <c r="T1702" t="str">
        <f>_xll.BDP("951173MY Muni","LQA_LIQUIDITY_SCORE")</f>
        <v>#N/A Requesting Data...</v>
      </c>
    </row>
    <row r="1703" spans="1:20" x14ac:dyDescent="0.25">
      <c r="A1703" t="str">
        <f>_xll.BDP("951173MZ Muni","ID_CUSIP")</f>
        <v>#N/A Requesting Data...</v>
      </c>
      <c r="B1703" t="s">
        <v>514</v>
      </c>
      <c r="C1703" t="str">
        <f>_xll.BDP("951173MZ Muni","INSURANCE_STATUS")</f>
        <v>#N/A Requesting Data...</v>
      </c>
      <c r="D1703" t="str">
        <f>_xll.BDP("951173MZ Muni","STATE_CODE")</f>
        <v>#N/A Requesting Data...</v>
      </c>
      <c r="E1703" t="str">
        <f>_xll.BDP("951173MZ Muni","COUNTY_LOCATION_ISSUER")</f>
        <v>#N/A Requesting Data...</v>
      </c>
      <c r="F1703" t="str">
        <f>_xll.BDP("951173MZ Muni","DUR_ADJ_MID")</f>
        <v>#N/A Requesting Data...</v>
      </c>
      <c r="G1703" t="str">
        <f>_xll.BDP("951173MZ Muni","SPREAD_AT_ISSUANCE_TO_WORST")</f>
        <v>#N/A Requesting Data...</v>
      </c>
      <c r="H1703" t="str">
        <f>_xll.BDP("951173MZ Muni","ISSUE_DT")</f>
        <v>#N/A Requesting Data...</v>
      </c>
      <c r="I1703" t="str">
        <f>_xll.BDS("951173MZ Muni","MUNI_PURPOSE_SCHED", "aggregate=y")</f>
        <v>#N/A Review</v>
      </c>
      <c r="J1703" t="str">
        <f>_xll.BDP("951173MZ Muni","CPN")</f>
        <v>#N/A Requesting Data...</v>
      </c>
      <c r="K1703" t="str">
        <f>_xll.BDP("951173MZ Muni","MATURITY")</f>
        <v>#N/A Requesting Data...</v>
      </c>
      <c r="L1703">
        <v>500000</v>
      </c>
      <c r="M1703" t="str">
        <f>_xll.BDP("951173MZ Muni","YIELD_ON_ISSUE_DATE")</f>
        <v>#N/A Requesting Data...</v>
      </c>
      <c r="N1703" t="str">
        <f>_xll.BDP("951173MZ Muni","YTW_SPREAD_TO_MATURITY_AT_ISSU")</f>
        <v>#N/A Requesting Data...</v>
      </c>
      <c r="O1703" t="str">
        <f>_xll.BDP("951173MZ Muni","BVAL_MID_YTM")</f>
        <v>#N/A Requesting Data...</v>
      </c>
      <c r="P1703" t="str">
        <f>_xll.BDP("951173MZ Muni","MUNI_TAX_PROV")</f>
        <v>#N/A Requesting Data...</v>
      </c>
      <c r="Q1703" t="str">
        <f>_xll.BDP("951173MZ Muni","MUNI_FED_TAX")</f>
        <v>#N/A Requesting Data...</v>
      </c>
      <c r="R1703" t="str">
        <f>_xll.BDP("951173MZ Muni","MUNI_MSRB_VOLUME")</f>
        <v>#N/A Requesting Data...</v>
      </c>
      <c r="S1703" t="str">
        <f>_xll.BDP("951173MZ Muni","BB_COMPOSITE")</f>
        <v>#N/A Requesting Data...</v>
      </c>
      <c r="T1703" t="str">
        <f>_xll.BDP("951173MZ Muni","LQA_LIQUIDITY_SCORE")</f>
        <v>#N/A Requesting Data...</v>
      </c>
    </row>
    <row r="1704" spans="1:20" x14ac:dyDescent="0.25">
      <c r="A1704" t="str">
        <f>_xll.BDP("9525302Q Muni","ID_CUSIP")</f>
        <v>#N/A Requesting Data...</v>
      </c>
      <c r="B1704" t="s">
        <v>515</v>
      </c>
      <c r="C1704" t="str">
        <f>_xll.BDP("9525302Q Muni","INSURANCE_STATUS")</f>
        <v>#N/A Requesting Data...</v>
      </c>
      <c r="D1704" t="str">
        <f>_xll.BDP("9525302Q Muni","STATE_CODE")</f>
        <v>#N/A Requesting Data...</v>
      </c>
      <c r="E1704" t="str">
        <f>_xll.BDP("9525302Q Muni","COUNTY_LOCATION_ISSUER")</f>
        <v>#N/A Requesting Data...</v>
      </c>
      <c r="F1704" t="str">
        <f>_xll.BDP("9525302Q Muni","DUR_ADJ_MID")</f>
        <v>#N/A Requesting Data...</v>
      </c>
      <c r="G1704" t="str">
        <f>_xll.BDP("9525302Q Muni","SPREAD_AT_ISSUANCE_TO_WORST")</f>
        <v>#N/A Requesting Data...</v>
      </c>
      <c r="H1704" t="str">
        <f>_xll.BDP("9525302Q Muni","ISSUE_DT")</f>
        <v>#N/A Requesting Data...</v>
      </c>
      <c r="I1704" t="str">
        <f>_xll.BDS("9525302Q Muni","MUNI_PURPOSE_SCHED", "aggregate=y")</f>
        <v>#N/A Review</v>
      </c>
      <c r="J1704" t="str">
        <f>_xll.BDP("9525302Q Muni","CPN")</f>
        <v>#N/A Requesting Data...</v>
      </c>
      <c r="K1704" t="str">
        <f>_xll.BDP("9525302Q Muni","MATURITY")</f>
        <v>#N/A Requesting Data...</v>
      </c>
      <c r="L1704">
        <v>835000</v>
      </c>
      <c r="M1704" t="str">
        <f>_xll.BDP("9525302Q Muni","YIELD_ON_ISSUE_DATE")</f>
        <v>#N/A Requesting Data...</v>
      </c>
      <c r="N1704" t="str">
        <f>_xll.BDP("9525302Q Muni","YTW_SPREAD_TO_MATURITY_AT_ISSU")</f>
        <v>#N/A Requesting Data...</v>
      </c>
      <c r="O1704" t="str">
        <f>_xll.BDP("9525302Q Muni","BVAL_MID_YTM")</f>
        <v>#N/A Requesting Data...</v>
      </c>
      <c r="P1704" t="str">
        <f>_xll.BDP("9525302Q Muni","MUNI_TAX_PROV")</f>
        <v>#N/A Requesting Data...</v>
      </c>
      <c r="Q1704" t="str">
        <f>_xll.BDP("9525302Q Muni","MUNI_FED_TAX")</f>
        <v>#N/A Requesting Data...</v>
      </c>
      <c r="R1704" t="str">
        <f>_xll.BDP("9525302Q Muni","MUNI_MSRB_VOLUME")</f>
        <v>#N/A Requesting Data...</v>
      </c>
      <c r="S1704" t="str">
        <f>_xll.BDP("9525302Q Muni","BB_COMPOSITE")</f>
        <v>#N/A Requesting Data...</v>
      </c>
      <c r="T1704" t="str">
        <f>_xll.BDP("9525302Q Muni","LQA_LIQUIDITY_SCORE")</f>
        <v>#N/A Requesting Data...</v>
      </c>
    </row>
    <row r="1705" spans="1:20" x14ac:dyDescent="0.25">
      <c r="A1705" t="str">
        <f>_xll.BDP("953082FS Muni","ID_CUSIP")</f>
        <v>#N/A Requesting Data...</v>
      </c>
      <c r="B1705" t="s">
        <v>516</v>
      </c>
      <c r="C1705" t="str">
        <f>_xll.BDP("953082FS Muni","INSURANCE_STATUS")</f>
        <v>#N/A Requesting Data...</v>
      </c>
      <c r="D1705" t="str">
        <f>_xll.BDP("953082FS Muni","STATE_CODE")</f>
        <v>#N/A Requesting Data...</v>
      </c>
      <c r="E1705" t="str">
        <f>_xll.BDP("953082FS Muni","COUNTY_LOCATION_ISSUER")</f>
        <v>#N/A Requesting Data...</v>
      </c>
      <c r="F1705" t="str">
        <f>_xll.BDP("953082FS Muni","DUR_ADJ_MID")</f>
        <v>#N/A Requesting Data...</v>
      </c>
      <c r="G1705" t="str">
        <f>_xll.BDP("953082FS Muni","SPREAD_AT_ISSUANCE_TO_WORST")</f>
        <v>#N/A Requesting Data...</v>
      </c>
      <c r="H1705" t="str">
        <f>_xll.BDP("953082FS Muni","ISSUE_DT")</f>
        <v>#N/A Requesting Data...</v>
      </c>
      <c r="I1705" t="str">
        <f>_xll.BDS("953082FS Muni","MUNI_PURPOSE_SCHED", "aggregate=y")</f>
        <v>#N/A Review</v>
      </c>
      <c r="J1705" t="str">
        <f>_xll.BDP("953082FS Muni","CPN")</f>
        <v>#N/A Requesting Data...</v>
      </c>
      <c r="K1705" t="str">
        <f>_xll.BDP("953082FS Muni","MATURITY")</f>
        <v>#N/A Requesting Data...</v>
      </c>
      <c r="L1705">
        <v>50000</v>
      </c>
      <c r="M1705" t="str">
        <f>_xll.BDP("953082FS Muni","YIELD_ON_ISSUE_DATE")</f>
        <v>#N/A Requesting Data...</v>
      </c>
      <c r="N1705" t="str">
        <f>_xll.BDP("953082FS Muni","YTW_SPREAD_TO_MATURITY_AT_ISSU")</f>
        <v>#N/A Requesting Data...</v>
      </c>
      <c r="O1705" t="str">
        <f>_xll.BDP("953082FS Muni","BVAL_MID_YTM")</f>
        <v>#N/A Requesting Data...</v>
      </c>
      <c r="P1705" t="str">
        <f>_xll.BDP("953082FS Muni","MUNI_TAX_PROV")</f>
        <v>#N/A Requesting Data...</v>
      </c>
      <c r="Q1705" t="str">
        <f>_xll.BDP("953082FS Muni","MUNI_FED_TAX")</f>
        <v>#N/A Requesting Data...</v>
      </c>
      <c r="R1705" t="str">
        <f>_xll.BDP("953082FS Muni","MUNI_MSRB_VOLUME")</f>
        <v>#N/A Requesting Data...</v>
      </c>
      <c r="S1705" t="str">
        <f>_xll.BDP("953082FS Muni","BB_COMPOSITE")</f>
        <v>#N/A Requesting Data...</v>
      </c>
      <c r="T1705" t="str">
        <f>_xll.BDP("953082FS Muni","LQA_LIQUIDITY_SCORE")</f>
        <v>#N/A Requesting Data...</v>
      </c>
    </row>
    <row r="1706" spans="1:20" x14ac:dyDescent="0.25">
      <c r="A1706" t="str">
        <f>_xll.BDP("953082FU Muni","ID_CUSIP")</f>
        <v>#N/A Requesting Data...</v>
      </c>
      <c r="B1706" t="s">
        <v>516</v>
      </c>
      <c r="C1706" t="str">
        <f>_xll.BDP("953082FU Muni","INSURANCE_STATUS")</f>
        <v>#N/A Requesting Data...</v>
      </c>
      <c r="D1706" t="str">
        <f>_xll.BDP("953082FU Muni","STATE_CODE")</f>
        <v>#N/A Requesting Data...</v>
      </c>
      <c r="E1706" t="str">
        <f>_xll.BDP("953082FU Muni","COUNTY_LOCATION_ISSUER")</f>
        <v>#N/A Requesting Data...</v>
      </c>
      <c r="F1706" t="str">
        <f>_xll.BDP("953082FU Muni","DUR_ADJ_MID")</f>
        <v>#N/A Requesting Data...</v>
      </c>
      <c r="G1706" t="str">
        <f>_xll.BDP("953082FU Muni","SPREAD_AT_ISSUANCE_TO_WORST")</f>
        <v>#N/A Requesting Data...</v>
      </c>
      <c r="H1706" t="str">
        <f>_xll.BDP("953082FU Muni","ISSUE_DT")</f>
        <v>#N/A Requesting Data...</v>
      </c>
      <c r="I1706" t="str">
        <f>_xll.BDS("953082FU Muni","MUNI_PURPOSE_SCHED", "aggregate=y")</f>
        <v>#N/A Review</v>
      </c>
      <c r="J1706" t="str">
        <f>_xll.BDP("953082FU Muni","CPN")</f>
        <v>#N/A Requesting Data...</v>
      </c>
      <c r="K1706" t="str">
        <f>_xll.BDP("953082FU Muni","MATURITY")</f>
        <v>#N/A Requesting Data...</v>
      </c>
      <c r="L1706">
        <v>50000</v>
      </c>
      <c r="M1706" t="str">
        <f>_xll.BDP("953082FU Muni","YIELD_ON_ISSUE_DATE")</f>
        <v>#N/A Requesting Data...</v>
      </c>
      <c r="N1706" t="str">
        <f>_xll.BDP("953082FU Muni","YTW_SPREAD_TO_MATURITY_AT_ISSU")</f>
        <v>#N/A Requesting Data...</v>
      </c>
      <c r="O1706" t="str">
        <f>_xll.BDP("953082FU Muni","BVAL_MID_YTM")</f>
        <v>#N/A Requesting Data...</v>
      </c>
      <c r="P1706" t="str">
        <f>_xll.BDP("953082FU Muni","MUNI_TAX_PROV")</f>
        <v>#N/A Requesting Data...</v>
      </c>
      <c r="Q1706" t="str">
        <f>_xll.BDP("953082FU Muni","MUNI_FED_TAX")</f>
        <v>#N/A Requesting Data...</v>
      </c>
      <c r="R1706" t="str">
        <f>_xll.BDP("953082FU Muni","MUNI_MSRB_VOLUME")</f>
        <v>#N/A Requesting Data...</v>
      </c>
      <c r="S1706" t="str">
        <f>_xll.BDP("953082FU Muni","BB_COMPOSITE")</f>
        <v>#N/A Requesting Data...</v>
      </c>
      <c r="T1706" t="str">
        <f>_xll.BDP("953082FU Muni","LQA_LIQUIDITY_SCORE")</f>
        <v>#N/A Requesting Data...</v>
      </c>
    </row>
    <row r="1707" spans="1:20" x14ac:dyDescent="0.25">
      <c r="A1707" t="str">
        <f>_xll.BDP("953084HE Muni","ID_CUSIP")</f>
        <v>#N/A Requesting Data...</v>
      </c>
      <c r="B1707" t="s">
        <v>517</v>
      </c>
      <c r="C1707" t="str">
        <f>_xll.BDP("953084HE Muni","INSURANCE_STATUS")</f>
        <v>#N/A Requesting Data...</v>
      </c>
      <c r="D1707" t="str">
        <f>_xll.BDP("953084HE Muni","STATE_CODE")</f>
        <v>#N/A Requesting Data...</v>
      </c>
      <c r="E1707" t="str">
        <f>_xll.BDP("953084HE Muni","COUNTY_LOCATION_ISSUER")</f>
        <v>#N/A Requesting Data...</v>
      </c>
      <c r="F1707" t="str">
        <f>_xll.BDP("953084HE Muni","DUR_ADJ_MID")</f>
        <v>#N/A Requesting Data...</v>
      </c>
      <c r="G1707" t="str">
        <f>_xll.BDP("953084HE Muni","SPREAD_AT_ISSUANCE_TO_WORST")</f>
        <v>#N/A Requesting Data...</v>
      </c>
      <c r="H1707" t="str">
        <f>_xll.BDP("953084HE Muni","ISSUE_DT")</f>
        <v>#N/A Requesting Data...</v>
      </c>
      <c r="I1707" t="str">
        <f>_xll.BDS("953084HE Muni","MUNI_PURPOSE_SCHED", "aggregate=y")</f>
        <v>#N/A Review</v>
      </c>
      <c r="J1707" t="str">
        <f>_xll.BDP("953084HE Muni","CPN")</f>
        <v>#N/A Requesting Data...</v>
      </c>
      <c r="K1707" t="str">
        <f>_xll.BDP("953084HE Muni","MATURITY")</f>
        <v>#N/A Requesting Data...</v>
      </c>
      <c r="L1707">
        <v>25000</v>
      </c>
      <c r="M1707" t="str">
        <f>_xll.BDP("953084HE Muni","YIELD_ON_ISSUE_DATE")</f>
        <v>#N/A Requesting Data...</v>
      </c>
      <c r="N1707" t="str">
        <f>_xll.BDP("953084HE Muni","YTW_SPREAD_TO_MATURITY_AT_ISSU")</f>
        <v>#N/A Requesting Data...</v>
      </c>
      <c r="O1707" t="str">
        <f>_xll.BDP("953084HE Muni","BVAL_MID_YTM")</f>
        <v>#N/A Requesting Data...</v>
      </c>
      <c r="P1707" t="str">
        <f>_xll.BDP("953084HE Muni","MUNI_TAX_PROV")</f>
        <v>#N/A Requesting Data...</v>
      </c>
      <c r="Q1707" t="str">
        <f>_xll.BDP("953084HE Muni","MUNI_FED_TAX")</f>
        <v>#N/A Requesting Data...</v>
      </c>
      <c r="R1707" t="str">
        <f>_xll.BDP("953084HE Muni","MUNI_MSRB_VOLUME")</f>
        <v>#N/A Requesting Data...</v>
      </c>
      <c r="S1707" t="str">
        <f>_xll.BDP("953084HE Muni","BB_COMPOSITE")</f>
        <v>#N/A Requesting Data...</v>
      </c>
      <c r="T1707" t="str">
        <f>_xll.BDP("953084HE Muni","LQA_LIQUIDITY_SCORE")</f>
        <v>#N/A Requesting Data...</v>
      </c>
    </row>
    <row r="1708" spans="1:20" x14ac:dyDescent="0.25">
      <c r="A1708" t="str">
        <f>_xll.BDP("95308RLA Muni","ID_CUSIP")</f>
        <v>#N/A Requesting Data...</v>
      </c>
      <c r="B1708" t="s">
        <v>55</v>
      </c>
      <c r="C1708" t="str">
        <f>_xll.BDP("95308RLA Muni","INSURANCE_STATUS")</f>
        <v>#N/A Requesting Data...</v>
      </c>
      <c r="D1708" t="str">
        <f>_xll.BDP("95308RLA Muni","STATE_CODE")</f>
        <v>#N/A Requesting Data...</v>
      </c>
      <c r="E1708" t="str">
        <f>_xll.BDP("95308RLA Muni","COUNTY_LOCATION_ISSUER")</f>
        <v>#N/A Requesting Data...</v>
      </c>
      <c r="F1708" t="str">
        <f>_xll.BDP("95308RLA Muni","DUR_ADJ_MID")</f>
        <v>#N/A Requesting Data...</v>
      </c>
      <c r="G1708" t="str">
        <f>_xll.BDP("95308RLA Muni","SPREAD_AT_ISSUANCE_TO_WORST")</f>
        <v>#N/A Requesting Data...</v>
      </c>
      <c r="H1708" t="str">
        <f>_xll.BDP("95308RLA Muni","ISSUE_DT")</f>
        <v>#N/A Requesting Data...</v>
      </c>
      <c r="I1708" t="str">
        <f>_xll.BDS("95308RLA Muni","MUNI_PURPOSE_SCHED", "aggregate=y")</f>
        <v>#N/A Review</v>
      </c>
      <c r="J1708" t="str">
        <f>_xll.BDP("95308RLA Muni","CPN")</f>
        <v>#N/A Requesting Data...</v>
      </c>
      <c r="K1708" t="str">
        <f>_xll.BDP("95308RLA Muni","MATURITY")</f>
        <v>#N/A Requesting Data...</v>
      </c>
      <c r="L1708">
        <v>670000</v>
      </c>
      <c r="M1708" t="str">
        <f>_xll.BDP("95308RLA Muni","YIELD_ON_ISSUE_DATE")</f>
        <v>#N/A Requesting Data...</v>
      </c>
      <c r="N1708" t="str">
        <f>_xll.BDP("95308RLA Muni","YTW_SPREAD_TO_MATURITY_AT_ISSU")</f>
        <v>#N/A Requesting Data...</v>
      </c>
      <c r="O1708" t="str">
        <f>_xll.BDP("95308RLA Muni","BVAL_MID_YTM")</f>
        <v>#N/A Requesting Data...</v>
      </c>
      <c r="P1708" t="str">
        <f>_xll.BDP("95308RLA Muni","MUNI_TAX_PROV")</f>
        <v>#N/A Requesting Data...</v>
      </c>
      <c r="Q1708" t="str">
        <f>_xll.BDP("95308RLA Muni","MUNI_FED_TAX")</f>
        <v>#N/A Requesting Data...</v>
      </c>
      <c r="R1708" t="str">
        <f>_xll.BDP("95308RLA Muni","MUNI_MSRB_VOLUME")</f>
        <v>#N/A Requesting Data...</v>
      </c>
      <c r="S1708" t="str">
        <f>_xll.BDP("95308RLA Muni","BB_COMPOSITE")</f>
        <v>#N/A Requesting Data...</v>
      </c>
      <c r="T1708" t="str">
        <f>_xll.BDP("95308RLA Muni","LQA_LIQUIDITY_SCORE")</f>
        <v>#N/A Requesting Data...</v>
      </c>
    </row>
    <row r="1709" spans="1:20" x14ac:dyDescent="0.25">
      <c r="A1709" t="str">
        <f>_xll.BDP("95308RLC Muni","ID_CUSIP")</f>
        <v>#N/A Requesting Data...</v>
      </c>
      <c r="B1709" t="s">
        <v>55</v>
      </c>
      <c r="C1709" t="str">
        <f>_xll.BDP("95308RLC Muni","INSURANCE_STATUS")</f>
        <v>#N/A Requesting Data...</v>
      </c>
      <c r="D1709" t="str">
        <f>_xll.BDP("95308RLC Muni","STATE_CODE")</f>
        <v>#N/A Requesting Data...</v>
      </c>
      <c r="E1709" t="str">
        <f>_xll.BDP("95308RLC Muni","COUNTY_LOCATION_ISSUER")</f>
        <v>#N/A Requesting Data...</v>
      </c>
      <c r="F1709" t="str">
        <f>_xll.BDP("95308RLC Muni","DUR_ADJ_MID")</f>
        <v>#N/A Requesting Data...</v>
      </c>
      <c r="G1709" t="str">
        <f>_xll.BDP("95308RLC Muni","SPREAD_AT_ISSUANCE_TO_WORST")</f>
        <v>#N/A Requesting Data...</v>
      </c>
      <c r="H1709" t="str">
        <f>_xll.BDP("95308RLC Muni","ISSUE_DT")</f>
        <v>#N/A Requesting Data...</v>
      </c>
      <c r="I1709" t="str">
        <f>_xll.BDS("95308RLC Muni","MUNI_PURPOSE_SCHED", "aggregate=y")</f>
        <v>#N/A Review</v>
      </c>
      <c r="J1709" t="str">
        <f>_xll.BDP("95308RLC Muni","CPN")</f>
        <v>#N/A Requesting Data...</v>
      </c>
      <c r="K1709" t="str">
        <f>_xll.BDP("95308RLC Muni","MATURITY")</f>
        <v>#N/A Requesting Data...</v>
      </c>
      <c r="L1709">
        <v>740000</v>
      </c>
      <c r="M1709" t="str">
        <f>_xll.BDP("95308RLC Muni","YIELD_ON_ISSUE_DATE")</f>
        <v>#N/A Requesting Data...</v>
      </c>
      <c r="N1709" t="str">
        <f>_xll.BDP("95308RLC Muni","YTW_SPREAD_TO_MATURITY_AT_ISSU")</f>
        <v>#N/A Requesting Data...</v>
      </c>
      <c r="O1709" t="str">
        <f>_xll.BDP("95308RLC Muni","BVAL_MID_YTM")</f>
        <v>#N/A Requesting Data...</v>
      </c>
      <c r="P1709" t="str">
        <f>_xll.BDP("95308RLC Muni","MUNI_TAX_PROV")</f>
        <v>#N/A Requesting Data...</v>
      </c>
      <c r="Q1709" t="str">
        <f>_xll.BDP("95308RLC Muni","MUNI_FED_TAX")</f>
        <v>#N/A Requesting Data...</v>
      </c>
      <c r="R1709" t="str">
        <f>_xll.BDP("95308RLC Muni","MUNI_MSRB_VOLUME")</f>
        <v>#N/A Requesting Data...</v>
      </c>
      <c r="S1709" t="str">
        <f>_xll.BDP("95308RLC Muni","BB_COMPOSITE")</f>
        <v>#N/A Requesting Data...</v>
      </c>
      <c r="T1709" t="str">
        <f>_xll.BDP("95308RLC Muni","LQA_LIQUIDITY_SCORE")</f>
        <v>#N/A Requesting Data...</v>
      </c>
    </row>
    <row r="1710" spans="1:20" x14ac:dyDescent="0.25">
      <c r="A1710" t="str">
        <f>_xll.BDP("953564GF Muni","ID_CUSIP")</f>
        <v>#N/A Requesting Data...</v>
      </c>
      <c r="B1710" t="s">
        <v>518</v>
      </c>
      <c r="C1710" t="str">
        <f>_xll.BDP("953564GF Muni","INSURANCE_STATUS")</f>
        <v>#N/A Requesting Data...</v>
      </c>
      <c r="D1710" t="str">
        <f>_xll.BDP("953564GF Muni","STATE_CODE")</f>
        <v>#N/A Requesting Data...</v>
      </c>
      <c r="E1710" t="str">
        <f>_xll.BDP("953564GF Muni","COUNTY_LOCATION_ISSUER")</f>
        <v>#N/A Requesting Data...</v>
      </c>
      <c r="F1710" t="str">
        <f>_xll.BDP("953564GF Muni","DUR_ADJ_MID")</f>
        <v>#N/A Requesting Data...</v>
      </c>
      <c r="G1710" t="str">
        <f>_xll.BDP("953564GF Muni","SPREAD_AT_ISSUANCE_TO_WORST")</f>
        <v>#N/A Requesting Data...</v>
      </c>
      <c r="H1710" t="str">
        <f>_xll.BDP("953564GF Muni","ISSUE_DT")</f>
        <v>#N/A Requesting Data...</v>
      </c>
      <c r="I1710" t="str">
        <f>_xll.BDS("953564GF Muni","MUNI_PURPOSE_SCHED", "aggregate=y")</f>
        <v>#N/A Review</v>
      </c>
      <c r="J1710" t="str">
        <f>_xll.BDP("953564GF Muni","CPN")</f>
        <v>#N/A Requesting Data...</v>
      </c>
      <c r="K1710" t="str">
        <f>_xll.BDP("953564GF Muni","MATURITY")</f>
        <v>#N/A Requesting Data...</v>
      </c>
      <c r="L1710">
        <v>370000</v>
      </c>
      <c r="M1710" t="str">
        <f>_xll.BDP("953564GF Muni","YIELD_ON_ISSUE_DATE")</f>
        <v>#N/A Requesting Data...</v>
      </c>
      <c r="N1710" t="str">
        <f>_xll.BDP("953564GF Muni","YTW_SPREAD_TO_MATURITY_AT_ISSU")</f>
        <v>#N/A Requesting Data...</v>
      </c>
      <c r="O1710" t="str">
        <f>_xll.BDP("953564GF Muni","BVAL_MID_YTM")</f>
        <v>#N/A Requesting Data...</v>
      </c>
      <c r="P1710" t="str">
        <f>_xll.BDP("953564GF Muni","MUNI_TAX_PROV")</f>
        <v>#N/A Requesting Data...</v>
      </c>
      <c r="Q1710" t="str">
        <f>_xll.BDP("953564GF Muni","MUNI_FED_TAX")</f>
        <v>#N/A Requesting Data...</v>
      </c>
      <c r="R1710" t="str">
        <f>_xll.BDP("953564GF Muni","MUNI_MSRB_VOLUME")</f>
        <v>#N/A Requesting Data...</v>
      </c>
      <c r="S1710" t="str">
        <f>_xll.BDP("953564GF Muni","BB_COMPOSITE")</f>
        <v>#N/A Requesting Data...</v>
      </c>
      <c r="T1710" t="str">
        <f>_xll.BDP("953564GF Muni","LQA_LIQUIDITY_SCORE")</f>
        <v>#N/A Requesting Data...</v>
      </c>
    </row>
    <row r="1711" spans="1:20" x14ac:dyDescent="0.25">
      <c r="A1711" t="str">
        <f>_xll.BDP("793323TZ Muni","ID_CUSIP")</f>
        <v>#N/A Requesting Data...</v>
      </c>
      <c r="B1711" t="s">
        <v>54</v>
      </c>
      <c r="C1711" t="str">
        <f>_xll.BDP("793323TZ Muni","INSURANCE_STATUS")</f>
        <v>#N/A Requesting Data...</v>
      </c>
      <c r="D1711" t="str">
        <f>_xll.BDP("793323TZ Muni","STATE_CODE")</f>
        <v>#N/A Requesting Data...</v>
      </c>
      <c r="E1711" t="str">
        <f>_xll.BDP("793323TZ Muni","COUNTY_LOCATION_ISSUER")</f>
        <v>#N/A Requesting Data...</v>
      </c>
      <c r="F1711" t="str">
        <f>_xll.BDP("793323TZ Muni","DUR_ADJ_MID")</f>
        <v>#N/A Requesting Data...</v>
      </c>
      <c r="G1711" t="str">
        <f>_xll.BDP("793323TZ Muni","SPREAD_AT_ISSUANCE_TO_WORST")</f>
        <v>#N/A Requesting Data...</v>
      </c>
      <c r="H1711" t="str">
        <f>_xll.BDP("793323TZ Muni","ISSUE_DT")</f>
        <v>#N/A Requesting Data...</v>
      </c>
      <c r="I1711" t="str">
        <f>_xll.BDS("793323TZ Muni","MUNI_PURPOSE_SCHED", "aggregate=y")</f>
        <v>#N/A Review</v>
      </c>
      <c r="J1711" t="str">
        <f>_xll.BDP("793323TZ Muni","CPN")</f>
        <v>#N/A Requesting Data...</v>
      </c>
      <c r="K1711" t="str">
        <f>_xll.BDP("793323TZ Muni","MATURITY")</f>
        <v>#N/A Requesting Data...</v>
      </c>
      <c r="L1711">
        <v>1150000</v>
      </c>
      <c r="M1711" t="str">
        <f>_xll.BDP("793323TZ Muni","YIELD_ON_ISSUE_DATE")</f>
        <v>#N/A Requesting Data...</v>
      </c>
      <c r="N1711" t="str">
        <f>_xll.BDP("793323TZ Muni","YTW_SPREAD_TO_MATURITY_AT_ISSU")</f>
        <v>#N/A Requesting Data...</v>
      </c>
      <c r="O1711" t="str">
        <f>_xll.BDP("793323TZ Muni","BVAL_MID_YTM")</f>
        <v>#N/A Requesting Data...</v>
      </c>
      <c r="P1711" t="str">
        <f>_xll.BDP("793323TZ Muni","MUNI_TAX_PROV")</f>
        <v>#N/A Requesting Data...</v>
      </c>
      <c r="Q1711" t="str">
        <f>_xll.BDP("793323TZ Muni","MUNI_FED_TAX")</f>
        <v>#N/A Requesting Data...</v>
      </c>
      <c r="R1711" t="str">
        <f>_xll.BDP("793323TZ Muni","MUNI_MSRB_VOLUME")</f>
        <v>#N/A Requesting Data...</v>
      </c>
      <c r="S1711" t="str">
        <f>_xll.BDP("793323TZ Muni","BB_COMPOSITE")</f>
        <v>#N/A Requesting Data...</v>
      </c>
      <c r="T1711" t="str">
        <f>_xll.BDP("793323TZ Muni","LQA_LIQUIDITY_SCORE")</f>
        <v>#N/A Requesting Data...</v>
      </c>
    </row>
    <row r="1712" spans="1:20" x14ac:dyDescent="0.25">
      <c r="A1712" t="str">
        <f>_xll.BDP("795752EP Muni","ID_CUSIP")</f>
        <v>#N/A Requesting Data...</v>
      </c>
      <c r="B1712" t="s">
        <v>519</v>
      </c>
      <c r="C1712" t="str">
        <f>_xll.BDP("795752EP Muni","INSURANCE_STATUS")</f>
        <v>#N/A Requesting Data...</v>
      </c>
      <c r="D1712" t="str">
        <f>_xll.BDP("795752EP Muni","STATE_CODE")</f>
        <v>#N/A Requesting Data...</v>
      </c>
      <c r="E1712" t="str">
        <f>_xll.BDP("795752EP Muni","COUNTY_LOCATION_ISSUER")</f>
        <v>#N/A Requesting Data...</v>
      </c>
      <c r="F1712" t="str">
        <f>_xll.BDP("795752EP Muni","DUR_ADJ_MID")</f>
        <v>#N/A Requesting Data...</v>
      </c>
      <c r="G1712" t="str">
        <f>_xll.BDP("795752EP Muni","SPREAD_AT_ISSUANCE_TO_WORST")</f>
        <v>#N/A Requesting Data...</v>
      </c>
      <c r="H1712" t="str">
        <f>_xll.BDP("795752EP Muni","ISSUE_DT")</f>
        <v>#N/A Requesting Data...</v>
      </c>
      <c r="I1712" t="str">
        <f>_xll.BDS("795752EP Muni","MUNI_PURPOSE_SCHED", "aggregate=y")</f>
        <v>#N/A Review</v>
      </c>
      <c r="J1712" t="str">
        <f>_xll.BDP("795752EP Muni","CPN")</f>
        <v>#N/A Requesting Data...</v>
      </c>
      <c r="K1712" t="str">
        <f>_xll.BDP("795752EP Muni","MATURITY")</f>
        <v>#N/A Requesting Data...</v>
      </c>
      <c r="L1712">
        <v>290000</v>
      </c>
      <c r="M1712" t="str">
        <f>_xll.BDP("795752EP Muni","YIELD_ON_ISSUE_DATE")</f>
        <v>#N/A Requesting Data...</v>
      </c>
      <c r="N1712" t="str">
        <f>_xll.BDP("795752EP Muni","YTW_SPREAD_TO_MATURITY_AT_ISSU")</f>
        <v>#N/A Requesting Data...</v>
      </c>
      <c r="O1712" t="str">
        <f>_xll.BDP("795752EP Muni","BVAL_MID_YTM")</f>
        <v>#N/A Requesting Data...</v>
      </c>
      <c r="P1712" t="str">
        <f>_xll.BDP("795752EP Muni","MUNI_TAX_PROV")</f>
        <v>#N/A Requesting Data...</v>
      </c>
      <c r="Q1712" t="str">
        <f>_xll.BDP("795752EP Muni","MUNI_FED_TAX")</f>
        <v>#N/A Requesting Data...</v>
      </c>
      <c r="R1712" t="str">
        <f>_xll.BDP("795752EP Muni","MUNI_MSRB_VOLUME")</f>
        <v>#N/A Requesting Data...</v>
      </c>
      <c r="S1712" t="str">
        <f>_xll.BDP("795752EP Muni","BB_COMPOSITE")</f>
        <v>#N/A Requesting Data...</v>
      </c>
      <c r="T1712" t="str">
        <f>_xll.BDP("795752EP Muni","LQA_LIQUIDITY_SCORE")</f>
        <v>#N/A Requesting Data...</v>
      </c>
    </row>
    <row r="1713" spans="1:20" x14ac:dyDescent="0.25">
      <c r="A1713" t="str">
        <f>_xll.BDP("953564GG Muni","ID_CUSIP")</f>
        <v>#N/A Requesting Data...</v>
      </c>
      <c r="B1713" t="s">
        <v>518</v>
      </c>
      <c r="C1713" t="str">
        <f>_xll.BDP("953564GG Muni","INSURANCE_STATUS")</f>
        <v>#N/A Requesting Data...</v>
      </c>
      <c r="D1713" t="str">
        <f>_xll.BDP("953564GG Muni","STATE_CODE")</f>
        <v>#N/A Requesting Data...</v>
      </c>
      <c r="E1713" t="str">
        <f>_xll.BDP("953564GG Muni","COUNTY_LOCATION_ISSUER")</f>
        <v>#N/A Requesting Data...</v>
      </c>
      <c r="F1713" t="str">
        <f>_xll.BDP("953564GG Muni","DUR_ADJ_MID")</f>
        <v>#N/A Requesting Data...</v>
      </c>
      <c r="G1713" t="str">
        <f>_xll.BDP("953564GG Muni","SPREAD_AT_ISSUANCE_TO_WORST")</f>
        <v>#N/A Requesting Data...</v>
      </c>
      <c r="H1713" t="str">
        <f>_xll.BDP("953564GG Muni","ISSUE_DT")</f>
        <v>#N/A Requesting Data...</v>
      </c>
      <c r="I1713" t="str">
        <f>_xll.BDS("953564GG Muni","MUNI_PURPOSE_SCHED", "aggregate=y")</f>
        <v>#N/A Review</v>
      </c>
      <c r="J1713" t="str">
        <f>_xll.BDP("953564GG Muni","CPN")</f>
        <v>#N/A Requesting Data...</v>
      </c>
      <c r="K1713" t="str">
        <f>_xll.BDP("953564GG Muni","MATURITY")</f>
        <v>#N/A Requesting Data...</v>
      </c>
      <c r="L1713">
        <v>425000</v>
      </c>
      <c r="M1713" t="str">
        <f>_xll.BDP("953564GG Muni","YIELD_ON_ISSUE_DATE")</f>
        <v>#N/A Requesting Data...</v>
      </c>
      <c r="N1713" t="str">
        <f>_xll.BDP("953564GG Muni","YTW_SPREAD_TO_MATURITY_AT_ISSU")</f>
        <v>#N/A Requesting Data...</v>
      </c>
      <c r="O1713" t="str">
        <f>_xll.BDP("953564GG Muni","BVAL_MID_YTM")</f>
        <v>#N/A Requesting Data...</v>
      </c>
      <c r="P1713" t="str">
        <f>_xll.BDP("953564GG Muni","MUNI_TAX_PROV")</f>
        <v>#N/A Requesting Data...</v>
      </c>
      <c r="Q1713" t="str">
        <f>_xll.BDP("953564GG Muni","MUNI_FED_TAX")</f>
        <v>#N/A Requesting Data...</v>
      </c>
      <c r="R1713" t="str">
        <f>_xll.BDP("953564GG Muni","MUNI_MSRB_VOLUME")</f>
        <v>#N/A Requesting Data...</v>
      </c>
      <c r="S1713" t="str">
        <f>_xll.BDP("953564GG Muni","BB_COMPOSITE")</f>
        <v>#N/A Requesting Data...</v>
      </c>
      <c r="T1713" t="str">
        <f>_xll.BDP("953564GG Muni","LQA_LIQUIDITY_SCORE")</f>
        <v>#N/A Requesting Data...</v>
      </c>
    </row>
    <row r="1714" spans="1:20" x14ac:dyDescent="0.25">
      <c r="A1714" t="str">
        <f>_xll.BDP("83854MAK Muni","ID_CUSIP")</f>
        <v>#N/A Requesting Data...</v>
      </c>
      <c r="B1714" t="s">
        <v>505</v>
      </c>
      <c r="C1714" t="str">
        <f>_xll.BDP("83854MAK Muni","INSURANCE_STATUS")</f>
        <v>#N/A Requesting Data...</v>
      </c>
      <c r="D1714" t="str">
        <f>_xll.BDP("83854MAK Muni","STATE_CODE")</f>
        <v>#N/A Requesting Data...</v>
      </c>
      <c r="E1714" t="str">
        <f>_xll.BDP("83854MAK Muni","COUNTY_LOCATION_ISSUER")</f>
        <v>#N/A Requesting Data...</v>
      </c>
      <c r="F1714" t="str">
        <f>_xll.BDP("83854MAK Muni","DUR_ADJ_MID")</f>
        <v>#N/A Requesting Data...</v>
      </c>
      <c r="G1714" t="str">
        <f>_xll.BDP("83854MAK Muni","SPREAD_AT_ISSUANCE_TO_WORST")</f>
        <v>#N/A Requesting Data...</v>
      </c>
      <c r="H1714" t="str">
        <f>_xll.BDP("83854MAK Muni","ISSUE_DT")</f>
        <v>#N/A Requesting Data...</v>
      </c>
      <c r="I1714" t="str">
        <f>_xll.BDS("83854MAK Muni","MUNI_PURPOSE_SCHED", "aggregate=y")</f>
        <v>#N/A Review</v>
      </c>
      <c r="J1714" t="str">
        <f>_xll.BDP("83854MAK Muni","CPN")</f>
        <v>#N/A Requesting Data...</v>
      </c>
      <c r="K1714" t="str">
        <f>_xll.BDP("83854MAK Muni","MATURITY")</f>
        <v>#N/A Requesting Data...</v>
      </c>
      <c r="L1714">
        <v>1440000</v>
      </c>
      <c r="M1714" t="str">
        <f>_xll.BDP("83854MAK Muni","YIELD_ON_ISSUE_DATE")</f>
        <v>#N/A Requesting Data...</v>
      </c>
      <c r="N1714" t="str">
        <f>_xll.BDP("83854MAK Muni","YTW_SPREAD_TO_MATURITY_AT_ISSU")</f>
        <v>#N/A Requesting Data...</v>
      </c>
      <c r="O1714" t="str">
        <f>_xll.BDP("83854MAK Muni","BVAL_MID_YTM")</f>
        <v>#N/A Requesting Data...</v>
      </c>
      <c r="P1714" t="str">
        <f>_xll.BDP("83854MAK Muni","MUNI_TAX_PROV")</f>
        <v>#N/A Requesting Data...</v>
      </c>
      <c r="Q1714" t="str">
        <f>_xll.BDP("83854MAK Muni","MUNI_FED_TAX")</f>
        <v>#N/A Requesting Data...</v>
      </c>
      <c r="R1714" t="str">
        <f>_xll.BDP("83854MAK Muni","MUNI_MSRB_VOLUME")</f>
        <v>#N/A Requesting Data...</v>
      </c>
      <c r="S1714" t="str">
        <f>_xll.BDP("83854MAK Muni","BB_COMPOSITE")</f>
        <v>#N/A Requesting Data...</v>
      </c>
      <c r="T1714" t="str">
        <f>_xll.BDP("83854MAK Muni","LQA_LIQUIDITY_SCORE")</f>
        <v>#N/A Requesting Data...</v>
      </c>
    </row>
    <row r="1715" spans="1:20" x14ac:dyDescent="0.25">
      <c r="A1715" t="str">
        <f>_xll.BDP("83854MAN Muni","ID_CUSIP")</f>
        <v>#N/A Requesting Data...</v>
      </c>
      <c r="B1715" t="s">
        <v>505</v>
      </c>
      <c r="C1715" t="str">
        <f>_xll.BDP("83854MAN Muni","INSURANCE_STATUS")</f>
        <v>#N/A Requesting Data...</v>
      </c>
      <c r="D1715" t="str">
        <f>_xll.BDP("83854MAN Muni","STATE_CODE")</f>
        <v>#N/A Requesting Data...</v>
      </c>
      <c r="E1715" t="str">
        <f>_xll.BDP("83854MAN Muni","COUNTY_LOCATION_ISSUER")</f>
        <v>#N/A Requesting Data...</v>
      </c>
      <c r="F1715" t="str">
        <f>_xll.BDP("83854MAN Muni","DUR_ADJ_MID")</f>
        <v>#N/A Requesting Data...</v>
      </c>
      <c r="G1715" t="str">
        <f>_xll.BDP("83854MAN Muni","SPREAD_AT_ISSUANCE_TO_WORST")</f>
        <v>#N/A Requesting Data...</v>
      </c>
      <c r="H1715" t="str">
        <f>_xll.BDP("83854MAN Muni","ISSUE_DT")</f>
        <v>#N/A Requesting Data...</v>
      </c>
      <c r="I1715" t="str">
        <f>_xll.BDS("83854MAN Muni","MUNI_PURPOSE_SCHED", "aggregate=y")</f>
        <v>#N/A Review</v>
      </c>
      <c r="J1715" t="str">
        <f>_xll.BDP("83854MAN Muni","CPN")</f>
        <v>#N/A Requesting Data...</v>
      </c>
      <c r="K1715" t="str">
        <f>_xll.BDP("83854MAN Muni","MATURITY")</f>
        <v>#N/A Requesting Data...</v>
      </c>
      <c r="L1715">
        <v>1585000</v>
      </c>
      <c r="M1715" t="str">
        <f>_xll.BDP("83854MAN Muni","YIELD_ON_ISSUE_DATE")</f>
        <v>#N/A Requesting Data...</v>
      </c>
      <c r="N1715" t="str">
        <f>_xll.BDP("83854MAN Muni","YTW_SPREAD_TO_MATURITY_AT_ISSU")</f>
        <v>#N/A Requesting Data...</v>
      </c>
      <c r="O1715" t="str">
        <f>_xll.BDP("83854MAN Muni","BVAL_MID_YTM")</f>
        <v>#N/A Requesting Data...</v>
      </c>
      <c r="P1715" t="str">
        <f>_xll.BDP("83854MAN Muni","MUNI_TAX_PROV")</f>
        <v>#N/A Requesting Data...</v>
      </c>
      <c r="Q1715" t="str">
        <f>_xll.BDP("83854MAN Muni","MUNI_FED_TAX")</f>
        <v>#N/A Requesting Data...</v>
      </c>
      <c r="R1715" t="str">
        <f>_xll.BDP("83854MAN Muni","MUNI_MSRB_VOLUME")</f>
        <v>#N/A Requesting Data...</v>
      </c>
      <c r="S1715" t="str">
        <f>_xll.BDP("83854MAN Muni","BB_COMPOSITE")</f>
        <v>#N/A Requesting Data...</v>
      </c>
      <c r="T1715" t="str">
        <f>_xll.BDP("83854MAN Muni","LQA_LIQUIDITY_SCORE")</f>
        <v>#N/A Requesting Data...</v>
      </c>
    </row>
    <row r="1716" spans="1:20" x14ac:dyDescent="0.25">
      <c r="A1716" t="str">
        <f>_xll.BDP("93974DXZ Muni","ID_CUSIP")</f>
        <v>#N/A Requesting Data...</v>
      </c>
      <c r="B1716" t="s">
        <v>67</v>
      </c>
      <c r="C1716" t="str">
        <f>_xll.BDP("93974DXZ Muni","INSURANCE_STATUS")</f>
        <v>#N/A Requesting Data...</v>
      </c>
      <c r="D1716" t="str">
        <f>_xll.BDP("93974DXZ Muni","STATE_CODE")</f>
        <v>#N/A Requesting Data...</v>
      </c>
      <c r="E1716" t="str">
        <f>_xll.BDP("93974DXZ Muni","COUNTY_LOCATION_ISSUER")</f>
        <v>#N/A Requesting Data...</v>
      </c>
      <c r="F1716" t="str">
        <f>_xll.BDP("93974DXZ Muni","DUR_ADJ_MID")</f>
        <v>#N/A Requesting Data...</v>
      </c>
      <c r="G1716" t="str">
        <f>_xll.BDP("93974DXZ Muni","SPREAD_AT_ISSUANCE_TO_WORST")</f>
        <v>#N/A Requesting Data...</v>
      </c>
      <c r="H1716" t="str">
        <f>_xll.BDP("93974DXZ Muni","ISSUE_DT")</f>
        <v>#N/A Requesting Data...</v>
      </c>
      <c r="I1716" t="str">
        <f>_xll.BDS("93974DXZ Muni","MUNI_PURPOSE_SCHED", "aggregate=y")</f>
        <v>#N/A Review</v>
      </c>
      <c r="J1716" t="str">
        <f>_xll.BDP("93974DXZ Muni","CPN")</f>
        <v>#N/A Requesting Data...</v>
      </c>
      <c r="K1716" t="str">
        <f>_xll.BDP("93974DXZ Muni","MATURITY")</f>
        <v>#N/A Requesting Data...</v>
      </c>
      <c r="L1716">
        <v>5690000</v>
      </c>
      <c r="M1716" t="str">
        <f>_xll.BDP("93974DXZ Muni","YIELD_ON_ISSUE_DATE")</f>
        <v>#N/A Requesting Data...</v>
      </c>
      <c r="N1716" t="str">
        <f>_xll.BDP("93974DXZ Muni","YTW_SPREAD_TO_MATURITY_AT_ISSU")</f>
        <v>#N/A Requesting Data...</v>
      </c>
      <c r="O1716" t="str">
        <f>_xll.BDP("93974DXZ Muni","BVAL_MID_YTM")</f>
        <v>#N/A Requesting Data...</v>
      </c>
      <c r="P1716" t="str">
        <f>_xll.BDP("93974DXZ Muni","MUNI_TAX_PROV")</f>
        <v>#N/A Requesting Data...</v>
      </c>
      <c r="Q1716" t="str">
        <f>_xll.BDP("93974DXZ Muni","MUNI_FED_TAX")</f>
        <v>#N/A Requesting Data...</v>
      </c>
      <c r="R1716" t="str">
        <f>_xll.BDP("93974DXZ Muni","MUNI_MSRB_VOLUME")</f>
        <v>#N/A Requesting Data...</v>
      </c>
      <c r="S1716" t="str">
        <f>_xll.BDP("93974DXZ Muni","BB_COMPOSITE")</f>
        <v>#N/A Requesting Data...</v>
      </c>
      <c r="T1716" t="str">
        <f>_xll.BDP("93974DXZ Muni","LQA_LIQUIDITY_SCORE")</f>
        <v>#N/A Requesting Data...</v>
      </c>
    </row>
    <row r="1717" spans="1:20" x14ac:dyDescent="0.25">
      <c r="A1717" t="str">
        <f>_xll.BDP("93974DYZ Muni","ID_CUSIP")</f>
        <v>#N/A Requesting Data...</v>
      </c>
      <c r="B1717" t="s">
        <v>67</v>
      </c>
      <c r="C1717" t="str">
        <f>_xll.BDP("93974DYZ Muni","INSURANCE_STATUS")</f>
        <v>#N/A Requesting Data...</v>
      </c>
      <c r="D1717" t="str">
        <f>_xll.BDP("93974DYZ Muni","STATE_CODE")</f>
        <v>#N/A Requesting Data...</v>
      </c>
      <c r="E1717" t="str">
        <f>_xll.BDP("93974DYZ Muni","COUNTY_LOCATION_ISSUER")</f>
        <v>#N/A Requesting Data...</v>
      </c>
      <c r="F1717" t="str">
        <f>_xll.BDP("93974DYZ Muni","DUR_ADJ_MID")</f>
        <v>#N/A Requesting Data...</v>
      </c>
      <c r="G1717" t="str">
        <f>_xll.BDP("93974DYZ Muni","SPREAD_AT_ISSUANCE_TO_WORST")</f>
        <v>#N/A Requesting Data...</v>
      </c>
      <c r="H1717" t="str">
        <f>_xll.BDP("93974DYZ Muni","ISSUE_DT")</f>
        <v>#N/A Requesting Data...</v>
      </c>
      <c r="I1717" t="str">
        <f>_xll.BDS("93974DYZ Muni","MUNI_PURPOSE_SCHED", "aggregate=y")</f>
        <v>#N/A Review</v>
      </c>
      <c r="J1717" t="str">
        <f>_xll.BDP("93974DYZ Muni","CPN")</f>
        <v>#N/A Requesting Data...</v>
      </c>
      <c r="K1717" t="str">
        <f>_xll.BDP("93974DYZ Muni","MATURITY")</f>
        <v>#N/A Requesting Data...</v>
      </c>
      <c r="L1717">
        <v>13800000</v>
      </c>
      <c r="M1717" t="str">
        <f>_xll.BDP("93974DYZ Muni","YIELD_ON_ISSUE_DATE")</f>
        <v>#N/A Requesting Data...</v>
      </c>
      <c r="N1717" t="str">
        <f>_xll.BDP("93974DYZ Muni","YTW_SPREAD_TO_MATURITY_AT_ISSU")</f>
        <v>#N/A Requesting Data...</v>
      </c>
      <c r="O1717" t="str">
        <f>_xll.BDP("93974DYZ Muni","BVAL_MID_YTM")</f>
        <v>#N/A Requesting Data...</v>
      </c>
      <c r="P1717" t="str">
        <f>_xll.BDP("93974DYZ Muni","MUNI_TAX_PROV")</f>
        <v>#N/A Requesting Data...</v>
      </c>
      <c r="Q1717" t="str">
        <f>_xll.BDP("93974DYZ Muni","MUNI_FED_TAX")</f>
        <v>#N/A Requesting Data...</v>
      </c>
      <c r="R1717" t="str">
        <f>_xll.BDP("93974DYZ Muni","MUNI_MSRB_VOLUME")</f>
        <v>#N/A Requesting Data...</v>
      </c>
      <c r="S1717" t="str">
        <f>_xll.BDP("93974DYZ Muni","BB_COMPOSITE")</f>
        <v>#N/A Requesting Data...</v>
      </c>
      <c r="T1717" t="str">
        <f>_xll.BDP("93974DYZ Muni","LQA_LIQUIDITY_SCORE")</f>
        <v>#N/A Requesting Data...</v>
      </c>
    </row>
    <row r="1718" spans="1:20" x14ac:dyDescent="0.25">
      <c r="A1718" t="str">
        <f>_xll.BDP("841205Y8 Muni","ID_CUSIP")</f>
        <v>#N/A Requesting Data...</v>
      </c>
      <c r="B1718" t="s">
        <v>513</v>
      </c>
      <c r="C1718" t="str">
        <f>_xll.BDP("841205Y8 Muni","INSURANCE_STATUS")</f>
        <v>#N/A Requesting Data...</v>
      </c>
      <c r="D1718" t="str">
        <f>_xll.BDP("841205Y8 Muni","STATE_CODE")</f>
        <v>#N/A Requesting Data...</v>
      </c>
      <c r="E1718" t="str">
        <f>_xll.BDP("841205Y8 Muni","COUNTY_LOCATION_ISSUER")</f>
        <v>#N/A Requesting Data...</v>
      </c>
      <c r="F1718" t="str">
        <f>_xll.BDP("841205Y8 Muni","DUR_ADJ_MID")</f>
        <v>#N/A Requesting Data...</v>
      </c>
      <c r="G1718" t="str">
        <f>_xll.BDP("841205Y8 Muni","SPREAD_AT_ISSUANCE_TO_WORST")</f>
        <v>#N/A Requesting Data...</v>
      </c>
      <c r="H1718" t="str">
        <f>_xll.BDP("841205Y8 Muni","ISSUE_DT")</f>
        <v>#N/A Requesting Data...</v>
      </c>
      <c r="I1718" t="str">
        <f>_xll.BDS("841205Y8 Muni","MUNI_PURPOSE_SCHED", "aggregate=y")</f>
        <v>#N/A Review</v>
      </c>
      <c r="J1718" t="str">
        <f>_xll.BDP("841205Y8 Muni","CPN")</f>
        <v>#N/A Requesting Data...</v>
      </c>
      <c r="K1718" t="str">
        <f>_xll.BDP("841205Y8 Muni","MATURITY")</f>
        <v>#N/A Requesting Data...</v>
      </c>
      <c r="L1718">
        <v>610000</v>
      </c>
      <c r="M1718" t="str">
        <f>_xll.BDP("841205Y8 Muni","YIELD_ON_ISSUE_DATE")</f>
        <v>#N/A Requesting Data...</v>
      </c>
      <c r="N1718" t="str">
        <f>_xll.BDP("841205Y8 Muni","YTW_SPREAD_TO_MATURITY_AT_ISSU")</f>
        <v>#N/A Requesting Data...</v>
      </c>
      <c r="O1718" t="str">
        <f>_xll.BDP("841205Y8 Muni","BVAL_MID_YTM")</f>
        <v>#N/A Requesting Data...</v>
      </c>
      <c r="P1718" t="str">
        <f>_xll.BDP("841205Y8 Muni","MUNI_TAX_PROV")</f>
        <v>#N/A Requesting Data...</v>
      </c>
      <c r="Q1718" t="str">
        <f>_xll.BDP("841205Y8 Muni","MUNI_FED_TAX")</f>
        <v>#N/A Requesting Data...</v>
      </c>
      <c r="R1718" t="str">
        <f>_xll.BDP("841205Y8 Muni","MUNI_MSRB_VOLUME")</f>
        <v>#N/A Requesting Data...</v>
      </c>
      <c r="S1718" t="str">
        <f>_xll.BDP("841205Y8 Muni","BB_COMPOSITE")</f>
        <v>#N/A Requesting Data...</v>
      </c>
      <c r="T1718" t="str">
        <f>_xll.BDP("841205Y8 Muni","LQA_LIQUIDITY_SCORE")</f>
        <v>#N/A Requesting Data...</v>
      </c>
    </row>
    <row r="1719" spans="1:20" x14ac:dyDescent="0.25">
      <c r="A1719" t="str">
        <f>_xll.BDP("7741322S Muni","ID_CUSIP")</f>
        <v>#N/A Requesting Data...</v>
      </c>
      <c r="B1719" t="s">
        <v>520</v>
      </c>
      <c r="C1719" t="str">
        <f>_xll.BDP("7741322S Muni","INSURANCE_STATUS")</f>
        <v>#N/A Requesting Data...</v>
      </c>
      <c r="D1719" t="str">
        <f>_xll.BDP("7741322S Muni","STATE_CODE")</f>
        <v>#N/A Requesting Data...</v>
      </c>
      <c r="E1719" t="str">
        <f>_xll.BDP("7741322S Muni","COUNTY_LOCATION_ISSUER")</f>
        <v>#N/A Requesting Data...</v>
      </c>
      <c r="F1719" t="str">
        <f>_xll.BDP("7741322S Muni","DUR_ADJ_MID")</f>
        <v>#N/A Requesting Data...</v>
      </c>
      <c r="G1719" t="str">
        <f>_xll.BDP("7741322S Muni","SPREAD_AT_ISSUANCE_TO_WORST")</f>
        <v>#N/A Requesting Data...</v>
      </c>
      <c r="H1719" t="str">
        <f>_xll.BDP("7741322S Muni","ISSUE_DT")</f>
        <v>#N/A Requesting Data...</v>
      </c>
      <c r="I1719" t="str">
        <f>_xll.BDS("7741322S Muni","MUNI_PURPOSE_SCHED", "aggregate=y")</f>
        <v>#N/A Review</v>
      </c>
      <c r="J1719" t="str">
        <f>_xll.BDP("7741322S Muni","CPN")</f>
        <v>#N/A Requesting Data...</v>
      </c>
      <c r="K1719" t="str">
        <f>_xll.BDP("7741322S Muni","MATURITY")</f>
        <v>#N/A Requesting Data...</v>
      </c>
      <c r="L1719">
        <v>650000</v>
      </c>
      <c r="M1719" t="str">
        <f>_xll.BDP("7741322S Muni","YIELD_ON_ISSUE_DATE")</f>
        <v>#N/A Requesting Data...</v>
      </c>
      <c r="N1719" t="str">
        <f>_xll.BDP("7741322S Muni","YTW_SPREAD_TO_MATURITY_AT_ISSU")</f>
        <v>#N/A Requesting Data...</v>
      </c>
      <c r="O1719" t="str">
        <f>_xll.BDP("7741322S Muni","BVAL_MID_YTM")</f>
        <v>#N/A Requesting Data...</v>
      </c>
      <c r="P1719" t="str">
        <f>_xll.BDP("7741322S Muni","MUNI_TAX_PROV")</f>
        <v>#N/A Requesting Data...</v>
      </c>
      <c r="Q1719" t="str">
        <f>_xll.BDP("7741322S Muni","MUNI_FED_TAX")</f>
        <v>#N/A Requesting Data...</v>
      </c>
      <c r="R1719" t="str">
        <f>_xll.BDP("7741322S Muni","MUNI_MSRB_VOLUME")</f>
        <v>#N/A Requesting Data...</v>
      </c>
      <c r="S1719" t="str">
        <f>_xll.BDP("7741322S Muni","BB_COMPOSITE")</f>
        <v>#N/A Requesting Data...</v>
      </c>
      <c r="T1719" t="str">
        <f>_xll.BDP("7741322S Muni","LQA_LIQUIDITY_SCORE")</f>
        <v>#N/A Requesting Data...</v>
      </c>
    </row>
    <row r="1720" spans="1:20" x14ac:dyDescent="0.25">
      <c r="A1720" t="str">
        <f>_xll.BDP("7741322T Muni","ID_CUSIP")</f>
        <v>#N/A Requesting Data...</v>
      </c>
      <c r="B1720" t="s">
        <v>520</v>
      </c>
      <c r="C1720" t="str">
        <f>_xll.BDP("7741322T Muni","INSURANCE_STATUS")</f>
        <v>#N/A Requesting Data...</v>
      </c>
      <c r="D1720" t="str">
        <f>_xll.BDP("7741322T Muni","STATE_CODE")</f>
        <v>#N/A Requesting Data...</v>
      </c>
      <c r="E1720" t="str">
        <f>_xll.BDP("7741322T Muni","COUNTY_LOCATION_ISSUER")</f>
        <v>#N/A Requesting Data...</v>
      </c>
      <c r="F1720" t="str">
        <f>_xll.BDP("7741322T Muni","DUR_ADJ_MID")</f>
        <v>#N/A Requesting Data...</v>
      </c>
      <c r="G1720" t="str">
        <f>_xll.BDP("7741322T Muni","SPREAD_AT_ISSUANCE_TO_WORST")</f>
        <v>#N/A Requesting Data...</v>
      </c>
      <c r="H1720" t="str">
        <f>_xll.BDP("7741322T Muni","ISSUE_DT")</f>
        <v>#N/A Requesting Data...</v>
      </c>
      <c r="I1720" t="str">
        <f>_xll.BDS("7741322T Muni","MUNI_PURPOSE_SCHED", "aggregate=y")</f>
        <v>#N/A Review</v>
      </c>
      <c r="J1720" t="str">
        <f>_xll.BDP("7741322T Muni","CPN")</f>
        <v>#N/A Requesting Data...</v>
      </c>
      <c r="K1720" t="str">
        <f>_xll.BDP("7741322T Muni","MATURITY")</f>
        <v>#N/A Requesting Data...</v>
      </c>
      <c r="L1720">
        <v>650000</v>
      </c>
      <c r="M1720" t="str">
        <f>_xll.BDP("7741322T Muni","YIELD_ON_ISSUE_DATE")</f>
        <v>#N/A Requesting Data...</v>
      </c>
      <c r="N1720" t="str">
        <f>_xll.BDP("7741322T Muni","YTW_SPREAD_TO_MATURITY_AT_ISSU")</f>
        <v>#N/A Requesting Data...</v>
      </c>
      <c r="O1720" t="str">
        <f>_xll.BDP("7741322T Muni","BVAL_MID_YTM")</f>
        <v>#N/A Requesting Data...</v>
      </c>
      <c r="P1720" t="str">
        <f>_xll.BDP("7741322T Muni","MUNI_TAX_PROV")</f>
        <v>#N/A Requesting Data...</v>
      </c>
      <c r="Q1720" t="str">
        <f>_xll.BDP("7741322T Muni","MUNI_FED_TAX")</f>
        <v>#N/A Requesting Data...</v>
      </c>
      <c r="R1720" t="str">
        <f>_xll.BDP("7741322T Muni","MUNI_MSRB_VOLUME")</f>
        <v>#N/A Requesting Data...</v>
      </c>
      <c r="S1720" t="str">
        <f>_xll.BDP("7741322T Muni","BB_COMPOSITE")</f>
        <v>#N/A Requesting Data...</v>
      </c>
      <c r="T1720" t="str">
        <f>_xll.BDP("7741322T Muni","LQA_LIQUIDITY_SCORE")</f>
        <v>#N/A Requesting Data...</v>
      </c>
    </row>
    <row r="1721" spans="1:20" x14ac:dyDescent="0.25">
      <c r="A1721" t="str">
        <f>_xll.BDP("774221CU Muni","ID_CUSIP")</f>
        <v>#N/A Requesting Data...</v>
      </c>
      <c r="B1721" t="s">
        <v>506</v>
      </c>
      <c r="C1721" t="str">
        <f>_xll.BDP("774221CU Muni","INSURANCE_STATUS")</f>
        <v>#N/A Requesting Data...</v>
      </c>
      <c r="D1721" t="str">
        <f>_xll.BDP("774221CU Muni","STATE_CODE")</f>
        <v>#N/A Requesting Data...</v>
      </c>
      <c r="E1721" t="str">
        <f>_xll.BDP("774221CU Muni","COUNTY_LOCATION_ISSUER")</f>
        <v>#N/A Requesting Data...</v>
      </c>
      <c r="F1721" t="str">
        <f>_xll.BDP("774221CU Muni","DUR_ADJ_MID")</f>
        <v>#N/A Requesting Data...</v>
      </c>
      <c r="G1721" t="str">
        <f>_xll.BDP("774221CU Muni","SPREAD_AT_ISSUANCE_TO_WORST")</f>
        <v>#N/A Requesting Data...</v>
      </c>
      <c r="H1721" t="str">
        <f>_xll.BDP("774221CU Muni","ISSUE_DT")</f>
        <v>#N/A Requesting Data...</v>
      </c>
      <c r="I1721" t="str">
        <f>_xll.BDS("774221CU Muni","MUNI_PURPOSE_SCHED", "aggregate=y")</f>
        <v>#N/A Review</v>
      </c>
      <c r="J1721" t="str">
        <f>_xll.BDP("774221CU Muni","CPN")</f>
        <v>#N/A Requesting Data...</v>
      </c>
      <c r="K1721" t="str">
        <f>_xll.BDP("774221CU Muni","MATURITY")</f>
        <v>#N/A Requesting Data...</v>
      </c>
      <c r="L1721">
        <v>310000</v>
      </c>
      <c r="M1721" t="str">
        <f>_xll.BDP("774221CU Muni","YIELD_ON_ISSUE_DATE")</f>
        <v>#N/A Requesting Data...</v>
      </c>
      <c r="N1721" t="str">
        <f>_xll.BDP("774221CU Muni","YTW_SPREAD_TO_MATURITY_AT_ISSU")</f>
        <v>#N/A Requesting Data...</v>
      </c>
      <c r="O1721" t="str">
        <f>_xll.BDP("774221CU Muni","BVAL_MID_YTM")</f>
        <v>#N/A Requesting Data...</v>
      </c>
      <c r="P1721" t="str">
        <f>_xll.BDP("774221CU Muni","MUNI_TAX_PROV")</f>
        <v>#N/A Requesting Data...</v>
      </c>
      <c r="Q1721" t="str">
        <f>_xll.BDP("774221CU Muni","MUNI_FED_TAX")</f>
        <v>#N/A Requesting Data...</v>
      </c>
      <c r="R1721" t="str">
        <f>_xll.BDP("774221CU Muni","MUNI_MSRB_VOLUME")</f>
        <v>#N/A Requesting Data...</v>
      </c>
      <c r="S1721" t="str">
        <f>_xll.BDP("774221CU Muni","BB_COMPOSITE")</f>
        <v>#N/A Requesting Data...</v>
      </c>
      <c r="T1721" t="str">
        <f>_xll.BDP("774221CU Muni","LQA_LIQUIDITY_SCORE")</f>
        <v>#N/A Requesting Data...</v>
      </c>
    </row>
    <row r="1722" spans="1:20" x14ac:dyDescent="0.25">
      <c r="A1722" t="str">
        <f>_xll.BDP("77426PDU Muni","ID_CUSIP")</f>
        <v>#N/A Requesting Data...</v>
      </c>
      <c r="B1722" t="s">
        <v>507</v>
      </c>
      <c r="C1722" t="str">
        <f>_xll.BDP("77426PDU Muni","INSURANCE_STATUS")</f>
        <v>#N/A Requesting Data...</v>
      </c>
      <c r="D1722" t="str">
        <f>_xll.BDP("77426PDU Muni","STATE_CODE")</f>
        <v>#N/A Requesting Data...</v>
      </c>
      <c r="E1722" t="str">
        <f>_xll.BDP("77426PDU Muni","COUNTY_LOCATION_ISSUER")</f>
        <v>#N/A Requesting Data...</v>
      </c>
      <c r="F1722" t="str">
        <f>_xll.BDP("77426PDU Muni","DUR_ADJ_MID")</f>
        <v>#N/A Requesting Data...</v>
      </c>
      <c r="G1722" t="str">
        <f>_xll.BDP("77426PDU Muni","SPREAD_AT_ISSUANCE_TO_WORST")</f>
        <v>#N/A Requesting Data...</v>
      </c>
      <c r="H1722" t="str">
        <f>_xll.BDP("77426PDU Muni","ISSUE_DT")</f>
        <v>#N/A Requesting Data...</v>
      </c>
      <c r="I1722" t="str">
        <f>_xll.BDS("77426PDU Muni","MUNI_PURPOSE_SCHED", "aggregate=y")</f>
        <v>#N/A Review</v>
      </c>
      <c r="J1722" t="str">
        <f>_xll.BDP("77426PDU Muni","CPN")</f>
        <v>#N/A Requesting Data...</v>
      </c>
      <c r="K1722" t="str">
        <f>_xll.BDP("77426PDU Muni","MATURITY")</f>
        <v>#N/A Requesting Data...</v>
      </c>
      <c r="L1722">
        <v>90000</v>
      </c>
      <c r="M1722" t="str">
        <f>_xll.BDP("77426PDU Muni","YIELD_ON_ISSUE_DATE")</f>
        <v>#N/A Requesting Data...</v>
      </c>
      <c r="N1722" t="str">
        <f>_xll.BDP("77426PDU Muni","YTW_SPREAD_TO_MATURITY_AT_ISSU")</f>
        <v>#N/A Requesting Data...</v>
      </c>
      <c r="O1722" t="str">
        <f>_xll.BDP("77426PDU Muni","BVAL_MID_YTM")</f>
        <v>#N/A Requesting Data...</v>
      </c>
      <c r="P1722" t="str">
        <f>_xll.BDP("77426PDU Muni","MUNI_TAX_PROV")</f>
        <v>#N/A Requesting Data...</v>
      </c>
      <c r="Q1722" t="str">
        <f>_xll.BDP("77426PDU Muni","MUNI_FED_TAX")</f>
        <v>#N/A Requesting Data...</v>
      </c>
      <c r="R1722" t="str">
        <f>_xll.BDP("77426PDU Muni","MUNI_MSRB_VOLUME")</f>
        <v>#N/A Requesting Data...</v>
      </c>
      <c r="S1722" t="str">
        <f>_xll.BDP("77426PDU Muni","BB_COMPOSITE")</f>
        <v>#N/A Requesting Data...</v>
      </c>
      <c r="T1722" t="str">
        <f>_xll.BDP("77426PDU Muni","LQA_LIQUIDITY_SCORE")</f>
        <v>#N/A Requesting Data...</v>
      </c>
    </row>
    <row r="1723" spans="1:20" x14ac:dyDescent="0.25">
      <c r="A1723" t="str">
        <f>_xll.BDP("774280T6 Muni","ID_CUSIP")</f>
        <v>#N/A Requesting Data...</v>
      </c>
      <c r="B1723" t="s">
        <v>508</v>
      </c>
      <c r="C1723" t="str">
        <f>_xll.BDP("774280T6 Muni","INSURANCE_STATUS")</f>
        <v>#N/A Requesting Data...</v>
      </c>
      <c r="D1723" t="str">
        <f>_xll.BDP("774280T6 Muni","STATE_CODE")</f>
        <v>#N/A Requesting Data...</v>
      </c>
      <c r="E1723" t="str">
        <f>_xll.BDP("774280T6 Muni","COUNTY_LOCATION_ISSUER")</f>
        <v>#N/A Requesting Data...</v>
      </c>
      <c r="F1723" t="str">
        <f>_xll.BDP("774280T6 Muni","DUR_ADJ_MID")</f>
        <v>#N/A Requesting Data...</v>
      </c>
      <c r="G1723" t="str">
        <f>_xll.BDP("774280T6 Muni","SPREAD_AT_ISSUANCE_TO_WORST")</f>
        <v>#N/A Requesting Data...</v>
      </c>
      <c r="H1723" t="str">
        <f>_xll.BDP("774280T6 Muni","ISSUE_DT")</f>
        <v>#N/A Requesting Data...</v>
      </c>
      <c r="I1723" t="str">
        <f>_xll.BDS("774280T6 Muni","MUNI_PURPOSE_SCHED", "aggregate=y")</f>
        <v>#N/A Review</v>
      </c>
      <c r="J1723" t="str">
        <f>_xll.BDP("774280T6 Muni","CPN")</f>
        <v>#N/A Requesting Data...</v>
      </c>
      <c r="K1723" t="str">
        <f>_xll.BDP("774280T6 Muni","MATURITY")</f>
        <v>#N/A Requesting Data...</v>
      </c>
      <c r="L1723">
        <v>280000</v>
      </c>
      <c r="M1723" t="str">
        <f>_xll.BDP("774280T6 Muni","YIELD_ON_ISSUE_DATE")</f>
        <v>#N/A Requesting Data...</v>
      </c>
      <c r="N1723" t="str">
        <f>_xll.BDP("774280T6 Muni","YTW_SPREAD_TO_MATURITY_AT_ISSU")</f>
        <v>#N/A Requesting Data...</v>
      </c>
      <c r="O1723" t="str">
        <f>_xll.BDP("774280T6 Muni","BVAL_MID_YTM")</f>
        <v>#N/A Requesting Data...</v>
      </c>
      <c r="P1723" t="str">
        <f>_xll.BDP("774280T6 Muni","MUNI_TAX_PROV")</f>
        <v>#N/A Requesting Data...</v>
      </c>
      <c r="Q1723" t="str">
        <f>_xll.BDP("774280T6 Muni","MUNI_FED_TAX")</f>
        <v>#N/A Requesting Data...</v>
      </c>
      <c r="R1723" t="str">
        <f>_xll.BDP("774280T6 Muni","MUNI_MSRB_VOLUME")</f>
        <v>#N/A Requesting Data...</v>
      </c>
      <c r="S1723" t="str">
        <f>_xll.BDP("774280T6 Muni","BB_COMPOSITE")</f>
        <v>#N/A Requesting Data...</v>
      </c>
      <c r="T1723" t="str">
        <f>_xll.BDP("774280T6 Muni","LQA_LIQUIDITY_SCORE")</f>
        <v>#N/A Requesting Data...</v>
      </c>
    </row>
    <row r="1724" spans="1:20" x14ac:dyDescent="0.25">
      <c r="A1724" t="str">
        <f>_xll.BDP("774336GB Muni","ID_CUSIP")</f>
        <v>#N/A Requesting Data...</v>
      </c>
      <c r="B1724" t="s">
        <v>521</v>
      </c>
      <c r="C1724" t="str">
        <f>_xll.BDP("774336GB Muni","INSURANCE_STATUS")</f>
        <v>#N/A Requesting Data...</v>
      </c>
      <c r="D1724" t="str">
        <f>_xll.BDP("774336GB Muni","STATE_CODE")</f>
        <v>#N/A Requesting Data...</v>
      </c>
      <c r="E1724" t="str">
        <f>_xll.BDP("774336GB Muni","COUNTY_LOCATION_ISSUER")</f>
        <v>#N/A Requesting Data...</v>
      </c>
      <c r="F1724" t="str">
        <f>_xll.BDP("774336GB Muni","DUR_ADJ_MID")</f>
        <v>#N/A Requesting Data...</v>
      </c>
      <c r="G1724" t="str">
        <f>_xll.BDP("774336GB Muni","SPREAD_AT_ISSUANCE_TO_WORST")</f>
        <v>#N/A Requesting Data...</v>
      </c>
      <c r="H1724" t="str">
        <f>_xll.BDP("774336GB Muni","ISSUE_DT")</f>
        <v>#N/A Requesting Data...</v>
      </c>
      <c r="I1724" t="str">
        <f>_xll.BDS("774336GB Muni","MUNI_PURPOSE_SCHED", "aggregate=y")</f>
        <v>#N/A Review</v>
      </c>
      <c r="J1724" t="str">
        <f>_xll.BDP("774336GB Muni","CPN")</f>
        <v>#N/A Requesting Data...</v>
      </c>
      <c r="K1724" t="str">
        <f>_xll.BDP("774336GB Muni","MATURITY")</f>
        <v>#N/A Requesting Data...</v>
      </c>
      <c r="L1724">
        <v>165000</v>
      </c>
      <c r="M1724" t="str">
        <f>_xll.BDP("774336GB Muni","YIELD_ON_ISSUE_DATE")</f>
        <v>#N/A Requesting Data...</v>
      </c>
      <c r="N1724" t="str">
        <f>_xll.BDP("774336GB Muni","YTW_SPREAD_TO_MATURITY_AT_ISSU")</f>
        <v>#N/A Requesting Data...</v>
      </c>
      <c r="O1724" t="str">
        <f>_xll.BDP("774336GB Muni","BVAL_MID_YTM")</f>
        <v>#N/A Requesting Data...</v>
      </c>
      <c r="P1724" t="str">
        <f>_xll.BDP("774336GB Muni","MUNI_TAX_PROV")</f>
        <v>#N/A Requesting Data...</v>
      </c>
      <c r="Q1724" t="str">
        <f>_xll.BDP("774336GB Muni","MUNI_FED_TAX")</f>
        <v>#N/A Requesting Data...</v>
      </c>
      <c r="R1724" t="str">
        <f>_xll.BDP("774336GB Muni","MUNI_MSRB_VOLUME")</f>
        <v>#N/A Requesting Data...</v>
      </c>
      <c r="S1724" t="str">
        <f>_xll.BDP("774336GB Muni","BB_COMPOSITE")</f>
        <v>#N/A Requesting Data...</v>
      </c>
      <c r="T1724" t="str">
        <f>_xll.BDP("774336GB Muni","LQA_LIQUIDITY_SCORE")</f>
        <v>#N/A Requesting Data...</v>
      </c>
    </row>
    <row r="1725" spans="1:20" x14ac:dyDescent="0.25">
      <c r="A1725" t="str">
        <f>_xll.BDP("9525302R Muni","ID_CUSIP")</f>
        <v>#N/A Requesting Data...</v>
      </c>
      <c r="B1725" t="s">
        <v>515</v>
      </c>
      <c r="C1725" t="str">
        <f>_xll.BDP("9525302R Muni","INSURANCE_STATUS")</f>
        <v>#N/A Requesting Data...</v>
      </c>
      <c r="D1725" t="str">
        <f>_xll.BDP("9525302R Muni","STATE_CODE")</f>
        <v>#N/A Requesting Data...</v>
      </c>
      <c r="E1725" t="str">
        <f>_xll.BDP("9525302R Muni","COUNTY_LOCATION_ISSUER")</f>
        <v>#N/A Requesting Data...</v>
      </c>
      <c r="F1725" t="str">
        <f>_xll.BDP("9525302R Muni","DUR_ADJ_MID")</f>
        <v>#N/A Requesting Data...</v>
      </c>
      <c r="G1725" t="str">
        <f>_xll.BDP("9525302R Muni","SPREAD_AT_ISSUANCE_TO_WORST")</f>
        <v>#N/A Requesting Data...</v>
      </c>
      <c r="H1725" t="str">
        <f>_xll.BDP("9525302R Muni","ISSUE_DT")</f>
        <v>#N/A Requesting Data...</v>
      </c>
      <c r="I1725" t="str">
        <f>_xll.BDS("9525302R Muni","MUNI_PURPOSE_SCHED", "aggregate=y")</f>
        <v>#N/A Review</v>
      </c>
      <c r="J1725" t="str">
        <f>_xll.BDP("9525302R Muni","CPN")</f>
        <v>#N/A Requesting Data...</v>
      </c>
      <c r="K1725" t="str">
        <f>_xll.BDP("9525302R Muni","MATURITY")</f>
        <v>#N/A Requesting Data...</v>
      </c>
      <c r="L1725">
        <v>865000</v>
      </c>
      <c r="M1725" t="str">
        <f>_xll.BDP("9525302R Muni","YIELD_ON_ISSUE_DATE")</f>
        <v>#N/A Requesting Data...</v>
      </c>
      <c r="N1725" t="str">
        <f>_xll.BDP("9525302R Muni","YTW_SPREAD_TO_MATURITY_AT_ISSU")</f>
        <v>#N/A Requesting Data...</v>
      </c>
      <c r="O1725" t="str">
        <f>_xll.BDP("9525302R Muni","BVAL_MID_YTM")</f>
        <v>#N/A Requesting Data...</v>
      </c>
      <c r="P1725" t="str">
        <f>_xll.BDP("9525302R Muni","MUNI_TAX_PROV")</f>
        <v>#N/A Requesting Data...</v>
      </c>
      <c r="Q1725" t="str">
        <f>_xll.BDP("9525302R Muni","MUNI_FED_TAX")</f>
        <v>#N/A Requesting Data...</v>
      </c>
      <c r="R1725" t="str">
        <f>_xll.BDP("9525302R Muni","MUNI_MSRB_VOLUME")</f>
        <v>#N/A Requesting Data...</v>
      </c>
      <c r="S1725" t="str">
        <f>_xll.BDP("9525302R Muni","BB_COMPOSITE")</f>
        <v>#N/A Requesting Data...</v>
      </c>
      <c r="T1725" t="str">
        <f>_xll.BDP("9525302R Muni","LQA_LIQUIDITY_SCORE")</f>
        <v>#N/A Requesting Data...</v>
      </c>
    </row>
    <row r="1726" spans="1:20" x14ac:dyDescent="0.25">
      <c r="A1726" t="str">
        <f>_xll.BDP("953082FT Muni","ID_CUSIP")</f>
        <v>#N/A Requesting Data...</v>
      </c>
      <c r="B1726" t="s">
        <v>516</v>
      </c>
      <c r="C1726" t="str">
        <f>_xll.BDP("953082FT Muni","INSURANCE_STATUS")</f>
        <v>#N/A Requesting Data...</v>
      </c>
      <c r="D1726" t="str">
        <f>_xll.BDP("953082FT Muni","STATE_CODE")</f>
        <v>#N/A Requesting Data...</v>
      </c>
      <c r="E1726" t="str">
        <f>_xll.BDP("953082FT Muni","COUNTY_LOCATION_ISSUER")</f>
        <v>#N/A Requesting Data...</v>
      </c>
      <c r="F1726" t="str">
        <f>_xll.BDP("953082FT Muni","DUR_ADJ_MID")</f>
        <v>#N/A Requesting Data...</v>
      </c>
      <c r="G1726" t="str">
        <f>_xll.BDP("953082FT Muni","SPREAD_AT_ISSUANCE_TO_WORST")</f>
        <v>#N/A Requesting Data...</v>
      </c>
      <c r="H1726" t="str">
        <f>_xll.BDP("953082FT Muni","ISSUE_DT")</f>
        <v>#N/A Requesting Data...</v>
      </c>
      <c r="I1726" t="str">
        <f>_xll.BDS("953082FT Muni","MUNI_PURPOSE_SCHED", "aggregate=y")</f>
        <v>#N/A Review</v>
      </c>
      <c r="J1726" t="str">
        <f>_xll.BDP("953082FT Muni","CPN")</f>
        <v>#N/A Requesting Data...</v>
      </c>
      <c r="K1726" t="str">
        <f>_xll.BDP("953082FT Muni","MATURITY")</f>
        <v>#N/A Requesting Data...</v>
      </c>
      <c r="L1726">
        <v>50000</v>
      </c>
      <c r="M1726" t="str">
        <f>_xll.BDP("953082FT Muni","YIELD_ON_ISSUE_DATE")</f>
        <v>#N/A Requesting Data...</v>
      </c>
      <c r="N1726" t="str">
        <f>_xll.BDP("953082FT Muni","YTW_SPREAD_TO_MATURITY_AT_ISSU")</f>
        <v>#N/A Requesting Data...</v>
      </c>
      <c r="O1726" t="str">
        <f>_xll.BDP("953082FT Muni","BVAL_MID_YTM")</f>
        <v>#N/A Requesting Data...</v>
      </c>
      <c r="P1726" t="str">
        <f>_xll.BDP("953082FT Muni","MUNI_TAX_PROV")</f>
        <v>#N/A Requesting Data...</v>
      </c>
      <c r="Q1726" t="str">
        <f>_xll.BDP("953082FT Muni","MUNI_FED_TAX")</f>
        <v>#N/A Requesting Data...</v>
      </c>
      <c r="R1726" t="str">
        <f>_xll.BDP("953082FT Muni","MUNI_MSRB_VOLUME")</f>
        <v>#N/A Requesting Data...</v>
      </c>
      <c r="S1726" t="str">
        <f>_xll.BDP("953082FT Muni","BB_COMPOSITE")</f>
        <v>#N/A Requesting Data...</v>
      </c>
      <c r="T1726" t="str">
        <f>_xll.BDP("953082FT Muni","LQA_LIQUIDITY_SCORE")</f>
        <v>#N/A Requesting Data...</v>
      </c>
    </row>
    <row r="1727" spans="1:20" x14ac:dyDescent="0.25">
      <c r="A1727" t="str">
        <f>_xll.BDP("953084HD Muni","ID_CUSIP")</f>
        <v>#N/A Requesting Data...</v>
      </c>
      <c r="B1727" t="s">
        <v>517</v>
      </c>
      <c r="C1727" t="str">
        <f>_xll.BDP("953084HD Muni","INSURANCE_STATUS")</f>
        <v>#N/A Requesting Data...</v>
      </c>
      <c r="D1727" t="str">
        <f>_xll.BDP("953084HD Muni","STATE_CODE")</f>
        <v>#N/A Requesting Data...</v>
      </c>
      <c r="E1727" t="str">
        <f>_xll.BDP("953084HD Muni","COUNTY_LOCATION_ISSUER")</f>
        <v>#N/A Requesting Data...</v>
      </c>
      <c r="F1727" t="str">
        <f>_xll.BDP("953084HD Muni","DUR_ADJ_MID")</f>
        <v>#N/A Requesting Data...</v>
      </c>
      <c r="G1727" t="str">
        <f>_xll.BDP("953084HD Muni","SPREAD_AT_ISSUANCE_TO_WORST")</f>
        <v>#N/A Requesting Data...</v>
      </c>
      <c r="H1727" t="str">
        <f>_xll.BDP("953084HD Muni","ISSUE_DT")</f>
        <v>#N/A Requesting Data...</v>
      </c>
      <c r="I1727" t="str">
        <f>_xll.BDS("953084HD Muni","MUNI_PURPOSE_SCHED", "aggregate=y")</f>
        <v>#N/A Review</v>
      </c>
      <c r="J1727" t="str">
        <f>_xll.BDP("953084HD Muni","CPN")</f>
        <v>#N/A Requesting Data...</v>
      </c>
      <c r="K1727" t="str">
        <f>_xll.BDP("953084HD Muni","MATURITY")</f>
        <v>#N/A Requesting Data...</v>
      </c>
      <c r="L1727">
        <v>25000</v>
      </c>
      <c r="M1727" t="str">
        <f>_xll.BDP("953084HD Muni","YIELD_ON_ISSUE_DATE")</f>
        <v>#N/A Requesting Data...</v>
      </c>
      <c r="N1727" t="str">
        <f>_xll.BDP("953084HD Muni","YTW_SPREAD_TO_MATURITY_AT_ISSU")</f>
        <v>#N/A Requesting Data...</v>
      </c>
      <c r="O1727" t="str">
        <f>_xll.BDP("953084HD Muni","BVAL_MID_YTM")</f>
        <v>#N/A Requesting Data...</v>
      </c>
      <c r="P1727" t="str">
        <f>_xll.BDP("953084HD Muni","MUNI_TAX_PROV")</f>
        <v>#N/A Requesting Data...</v>
      </c>
      <c r="Q1727" t="str">
        <f>_xll.BDP("953084HD Muni","MUNI_FED_TAX")</f>
        <v>#N/A Requesting Data...</v>
      </c>
      <c r="R1727" t="str">
        <f>_xll.BDP("953084HD Muni","MUNI_MSRB_VOLUME")</f>
        <v>#N/A Requesting Data...</v>
      </c>
      <c r="S1727" t="str">
        <f>_xll.BDP("953084HD Muni","BB_COMPOSITE")</f>
        <v>#N/A Requesting Data...</v>
      </c>
      <c r="T1727" t="str">
        <f>_xll.BDP("953084HD Muni","LQA_LIQUIDITY_SCORE")</f>
        <v>#N/A Requesting Data...</v>
      </c>
    </row>
    <row r="1728" spans="1:20" x14ac:dyDescent="0.25">
      <c r="A1728" t="str">
        <f>_xll.BDP("876443MZ Muni","ID_CUSIP")</f>
        <v>#N/A Requesting Data...</v>
      </c>
      <c r="B1728" t="s">
        <v>152</v>
      </c>
      <c r="C1728" t="str">
        <f>_xll.BDP("876443MZ Muni","INSURANCE_STATUS")</f>
        <v>#N/A Requesting Data...</v>
      </c>
      <c r="D1728" t="str">
        <f>_xll.BDP("876443MZ Muni","STATE_CODE")</f>
        <v>#N/A Requesting Data...</v>
      </c>
      <c r="E1728" t="str">
        <f>_xll.BDP("876443MZ Muni","COUNTY_LOCATION_ISSUER")</f>
        <v>#N/A Requesting Data...</v>
      </c>
      <c r="F1728" t="str">
        <f>_xll.BDP("876443MZ Muni","DUR_ADJ_MID")</f>
        <v>#N/A Requesting Data...</v>
      </c>
      <c r="G1728" t="str">
        <f>_xll.BDP("876443MZ Muni","SPREAD_AT_ISSUANCE_TO_WORST")</f>
        <v>#N/A Requesting Data...</v>
      </c>
      <c r="H1728" t="str">
        <f>_xll.BDP("876443MZ Muni","ISSUE_DT")</f>
        <v>#N/A Requesting Data...</v>
      </c>
      <c r="I1728" t="str">
        <f>_xll.BDS("876443MZ Muni","MUNI_PURPOSE_SCHED", "aggregate=y")</f>
        <v>#N/A Review</v>
      </c>
      <c r="J1728" t="str">
        <f>_xll.BDP("876443MZ Muni","CPN")</f>
        <v>#N/A Requesting Data...</v>
      </c>
      <c r="K1728" t="str">
        <f>_xll.BDP("876443MZ Muni","MATURITY")</f>
        <v>#N/A Requesting Data...</v>
      </c>
      <c r="L1728">
        <v>710000</v>
      </c>
      <c r="M1728" t="str">
        <f>_xll.BDP("876443MZ Muni","YIELD_ON_ISSUE_DATE")</f>
        <v>#N/A Requesting Data...</v>
      </c>
      <c r="N1728" t="str">
        <f>_xll.BDP("876443MZ Muni","YTW_SPREAD_TO_MATURITY_AT_ISSU")</f>
        <v>#N/A Requesting Data...</v>
      </c>
      <c r="O1728" t="str">
        <f>_xll.BDP("876443MZ Muni","BVAL_MID_YTM")</f>
        <v>#N/A Requesting Data...</v>
      </c>
      <c r="P1728" t="str">
        <f>_xll.BDP("876443MZ Muni","MUNI_TAX_PROV")</f>
        <v>#N/A Requesting Data...</v>
      </c>
      <c r="Q1728" t="str">
        <f>_xll.BDP("876443MZ Muni","MUNI_FED_TAX")</f>
        <v>#N/A Requesting Data...</v>
      </c>
      <c r="R1728" t="str">
        <f>_xll.BDP("876443MZ Muni","MUNI_MSRB_VOLUME")</f>
        <v>#N/A Requesting Data...</v>
      </c>
      <c r="S1728" t="str">
        <f>_xll.BDP("876443MZ Muni","BB_COMPOSITE")</f>
        <v>#N/A Requesting Data...</v>
      </c>
      <c r="T1728" t="str">
        <f>_xll.BDP("876443MZ Muni","LQA_LIQUIDITY_SCORE")</f>
        <v>#N/A Requesting Data...</v>
      </c>
    </row>
    <row r="1729" spans="1:20" x14ac:dyDescent="0.25">
      <c r="A1729" t="str">
        <f>_xll.BDP("876443NA Muni","ID_CUSIP")</f>
        <v>#N/A Requesting Data...</v>
      </c>
      <c r="B1729" t="s">
        <v>152</v>
      </c>
      <c r="C1729" t="str">
        <f>_xll.BDP("876443NA Muni","INSURANCE_STATUS")</f>
        <v>#N/A Requesting Data...</v>
      </c>
      <c r="D1729" t="str">
        <f>_xll.BDP("876443NA Muni","STATE_CODE")</f>
        <v>#N/A Requesting Data...</v>
      </c>
      <c r="E1729" t="str">
        <f>_xll.BDP("876443NA Muni","COUNTY_LOCATION_ISSUER")</f>
        <v>#N/A Requesting Data...</v>
      </c>
      <c r="F1729" t="str">
        <f>_xll.BDP("876443NA Muni","DUR_ADJ_MID")</f>
        <v>#N/A Requesting Data...</v>
      </c>
      <c r="G1729" t="str">
        <f>_xll.BDP("876443NA Muni","SPREAD_AT_ISSUANCE_TO_WORST")</f>
        <v>#N/A Requesting Data...</v>
      </c>
      <c r="H1729" t="str">
        <f>_xll.BDP("876443NA Muni","ISSUE_DT")</f>
        <v>#N/A Requesting Data...</v>
      </c>
      <c r="I1729" t="str">
        <f>_xll.BDS("876443NA Muni","MUNI_PURPOSE_SCHED", "aggregate=y")</f>
        <v>#N/A Review</v>
      </c>
      <c r="J1729" t="str">
        <f>_xll.BDP("876443NA Muni","CPN")</f>
        <v>#N/A Requesting Data...</v>
      </c>
      <c r="K1729" t="str">
        <f>_xll.BDP("876443NA Muni","MATURITY")</f>
        <v>#N/A Requesting Data...</v>
      </c>
      <c r="L1729">
        <v>730000</v>
      </c>
      <c r="M1729" t="str">
        <f>_xll.BDP("876443NA Muni","YIELD_ON_ISSUE_DATE")</f>
        <v>#N/A Requesting Data...</v>
      </c>
      <c r="N1729" t="str">
        <f>_xll.BDP("876443NA Muni","YTW_SPREAD_TO_MATURITY_AT_ISSU")</f>
        <v>#N/A Requesting Data...</v>
      </c>
      <c r="O1729" t="str">
        <f>_xll.BDP("876443NA Muni","BVAL_MID_YTM")</f>
        <v>#N/A Requesting Data...</v>
      </c>
      <c r="P1729" t="str">
        <f>_xll.BDP("876443NA Muni","MUNI_TAX_PROV")</f>
        <v>#N/A Requesting Data...</v>
      </c>
      <c r="Q1729" t="str">
        <f>_xll.BDP("876443NA Muni","MUNI_FED_TAX")</f>
        <v>#N/A Requesting Data...</v>
      </c>
      <c r="R1729" t="str">
        <f>_xll.BDP("876443NA Muni","MUNI_MSRB_VOLUME")</f>
        <v>#N/A Requesting Data...</v>
      </c>
      <c r="S1729" t="str">
        <f>_xll.BDP("876443NA Muni","BB_COMPOSITE")</f>
        <v>#N/A Requesting Data...</v>
      </c>
      <c r="T1729" t="str">
        <f>_xll.BDP("876443NA Muni","LQA_LIQUIDITY_SCORE")</f>
        <v>#N/A Requesting Data...</v>
      </c>
    </row>
    <row r="1730" spans="1:20" x14ac:dyDescent="0.25">
      <c r="A1730" t="str">
        <f>_xll.BDP("876443NB Muni","ID_CUSIP")</f>
        <v>#N/A Requesting Data...</v>
      </c>
      <c r="B1730" t="s">
        <v>152</v>
      </c>
      <c r="C1730" t="str">
        <f>_xll.BDP("876443NB Muni","INSURANCE_STATUS")</f>
        <v>#N/A Requesting Data...</v>
      </c>
      <c r="D1730" t="str">
        <f>_xll.BDP("876443NB Muni","STATE_CODE")</f>
        <v>#N/A Requesting Data...</v>
      </c>
      <c r="E1730" t="str">
        <f>_xll.BDP("876443NB Muni","COUNTY_LOCATION_ISSUER")</f>
        <v>#N/A Requesting Data...</v>
      </c>
      <c r="F1730" t="str">
        <f>_xll.BDP("876443NB Muni","DUR_ADJ_MID")</f>
        <v>#N/A Requesting Data...</v>
      </c>
      <c r="G1730" t="str">
        <f>_xll.BDP("876443NB Muni","SPREAD_AT_ISSUANCE_TO_WORST")</f>
        <v>#N/A Requesting Data...</v>
      </c>
      <c r="H1730" t="str">
        <f>_xll.BDP("876443NB Muni","ISSUE_DT")</f>
        <v>#N/A Requesting Data...</v>
      </c>
      <c r="I1730" t="str">
        <f>_xll.BDS("876443NB Muni","MUNI_PURPOSE_SCHED", "aggregate=y")</f>
        <v>#N/A Review</v>
      </c>
      <c r="J1730" t="str">
        <f>_xll.BDP("876443NB Muni","CPN")</f>
        <v>#N/A Requesting Data...</v>
      </c>
      <c r="K1730" t="str">
        <f>_xll.BDP("876443NB Muni","MATURITY")</f>
        <v>#N/A Requesting Data...</v>
      </c>
      <c r="L1730">
        <v>755000</v>
      </c>
      <c r="M1730" t="str">
        <f>_xll.BDP("876443NB Muni","YIELD_ON_ISSUE_DATE")</f>
        <v>#N/A Requesting Data...</v>
      </c>
      <c r="N1730" t="str">
        <f>_xll.BDP("876443NB Muni","YTW_SPREAD_TO_MATURITY_AT_ISSU")</f>
        <v>#N/A Requesting Data...</v>
      </c>
      <c r="O1730" t="str">
        <f>_xll.BDP("876443NB Muni","BVAL_MID_YTM")</f>
        <v>#N/A Requesting Data...</v>
      </c>
      <c r="P1730" t="str">
        <f>_xll.BDP("876443NB Muni","MUNI_TAX_PROV")</f>
        <v>#N/A Requesting Data...</v>
      </c>
      <c r="Q1730" t="str">
        <f>_xll.BDP("876443NB Muni","MUNI_FED_TAX")</f>
        <v>#N/A Requesting Data...</v>
      </c>
      <c r="R1730" t="str">
        <f>_xll.BDP("876443NB Muni","MUNI_MSRB_VOLUME")</f>
        <v>#N/A Requesting Data...</v>
      </c>
      <c r="S1730" t="str">
        <f>_xll.BDP("876443NB Muni","BB_COMPOSITE")</f>
        <v>#N/A Requesting Data...</v>
      </c>
      <c r="T1730" t="str">
        <f>_xll.BDP("876443NB Muni","LQA_LIQUIDITY_SCORE")</f>
        <v>#N/A Requesting Data...</v>
      </c>
    </row>
    <row r="1731" spans="1:20" x14ac:dyDescent="0.25">
      <c r="A1731" t="str">
        <f>_xll.BDP("87971HJX Muni","ID_CUSIP")</f>
        <v>#N/A Requesting Data...</v>
      </c>
      <c r="B1731" t="s">
        <v>50</v>
      </c>
      <c r="C1731" t="str">
        <f>_xll.BDP("87971HJX Muni","INSURANCE_STATUS")</f>
        <v>#N/A Requesting Data...</v>
      </c>
      <c r="D1731" t="str">
        <f>_xll.BDP("87971HJX Muni","STATE_CODE")</f>
        <v>#N/A Requesting Data...</v>
      </c>
      <c r="E1731" t="str">
        <f>_xll.BDP("87971HJX Muni","COUNTY_LOCATION_ISSUER")</f>
        <v>#N/A Requesting Data...</v>
      </c>
      <c r="F1731" t="str">
        <f>_xll.BDP("87971HJX Muni","DUR_ADJ_MID")</f>
        <v>#N/A Requesting Data...</v>
      </c>
      <c r="G1731" t="str">
        <f>_xll.BDP("87971HJX Muni","SPREAD_AT_ISSUANCE_TO_WORST")</f>
        <v>#N/A Requesting Data...</v>
      </c>
      <c r="H1731" t="str">
        <f>_xll.BDP("87971HJX Muni","ISSUE_DT")</f>
        <v>#N/A Requesting Data...</v>
      </c>
      <c r="I1731" t="str">
        <f>_xll.BDS("87971HJX Muni","MUNI_PURPOSE_SCHED", "aggregate=y")</f>
        <v>#N/A Review</v>
      </c>
      <c r="J1731" t="str">
        <f>_xll.BDP("87971HJX Muni","CPN")</f>
        <v>#N/A Requesting Data...</v>
      </c>
      <c r="K1731" t="str">
        <f>_xll.BDP("87971HJX Muni","MATURITY")</f>
        <v>#N/A Requesting Data...</v>
      </c>
      <c r="L1731">
        <v>2830000</v>
      </c>
      <c r="M1731" t="str">
        <f>_xll.BDP("87971HJX Muni","YIELD_ON_ISSUE_DATE")</f>
        <v>#N/A Requesting Data...</v>
      </c>
      <c r="N1731" t="str">
        <f>_xll.BDP("87971HJX Muni","YTW_SPREAD_TO_MATURITY_AT_ISSU")</f>
        <v>#N/A Requesting Data...</v>
      </c>
      <c r="O1731" t="str">
        <f>_xll.BDP("87971HJX Muni","BVAL_MID_YTM")</f>
        <v>#N/A Requesting Data...</v>
      </c>
      <c r="P1731" t="str">
        <f>_xll.BDP("87971HJX Muni","MUNI_TAX_PROV")</f>
        <v>#N/A Requesting Data...</v>
      </c>
      <c r="Q1731" t="str">
        <f>_xll.BDP("87971HJX Muni","MUNI_FED_TAX")</f>
        <v>#N/A Requesting Data...</v>
      </c>
      <c r="R1731" t="str">
        <f>_xll.BDP("87971HJX Muni","MUNI_MSRB_VOLUME")</f>
        <v>#N/A Requesting Data...</v>
      </c>
      <c r="S1731" t="str">
        <f>_xll.BDP("87971HJX Muni","BB_COMPOSITE")</f>
        <v>#N/A Requesting Data...</v>
      </c>
      <c r="T1731" t="str">
        <f>_xll.BDP("87971HJX Muni","LQA_LIQUIDITY_SCORE")</f>
        <v>#N/A Requesting Data...</v>
      </c>
    </row>
    <row r="1732" spans="1:20" x14ac:dyDescent="0.25">
      <c r="A1732" t="str">
        <f>_xll.BDP("87971HJZ Muni","ID_CUSIP")</f>
        <v>#N/A Requesting Data...</v>
      </c>
      <c r="B1732" t="s">
        <v>50</v>
      </c>
      <c r="C1732" t="str">
        <f>_xll.BDP("87971HJZ Muni","INSURANCE_STATUS")</f>
        <v>#N/A Requesting Data...</v>
      </c>
      <c r="D1732" t="str">
        <f>_xll.BDP("87971HJZ Muni","STATE_CODE")</f>
        <v>#N/A Requesting Data...</v>
      </c>
      <c r="E1732" t="str">
        <f>_xll.BDP("87971HJZ Muni","COUNTY_LOCATION_ISSUER")</f>
        <v>#N/A Requesting Data...</v>
      </c>
      <c r="F1732" t="str">
        <f>_xll.BDP("87971HJZ Muni","DUR_ADJ_MID")</f>
        <v>#N/A Requesting Data...</v>
      </c>
      <c r="G1732" t="str">
        <f>_xll.BDP("87971HJZ Muni","SPREAD_AT_ISSUANCE_TO_WORST")</f>
        <v>#N/A Requesting Data...</v>
      </c>
      <c r="H1732" t="str">
        <f>_xll.BDP("87971HJZ Muni","ISSUE_DT")</f>
        <v>#N/A Requesting Data...</v>
      </c>
      <c r="I1732" t="str">
        <f>_xll.BDS("87971HJZ Muni","MUNI_PURPOSE_SCHED", "aggregate=y")</f>
        <v>#N/A Review</v>
      </c>
      <c r="J1732" t="str">
        <f>_xll.BDP("87971HJZ Muni","CPN")</f>
        <v>#N/A Requesting Data...</v>
      </c>
      <c r="K1732" t="str">
        <f>_xll.BDP("87971HJZ Muni","MATURITY")</f>
        <v>#N/A Requesting Data...</v>
      </c>
      <c r="L1732">
        <v>1745000</v>
      </c>
      <c r="M1732" t="str">
        <f>_xll.BDP("87971HJZ Muni","YIELD_ON_ISSUE_DATE")</f>
        <v>#N/A Requesting Data...</v>
      </c>
      <c r="N1732" t="str">
        <f>_xll.BDP("87971HJZ Muni","YTW_SPREAD_TO_MATURITY_AT_ISSU")</f>
        <v>#N/A Requesting Data...</v>
      </c>
      <c r="O1732" t="str">
        <f>_xll.BDP("87971HJZ Muni","BVAL_MID_YTM")</f>
        <v>#N/A Requesting Data...</v>
      </c>
      <c r="P1732" t="str">
        <f>_xll.BDP("87971HJZ Muni","MUNI_TAX_PROV")</f>
        <v>#N/A Requesting Data...</v>
      </c>
      <c r="Q1732" t="str">
        <f>_xll.BDP("87971HJZ Muni","MUNI_FED_TAX")</f>
        <v>#N/A Requesting Data...</v>
      </c>
      <c r="R1732" t="str">
        <f>_xll.BDP("87971HJZ Muni","MUNI_MSRB_VOLUME")</f>
        <v>#N/A Requesting Data...</v>
      </c>
      <c r="S1732" t="str">
        <f>_xll.BDP("87971HJZ Muni","BB_COMPOSITE")</f>
        <v>#N/A Requesting Data...</v>
      </c>
      <c r="T1732" t="str">
        <f>_xll.BDP("87971HJZ Muni","LQA_LIQUIDITY_SCORE")</f>
        <v>#N/A Requesting Data...</v>
      </c>
    </row>
    <row r="1733" spans="1:20" x14ac:dyDescent="0.25">
      <c r="A1733" t="str">
        <f>_xll.BDP("880064W8 Muni","ID_CUSIP")</f>
        <v>#N/A Requesting Data...</v>
      </c>
      <c r="B1733" t="s">
        <v>146</v>
      </c>
      <c r="C1733" t="str">
        <f>_xll.BDP("880064W8 Muni","INSURANCE_STATUS")</f>
        <v>#N/A Requesting Data...</v>
      </c>
      <c r="D1733" t="str">
        <f>_xll.BDP("880064W8 Muni","STATE_CODE")</f>
        <v>#N/A Requesting Data...</v>
      </c>
      <c r="E1733" t="str">
        <f>_xll.BDP("880064W8 Muni","COUNTY_LOCATION_ISSUER")</f>
        <v>#N/A Requesting Data...</v>
      </c>
      <c r="F1733" t="str">
        <f>_xll.BDP("880064W8 Muni","DUR_ADJ_MID")</f>
        <v>#N/A Requesting Data...</v>
      </c>
      <c r="G1733" t="str">
        <f>_xll.BDP("880064W8 Muni","SPREAD_AT_ISSUANCE_TO_WORST")</f>
        <v>#N/A Requesting Data...</v>
      </c>
      <c r="H1733" t="str">
        <f>_xll.BDP("880064W8 Muni","ISSUE_DT")</f>
        <v>#N/A Requesting Data...</v>
      </c>
      <c r="I1733" t="str">
        <f>_xll.BDS("880064W8 Muni","MUNI_PURPOSE_SCHED", "aggregate=y")</f>
        <v>#N/A Review</v>
      </c>
      <c r="J1733" t="str">
        <f>_xll.BDP("880064W8 Muni","CPN")</f>
        <v>#N/A Requesting Data...</v>
      </c>
      <c r="K1733" t="str">
        <f>_xll.BDP("880064W8 Muni","MATURITY")</f>
        <v>#N/A Requesting Data...</v>
      </c>
      <c r="L1733">
        <v>900000</v>
      </c>
      <c r="M1733" t="str">
        <f>_xll.BDP("880064W8 Muni","YIELD_ON_ISSUE_DATE")</f>
        <v>#N/A Requesting Data...</v>
      </c>
      <c r="N1733" t="str">
        <f>_xll.BDP("880064W8 Muni","YTW_SPREAD_TO_MATURITY_AT_ISSU")</f>
        <v>#N/A Requesting Data...</v>
      </c>
      <c r="O1733" t="str">
        <f>_xll.BDP("880064W8 Muni","BVAL_MID_YTM")</f>
        <v>#N/A Requesting Data...</v>
      </c>
      <c r="P1733" t="str">
        <f>_xll.BDP("880064W8 Muni","MUNI_TAX_PROV")</f>
        <v>#N/A Requesting Data...</v>
      </c>
      <c r="Q1733" t="str">
        <f>_xll.BDP("880064W8 Muni","MUNI_FED_TAX")</f>
        <v>#N/A Requesting Data...</v>
      </c>
      <c r="R1733" t="str">
        <f>_xll.BDP("880064W8 Muni","MUNI_MSRB_VOLUME")</f>
        <v>#N/A Requesting Data...</v>
      </c>
      <c r="S1733" t="str">
        <f>_xll.BDP("880064W8 Muni","BB_COMPOSITE")</f>
        <v>#N/A Requesting Data...</v>
      </c>
      <c r="T1733" t="str">
        <f>_xll.BDP("880064W8 Muni","LQA_LIQUIDITY_SCORE")</f>
        <v>#N/A Requesting Data...</v>
      </c>
    </row>
    <row r="1734" spans="1:20" x14ac:dyDescent="0.25">
      <c r="A1734" t="str">
        <f>_xll.BDP("880064W5 Muni","ID_CUSIP")</f>
        <v>#N/A Requesting Data...</v>
      </c>
      <c r="B1734" t="s">
        <v>146</v>
      </c>
      <c r="C1734" t="str">
        <f>_xll.BDP("880064W5 Muni","INSURANCE_STATUS")</f>
        <v>#N/A Requesting Data...</v>
      </c>
      <c r="D1734" t="str">
        <f>_xll.BDP("880064W5 Muni","STATE_CODE")</f>
        <v>#N/A Requesting Data...</v>
      </c>
      <c r="E1734" t="str">
        <f>_xll.BDP("880064W5 Muni","COUNTY_LOCATION_ISSUER")</f>
        <v>#N/A Requesting Data...</v>
      </c>
      <c r="F1734" t="str">
        <f>_xll.BDP("880064W5 Muni","DUR_ADJ_MID")</f>
        <v>#N/A Requesting Data...</v>
      </c>
      <c r="G1734" t="str">
        <f>_xll.BDP("880064W5 Muni","SPREAD_AT_ISSUANCE_TO_WORST")</f>
        <v>#N/A Requesting Data...</v>
      </c>
      <c r="H1734" t="str">
        <f>_xll.BDP("880064W5 Muni","ISSUE_DT")</f>
        <v>#N/A Requesting Data...</v>
      </c>
      <c r="I1734" t="str">
        <f>_xll.BDS("880064W5 Muni","MUNI_PURPOSE_SCHED", "aggregate=y")</f>
        <v>#N/A Review</v>
      </c>
      <c r="J1734" t="str">
        <f>_xll.BDP("880064W5 Muni","CPN")</f>
        <v>#N/A Requesting Data...</v>
      </c>
      <c r="K1734" t="str">
        <f>_xll.BDP("880064W5 Muni","MATURITY")</f>
        <v>#N/A Requesting Data...</v>
      </c>
      <c r="L1734">
        <v>325000</v>
      </c>
      <c r="M1734" t="str">
        <f>_xll.BDP("880064W5 Muni","YIELD_ON_ISSUE_DATE")</f>
        <v>#N/A Requesting Data...</v>
      </c>
      <c r="N1734" t="str">
        <f>_xll.BDP("880064W5 Muni","YTW_SPREAD_TO_MATURITY_AT_ISSU")</f>
        <v>#N/A Requesting Data...</v>
      </c>
      <c r="O1734" t="str">
        <f>_xll.BDP("880064W5 Muni","BVAL_MID_YTM")</f>
        <v>#N/A Requesting Data...</v>
      </c>
      <c r="P1734" t="str">
        <f>_xll.BDP("880064W5 Muni","MUNI_TAX_PROV")</f>
        <v>#N/A Requesting Data...</v>
      </c>
      <c r="Q1734" t="str">
        <f>_xll.BDP("880064W5 Muni","MUNI_FED_TAX")</f>
        <v>#N/A Requesting Data...</v>
      </c>
      <c r="R1734" t="str">
        <f>_xll.BDP("880064W5 Muni","MUNI_MSRB_VOLUME")</f>
        <v>#N/A Requesting Data...</v>
      </c>
      <c r="S1734" t="str">
        <f>_xll.BDP("880064W5 Muni","BB_COMPOSITE")</f>
        <v>#N/A Requesting Data...</v>
      </c>
      <c r="T1734" t="str">
        <f>_xll.BDP("880064W5 Muni","LQA_LIQUIDITY_SCORE")</f>
        <v>#N/A Requesting Data...</v>
      </c>
    </row>
    <row r="1735" spans="1:20" x14ac:dyDescent="0.25">
      <c r="A1735" t="str">
        <f>_xll.BDP("803141AG Muni","ID_CUSIP")</f>
        <v>#N/A Requesting Data...</v>
      </c>
      <c r="B1735" t="s">
        <v>522</v>
      </c>
      <c r="C1735" t="str">
        <f>_xll.BDP("803141AG Muni","INSURANCE_STATUS")</f>
        <v>#N/A Requesting Data...</v>
      </c>
      <c r="D1735" t="str">
        <f>_xll.BDP("803141AG Muni","STATE_CODE")</f>
        <v>#N/A Requesting Data...</v>
      </c>
      <c r="E1735" t="str">
        <f>_xll.BDP("803141AG Muni","COUNTY_LOCATION_ISSUER")</f>
        <v>#N/A Requesting Data...</v>
      </c>
      <c r="F1735" t="str">
        <f>_xll.BDP("803141AG Muni","DUR_ADJ_MID")</f>
        <v>#N/A Requesting Data...</v>
      </c>
      <c r="G1735" t="str">
        <f>_xll.BDP("803141AG Muni","SPREAD_AT_ISSUANCE_TO_WORST")</f>
        <v>#N/A Requesting Data...</v>
      </c>
      <c r="H1735" t="str">
        <f>_xll.BDP("803141AG Muni","ISSUE_DT")</f>
        <v>#N/A Requesting Data...</v>
      </c>
      <c r="I1735" t="str">
        <f>_xll.BDS("803141AG Muni","MUNI_PURPOSE_SCHED", "aggregate=y")</f>
        <v>#N/A Review</v>
      </c>
      <c r="J1735" t="str">
        <f>_xll.BDP("803141AG Muni","CPN")</f>
        <v>#N/A Requesting Data...</v>
      </c>
      <c r="K1735" t="str">
        <f>_xll.BDP("803141AG Muni","MATURITY")</f>
        <v>#N/A Requesting Data...</v>
      </c>
      <c r="L1735">
        <v>355000</v>
      </c>
      <c r="M1735" t="str">
        <f>_xll.BDP("803141AG Muni","YIELD_ON_ISSUE_DATE")</f>
        <v>#N/A Requesting Data...</v>
      </c>
      <c r="N1735" t="str">
        <f>_xll.BDP("803141AG Muni","YTW_SPREAD_TO_MATURITY_AT_ISSU")</f>
        <v>#N/A Requesting Data...</v>
      </c>
      <c r="O1735" t="str">
        <f>_xll.BDP("803141AG Muni","BVAL_MID_YTM")</f>
        <v>#N/A Requesting Data...</v>
      </c>
      <c r="P1735" t="str">
        <f>_xll.BDP("803141AG Muni","MUNI_TAX_PROV")</f>
        <v>#N/A Requesting Data...</v>
      </c>
      <c r="Q1735" t="str">
        <f>_xll.BDP("803141AG Muni","MUNI_FED_TAX")</f>
        <v>#N/A Requesting Data...</v>
      </c>
      <c r="R1735" t="str">
        <f>_xll.BDP("803141AG Muni","MUNI_MSRB_VOLUME")</f>
        <v>#N/A Requesting Data...</v>
      </c>
      <c r="S1735" t="str">
        <f>_xll.BDP("803141AG Muni","BB_COMPOSITE")</f>
        <v>#N/A Requesting Data...</v>
      </c>
      <c r="T1735" t="str">
        <f>_xll.BDP("803141AG Muni","LQA_LIQUIDITY_SCORE")</f>
        <v>#N/A Requesting Data...</v>
      </c>
    </row>
    <row r="1736" spans="1:20" x14ac:dyDescent="0.25">
      <c r="A1736" t="str">
        <f>_xll.BDP("857896NH Muni","ID_CUSIP")</f>
        <v>#N/A Requesting Data...</v>
      </c>
      <c r="B1736" t="s">
        <v>221</v>
      </c>
      <c r="C1736" t="str">
        <f>_xll.BDP("857896NH Muni","INSURANCE_STATUS")</f>
        <v>#N/A Requesting Data...</v>
      </c>
      <c r="D1736" t="str">
        <f>_xll.BDP("857896NH Muni","STATE_CODE")</f>
        <v>#N/A Requesting Data...</v>
      </c>
      <c r="E1736" t="str">
        <f>_xll.BDP("857896NH Muni","COUNTY_LOCATION_ISSUER")</f>
        <v>#N/A Requesting Data...</v>
      </c>
      <c r="F1736" t="str">
        <f>_xll.BDP("857896NH Muni","DUR_ADJ_MID")</f>
        <v>#N/A Requesting Data...</v>
      </c>
      <c r="G1736" t="str">
        <f>_xll.BDP("857896NH Muni","SPREAD_AT_ISSUANCE_TO_WORST")</f>
        <v>#N/A Requesting Data...</v>
      </c>
      <c r="H1736" t="str">
        <f>_xll.BDP("857896NH Muni","ISSUE_DT")</f>
        <v>#N/A Requesting Data...</v>
      </c>
      <c r="I1736" t="str">
        <f>_xll.BDS("857896NH Muni","MUNI_PURPOSE_SCHED", "aggregate=y")</f>
        <v>#N/A Review</v>
      </c>
      <c r="J1736" t="str">
        <f>_xll.BDP("857896NH Muni","CPN")</f>
        <v>#N/A Requesting Data...</v>
      </c>
      <c r="K1736" t="str">
        <f>_xll.BDP("857896NH Muni","MATURITY")</f>
        <v>#N/A Requesting Data...</v>
      </c>
      <c r="L1736">
        <v>95000</v>
      </c>
      <c r="M1736" t="str">
        <f>_xll.BDP("857896NH Muni","YIELD_ON_ISSUE_DATE")</f>
        <v>#N/A Requesting Data...</v>
      </c>
      <c r="N1736" t="str">
        <f>_xll.BDP("857896NH Muni","YTW_SPREAD_TO_MATURITY_AT_ISSU")</f>
        <v>#N/A Requesting Data...</v>
      </c>
      <c r="O1736" t="str">
        <f>_xll.BDP("857896NH Muni","BVAL_MID_YTM")</f>
        <v>#N/A Requesting Data...</v>
      </c>
      <c r="P1736" t="str">
        <f>_xll.BDP("857896NH Muni","MUNI_TAX_PROV")</f>
        <v>#N/A Requesting Data...</v>
      </c>
      <c r="Q1736" t="str">
        <f>_xll.BDP("857896NH Muni","MUNI_FED_TAX")</f>
        <v>#N/A Requesting Data...</v>
      </c>
      <c r="R1736" t="str">
        <f>_xll.BDP("857896NH Muni","MUNI_MSRB_VOLUME")</f>
        <v>#N/A Requesting Data...</v>
      </c>
      <c r="S1736" t="str">
        <f>_xll.BDP("857896NH Muni","BB_COMPOSITE")</f>
        <v>#N/A Requesting Data...</v>
      </c>
      <c r="T1736" t="str">
        <f>_xll.BDP("857896NH Muni","LQA_LIQUIDITY_SCORE")</f>
        <v>#N/A Requesting Data...</v>
      </c>
    </row>
    <row r="1737" spans="1:20" x14ac:dyDescent="0.25">
      <c r="A1737" t="str">
        <f>_xll.BDP("860537VL Muni","ID_CUSIP")</f>
        <v>#N/A Requesting Data...</v>
      </c>
      <c r="B1737" t="s">
        <v>222</v>
      </c>
      <c r="C1737" t="str">
        <f>_xll.BDP("860537VL Muni","INSURANCE_STATUS")</f>
        <v>#N/A Requesting Data...</v>
      </c>
      <c r="D1737" t="str">
        <f>_xll.BDP("860537VL Muni","STATE_CODE")</f>
        <v>#N/A Requesting Data...</v>
      </c>
      <c r="E1737" t="str">
        <f>_xll.BDP("860537VL Muni","COUNTY_LOCATION_ISSUER")</f>
        <v>#N/A Requesting Data...</v>
      </c>
      <c r="F1737" t="str">
        <f>_xll.BDP("860537VL Muni","DUR_ADJ_MID")</f>
        <v>#N/A Requesting Data...</v>
      </c>
      <c r="G1737" t="str">
        <f>_xll.BDP("860537VL Muni","SPREAD_AT_ISSUANCE_TO_WORST")</f>
        <v>#N/A Requesting Data...</v>
      </c>
      <c r="H1737" t="str">
        <f>_xll.BDP("860537VL Muni","ISSUE_DT")</f>
        <v>#N/A Requesting Data...</v>
      </c>
      <c r="I1737" t="str">
        <f>_xll.BDS("860537VL Muni","MUNI_PURPOSE_SCHED", "aggregate=y")</f>
        <v>#N/A Review</v>
      </c>
      <c r="J1737" t="str">
        <f>_xll.BDP("860537VL Muni","CPN")</f>
        <v>#N/A Requesting Data...</v>
      </c>
      <c r="K1737" t="str">
        <f>_xll.BDP("860537VL Muni","MATURITY")</f>
        <v>#N/A Requesting Data...</v>
      </c>
      <c r="L1737">
        <v>415000</v>
      </c>
      <c r="M1737" t="str">
        <f>_xll.BDP("860537VL Muni","YIELD_ON_ISSUE_DATE")</f>
        <v>#N/A Requesting Data...</v>
      </c>
      <c r="N1737" t="str">
        <f>_xll.BDP("860537VL Muni","YTW_SPREAD_TO_MATURITY_AT_ISSU")</f>
        <v>#N/A Requesting Data...</v>
      </c>
      <c r="O1737" t="str">
        <f>_xll.BDP("860537VL Muni","BVAL_MID_YTM")</f>
        <v>#N/A Requesting Data...</v>
      </c>
      <c r="P1737" t="str">
        <f>_xll.BDP("860537VL Muni","MUNI_TAX_PROV")</f>
        <v>#N/A Requesting Data...</v>
      </c>
      <c r="Q1737" t="str">
        <f>_xll.BDP("860537VL Muni","MUNI_FED_TAX")</f>
        <v>#N/A Requesting Data...</v>
      </c>
      <c r="R1737" t="str">
        <f>_xll.BDP("860537VL Muni","MUNI_MSRB_VOLUME")</f>
        <v>#N/A Requesting Data...</v>
      </c>
      <c r="S1737" t="str">
        <f>_xll.BDP("860537VL Muni","BB_COMPOSITE")</f>
        <v>#N/A Requesting Data...</v>
      </c>
      <c r="T1737" t="str">
        <f>_xll.BDP("860537VL Muni","LQA_LIQUIDITY_SCORE")</f>
        <v>#N/A Requesting Data...</v>
      </c>
    </row>
    <row r="1738" spans="1:20" x14ac:dyDescent="0.25">
      <c r="A1738" t="str">
        <f>_xll.BDP("889396RM Muni","ID_CUSIP")</f>
        <v>#N/A Requesting Data...</v>
      </c>
      <c r="B1738" t="s">
        <v>87</v>
      </c>
      <c r="C1738" t="str">
        <f>_xll.BDP("889396RM Muni","INSURANCE_STATUS")</f>
        <v>#N/A Requesting Data...</v>
      </c>
      <c r="D1738" t="str">
        <f>_xll.BDP("889396RM Muni","STATE_CODE")</f>
        <v>#N/A Requesting Data...</v>
      </c>
      <c r="E1738" t="str">
        <f>_xll.BDP("889396RM Muni","COUNTY_LOCATION_ISSUER")</f>
        <v>#N/A Requesting Data...</v>
      </c>
      <c r="F1738" t="str">
        <f>_xll.BDP("889396RM Muni","DUR_ADJ_MID")</f>
        <v>#N/A Requesting Data...</v>
      </c>
      <c r="G1738" t="str">
        <f>_xll.BDP("889396RM Muni","SPREAD_AT_ISSUANCE_TO_WORST")</f>
        <v>#N/A Requesting Data...</v>
      </c>
      <c r="H1738" t="str">
        <f>_xll.BDP("889396RM Muni","ISSUE_DT")</f>
        <v>#N/A Requesting Data...</v>
      </c>
      <c r="I1738" t="str">
        <f>_xll.BDS("889396RM Muni","MUNI_PURPOSE_SCHED", "aggregate=y")</f>
        <v>#N/A Review</v>
      </c>
      <c r="J1738" t="str">
        <f>_xll.BDP("889396RM Muni","CPN")</f>
        <v>#N/A Requesting Data...</v>
      </c>
      <c r="K1738" t="str">
        <f>_xll.BDP("889396RM Muni","MATURITY")</f>
        <v>#N/A Requesting Data...</v>
      </c>
      <c r="L1738">
        <v>1760000</v>
      </c>
      <c r="M1738" t="str">
        <f>_xll.BDP("889396RM Muni","YIELD_ON_ISSUE_DATE")</f>
        <v>#N/A Requesting Data...</v>
      </c>
      <c r="N1738" t="str">
        <f>_xll.BDP("889396RM Muni","YTW_SPREAD_TO_MATURITY_AT_ISSU")</f>
        <v>#N/A Requesting Data...</v>
      </c>
      <c r="O1738" t="str">
        <f>_xll.BDP("889396RM Muni","BVAL_MID_YTM")</f>
        <v>#N/A Requesting Data...</v>
      </c>
      <c r="P1738" t="str">
        <f>_xll.BDP("889396RM Muni","MUNI_TAX_PROV")</f>
        <v>#N/A Requesting Data...</v>
      </c>
      <c r="Q1738" t="str">
        <f>_xll.BDP("889396RM Muni","MUNI_FED_TAX")</f>
        <v>#N/A Requesting Data...</v>
      </c>
      <c r="R1738" t="str">
        <f>_xll.BDP("889396RM Muni","MUNI_MSRB_VOLUME")</f>
        <v>#N/A Requesting Data...</v>
      </c>
      <c r="S1738" t="str">
        <f>_xll.BDP("889396RM Muni","BB_COMPOSITE")</f>
        <v>#N/A Requesting Data...</v>
      </c>
      <c r="T1738" t="str">
        <f>_xll.BDP("889396RM Muni","LQA_LIQUIDITY_SCORE")</f>
        <v>#N/A Requesting Data...</v>
      </c>
    </row>
    <row r="1739" spans="1:20" x14ac:dyDescent="0.25">
      <c r="A1739" t="str">
        <f>_xll.BDP("889396RN Muni","ID_CUSIP")</f>
        <v>#N/A Requesting Data...</v>
      </c>
      <c r="B1739" t="s">
        <v>87</v>
      </c>
      <c r="C1739" t="str">
        <f>_xll.BDP("889396RN Muni","INSURANCE_STATUS")</f>
        <v>#N/A Requesting Data...</v>
      </c>
      <c r="D1739" t="str">
        <f>_xll.BDP("889396RN Muni","STATE_CODE")</f>
        <v>#N/A Requesting Data...</v>
      </c>
      <c r="E1739" t="str">
        <f>_xll.BDP("889396RN Muni","COUNTY_LOCATION_ISSUER")</f>
        <v>#N/A Requesting Data...</v>
      </c>
      <c r="F1739" t="str">
        <f>_xll.BDP("889396RN Muni","DUR_ADJ_MID")</f>
        <v>#N/A Requesting Data...</v>
      </c>
      <c r="G1739" t="str">
        <f>_xll.BDP("889396RN Muni","SPREAD_AT_ISSUANCE_TO_WORST")</f>
        <v>#N/A Requesting Data...</v>
      </c>
      <c r="H1739" t="str">
        <f>_xll.BDP("889396RN Muni","ISSUE_DT")</f>
        <v>#N/A Requesting Data...</v>
      </c>
      <c r="I1739" t="str">
        <f>_xll.BDS("889396RN Muni","MUNI_PURPOSE_SCHED", "aggregate=y")</f>
        <v>#N/A Review</v>
      </c>
      <c r="J1739" t="str">
        <f>_xll.BDP("889396RN Muni","CPN")</f>
        <v>#N/A Requesting Data...</v>
      </c>
      <c r="K1739" t="str">
        <f>_xll.BDP("889396RN Muni","MATURITY")</f>
        <v>#N/A Requesting Data...</v>
      </c>
      <c r="L1739">
        <v>1850000</v>
      </c>
      <c r="M1739" t="str">
        <f>_xll.BDP("889396RN Muni","YIELD_ON_ISSUE_DATE")</f>
        <v>#N/A Requesting Data...</v>
      </c>
      <c r="N1739" t="str">
        <f>_xll.BDP("889396RN Muni","YTW_SPREAD_TO_MATURITY_AT_ISSU")</f>
        <v>#N/A Requesting Data...</v>
      </c>
      <c r="O1739" t="str">
        <f>_xll.BDP("889396RN Muni","BVAL_MID_YTM")</f>
        <v>#N/A Requesting Data...</v>
      </c>
      <c r="P1739" t="str">
        <f>_xll.BDP("889396RN Muni","MUNI_TAX_PROV")</f>
        <v>#N/A Requesting Data...</v>
      </c>
      <c r="Q1739" t="str">
        <f>_xll.BDP("889396RN Muni","MUNI_FED_TAX")</f>
        <v>#N/A Requesting Data...</v>
      </c>
      <c r="R1739" t="str">
        <f>_xll.BDP("889396RN Muni","MUNI_MSRB_VOLUME")</f>
        <v>#N/A Requesting Data...</v>
      </c>
      <c r="S1739" t="str">
        <f>_xll.BDP("889396RN Muni","BB_COMPOSITE")</f>
        <v>#N/A Requesting Data...</v>
      </c>
      <c r="T1739" t="str">
        <f>_xll.BDP("889396RN Muni","LQA_LIQUIDITY_SCORE")</f>
        <v>#N/A Requesting Data...</v>
      </c>
    </row>
    <row r="1740" spans="1:20" x14ac:dyDescent="0.25">
      <c r="A1740" t="str">
        <f>_xll.BDP("92823PCT Muni","ID_CUSIP")</f>
        <v>#N/A Requesting Data...</v>
      </c>
      <c r="B1740" t="s">
        <v>523</v>
      </c>
      <c r="C1740" t="str">
        <f>_xll.BDP("92823PCT Muni","INSURANCE_STATUS")</f>
        <v>#N/A Requesting Data...</v>
      </c>
      <c r="D1740" t="str">
        <f>_xll.BDP("92823PCT Muni","STATE_CODE")</f>
        <v>#N/A Requesting Data...</v>
      </c>
      <c r="E1740" t="str">
        <f>_xll.BDP("92823PCT Muni","COUNTY_LOCATION_ISSUER")</f>
        <v>#N/A Requesting Data...</v>
      </c>
      <c r="F1740" t="str">
        <f>_xll.BDP("92823PCT Muni","DUR_ADJ_MID")</f>
        <v>#N/A Requesting Data...</v>
      </c>
      <c r="G1740" t="str">
        <f>_xll.BDP("92823PCT Muni","SPREAD_AT_ISSUANCE_TO_WORST")</f>
        <v>#N/A Requesting Data...</v>
      </c>
      <c r="H1740" t="str">
        <f>_xll.BDP("92823PCT Muni","ISSUE_DT")</f>
        <v>#N/A Requesting Data...</v>
      </c>
      <c r="I1740" t="str">
        <f>_xll.BDS("92823PCT Muni","MUNI_PURPOSE_SCHED", "aggregate=y")</f>
        <v>#N/A Review</v>
      </c>
      <c r="J1740" t="str">
        <f>_xll.BDP("92823PCT Muni","CPN")</f>
        <v>#N/A Requesting Data...</v>
      </c>
      <c r="K1740" t="str">
        <f>_xll.BDP("92823PCT Muni","MATURITY")</f>
        <v>#N/A Requesting Data...</v>
      </c>
      <c r="L1740">
        <v>210000</v>
      </c>
      <c r="M1740" t="str">
        <f>_xll.BDP("92823PCT Muni","YIELD_ON_ISSUE_DATE")</f>
        <v>#N/A Requesting Data...</v>
      </c>
      <c r="N1740" t="str">
        <f>_xll.BDP("92823PCT Muni","YTW_SPREAD_TO_MATURITY_AT_ISSU")</f>
        <v>#N/A Requesting Data...</v>
      </c>
      <c r="O1740" t="str">
        <f>_xll.BDP("92823PCT Muni","BVAL_MID_YTM")</f>
        <v>#N/A Requesting Data...</v>
      </c>
      <c r="P1740" t="str">
        <f>_xll.BDP("92823PCT Muni","MUNI_TAX_PROV")</f>
        <v>#N/A Requesting Data...</v>
      </c>
      <c r="Q1740" t="str">
        <f>_xll.BDP("92823PCT Muni","MUNI_FED_TAX")</f>
        <v>#N/A Requesting Data...</v>
      </c>
      <c r="R1740" t="str">
        <f>_xll.BDP("92823PCT Muni","MUNI_MSRB_VOLUME")</f>
        <v>#N/A Requesting Data...</v>
      </c>
      <c r="S1740" t="str">
        <f>_xll.BDP("92823PCT Muni","BB_COMPOSITE")</f>
        <v>#N/A Requesting Data...</v>
      </c>
      <c r="T1740" t="str">
        <f>_xll.BDP("92823PCT Muni","LQA_LIQUIDITY_SCORE")</f>
        <v>#N/A Requesting Data...</v>
      </c>
    </row>
    <row r="1741" spans="1:20" x14ac:dyDescent="0.25">
      <c r="A1741" t="str">
        <f>_xll.BDP("92823PCU Muni","ID_CUSIP")</f>
        <v>#N/A Requesting Data...</v>
      </c>
      <c r="B1741" t="s">
        <v>523</v>
      </c>
      <c r="C1741" t="str">
        <f>_xll.BDP("92823PCU Muni","INSURANCE_STATUS")</f>
        <v>#N/A Requesting Data...</v>
      </c>
      <c r="D1741" t="str">
        <f>_xll.BDP("92823PCU Muni","STATE_CODE")</f>
        <v>#N/A Requesting Data...</v>
      </c>
      <c r="E1741" t="str">
        <f>_xll.BDP("92823PCU Muni","COUNTY_LOCATION_ISSUER")</f>
        <v>#N/A Requesting Data...</v>
      </c>
      <c r="F1741" t="str">
        <f>_xll.BDP("92823PCU Muni","DUR_ADJ_MID")</f>
        <v>#N/A Requesting Data...</v>
      </c>
      <c r="G1741" t="str">
        <f>_xll.BDP("92823PCU Muni","SPREAD_AT_ISSUANCE_TO_WORST")</f>
        <v>#N/A Requesting Data...</v>
      </c>
      <c r="H1741" t="str">
        <f>_xll.BDP("92823PCU Muni","ISSUE_DT")</f>
        <v>#N/A Requesting Data...</v>
      </c>
      <c r="I1741" t="str">
        <f>_xll.BDS("92823PCU Muni","MUNI_PURPOSE_SCHED", "aggregate=y")</f>
        <v>#N/A Review</v>
      </c>
      <c r="J1741" t="str">
        <f>_xll.BDP("92823PCU Muni","CPN")</f>
        <v>#N/A Requesting Data...</v>
      </c>
      <c r="K1741" t="str">
        <f>_xll.BDP("92823PCU Muni","MATURITY")</f>
        <v>#N/A Requesting Data...</v>
      </c>
      <c r="L1741">
        <v>215000</v>
      </c>
      <c r="M1741" t="str">
        <f>_xll.BDP("92823PCU Muni","YIELD_ON_ISSUE_DATE")</f>
        <v>#N/A Requesting Data...</v>
      </c>
      <c r="N1741" t="str">
        <f>_xll.BDP("92823PCU Muni","YTW_SPREAD_TO_MATURITY_AT_ISSU")</f>
        <v>#N/A Requesting Data...</v>
      </c>
      <c r="O1741" t="str">
        <f>_xll.BDP("92823PCU Muni","BVAL_MID_YTM")</f>
        <v>#N/A Requesting Data...</v>
      </c>
      <c r="P1741" t="str">
        <f>_xll.BDP("92823PCU Muni","MUNI_TAX_PROV")</f>
        <v>#N/A Requesting Data...</v>
      </c>
      <c r="Q1741" t="str">
        <f>_xll.BDP("92823PCU Muni","MUNI_FED_TAX")</f>
        <v>#N/A Requesting Data...</v>
      </c>
      <c r="R1741" t="str">
        <f>_xll.BDP("92823PCU Muni","MUNI_MSRB_VOLUME")</f>
        <v>#N/A Requesting Data...</v>
      </c>
      <c r="S1741" t="str">
        <f>_xll.BDP("92823PCU Muni","BB_COMPOSITE")</f>
        <v>#N/A Requesting Data...</v>
      </c>
      <c r="T1741" t="str">
        <f>_xll.BDP("92823PCU Muni","LQA_LIQUIDITY_SCORE")</f>
        <v>#N/A Requesting Data...</v>
      </c>
    </row>
    <row r="1742" spans="1:20" x14ac:dyDescent="0.25">
      <c r="A1742" t="str">
        <f>_xll.BDP("92856EAP Muni","ID_CUSIP")</f>
        <v>#N/A Requesting Data...</v>
      </c>
      <c r="B1742" t="s">
        <v>524</v>
      </c>
      <c r="C1742" t="str">
        <f>_xll.BDP("92856EAP Muni","INSURANCE_STATUS")</f>
        <v>#N/A Requesting Data...</v>
      </c>
      <c r="D1742" t="str">
        <f>_xll.BDP("92856EAP Muni","STATE_CODE")</f>
        <v>#N/A Requesting Data...</v>
      </c>
      <c r="E1742" t="str">
        <f>_xll.BDP("92856EAP Muni","COUNTY_LOCATION_ISSUER")</f>
        <v>#N/A Requesting Data...</v>
      </c>
      <c r="F1742" t="str">
        <f>_xll.BDP("92856EAP Muni","DUR_ADJ_MID")</f>
        <v>#N/A Requesting Data...</v>
      </c>
      <c r="G1742" t="str">
        <f>_xll.BDP("92856EAP Muni","SPREAD_AT_ISSUANCE_TO_WORST")</f>
        <v>#N/A Requesting Data...</v>
      </c>
      <c r="H1742" t="str">
        <f>_xll.BDP("92856EAP Muni","ISSUE_DT")</f>
        <v>#N/A Requesting Data...</v>
      </c>
      <c r="I1742" t="str">
        <f>_xll.BDS("92856EAP Muni","MUNI_PURPOSE_SCHED", "aggregate=y")</f>
        <v>#N/A Review</v>
      </c>
      <c r="J1742" t="str">
        <f>_xll.BDP("92856EAP Muni","CPN")</f>
        <v>#N/A Requesting Data...</v>
      </c>
      <c r="K1742" t="str">
        <f>_xll.BDP("92856EAP Muni","MATURITY")</f>
        <v>#N/A Requesting Data...</v>
      </c>
      <c r="L1742">
        <v>210000</v>
      </c>
      <c r="M1742" t="str">
        <f>_xll.BDP("92856EAP Muni","YIELD_ON_ISSUE_DATE")</f>
        <v>#N/A Requesting Data...</v>
      </c>
      <c r="N1742" t="str">
        <f>_xll.BDP("92856EAP Muni","YTW_SPREAD_TO_MATURITY_AT_ISSU")</f>
        <v>#N/A Requesting Data...</v>
      </c>
      <c r="O1742" t="str">
        <f>_xll.BDP("92856EAP Muni","BVAL_MID_YTM")</f>
        <v>#N/A Requesting Data...</v>
      </c>
      <c r="P1742" t="str">
        <f>_xll.BDP("92856EAP Muni","MUNI_TAX_PROV")</f>
        <v>#N/A Requesting Data...</v>
      </c>
      <c r="Q1742" t="str">
        <f>_xll.BDP("92856EAP Muni","MUNI_FED_TAX")</f>
        <v>#N/A Requesting Data...</v>
      </c>
      <c r="R1742" t="str">
        <f>_xll.BDP("92856EAP Muni","MUNI_MSRB_VOLUME")</f>
        <v>#N/A Requesting Data...</v>
      </c>
      <c r="S1742" t="str">
        <f>_xll.BDP("92856EAP Muni","BB_COMPOSITE")</f>
        <v>#N/A Requesting Data...</v>
      </c>
      <c r="T1742" t="str">
        <f>_xll.BDP("92856EAP Muni","LQA_LIQUIDITY_SCORE")</f>
        <v>#N/A Requesting Data...</v>
      </c>
    </row>
    <row r="1743" spans="1:20" x14ac:dyDescent="0.25">
      <c r="A1743" t="str">
        <f>_xll.BDP("92856EAQ Muni","ID_CUSIP")</f>
        <v>#N/A Requesting Data...</v>
      </c>
      <c r="B1743" t="s">
        <v>524</v>
      </c>
      <c r="C1743" t="str">
        <f>_xll.BDP("92856EAQ Muni","INSURANCE_STATUS")</f>
        <v>#N/A Requesting Data...</v>
      </c>
      <c r="D1743" t="str">
        <f>_xll.BDP("92856EAQ Muni","STATE_CODE")</f>
        <v>#N/A Requesting Data...</v>
      </c>
      <c r="E1743" t="str">
        <f>_xll.BDP("92856EAQ Muni","COUNTY_LOCATION_ISSUER")</f>
        <v>#N/A Requesting Data...</v>
      </c>
      <c r="F1743" t="str">
        <f>_xll.BDP("92856EAQ Muni","DUR_ADJ_MID")</f>
        <v>#N/A Requesting Data...</v>
      </c>
      <c r="G1743" t="str">
        <f>_xll.BDP("92856EAQ Muni","SPREAD_AT_ISSUANCE_TO_WORST")</f>
        <v>#N/A Requesting Data...</v>
      </c>
      <c r="H1743" t="str">
        <f>_xll.BDP("92856EAQ Muni","ISSUE_DT")</f>
        <v>#N/A Requesting Data...</v>
      </c>
      <c r="I1743" t="str">
        <f>_xll.BDS("92856EAQ Muni","MUNI_PURPOSE_SCHED", "aggregate=y")</f>
        <v>#N/A Review</v>
      </c>
      <c r="J1743" t="str">
        <f>_xll.BDP("92856EAQ Muni","CPN")</f>
        <v>#N/A Requesting Data...</v>
      </c>
      <c r="K1743" t="str">
        <f>_xll.BDP("92856EAQ Muni","MATURITY")</f>
        <v>#N/A Requesting Data...</v>
      </c>
      <c r="L1743">
        <v>215000</v>
      </c>
      <c r="M1743" t="str">
        <f>_xll.BDP("92856EAQ Muni","YIELD_ON_ISSUE_DATE")</f>
        <v>#N/A Requesting Data...</v>
      </c>
      <c r="N1743" t="str">
        <f>_xll.BDP("92856EAQ Muni","YTW_SPREAD_TO_MATURITY_AT_ISSU")</f>
        <v>#N/A Requesting Data...</v>
      </c>
      <c r="O1743" t="str">
        <f>_xll.BDP("92856EAQ Muni","BVAL_MID_YTM")</f>
        <v>#N/A Requesting Data...</v>
      </c>
      <c r="P1743" t="str">
        <f>_xll.BDP("92856EAQ Muni","MUNI_TAX_PROV")</f>
        <v>#N/A Requesting Data...</v>
      </c>
      <c r="Q1743" t="str">
        <f>_xll.BDP("92856EAQ Muni","MUNI_FED_TAX")</f>
        <v>#N/A Requesting Data...</v>
      </c>
      <c r="R1743" t="str">
        <f>_xll.BDP("92856EAQ Muni","MUNI_MSRB_VOLUME")</f>
        <v>#N/A Requesting Data...</v>
      </c>
      <c r="S1743" t="str">
        <f>_xll.BDP("92856EAQ Muni","BB_COMPOSITE")</f>
        <v>#N/A Requesting Data...</v>
      </c>
      <c r="T1743" t="str">
        <f>_xll.BDP("92856EAQ Muni","LQA_LIQUIDITY_SCORE")</f>
        <v>#N/A Requesting Data...</v>
      </c>
    </row>
    <row r="1744" spans="1:20" x14ac:dyDescent="0.25">
      <c r="A1744" t="str">
        <f>_xll.BDP("92856EAR Muni","ID_CUSIP")</f>
        <v>#N/A Requesting Data...</v>
      </c>
      <c r="B1744" t="s">
        <v>524</v>
      </c>
      <c r="C1744" t="str">
        <f>_xll.BDP("92856EAR Muni","INSURANCE_STATUS")</f>
        <v>#N/A Requesting Data...</v>
      </c>
      <c r="D1744" t="str">
        <f>_xll.BDP("92856EAR Muni","STATE_CODE")</f>
        <v>#N/A Requesting Data...</v>
      </c>
      <c r="E1744" t="str">
        <f>_xll.BDP("92856EAR Muni","COUNTY_LOCATION_ISSUER")</f>
        <v>#N/A Requesting Data...</v>
      </c>
      <c r="F1744" t="str">
        <f>_xll.BDP("92856EAR Muni","DUR_ADJ_MID")</f>
        <v>#N/A Requesting Data...</v>
      </c>
      <c r="G1744" t="str">
        <f>_xll.BDP("92856EAR Muni","SPREAD_AT_ISSUANCE_TO_WORST")</f>
        <v>#N/A Requesting Data...</v>
      </c>
      <c r="H1744" t="str">
        <f>_xll.BDP("92856EAR Muni","ISSUE_DT")</f>
        <v>#N/A Requesting Data...</v>
      </c>
      <c r="I1744" t="str">
        <f>_xll.BDS("92856EAR Muni","MUNI_PURPOSE_SCHED", "aggregate=y")</f>
        <v>#N/A Review</v>
      </c>
      <c r="J1744" t="str">
        <f>_xll.BDP("92856EAR Muni","CPN")</f>
        <v>#N/A Requesting Data...</v>
      </c>
      <c r="K1744" t="str">
        <f>_xll.BDP("92856EAR Muni","MATURITY")</f>
        <v>#N/A Requesting Data...</v>
      </c>
      <c r="L1744">
        <v>220000</v>
      </c>
      <c r="M1744" t="str">
        <f>_xll.BDP("92856EAR Muni","YIELD_ON_ISSUE_DATE")</f>
        <v>#N/A Requesting Data...</v>
      </c>
      <c r="N1744" t="str">
        <f>_xll.BDP("92856EAR Muni","YTW_SPREAD_TO_MATURITY_AT_ISSU")</f>
        <v>#N/A Requesting Data...</v>
      </c>
      <c r="O1744" t="str">
        <f>_xll.BDP("92856EAR Muni","BVAL_MID_YTM")</f>
        <v>#N/A Requesting Data...</v>
      </c>
      <c r="P1744" t="str">
        <f>_xll.BDP("92856EAR Muni","MUNI_TAX_PROV")</f>
        <v>#N/A Requesting Data...</v>
      </c>
      <c r="Q1744" t="str">
        <f>_xll.BDP("92856EAR Muni","MUNI_FED_TAX")</f>
        <v>#N/A Requesting Data...</v>
      </c>
      <c r="R1744" t="str">
        <f>_xll.BDP("92856EAR Muni","MUNI_MSRB_VOLUME")</f>
        <v>#N/A Requesting Data...</v>
      </c>
      <c r="S1744" t="str">
        <f>_xll.BDP("92856EAR Muni","BB_COMPOSITE")</f>
        <v>#N/A Requesting Data...</v>
      </c>
      <c r="T1744" t="str">
        <f>_xll.BDP("92856EAR Muni","LQA_LIQUIDITY_SCORE")</f>
        <v>#N/A Requesting Data...</v>
      </c>
    </row>
    <row r="1745" spans="1:20" x14ac:dyDescent="0.25">
      <c r="A1745" t="str">
        <f>_xll.BDP("92856EAS Muni","ID_CUSIP")</f>
        <v>#N/A Requesting Data...</v>
      </c>
      <c r="B1745" t="s">
        <v>524</v>
      </c>
      <c r="C1745" t="str">
        <f>_xll.BDP("92856EAS Muni","INSURANCE_STATUS")</f>
        <v>#N/A Requesting Data...</v>
      </c>
      <c r="D1745" t="str">
        <f>_xll.BDP("92856EAS Muni","STATE_CODE")</f>
        <v>#N/A Requesting Data...</v>
      </c>
      <c r="E1745" t="str">
        <f>_xll.BDP("92856EAS Muni","COUNTY_LOCATION_ISSUER")</f>
        <v>#N/A Requesting Data...</v>
      </c>
      <c r="F1745" t="str">
        <f>_xll.BDP("92856EAS Muni","DUR_ADJ_MID")</f>
        <v>#N/A Requesting Data...</v>
      </c>
      <c r="G1745" t="str">
        <f>_xll.BDP("92856EAS Muni","SPREAD_AT_ISSUANCE_TO_WORST")</f>
        <v>#N/A Requesting Data...</v>
      </c>
      <c r="H1745" t="str">
        <f>_xll.BDP("92856EAS Muni","ISSUE_DT")</f>
        <v>#N/A Requesting Data...</v>
      </c>
      <c r="I1745" t="str">
        <f>_xll.BDS("92856EAS Muni","MUNI_PURPOSE_SCHED", "aggregate=y")</f>
        <v>#N/A Review</v>
      </c>
      <c r="J1745" t="str">
        <f>_xll.BDP("92856EAS Muni","CPN")</f>
        <v>#N/A Requesting Data...</v>
      </c>
      <c r="K1745" t="str">
        <f>_xll.BDP("92856EAS Muni","MATURITY")</f>
        <v>#N/A Requesting Data...</v>
      </c>
      <c r="L1745">
        <v>225000</v>
      </c>
      <c r="M1745" t="str">
        <f>_xll.BDP("92856EAS Muni","YIELD_ON_ISSUE_DATE")</f>
        <v>#N/A Requesting Data...</v>
      </c>
      <c r="N1745" t="str">
        <f>_xll.BDP("92856EAS Muni","YTW_SPREAD_TO_MATURITY_AT_ISSU")</f>
        <v>#N/A Requesting Data...</v>
      </c>
      <c r="O1745" t="str">
        <f>_xll.BDP("92856EAS Muni","BVAL_MID_YTM")</f>
        <v>#N/A Requesting Data...</v>
      </c>
      <c r="P1745" t="str">
        <f>_xll.BDP("92856EAS Muni","MUNI_TAX_PROV")</f>
        <v>#N/A Requesting Data...</v>
      </c>
      <c r="Q1745" t="str">
        <f>_xll.BDP("92856EAS Muni","MUNI_FED_TAX")</f>
        <v>#N/A Requesting Data...</v>
      </c>
      <c r="R1745" t="str">
        <f>_xll.BDP("92856EAS Muni","MUNI_MSRB_VOLUME")</f>
        <v>#N/A Requesting Data...</v>
      </c>
      <c r="S1745" t="str">
        <f>_xll.BDP("92856EAS Muni","BB_COMPOSITE")</f>
        <v>#N/A Requesting Data...</v>
      </c>
      <c r="T1745" t="str">
        <f>_xll.BDP("92856EAS Muni","LQA_LIQUIDITY_SCORE")</f>
        <v>#N/A Requesting Data...</v>
      </c>
    </row>
    <row r="1746" spans="1:20" x14ac:dyDescent="0.25">
      <c r="A1746" t="str">
        <f>_xll.BDP("92856EAT Muni","ID_CUSIP")</f>
        <v>#N/A Requesting Data...</v>
      </c>
      <c r="B1746" t="s">
        <v>524</v>
      </c>
      <c r="C1746" t="str">
        <f>_xll.BDP("92856EAT Muni","INSURANCE_STATUS")</f>
        <v>#N/A Requesting Data...</v>
      </c>
      <c r="D1746" t="str">
        <f>_xll.BDP("92856EAT Muni","STATE_CODE")</f>
        <v>#N/A Requesting Data...</v>
      </c>
      <c r="E1746" t="str">
        <f>_xll.BDP("92856EAT Muni","COUNTY_LOCATION_ISSUER")</f>
        <v>#N/A Requesting Data...</v>
      </c>
      <c r="F1746" t="str">
        <f>_xll.BDP("92856EAT Muni","DUR_ADJ_MID")</f>
        <v>#N/A Requesting Data...</v>
      </c>
      <c r="G1746" t="str">
        <f>_xll.BDP("92856EAT Muni","SPREAD_AT_ISSUANCE_TO_WORST")</f>
        <v>#N/A Requesting Data...</v>
      </c>
      <c r="H1746" t="str">
        <f>_xll.BDP("92856EAT Muni","ISSUE_DT")</f>
        <v>#N/A Requesting Data...</v>
      </c>
      <c r="I1746" t="str">
        <f>_xll.BDS("92856EAT Muni","MUNI_PURPOSE_SCHED", "aggregate=y")</f>
        <v>#N/A Review</v>
      </c>
      <c r="J1746" t="str">
        <f>_xll.BDP("92856EAT Muni","CPN")</f>
        <v>#N/A Requesting Data...</v>
      </c>
      <c r="K1746" t="str">
        <f>_xll.BDP("92856EAT Muni","MATURITY")</f>
        <v>#N/A Requesting Data...</v>
      </c>
      <c r="L1746">
        <v>230000</v>
      </c>
      <c r="M1746" t="str">
        <f>_xll.BDP("92856EAT Muni","YIELD_ON_ISSUE_DATE")</f>
        <v>#N/A Requesting Data...</v>
      </c>
      <c r="N1746" t="str">
        <f>_xll.BDP("92856EAT Muni","YTW_SPREAD_TO_MATURITY_AT_ISSU")</f>
        <v>#N/A Requesting Data...</v>
      </c>
      <c r="O1746" t="str">
        <f>_xll.BDP("92856EAT Muni","BVAL_MID_YTM")</f>
        <v>#N/A Requesting Data...</v>
      </c>
      <c r="P1746" t="str">
        <f>_xll.BDP("92856EAT Muni","MUNI_TAX_PROV")</f>
        <v>#N/A Requesting Data...</v>
      </c>
      <c r="Q1746" t="str">
        <f>_xll.BDP("92856EAT Muni","MUNI_FED_TAX")</f>
        <v>#N/A Requesting Data...</v>
      </c>
      <c r="R1746" t="str">
        <f>_xll.BDP("92856EAT Muni","MUNI_MSRB_VOLUME")</f>
        <v>#N/A Requesting Data...</v>
      </c>
      <c r="S1746" t="str">
        <f>_xll.BDP("92856EAT Muni","BB_COMPOSITE")</f>
        <v>#N/A Requesting Data...</v>
      </c>
      <c r="T1746" t="str">
        <f>_xll.BDP("92856EAT Muni","LQA_LIQUIDITY_SCORE")</f>
        <v>#N/A Requesting Data...</v>
      </c>
    </row>
    <row r="1747" spans="1:20" x14ac:dyDescent="0.25">
      <c r="A1747" t="str">
        <f>_xll.BDP("770825JD Muni","ID_CUSIP")</f>
        <v>#N/A Requesting Data...</v>
      </c>
      <c r="B1747" t="s">
        <v>525</v>
      </c>
      <c r="C1747" t="str">
        <f>_xll.BDP("770825JD Muni","INSURANCE_STATUS")</f>
        <v>#N/A Requesting Data...</v>
      </c>
      <c r="D1747" t="str">
        <f>_xll.BDP("770825JD Muni","STATE_CODE")</f>
        <v>#N/A Requesting Data...</v>
      </c>
      <c r="E1747" t="str">
        <f>_xll.BDP("770825JD Muni","COUNTY_LOCATION_ISSUER")</f>
        <v>#N/A Requesting Data...</v>
      </c>
      <c r="F1747" t="str">
        <f>_xll.BDP("770825JD Muni","DUR_ADJ_MID")</f>
        <v>#N/A Requesting Data...</v>
      </c>
      <c r="G1747" t="str">
        <f>_xll.BDP("770825JD Muni","SPREAD_AT_ISSUANCE_TO_WORST")</f>
        <v>#N/A Requesting Data...</v>
      </c>
      <c r="H1747" t="str">
        <f>_xll.BDP("770825JD Muni","ISSUE_DT")</f>
        <v>#N/A Requesting Data...</v>
      </c>
      <c r="I1747" t="str">
        <f>_xll.BDS("770825JD Muni","MUNI_PURPOSE_SCHED", "aggregate=y")</f>
        <v>#N/A Review</v>
      </c>
      <c r="J1747" t="str">
        <f>_xll.BDP("770825JD Muni","CPN")</f>
        <v>#N/A Requesting Data...</v>
      </c>
      <c r="K1747" t="str">
        <f>_xll.BDP("770825JD Muni","MATURITY")</f>
        <v>#N/A Requesting Data...</v>
      </c>
      <c r="L1747">
        <v>245000</v>
      </c>
      <c r="M1747" t="str">
        <f>_xll.BDP("770825JD Muni","YIELD_ON_ISSUE_DATE")</f>
        <v>#N/A Requesting Data...</v>
      </c>
      <c r="N1747" t="str">
        <f>_xll.BDP("770825JD Muni","YTW_SPREAD_TO_MATURITY_AT_ISSU")</f>
        <v>#N/A Requesting Data...</v>
      </c>
      <c r="O1747" t="str">
        <f>_xll.BDP("770825JD Muni","BVAL_MID_YTM")</f>
        <v>#N/A Requesting Data...</v>
      </c>
      <c r="P1747" t="str">
        <f>_xll.BDP("770825JD Muni","MUNI_TAX_PROV")</f>
        <v>#N/A Requesting Data...</v>
      </c>
      <c r="Q1747" t="str">
        <f>_xll.BDP("770825JD Muni","MUNI_FED_TAX")</f>
        <v>#N/A Requesting Data...</v>
      </c>
      <c r="R1747" t="str">
        <f>_xll.BDP("770825JD Muni","MUNI_MSRB_VOLUME")</f>
        <v>#N/A Requesting Data...</v>
      </c>
      <c r="S1747" t="str">
        <f>_xll.BDP("770825JD Muni","BB_COMPOSITE")</f>
        <v>#N/A Requesting Data...</v>
      </c>
      <c r="T1747" t="str">
        <f>_xll.BDP("770825JD Muni","LQA_LIQUIDITY_SCORE")</f>
        <v>#N/A Requesting Data...</v>
      </c>
    </row>
    <row r="1748" spans="1:20" x14ac:dyDescent="0.25">
      <c r="A1748" t="str">
        <f>_xll.BDP("770825JE Muni","ID_CUSIP")</f>
        <v>#N/A Requesting Data...</v>
      </c>
      <c r="B1748" t="s">
        <v>525</v>
      </c>
      <c r="C1748" t="str">
        <f>_xll.BDP("770825JE Muni","INSURANCE_STATUS")</f>
        <v>#N/A Requesting Data...</v>
      </c>
      <c r="D1748" t="str">
        <f>_xll.BDP("770825JE Muni","STATE_CODE")</f>
        <v>#N/A Requesting Data...</v>
      </c>
      <c r="E1748" t="str">
        <f>_xll.BDP("770825JE Muni","COUNTY_LOCATION_ISSUER")</f>
        <v>#N/A Requesting Data...</v>
      </c>
      <c r="F1748" t="str">
        <f>_xll.BDP("770825JE Muni","DUR_ADJ_MID")</f>
        <v>#N/A Requesting Data...</v>
      </c>
      <c r="G1748" t="str">
        <f>_xll.BDP("770825JE Muni","SPREAD_AT_ISSUANCE_TO_WORST")</f>
        <v>#N/A Requesting Data...</v>
      </c>
      <c r="H1748" t="str">
        <f>_xll.BDP("770825JE Muni","ISSUE_DT")</f>
        <v>#N/A Requesting Data...</v>
      </c>
      <c r="I1748" t="str">
        <f>_xll.BDS("770825JE Muni","MUNI_PURPOSE_SCHED", "aggregate=y")</f>
        <v>#N/A Review</v>
      </c>
      <c r="J1748" t="str">
        <f>_xll.BDP("770825JE Muni","CPN")</f>
        <v>#N/A Requesting Data...</v>
      </c>
      <c r="K1748" t="str">
        <f>_xll.BDP("770825JE Muni","MATURITY")</f>
        <v>#N/A Requesting Data...</v>
      </c>
      <c r="L1748">
        <v>255000</v>
      </c>
      <c r="M1748" t="str">
        <f>_xll.BDP("770825JE Muni","YIELD_ON_ISSUE_DATE")</f>
        <v>#N/A Requesting Data...</v>
      </c>
      <c r="N1748" t="str">
        <f>_xll.BDP("770825JE Muni","YTW_SPREAD_TO_MATURITY_AT_ISSU")</f>
        <v>#N/A Requesting Data...</v>
      </c>
      <c r="O1748" t="str">
        <f>_xll.BDP("770825JE Muni","BVAL_MID_YTM")</f>
        <v>#N/A Requesting Data...</v>
      </c>
      <c r="P1748" t="str">
        <f>_xll.BDP("770825JE Muni","MUNI_TAX_PROV")</f>
        <v>#N/A Requesting Data...</v>
      </c>
      <c r="Q1748" t="str">
        <f>_xll.BDP("770825JE Muni","MUNI_FED_TAX")</f>
        <v>#N/A Requesting Data...</v>
      </c>
      <c r="R1748" t="str">
        <f>_xll.BDP("770825JE Muni","MUNI_MSRB_VOLUME")</f>
        <v>#N/A Requesting Data...</v>
      </c>
      <c r="S1748" t="str">
        <f>_xll.BDP("770825JE Muni","BB_COMPOSITE")</f>
        <v>#N/A Requesting Data...</v>
      </c>
      <c r="T1748" t="str">
        <f>_xll.BDP("770825JE Muni","LQA_LIQUIDITY_SCORE")</f>
        <v>#N/A Requesting Data...</v>
      </c>
    </row>
    <row r="1749" spans="1:20" x14ac:dyDescent="0.25">
      <c r="A1749" t="str">
        <f>_xll.BDP("770825JF Muni","ID_CUSIP")</f>
        <v>#N/A Requesting Data...</v>
      </c>
      <c r="B1749" t="s">
        <v>525</v>
      </c>
      <c r="C1749" t="str">
        <f>_xll.BDP("770825JF Muni","INSURANCE_STATUS")</f>
        <v>#N/A Requesting Data...</v>
      </c>
      <c r="D1749" t="str">
        <f>_xll.BDP("770825JF Muni","STATE_CODE")</f>
        <v>#N/A Requesting Data...</v>
      </c>
      <c r="E1749" t="str">
        <f>_xll.BDP("770825JF Muni","COUNTY_LOCATION_ISSUER")</f>
        <v>#N/A Requesting Data...</v>
      </c>
      <c r="F1749" t="str">
        <f>_xll.BDP("770825JF Muni","DUR_ADJ_MID")</f>
        <v>#N/A Requesting Data...</v>
      </c>
      <c r="G1749" t="str">
        <f>_xll.BDP("770825JF Muni","SPREAD_AT_ISSUANCE_TO_WORST")</f>
        <v>#N/A Requesting Data...</v>
      </c>
      <c r="H1749" t="str">
        <f>_xll.BDP("770825JF Muni","ISSUE_DT")</f>
        <v>#N/A Requesting Data...</v>
      </c>
      <c r="I1749" t="str">
        <f>_xll.BDS("770825JF Muni","MUNI_PURPOSE_SCHED", "aggregate=y")</f>
        <v>#N/A Review</v>
      </c>
      <c r="J1749" t="str">
        <f>_xll.BDP("770825JF Muni","CPN")</f>
        <v>#N/A Requesting Data...</v>
      </c>
      <c r="K1749" t="str">
        <f>_xll.BDP("770825JF Muni","MATURITY")</f>
        <v>#N/A Requesting Data...</v>
      </c>
      <c r="L1749">
        <v>260000</v>
      </c>
      <c r="M1749" t="str">
        <f>_xll.BDP("770825JF Muni","YIELD_ON_ISSUE_DATE")</f>
        <v>#N/A Requesting Data...</v>
      </c>
      <c r="N1749" t="str">
        <f>_xll.BDP("770825JF Muni","YTW_SPREAD_TO_MATURITY_AT_ISSU")</f>
        <v>#N/A Requesting Data...</v>
      </c>
      <c r="O1749" t="str">
        <f>_xll.BDP("770825JF Muni","BVAL_MID_YTM")</f>
        <v>#N/A Requesting Data...</v>
      </c>
      <c r="P1749" t="str">
        <f>_xll.BDP("770825JF Muni","MUNI_TAX_PROV")</f>
        <v>#N/A Requesting Data...</v>
      </c>
      <c r="Q1749" t="str">
        <f>_xll.BDP("770825JF Muni","MUNI_FED_TAX")</f>
        <v>#N/A Requesting Data...</v>
      </c>
      <c r="R1749" t="str">
        <f>_xll.BDP("770825JF Muni","MUNI_MSRB_VOLUME")</f>
        <v>#N/A Requesting Data...</v>
      </c>
      <c r="S1749" t="str">
        <f>_xll.BDP("770825JF Muni","BB_COMPOSITE")</f>
        <v>#N/A Requesting Data...</v>
      </c>
      <c r="T1749" t="str">
        <f>_xll.BDP("770825JF Muni","LQA_LIQUIDITY_SCORE")</f>
        <v>#N/A Requesting Data...</v>
      </c>
    </row>
    <row r="1750" spans="1:20" x14ac:dyDescent="0.25">
      <c r="A1750" t="str">
        <f>_xll.BDP("770825JG Muni","ID_CUSIP")</f>
        <v>#N/A Requesting Data...</v>
      </c>
      <c r="B1750" t="s">
        <v>525</v>
      </c>
      <c r="C1750" t="str">
        <f>_xll.BDP("770825JG Muni","INSURANCE_STATUS")</f>
        <v>#N/A Requesting Data...</v>
      </c>
      <c r="D1750" t="str">
        <f>_xll.BDP("770825JG Muni","STATE_CODE")</f>
        <v>#N/A Requesting Data...</v>
      </c>
      <c r="E1750" t="str">
        <f>_xll.BDP("770825JG Muni","COUNTY_LOCATION_ISSUER")</f>
        <v>#N/A Requesting Data...</v>
      </c>
      <c r="F1750" t="str">
        <f>_xll.BDP("770825JG Muni","DUR_ADJ_MID")</f>
        <v>#N/A Requesting Data...</v>
      </c>
      <c r="G1750" t="str">
        <f>_xll.BDP("770825JG Muni","SPREAD_AT_ISSUANCE_TO_WORST")</f>
        <v>#N/A Requesting Data...</v>
      </c>
      <c r="H1750" t="str">
        <f>_xll.BDP("770825JG Muni","ISSUE_DT")</f>
        <v>#N/A Requesting Data...</v>
      </c>
      <c r="I1750" t="str">
        <f>_xll.BDS("770825JG Muni","MUNI_PURPOSE_SCHED", "aggregate=y")</f>
        <v>#N/A Review</v>
      </c>
      <c r="J1750" t="str">
        <f>_xll.BDP("770825JG Muni","CPN")</f>
        <v>#N/A Requesting Data...</v>
      </c>
      <c r="K1750" t="str">
        <f>_xll.BDP("770825JG Muni","MATURITY")</f>
        <v>#N/A Requesting Data...</v>
      </c>
      <c r="L1750">
        <v>270000</v>
      </c>
      <c r="M1750" t="str">
        <f>_xll.BDP("770825JG Muni","YIELD_ON_ISSUE_DATE")</f>
        <v>#N/A Requesting Data...</v>
      </c>
      <c r="N1750" t="str">
        <f>_xll.BDP("770825JG Muni","YTW_SPREAD_TO_MATURITY_AT_ISSU")</f>
        <v>#N/A Requesting Data...</v>
      </c>
      <c r="O1750" t="str">
        <f>_xll.BDP("770825JG Muni","BVAL_MID_YTM")</f>
        <v>#N/A Requesting Data...</v>
      </c>
      <c r="P1750" t="str">
        <f>_xll.BDP("770825JG Muni","MUNI_TAX_PROV")</f>
        <v>#N/A Requesting Data...</v>
      </c>
      <c r="Q1750" t="str">
        <f>_xll.BDP("770825JG Muni","MUNI_FED_TAX")</f>
        <v>#N/A Requesting Data...</v>
      </c>
      <c r="R1750" t="str">
        <f>_xll.BDP("770825JG Muni","MUNI_MSRB_VOLUME")</f>
        <v>#N/A Requesting Data...</v>
      </c>
      <c r="S1750" t="str">
        <f>_xll.BDP("770825JG Muni","BB_COMPOSITE")</f>
        <v>#N/A Requesting Data...</v>
      </c>
      <c r="T1750" t="str">
        <f>_xll.BDP("770825JG Muni","LQA_LIQUIDITY_SCORE")</f>
        <v>#N/A Requesting Data...</v>
      </c>
    </row>
    <row r="1751" spans="1:20" x14ac:dyDescent="0.25">
      <c r="A1751" t="str">
        <f>_xll.BDP("963851AT Muni","ID_CUSIP")</f>
        <v>#N/A Requesting Data...</v>
      </c>
      <c r="B1751" t="s">
        <v>492</v>
      </c>
      <c r="C1751" t="str">
        <f>_xll.BDP("963851AT Muni","INSURANCE_STATUS")</f>
        <v>#N/A Requesting Data...</v>
      </c>
      <c r="D1751" t="str">
        <f>_xll.BDP("963851AT Muni","STATE_CODE")</f>
        <v>#N/A Requesting Data...</v>
      </c>
      <c r="E1751" t="str">
        <f>_xll.BDP("963851AT Muni","COUNTY_LOCATION_ISSUER")</f>
        <v>#N/A Requesting Data...</v>
      </c>
      <c r="F1751" t="str">
        <f>_xll.BDP("963851AT Muni","DUR_ADJ_MID")</f>
        <v>#N/A Requesting Data...</v>
      </c>
      <c r="G1751" t="str">
        <f>_xll.BDP("963851AT Muni","SPREAD_AT_ISSUANCE_TO_WORST")</f>
        <v>#N/A Requesting Data...</v>
      </c>
      <c r="H1751" t="str">
        <f>_xll.BDP("963851AT Muni","ISSUE_DT")</f>
        <v>#N/A Requesting Data...</v>
      </c>
      <c r="I1751" t="str">
        <f>_xll.BDS("963851AT Muni","MUNI_PURPOSE_SCHED", "aggregate=y")</f>
        <v>#N/A Review</v>
      </c>
      <c r="J1751" t="str">
        <f>_xll.BDP("963851AT Muni","CPN")</f>
        <v>#N/A Requesting Data...</v>
      </c>
      <c r="K1751" t="str">
        <f>_xll.BDP("963851AT Muni","MATURITY")</f>
        <v>#N/A Requesting Data...</v>
      </c>
      <c r="L1751">
        <v>60000</v>
      </c>
      <c r="M1751" t="str">
        <f>_xll.BDP("963851AT Muni","YIELD_ON_ISSUE_DATE")</f>
        <v>#N/A Requesting Data...</v>
      </c>
      <c r="N1751" t="str">
        <f>_xll.BDP("963851AT Muni","YTW_SPREAD_TO_MATURITY_AT_ISSU")</f>
        <v>#N/A Requesting Data...</v>
      </c>
      <c r="O1751" t="str">
        <f>_xll.BDP("963851AT Muni","BVAL_MID_YTM")</f>
        <v>#N/A Requesting Data...</v>
      </c>
      <c r="P1751" t="str">
        <f>_xll.BDP("963851AT Muni","MUNI_TAX_PROV")</f>
        <v>#N/A Requesting Data...</v>
      </c>
      <c r="Q1751" t="str">
        <f>_xll.BDP("963851AT Muni","MUNI_FED_TAX")</f>
        <v>#N/A Requesting Data...</v>
      </c>
      <c r="R1751" t="str">
        <f>_xll.BDP("963851AT Muni","MUNI_MSRB_VOLUME")</f>
        <v>#N/A Requesting Data...</v>
      </c>
      <c r="S1751" t="str">
        <f>_xll.BDP("963851AT Muni","BB_COMPOSITE")</f>
        <v>#N/A Requesting Data...</v>
      </c>
      <c r="T1751" t="str">
        <f>_xll.BDP("963851AT Muni","LQA_LIQUIDITY_SCORE")</f>
        <v>#N/A Requesting Data...</v>
      </c>
    </row>
    <row r="1752" spans="1:20" x14ac:dyDescent="0.25">
      <c r="A1752" t="str">
        <f>_xll.BDP("963851AU Muni","ID_CUSIP")</f>
        <v>#N/A Requesting Data...</v>
      </c>
      <c r="B1752" t="s">
        <v>492</v>
      </c>
      <c r="C1752" t="str">
        <f>_xll.BDP("963851AU Muni","INSURANCE_STATUS")</f>
        <v>#N/A Requesting Data...</v>
      </c>
      <c r="D1752" t="str">
        <f>_xll.BDP("963851AU Muni","STATE_CODE")</f>
        <v>#N/A Requesting Data...</v>
      </c>
      <c r="E1752" t="str">
        <f>_xll.BDP("963851AU Muni","COUNTY_LOCATION_ISSUER")</f>
        <v>#N/A Requesting Data...</v>
      </c>
      <c r="F1752" t="str">
        <f>_xll.BDP("963851AU Muni","DUR_ADJ_MID")</f>
        <v>#N/A Requesting Data...</v>
      </c>
      <c r="G1752" t="str">
        <f>_xll.BDP("963851AU Muni","SPREAD_AT_ISSUANCE_TO_WORST")</f>
        <v>#N/A Requesting Data...</v>
      </c>
      <c r="H1752" t="str">
        <f>_xll.BDP("963851AU Muni","ISSUE_DT")</f>
        <v>#N/A Requesting Data...</v>
      </c>
      <c r="I1752" t="str">
        <f>_xll.BDS("963851AU Muni","MUNI_PURPOSE_SCHED", "aggregate=y")</f>
        <v>#N/A Review</v>
      </c>
      <c r="J1752" t="str">
        <f>_xll.BDP("963851AU Muni","CPN")</f>
        <v>#N/A Requesting Data...</v>
      </c>
      <c r="K1752" t="str">
        <f>_xll.BDP("963851AU Muni","MATURITY")</f>
        <v>#N/A Requesting Data...</v>
      </c>
      <c r="L1752">
        <v>60000</v>
      </c>
      <c r="M1752" t="str">
        <f>_xll.BDP("963851AU Muni","YIELD_ON_ISSUE_DATE")</f>
        <v>#N/A Requesting Data...</v>
      </c>
      <c r="N1752" t="str">
        <f>_xll.BDP("963851AU Muni","YTW_SPREAD_TO_MATURITY_AT_ISSU")</f>
        <v>#N/A Requesting Data...</v>
      </c>
      <c r="O1752" t="str">
        <f>_xll.BDP("963851AU Muni","BVAL_MID_YTM")</f>
        <v>#N/A Requesting Data...</v>
      </c>
      <c r="P1752" t="str">
        <f>_xll.BDP("963851AU Muni","MUNI_TAX_PROV")</f>
        <v>#N/A Requesting Data...</v>
      </c>
      <c r="Q1752" t="str">
        <f>_xll.BDP("963851AU Muni","MUNI_FED_TAX")</f>
        <v>#N/A Requesting Data...</v>
      </c>
      <c r="R1752" t="str">
        <f>_xll.BDP("963851AU Muni","MUNI_MSRB_VOLUME")</f>
        <v>#N/A Requesting Data...</v>
      </c>
      <c r="S1752" t="str">
        <f>_xll.BDP("963851AU Muni","BB_COMPOSITE")</f>
        <v>#N/A Requesting Data...</v>
      </c>
      <c r="T1752" t="str">
        <f>_xll.BDP("963851AU Muni","LQA_LIQUIDITY_SCORE")</f>
        <v>#N/A Requesting Data...</v>
      </c>
    </row>
    <row r="1753" spans="1:20" x14ac:dyDescent="0.25">
      <c r="A1753" t="str">
        <f>_xll.BDP("964009CM Muni","ID_CUSIP")</f>
        <v>#N/A Requesting Data...</v>
      </c>
      <c r="B1753" t="s">
        <v>526</v>
      </c>
      <c r="C1753" t="str">
        <f>_xll.BDP("964009CM Muni","INSURANCE_STATUS")</f>
        <v>#N/A Requesting Data...</v>
      </c>
      <c r="D1753" t="str">
        <f>_xll.BDP("964009CM Muni","STATE_CODE")</f>
        <v>#N/A Requesting Data...</v>
      </c>
      <c r="E1753" t="str">
        <f>_xll.BDP("964009CM Muni","COUNTY_LOCATION_ISSUER")</f>
        <v>#N/A Requesting Data...</v>
      </c>
      <c r="F1753" t="str">
        <f>_xll.BDP("964009CM Muni","DUR_ADJ_MID")</f>
        <v>#N/A Requesting Data...</v>
      </c>
      <c r="G1753" t="str">
        <f>_xll.BDP("964009CM Muni","SPREAD_AT_ISSUANCE_TO_WORST")</f>
        <v>#N/A Requesting Data...</v>
      </c>
      <c r="H1753" t="str">
        <f>_xll.BDP("964009CM Muni","ISSUE_DT")</f>
        <v>#N/A Requesting Data...</v>
      </c>
      <c r="I1753" t="str">
        <f>_xll.BDS("964009CM Muni","MUNI_PURPOSE_SCHED", "aggregate=y")</f>
        <v>#N/A Review</v>
      </c>
      <c r="J1753" t="str">
        <f>_xll.BDP("964009CM Muni","CPN")</f>
        <v>#N/A Requesting Data...</v>
      </c>
      <c r="K1753" t="str">
        <f>_xll.BDP("964009CM Muni","MATURITY")</f>
        <v>#N/A Requesting Data...</v>
      </c>
      <c r="L1753">
        <v>50000</v>
      </c>
      <c r="M1753" t="str">
        <f>_xll.BDP("964009CM Muni","YIELD_ON_ISSUE_DATE")</f>
        <v>#N/A Requesting Data...</v>
      </c>
      <c r="N1753" t="str">
        <f>_xll.BDP("964009CM Muni","YTW_SPREAD_TO_MATURITY_AT_ISSU")</f>
        <v>#N/A Requesting Data...</v>
      </c>
      <c r="O1753" t="str">
        <f>_xll.BDP("964009CM Muni","BVAL_MID_YTM")</f>
        <v>#N/A Requesting Data...</v>
      </c>
      <c r="P1753" t="str">
        <f>_xll.BDP("964009CM Muni","MUNI_TAX_PROV")</f>
        <v>#N/A Requesting Data...</v>
      </c>
      <c r="Q1753" t="str">
        <f>_xll.BDP("964009CM Muni","MUNI_FED_TAX")</f>
        <v>#N/A Requesting Data...</v>
      </c>
      <c r="R1753" t="str">
        <f>_xll.BDP("964009CM Muni","MUNI_MSRB_VOLUME")</f>
        <v>#N/A Requesting Data...</v>
      </c>
      <c r="S1753" t="str">
        <f>_xll.BDP("964009CM Muni","BB_COMPOSITE")</f>
        <v>#N/A Requesting Data...</v>
      </c>
      <c r="T1753" t="str">
        <f>_xll.BDP("964009CM Muni","LQA_LIQUIDITY_SCORE")</f>
        <v>#N/A Requesting Data...</v>
      </c>
    </row>
    <row r="1754" spans="1:20" x14ac:dyDescent="0.25">
      <c r="A1754" t="str">
        <f>_xll.BDP("964009CN Muni","ID_CUSIP")</f>
        <v>#N/A Requesting Data...</v>
      </c>
      <c r="B1754" t="s">
        <v>526</v>
      </c>
      <c r="C1754" t="str">
        <f>_xll.BDP("964009CN Muni","INSURANCE_STATUS")</f>
        <v>#N/A Requesting Data...</v>
      </c>
      <c r="D1754" t="str">
        <f>_xll.BDP("964009CN Muni","STATE_CODE")</f>
        <v>#N/A Requesting Data...</v>
      </c>
      <c r="E1754" t="str">
        <f>_xll.BDP("964009CN Muni","COUNTY_LOCATION_ISSUER")</f>
        <v>#N/A Requesting Data...</v>
      </c>
      <c r="F1754" t="str">
        <f>_xll.BDP("964009CN Muni","DUR_ADJ_MID")</f>
        <v>#N/A Requesting Data...</v>
      </c>
      <c r="G1754" t="str">
        <f>_xll.BDP("964009CN Muni","SPREAD_AT_ISSUANCE_TO_WORST")</f>
        <v>#N/A Requesting Data...</v>
      </c>
      <c r="H1754" t="str">
        <f>_xll.BDP("964009CN Muni","ISSUE_DT")</f>
        <v>#N/A Requesting Data...</v>
      </c>
      <c r="I1754" t="str">
        <f>_xll.BDS("964009CN Muni","MUNI_PURPOSE_SCHED", "aggregate=y")</f>
        <v>#N/A Review</v>
      </c>
      <c r="J1754" t="str">
        <f>_xll.BDP("964009CN Muni","CPN")</f>
        <v>#N/A Requesting Data...</v>
      </c>
      <c r="K1754" t="str">
        <f>_xll.BDP("964009CN Muni","MATURITY")</f>
        <v>#N/A Requesting Data...</v>
      </c>
      <c r="L1754">
        <v>50000</v>
      </c>
      <c r="M1754" t="str">
        <f>_xll.BDP("964009CN Muni","YIELD_ON_ISSUE_DATE")</f>
        <v>#N/A Requesting Data...</v>
      </c>
      <c r="N1754" t="str">
        <f>_xll.BDP("964009CN Muni","YTW_SPREAD_TO_MATURITY_AT_ISSU")</f>
        <v>#N/A Requesting Data...</v>
      </c>
      <c r="O1754" t="str">
        <f>_xll.BDP("964009CN Muni","BVAL_MID_YTM")</f>
        <v>#N/A Requesting Data...</v>
      </c>
      <c r="P1754" t="str">
        <f>_xll.BDP("964009CN Muni","MUNI_TAX_PROV")</f>
        <v>#N/A Requesting Data...</v>
      </c>
      <c r="Q1754" t="str">
        <f>_xll.BDP("964009CN Muni","MUNI_FED_TAX")</f>
        <v>#N/A Requesting Data...</v>
      </c>
      <c r="R1754" t="str">
        <f>_xll.BDP("964009CN Muni","MUNI_MSRB_VOLUME")</f>
        <v>#N/A Requesting Data...</v>
      </c>
      <c r="S1754" t="str">
        <f>_xll.BDP("964009CN Muni","BB_COMPOSITE")</f>
        <v>#N/A Requesting Data...</v>
      </c>
      <c r="T1754" t="str">
        <f>_xll.BDP("964009CN Muni","LQA_LIQUIDITY_SCORE")</f>
        <v>#N/A Requesting Data...</v>
      </c>
    </row>
    <row r="1755" spans="1:20" x14ac:dyDescent="0.25">
      <c r="A1755" t="str">
        <f>_xll.BDP("9643895B Muni","ID_CUSIP")</f>
        <v>#N/A Requesting Data...</v>
      </c>
      <c r="B1755" t="s">
        <v>62</v>
      </c>
      <c r="C1755" t="str">
        <f>_xll.BDP("9643895B Muni","INSURANCE_STATUS")</f>
        <v>#N/A Requesting Data...</v>
      </c>
      <c r="D1755" t="str">
        <f>_xll.BDP("9643895B Muni","STATE_CODE")</f>
        <v>#N/A Requesting Data...</v>
      </c>
      <c r="E1755" t="str">
        <f>_xll.BDP("9643895B Muni","COUNTY_LOCATION_ISSUER")</f>
        <v>#N/A Requesting Data...</v>
      </c>
      <c r="F1755" t="str">
        <f>_xll.BDP("9643895B Muni","DUR_ADJ_MID")</f>
        <v>#N/A Requesting Data...</v>
      </c>
      <c r="G1755" t="str">
        <f>_xll.BDP("9643895B Muni","SPREAD_AT_ISSUANCE_TO_WORST")</f>
        <v>#N/A Requesting Data...</v>
      </c>
      <c r="H1755" t="str">
        <f>_xll.BDP("9643895B Muni","ISSUE_DT")</f>
        <v>#N/A Requesting Data...</v>
      </c>
      <c r="I1755" t="str">
        <f>_xll.BDS("9643895B Muni","MUNI_PURPOSE_SCHED", "aggregate=y")</f>
        <v>#N/A Review</v>
      </c>
      <c r="J1755" t="str">
        <f>_xll.BDP("9643895B Muni","CPN")</f>
        <v>#N/A Requesting Data...</v>
      </c>
      <c r="K1755" t="str">
        <f>_xll.BDP("9643895B Muni","MATURITY")</f>
        <v>#N/A Requesting Data...</v>
      </c>
      <c r="L1755">
        <v>600000</v>
      </c>
      <c r="M1755" t="str">
        <f>_xll.BDP("9643895B Muni","YIELD_ON_ISSUE_DATE")</f>
        <v>#N/A Requesting Data...</v>
      </c>
      <c r="N1755" t="str">
        <f>_xll.BDP("9643895B Muni","YTW_SPREAD_TO_MATURITY_AT_ISSU")</f>
        <v>#N/A Requesting Data...</v>
      </c>
      <c r="O1755" t="str">
        <f>_xll.BDP("9643895B Muni","BVAL_MID_YTM")</f>
        <v>#N/A Requesting Data...</v>
      </c>
      <c r="P1755" t="str">
        <f>_xll.BDP("9643895B Muni","MUNI_TAX_PROV")</f>
        <v>#N/A Requesting Data...</v>
      </c>
      <c r="Q1755" t="str">
        <f>_xll.BDP("9643895B Muni","MUNI_FED_TAX")</f>
        <v>#N/A Requesting Data...</v>
      </c>
      <c r="R1755" t="str">
        <f>_xll.BDP("9643895B Muni","MUNI_MSRB_VOLUME")</f>
        <v>#N/A Requesting Data...</v>
      </c>
      <c r="S1755" t="str">
        <f>_xll.BDP("9643895B Muni","BB_COMPOSITE")</f>
        <v>#N/A Requesting Data...</v>
      </c>
      <c r="T1755" t="str">
        <f>_xll.BDP("9643895B Muni","LQA_LIQUIDITY_SCORE")</f>
        <v>#N/A Requesting Data...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5" t="s">
        <v>527</v>
      </c>
      <c r="B1" s="5"/>
      <c r="C1" s="5"/>
      <c r="D1" s="5"/>
    </row>
    <row r="2" spans="1:4" x14ac:dyDescent="0.25">
      <c r="A2" s="4" t="s">
        <v>528</v>
      </c>
      <c r="B2" s="3"/>
      <c r="C2" s="3"/>
      <c r="D2" s="3"/>
    </row>
    <row r="3" spans="1:4" x14ac:dyDescent="0.25">
      <c r="A3" s="4"/>
      <c r="B3" s="3"/>
      <c r="C3" s="3"/>
      <c r="D3" s="3"/>
    </row>
    <row r="4" spans="1:4" x14ac:dyDescent="0.25">
      <c r="A4" s="4" t="s">
        <v>529</v>
      </c>
      <c r="B4" s="3"/>
      <c r="C4" s="3"/>
      <c r="D4" s="3"/>
    </row>
    <row r="5" spans="1:4" x14ac:dyDescent="0.25">
      <c r="A5" s="4" t="s">
        <v>530</v>
      </c>
      <c r="B5" s="3"/>
      <c r="C5" s="3"/>
      <c r="D5" s="3"/>
    </row>
    <row r="6" spans="1:4" x14ac:dyDescent="0.25">
      <c r="A6" s="4"/>
      <c r="B6" s="3"/>
      <c r="C6" s="3"/>
      <c r="D6" s="3"/>
    </row>
    <row r="7" spans="1:4" x14ac:dyDescent="0.25">
      <c r="A7" s="4"/>
      <c r="B7" s="3"/>
      <c r="C7" s="3"/>
      <c r="D7" s="3"/>
    </row>
    <row r="8" spans="1:4" x14ac:dyDescent="0.25">
      <c r="A8" s="4" t="s">
        <v>531</v>
      </c>
      <c r="B8" s="3"/>
      <c r="C8" s="3"/>
      <c r="D8" s="3"/>
    </row>
    <row r="9" spans="1:4" x14ac:dyDescent="0.25">
      <c r="A9" s="4"/>
      <c r="B9" s="3"/>
      <c r="C9" s="3"/>
      <c r="D9" s="3"/>
    </row>
    <row r="10" spans="1:4" x14ac:dyDescent="0.25">
      <c r="A10" s="2" t="s">
        <v>532</v>
      </c>
      <c r="B10" s="3"/>
      <c r="C10" s="3"/>
      <c r="D10" s="3"/>
    </row>
    <row r="11" spans="1:4" x14ac:dyDescent="0.25">
      <c r="A11" s="1" t="s">
        <v>533</v>
      </c>
      <c r="B11" s="3"/>
      <c r="C11" s="3"/>
      <c r="D11" s="3"/>
    </row>
    <row r="12" spans="1:4" x14ac:dyDescent="0.25">
      <c r="A12" s="1" t="s">
        <v>534</v>
      </c>
      <c r="B12" s="3"/>
      <c r="C12" s="3"/>
      <c r="D12" s="3"/>
    </row>
    <row r="13" spans="1:4" x14ac:dyDescent="0.25">
      <c r="A13" s="1" t="s">
        <v>535</v>
      </c>
      <c r="B13" s="3"/>
      <c r="C13" s="3"/>
      <c r="D13" s="3"/>
    </row>
    <row r="14" spans="1:4" x14ac:dyDescent="0.25">
      <c r="A14" s="6" t="s">
        <v>536</v>
      </c>
      <c r="B14" s="6" t="s">
        <v>537</v>
      </c>
      <c r="C14" s="6" t="s">
        <v>538</v>
      </c>
      <c r="D14" s="6" t="s">
        <v>539</v>
      </c>
    </row>
    <row r="15" spans="1:4" x14ac:dyDescent="0.25">
      <c r="A15" s="6" t="s">
        <v>536</v>
      </c>
      <c r="B15" s="6" t="s">
        <v>540</v>
      </c>
      <c r="C15" s="6" t="s">
        <v>538</v>
      </c>
      <c r="D15" s="6" t="s">
        <v>541</v>
      </c>
    </row>
    <row r="16" spans="1:4" x14ac:dyDescent="0.25">
      <c r="A16" s="6" t="s">
        <v>536</v>
      </c>
      <c r="B16" s="6" t="s">
        <v>542</v>
      </c>
      <c r="C16" s="6" t="s">
        <v>538</v>
      </c>
      <c r="D16" s="6" t="s">
        <v>543</v>
      </c>
    </row>
    <row r="17" spans="1:4" x14ac:dyDescent="0.25">
      <c r="A17" s="6" t="s">
        <v>536</v>
      </c>
      <c r="B17" s="6" t="s">
        <v>7</v>
      </c>
      <c r="C17" s="6" t="s">
        <v>544</v>
      </c>
      <c r="D17" s="6" t="s">
        <v>545</v>
      </c>
    </row>
    <row r="18" spans="1:4" x14ac:dyDescent="0.25">
      <c r="A18" s="6" t="s">
        <v>536</v>
      </c>
      <c r="B18" s="6" t="s">
        <v>546</v>
      </c>
      <c r="C18" s="6" t="s">
        <v>547</v>
      </c>
      <c r="D18" s="6" t="s">
        <v>548</v>
      </c>
    </row>
  </sheetData>
  <mergeCells count="12">
    <mergeCell ref="A12:D12"/>
    <mergeCell ref="A13:D13"/>
    <mergeCell ref="A7:D7"/>
    <mergeCell ref="A8:D8"/>
    <mergeCell ref="A9:D9"/>
    <mergeCell ref="A10:D10"/>
    <mergeCell ref="A11:D1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Municipals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Li, Dan</cp:lastModifiedBy>
  <dcterms:created xsi:type="dcterms:W3CDTF">2013-04-03T15:49:21Z</dcterms:created>
  <dcterms:modified xsi:type="dcterms:W3CDTF">2022-07-31T18:40:50Z</dcterms:modified>
</cp:coreProperties>
</file>